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autoCompressPictures="0"/>
  <mc:AlternateContent xmlns:mc="http://schemas.openxmlformats.org/markup-compatibility/2006">
    <mc:Choice Requires="x15">
      <x15ac:absPath xmlns:x15ac="http://schemas.microsoft.com/office/spreadsheetml/2010/11/ac" url="/Users/Alex/Desktop/Stevens/Stevens_Spring_2022/E-355-D/Labs/"/>
    </mc:Choice>
  </mc:AlternateContent>
  <xr:revisionPtr revIDLastSave="0" documentId="13_ncr:1_{BE57F4BB-13FD-B044-AF24-E4CB3FEE2716}" xr6:coauthVersionLast="47" xr6:coauthVersionMax="47" xr10:uidLastSave="{00000000-0000-0000-0000-000000000000}"/>
  <bookViews>
    <workbookView xWindow="0" yWindow="500" windowWidth="28800" windowHeight="17500" tabRatio="813" xr2:uid="{00000000-000D-0000-FFFF-FFFF00000000}"/>
  </bookViews>
  <sheets>
    <sheet name="Lab 8 Questions" sheetId="53" r:id="rId1"/>
    <sheet name="Introduction" sheetId="21" r:id="rId2"/>
    <sheet name="Initial Inputs" sheetId="20" r:id="rId3"/>
    <sheet name="Revenues" sheetId="8" r:id="rId4"/>
    <sheet name="Expenses" sheetId="9" r:id="rId5"/>
    <sheet name="Capital &amp; Depr" sheetId="11" r:id="rId6"/>
    <sheet name="Loan Amortization" sheetId="2" r:id="rId7"/>
    <sheet name="After Tax Analysis" sheetId="10" r:id="rId8"/>
    <sheet name="Break Even Analysis" sheetId="18" r:id="rId9"/>
    <sheet name="Sensitivity Analysis" sheetId="17" r:id="rId10"/>
    <sheet name="Income Statement" sheetId="19" r:id="rId11"/>
    <sheet name="Balance Sheet" sheetId="22" r:id="rId12"/>
    <sheet name="Economic Life" sheetId="7" r:id="rId13"/>
    <sheet name="Financial Ratios" sheetId="26" r:id="rId14"/>
    <sheet name="Capital Gains Wksht" sheetId="24" r:id="rId15"/>
    <sheet name="Disposl $ Sensitivity Wksht" sheetId="25" r:id="rId16"/>
    <sheet name="Level Payment Fin Sens Wksht" sheetId="15" r:id="rId17"/>
    <sheet name="Level Prin Paymt Fin Sens Wksht" sheetId="45" r:id="rId18"/>
    <sheet name="Level Prin Paymt Fin Sens Calc" sheetId="46" r:id="rId19"/>
    <sheet name="Amort Sensitivity Wksht" sheetId="16" r:id="rId20"/>
    <sheet name="Lvl Prin Pmt Int Rate Sens Calc" sheetId="48" r:id="rId21"/>
    <sheet name="Lvl Prin Pmt Int Rate Sens Wksh" sheetId="47" r:id="rId22"/>
    <sheet name="Lvl Pmt Int Rate Sens Calc" sheetId="42" r:id="rId23"/>
    <sheet name="Lvl Pmt Int Rate Sens Wksht" sheetId="43" r:id="rId24"/>
    <sheet name="Level Payment Fin Sens Calc" sheetId="41" r:id="rId25"/>
    <sheet name="Price Sens Wksht Prod X" sheetId="28" r:id="rId26"/>
    <sheet name="Volume Sens Wksht Prod X" sheetId="39" r:id="rId27"/>
    <sheet name="Price Sens Wksht Prod Y" sheetId="30" r:id="rId28"/>
    <sheet name="Volume Sens Wksht Prod Y" sheetId="38" r:id="rId29"/>
    <sheet name="Price Sens Wksht Prod Z" sheetId="29" r:id="rId30"/>
    <sheet name="Volume Sens Wksht Prod Z" sheetId="37" r:id="rId31"/>
    <sheet name="Expense Sens Wksht" sheetId="35" r:id="rId32"/>
    <sheet name="MARR Sens Wksht" sheetId="34" r:id="rId33"/>
  </sheets>
  <externalReferences>
    <externalReference r:id="rId34"/>
    <externalReference r:id="rId35"/>
  </externalReferences>
  <definedNames>
    <definedName name="IC">[1]Q1!$C$27</definedName>
    <definedName name="ITC" localSheetId="0">'[2]After Tax Analysis'!#REF!</definedName>
    <definedName name="ITC">'After Tax Analysis'!#REF!</definedName>
    <definedName name="OE" localSheetId="0">'[2]After Tax Analysis'!#REF!</definedName>
    <definedName name="OE">'After Tax Analysis'!#REF!</definedName>
    <definedName name="_xlnm.Print_Area" localSheetId="7">'After Tax Analysis'!$B$7:$P$28</definedName>
    <definedName name="_xlnm.Print_Area" localSheetId="13">'Financial Ratios'!$A$1:$Z$111</definedName>
    <definedName name="_xlnm.Print_Area" localSheetId="9">'Sensitivity Analysis'!$A$1:$M$41</definedName>
    <definedName name="_xlnm.Print_Area" localSheetId="28">'Volume Sens Wksht Prod Y'!$A$156:$S$186</definedName>
    <definedName name="RV" localSheetId="0">'[2]After Tax Analysis'!#REF!</definedName>
    <definedName name="RV">'After Tax Analysis'!#REF!</definedName>
    <definedName name="TR" localSheetId="0">'[2]After Tax Analysis'!#REF!</definedName>
    <definedName name="TR">'After Tax Analysis'!#REF!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8" i="8" l="1"/>
  <c r="G8" i="8"/>
  <c r="H8" i="8"/>
  <c r="E8" i="8"/>
  <c r="I72" i="9"/>
  <c r="J72" i="9"/>
  <c r="K72" i="9"/>
  <c r="L72" i="9"/>
  <c r="M72" i="9"/>
  <c r="E72" i="9"/>
  <c r="F72" i="9" s="1"/>
  <c r="G72" i="9" s="1"/>
  <c r="H72" i="9" s="1"/>
  <c r="I71" i="9"/>
  <c r="J71" i="9"/>
  <c r="K71" i="9"/>
  <c r="L71" i="9"/>
  <c r="M71" i="9"/>
  <c r="E71" i="9"/>
  <c r="F71" i="9" s="1"/>
  <c r="G71" i="9" s="1"/>
  <c r="H71" i="9" s="1"/>
  <c r="E7" i="8" l="1"/>
  <c r="F7" i="8" s="1"/>
  <c r="G7" i="8" s="1"/>
  <c r="H7" i="8" s="1"/>
  <c r="E88" i="9" l="1"/>
  <c r="F88" i="9" s="1"/>
  <c r="G88" i="9" s="1"/>
  <c r="H88" i="9" s="1"/>
  <c r="I88" i="9" s="1"/>
  <c r="J88" i="9"/>
  <c r="K88" i="9"/>
  <c r="L88" i="9"/>
  <c r="M88" i="9"/>
  <c r="E89" i="9"/>
  <c r="F89" i="9" s="1"/>
  <c r="J89" i="9"/>
  <c r="K89" i="9"/>
  <c r="L89" i="9"/>
  <c r="M89" i="9"/>
  <c r="E90" i="9"/>
  <c r="F90" i="9" s="1"/>
  <c r="J90" i="9"/>
  <c r="K90" i="9"/>
  <c r="L90" i="9"/>
  <c r="M90" i="9"/>
  <c r="E91" i="9"/>
  <c r="J91" i="9"/>
  <c r="K91" i="9"/>
  <c r="L91" i="9"/>
  <c r="M91" i="9"/>
  <c r="E92" i="9"/>
  <c r="F92" i="9" s="1"/>
  <c r="J92" i="9"/>
  <c r="K92" i="9"/>
  <c r="L92" i="9"/>
  <c r="M92" i="9"/>
  <c r="E84" i="9"/>
  <c r="F84" i="9" s="1"/>
  <c r="G84" i="9" s="1"/>
  <c r="J84" i="9"/>
  <c r="K84" i="9"/>
  <c r="L84" i="9"/>
  <c r="M84" i="9"/>
  <c r="E83" i="9"/>
  <c r="F83" i="9" s="1"/>
  <c r="J83" i="9"/>
  <c r="K83" i="9"/>
  <c r="L83" i="9"/>
  <c r="M83" i="9"/>
  <c r="E79" i="9"/>
  <c r="F79" i="9" s="1"/>
  <c r="G79" i="9" s="1"/>
  <c r="H79" i="9" s="1"/>
  <c r="I79" i="9" s="1"/>
  <c r="J79" i="9"/>
  <c r="K79" i="9"/>
  <c r="L79" i="9"/>
  <c r="M79" i="9"/>
  <c r="E80" i="9"/>
  <c r="F80" i="9" s="1"/>
  <c r="G80" i="9" s="1"/>
  <c r="H80" i="9" s="1"/>
  <c r="I80" i="9" s="1"/>
  <c r="J80" i="9"/>
  <c r="K80" i="9"/>
  <c r="L80" i="9"/>
  <c r="M80" i="9"/>
  <c r="E78" i="9"/>
  <c r="F78" i="9" s="1"/>
  <c r="G78" i="9" s="1"/>
  <c r="H78" i="9" s="1"/>
  <c r="I78" i="9"/>
  <c r="J78" i="9"/>
  <c r="K78" i="9"/>
  <c r="L78" i="9"/>
  <c r="M78" i="9"/>
  <c r="C7" i="24"/>
  <c r="F6" i="24" s="1"/>
  <c r="G30" i="24" s="1"/>
  <c r="F7" i="11"/>
  <c r="F42" i="11" s="1"/>
  <c r="F43" i="11" s="1"/>
  <c r="E7" i="11"/>
  <c r="C11" i="24"/>
  <c r="J7" i="24" s="1"/>
  <c r="F8" i="11"/>
  <c r="F50" i="11" s="1"/>
  <c r="E8" i="11"/>
  <c r="C15" i="24"/>
  <c r="J8" i="24" s="1"/>
  <c r="F9" i="11"/>
  <c r="E58" i="11" s="1"/>
  <c r="E9" i="11"/>
  <c r="C19" i="24"/>
  <c r="F9" i="24" s="1"/>
  <c r="F10" i="11"/>
  <c r="F66" i="11" s="1"/>
  <c r="F67" i="11" s="1"/>
  <c r="E10" i="11"/>
  <c r="I9" i="24"/>
  <c r="I46" i="24" s="1"/>
  <c r="K9" i="24"/>
  <c r="K19" i="24" s="1"/>
  <c r="L7" i="24"/>
  <c r="L44" i="24" s="1"/>
  <c r="L9" i="24"/>
  <c r="M58" i="24" s="1"/>
  <c r="N9" i="24"/>
  <c r="N46" i="24" s="1"/>
  <c r="N87" i="9"/>
  <c r="N86" i="9"/>
  <c r="N85" i="9"/>
  <c r="N82" i="9"/>
  <c r="N81" i="9"/>
  <c r="H15" i="46"/>
  <c r="H13" i="46"/>
  <c r="H8" i="46"/>
  <c r="J13" i="42"/>
  <c r="I15" i="42"/>
  <c r="I8" i="42"/>
  <c r="I11" i="42" s="1"/>
  <c r="H14" i="41"/>
  <c r="I12" i="41"/>
  <c r="H8" i="41"/>
  <c r="D9" i="8"/>
  <c r="D16" i="8"/>
  <c r="D23" i="8"/>
  <c r="D14" i="9"/>
  <c r="D16" i="9" s="1"/>
  <c r="D18" i="9" s="1"/>
  <c r="D21" i="9"/>
  <c r="D23" i="9" s="1"/>
  <c r="D25" i="9" s="1"/>
  <c r="D28" i="9"/>
  <c r="D47" i="9" s="1"/>
  <c r="D49" i="9" s="1"/>
  <c r="D30" i="9"/>
  <c r="D32" i="9" s="1"/>
  <c r="D42" i="9"/>
  <c r="D44" i="9" s="1"/>
  <c r="C109" i="18"/>
  <c r="C110" i="18"/>
  <c r="E16" i="8"/>
  <c r="E23" i="8"/>
  <c r="E14" i="9"/>
  <c r="E37" i="9" s="1"/>
  <c r="E15" i="9"/>
  <c r="F15" i="9" s="1"/>
  <c r="E17" i="9"/>
  <c r="F17" i="9" s="1"/>
  <c r="E21" i="9"/>
  <c r="E22" i="9"/>
  <c r="F22" i="9" s="1"/>
  <c r="E24" i="9"/>
  <c r="F24" i="9" s="1"/>
  <c r="E28" i="9"/>
  <c r="E47" i="9" s="1"/>
  <c r="E29" i="9"/>
  <c r="F29" i="9" s="1"/>
  <c r="E31" i="9"/>
  <c r="F31" i="9" s="1"/>
  <c r="E38" i="9"/>
  <c r="F38" i="9" s="1"/>
  <c r="G38" i="9" s="1"/>
  <c r="H38" i="9" s="1"/>
  <c r="I38" i="9" s="1"/>
  <c r="J38" i="9" s="1"/>
  <c r="K38" i="9" s="1"/>
  <c r="L38" i="9" s="1"/>
  <c r="M38" i="9" s="1"/>
  <c r="I14" i="9"/>
  <c r="E43" i="9"/>
  <c r="F43" i="9" s="1"/>
  <c r="E48" i="9"/>
  <c r="F48" i="9" s="1"/>
  <c r="G48" i="9" s="1"/>
  <c r="H48" i="9" s="1"/>
  <c r="I48" i="9" s="1"/>
  <c r="J48" i="9" s="1"/>
  <c r="E55" i="9"/>
  <c r="F55" i="9" s="1"/>
  <c r="C98" i="18"/>
  <c r="F16" i="8"/>
  <c r="F23" i="8"/>
  <c r="F21" i="9"/>
  <c r="F28" i="9"/>
  <c r="F47" i="9"/>
  <c r="G16" i="8"/>
  <c r="G23" i="8"/>
  <c r="G21" i="9"/>
  <c r="G28" i="9"/>
  <c r="G47" i="9" s="1"/>
  <c r="G42" i="9"/>
  <c r="H16" i="8"/>
  <c r="H23" i="8"/>
  <c r="H21" i="9"/>
  <c r="H28" i="9"/>
  <c r="H42" i="9"/>
  <c r="I16" i="8"/>
  <c r="I23" i="8"/>
  <c r="I21" i="9"/>
  <c r="I28" i="9"/>
  <c r="J9" i="8"/>
  <c r="J27" i="8" s="1"/>
  <c r="Z5" i="19" s="1"/>
  <c r="J16" i="8"/>
  <c r="J23" i="8"/>
  <c r="J14" i="9"/>
  <c r="J15" i="9"/>
  <c r="J16" i="9" s="1"/>
  <c r="J21" i="9"/>
  <c r="J22" i="9"/>
  <c r="M21" i="9"/>
  <c r="M22" i="9"/>
  <c r="M23" i="9" s="1"/>
  <c r="J28" i="9"/>
  <c r="J29" i="9"/>
  <c r="J47" i="9"/>
  <c r="J55" i="9"/>
  <c r="K9" i="8"/>
  <c r="K27" i="8" s="1"/>
  <c r="K16" i="8"/>
  <c r="K23" i="8"/>
  <c r="K14" i="9"/>
  <c r="K15" i="9"/>
  <c r="K21" i="9"/>
  <c r="K22" i="9"/>
  <c r="K23" i="9" s="1"/>
  <c r="K28" i="9"/>
  <c r="K47" i="9" s="1"/>
  <c r="K29" i="9"/>
  <c r="K30" i="9" s="1"/>
  <c r="K42" i="9"/>
  <c r="K55" i="9"/>
  <c r="L9" i="8"/>
  <c r="L27" i="8" s="1"/>
  <c r="L16" i="8"/>
  <c r="L23" i="8"/>
  <c r="L14" i="9"/>
  <c r="L15" i="9"/>
  <c r="L16" i="9" s="1"/>
  <c r="L21" i="9"/>
  <c r="L42" i="9" s="1"/>
  <c r="L22" i="9"/>
  <c r="L23" i="9" s="1"/>
  <c r="L28" i="9"/>
  <c r="L29" i="9"/>
  <c r="L37" i="9"/>
  <c r="L55" i="9"/>
  <c r="M9" i="8"/>
  <c r="M27" i="8" s="1"/>
  <c r="M16" i="8"/>
  <c r="M23" i="8"/>
  <c r="M14" i="9"/>
  <c r="M15" i="9"/>
  <c r="M16" i="9" s="1"/>
  <c r="M42" i="9"/>
  <c r="M28" i="9"/>
  <c r="M29" i="9"/>
  <c r="M37" i="9"/>
  <c r="M55" i="9"/>
  <c r="E109" i="41"/>
  <c r="F109" i="41"/>
  <c r="O7" i="24"/>
  <c r="O44" i="24" s="1"/>
  <c r="O9" i="24"/>
  <c r="O46" i="24" s="1"/>
  <c r="C64" i="24"/>
  <c r="I64" i="24" s="1"/>
  <c r="C65" i="24"/>
  <c r="J65" i="24" s="1"/>
  <c r="N26" i="10"/>
  <c r="M136" i="15" s="1"/>
  <c r="G3" i="10"/>
  <c r="E13" i="11"/>
  <c r="E15" i="11" s="1"/>
  <c r="D23" i="10" s="1"/>
  <c r="C122" i="45" s="1"/>
  <c r="E14" i="11"/>
  <c r="F35" i="24" s="1"/>
  <c r="G35" i="24" s="1"/>
  <c r="H35" i="24" s="1"/>
  <c r="I35" i="24" s="1"/>
  <c r="J35" i="24" s="1"/>
  <c r="K35" i="24" s="1"/>
  <c r="L35" i="24" s="1"/>
  <c r="F65" i="24"/>
  <c r="F70" i="24" s="1"/>
  <c r="H65" i="24"/>
  <c r="H70" i="24" s="1"/>
  <c r="G42" i="11"/>
  <c r="G43" i="11"/>
  <c r="H42" i="11"/>
  <c r="H43" i="11" s="1"/>
  <c r="J43" i="11"/>
  <c r="J42" i="11"/>
  <c r="G47" i="10"/>
  <c r="G46" i="10"/>
  <c r="G4" i="10"/>
  <c r="P17" i="24"/>
  <c r="J46" i="10"/>
  <c r="J47" i="10"/>
  <c r="P18" i="24"/>
  <c r="M46" i="10"/>
  <c r="M47" i="10"/>
  <c r="L19" i="24"/>
  <c r="N19" i="24"/>
  <c r="P19" i="24"/>
  <c r="D57" i="10"/>
  <c r="D59" i="10"/>
  <c r="P20" i="24"/>
  <c r="O83" i="25" s="1"/>
  <c r="P21" i="24"/>
  <c r="F21" i="24"/>
  <c r="D47" i="10"/>
  <c r="D46" i="10"/>
  <c r="P16" i="24"/>
  <c r="G58" i="10"/>
  <c r="D58" i="10"/>
  <c r="G67" i="11"/>
  <c r="H67" i="11"/>
  <c r="I67" i="11"/>
  <c r="J67" i="11"/>
  <c r="K67" i="11"/>
  <c r="L67" i="11"/>
  <c r="M67" i="11"/>
  <c r="N67" i="11"/>
  <c r="O67" i="11"/>
  <c r="K59" i="11"/>
  <c r="L59" i="11"/>
  <c r="M59" i="11"/>
  <c r="N59" i="11"/>
  <c r="O59" i="11"/>
  <c r="K51" i="11"/>
  <c r="L51" i="11"/>
  <c r="M51" i="11"/>
  <c r="N51" i="11"/>
  <c r="O51" i="11"/>
  <c r="K43" i="11"/>
  <c r="L43" i="11"/>
  <c r="M43" i="11"/>
  <c r="N43" i="11"/>
  <c r="O43" i="11"/>
  <c r="E17" i="11"/>
  <c r="E18" i="11" s="1"/>
  <c r="D26" i="10" s="1"/>
  <c r="C136" i="45" s="1"/>
  <c r="D10" i="10"/>
  <c r="D12" i="10"/>
  <c r="D14" i="10" s="1"/>
  <c r="D17" i="10" s="1"/>
  <c r="D19" i="10" s="1"/>
  <c r="L16" i="18"/>
  <c r="H6" i="41"/>
  <c r="B116" i="41" s="1"/>
  <c r="C14" i="24"/>
  <c r="K57" i="24" s="1"/>
  <c r="C18" i="24"/>
  <c r="E26" i="10"/>
  <c r="D136" i="15" s="1"/>
  <c r="G5" i="10"/>
  <c r="E16" i="10" s="1"/>
  <c r="E170" i="30" s="1"/>
  <c r="E30" i="10"/>
  <c r="M16" i="18" s="1"/>
  <c r="F26" i="10"/>
  <c r="E136" i="15" s="1"/>
  <c r="F30" i="10"/>
  <c r="N16" i="18" s="1"/>
  <c r="G26" i="10"/>
  <c r="F136" i="45" s="1"/>
  <c r="G30" i="10"/>
  <c r="O16" i="18" s="1"/>
  <c r="H26" i="10"/>
  <c r="G136" i="15" s="1"/>
  <c r="H30" i="10"/>
  <c r="P16" i="18" s="1"/>
  <c r="I26" i="10"/>
  <c r="H136" i="15" s="1"/>
  <c r="I30" i="10"/>
  <c r="Q16" i="18" s="1"/>
  <c r="J26" i="10"/>
  <c r="I136" i="45" s="1"/>
  <c r="J30" i="10"/>
  <c r="R16" i="18" s="1"/>
  <c r="C93" i="18"/>
  <c r="K26" i="10"/>
  <c r="J136" i="15" s="1"/>
  <c r="K30" i="10"/>
  <c r="S16" i="18"/>
  <c r="L26" i="10"/>
  <c r="K135" i="43" s="1"/>
  <c r="L30" i="10"/>
  <c r="T16" i="18" s="1"/>
  <c r="M26" i="10"/>
  <c r="L136" i="45" s="1"/>
  <c r="M30" i="10"/>
  <c r="U16" i="18" s="1"/>
  <c r="N30" i="10"/>
  <c r="V16" i="18" s="1"/>
  <c r="O26" i="10"/>
  <c r="N136" i="15" s="1"/>
  <c r="L22" i="18"/>
  <c r="D6" i="2"/>
  <c r="D10" i="2" s="1"/>
  <c r="D7" i="2"/>
  <c r="D9" i="2" s="1"/>
  <c r="G7" i="11"/>
  <c r="G85" i="11" s="1"/>
  <c r="G8" i="11"/>
  <c r="G9" i="11"/>
  <c r="G10" i="11"/>
  <c r="K42" i="11"/>
  <c r="L42" i="11"/>
  <c r="B8" i="7"/>
  <c r="I11" i="7" s="1"/>
  <c r="I29" i="7" s="1"/>
  <c r="M42" i="11"/>
  <c r="N42" i="11"/>
  <c r="C15" i="7"/>
  <c r="F229" i="48"/>
  <c r="H229" i="48"/>
  <c r="J229" i="48" s="1"/>
  <c r="L229" i="48" s="1"/>
  <c r="L10" i="48"/>
  <c r="L6" i="48"/>
  <c r="B14" i="48"/>
  <c r="B15" i="48"/>
  <c r="F208" i="48"/>
  <c r="H208" i="48"/>
  <c r="J208" i="48" s="1"/>
  <c r="F187" i="48"/>
  <c r="H187" i="48"/>
  <c r="J187" i="48" s="1"/>
  <c r="B13" i="48"/>
  <c r="B12" i="48"/>
  <c r="F166" i="48"/>
  <c r="H166" i="48" s="1"/>
  <c r="J166" i="48" s="1"/>
  <c r="L166" i="48" s="1"/>
  <c r="N166" i="48" s="1"/>
  <c r="P166" i="48" s="1"/>
  <c r="F145" i="48"/>
  <c r="H145" i="48" s="1"/>
  <c r="J145" i="48" s="1"/>
  <c r="L145" i="48" s="1"/>
  <c r="B11" i="48"/>
  <c r="F124" i="48"/>
  <c r="H124" i="48"/>
  <c r="J124" i="48" s="1"/>
  <c r="F103" i="48"/>
  <c r="H103" i="48" s="1"/>
  <c r="J103" i="48" s="1"/>
  <c r="B9" i="48"/>
  <c r="F82" i="48"/>
  <c r="H82" i="48" s="1"/>
  <c r="J82" i="48" s="1"/>
  <c r="L82" i="48" s="1"/>
  <c r="B8" i="48"/>
  <c r="F61" i="48"/>
  <c r="H61" i="48"/>
  <c r="B7" i="48"/>
  <c r="F40" i="48"/>
  <c r="B6" i="48"/>
  <c r="F19" i="48"/>
  <c r="H19" i="48" s="1"/>
  <c r="B5" i="48"/>
  <c r="W242" i="48"/>
  <c r="F20" i="46"/>
  <c r="H20" i="46"/>
  <c r="U242" i="48"/>
  <c r="S242" i="48"/>
  <c r="Q242" i="48"/>
  <c r="O242" i="48"/>
  <c r="M242" i="48"/>
  <c r="K242" i="48"/>
  <c r="I242" i="48"/>
  <c r="G242" i="48"/>
  <c r="E242" i="48"/>
  <c r="W221" i="48"/>
  <c r="U221" i="48"/>
  <c r="S221" i="48"/>
  <c r="Q221" i="48"/>
  <c r="O221" i="48"/>
  <c r="M221" i="48"/>
  <c r="K221" i="48"/>
  <c r="I221" i="48"/>
  <c r="G221" i="48"/>
  <c r="E221" i="48"/>
  <c r="W200" i="48"/>
  <c r="U200" i="48"/>
  <c r="S200" i="48"/>
  <c r="Q200" i="48"/>
  <c r="O200" i="48"/>
  <c r="M200" i="48"/>
  <c r="K200" i="48"/>
  <c r="I200" i="48"/>
  <c r="G200" i="48"/>
  <c r="E200" i="48"/>
  <c r="W179" i="48"/>
  <c r="U179" i="48"/>
  <c r="S179" i="48"/>
  <c r="Q179" i="48"/>
  <c r="O179" i="48"/>
  <c r="M179" i="48"/>
  <c r="K179" i="48"/>
  <c r="I179" i="48"/>
  <c r="G179" i="48"/>
  <c r="E179" i="48"/>
  <c r="W158" i="48"/>
  <c r="U158" i="48"/>
  <c r="S158" i="48"/>
  <c r="Q158" i="48"/>
  <c r="O158" i="48"/>
  <c r="M158" i="48"/>
  <c r="K158" i="48"/>
  <c r="I158" i="48"/>
  <c r="G158" i="48"/>
  <c r="E158" i="48"/>
  <c r="W137" i="48"/>
  <c r="U137" i="48"/>
  <c r="S137" i="48"/>
  <c r="Q137" i="48"/>
  <c r="O137" i="48"/>
  <c r="M137" i="48"/>
  <c r="K137" i="48"/>
  <c r="I137" i="48"/>
  <c r="G137" i="48"/>
  <c r="E137" i="48"/>
  <c r="W116" i="48"/>
  <c r="U116" i="48"/>
  <c r="S116" i="48"/>
  <c r="Q116" i="48"/>
  <c r="O116" i="48"/>
  <c r="M116" i="48"/>
  <c r="K116" i="48"/>
  <c r="I116" i="48"/>
  <c r="G116" i="48"/>
  <c r="E116" i="48"/>
  <c r="W95" i="48"/>
  <c r="U95" i="48"/>
  <c r="S95" i="48"/>
  <c r="Q95" i="48"/>
  <c r="O95" i="48"/>
  <c r="M95" i="48"/>
  <c r="K95" i="48"/>
  <c r="I95" i="48"/>
  <c r="G95" i="48"/>
  <c r="E95" i="48"/>
  <c r="W74" i="48"/>
  <c r="U74" i="48"/>
  <c r="S74" i="48"/>
  <c r="Q74" i="48"/>
  <c r="O74" i="48"/>
  <c r="M74" i="48"/>
  <c r="K74" i="48"/>
  <c r="I74" i="48"/>
  <c r="G74" i="48"/>
  <c r="E74" i="48"/>
  <c r="W53" i="48"/>
  <c r="U53" i="48"/>
  <c r="S53" i="48"/>
  <c r="Q53" i="48"/>
  <c r="O53" i="48"/>
  <c r="M53" i="48"/>
  <c r="K53" i="48"/>
  <c r="I53" i="48"/>
  <c r="G53" i="48"/>
  <c r="E53" i="48"/>
  <c r="E32" i="48"/>
  <c r="G32" i="48"/>
  <c r="I32" i="48"/>
  <c r="K32" i="48"/>
  <c r="M32" i="48"/>
  <c r="O32" i="48"/>
  <c r="Q32" i="48"/>
  <c r="S32" i="48"/>
  <c r="U32" i="48"/>
  <c r="W32" i="48"/>
  <c r="I6" i="42"/>
  <c r="E12" i="42" s="1"/>
  <c r="B14" i="42"/>
  <c r="B15" i="42"/>
  <c r="E15" i="42" s="1"/>
  <c r="E200" i="42"/>
  <c r="E182" i="42"/>
  <c r="B13" i="42"/>
  <c r="E13" i="42" s="1"/>
  <c r="E164" i="42"/>
  <c r="B12" i="42"/>
  <c r="E146" i="42"/>
  <c r="B11" i="42"/>
  <c r="E11" i="42" s="1"/>
  <c r="E128" i="42"/>
  <c r="F128" i="42"/>
  <c r="G128" i="42" s="1"/>
  <c r="B6" i="42"/>
  <c r="E6" i="42"/>
  <c r="E38" i="42"/>
  <c r="F38" i="42"/>
  <c r="G38" i="42" s="1"/>
  <c r="E110" i="42"/>
  <c r="E10" i="42"/>
  <c r="F110" i="42"/>
  <c r="G110" i="42"/>
  <c r="H110" i="42" s="1"/>
  <c r="I110" i="42" s="1"/>
  <c r="B9" i="42"/>
  <c r="E92" i="42"/>
  <c r="F92" i="42" s="1"/>
  <c r="E9" i="42"/>
  <c r="B8" i="42"/>
  <c r="E8" i="42"/>
  <c r="E74" i="42"/>
  <c r="F74" i="42" s="1"/>
  <c r="G74" i="42"/>
  <c r="B7" i="42"/>
  <c r="E7" i="42" s="1"/>
  <c r="E56" i="42"/>
  <c r="F56" i="42" s="1"/>
  <c r="B5" i="42"/>
  <c r="E5" i="42" s="1"/>
  <c r="E20" i="42"/>
  <c r="E199" i="41"/>
  <c r="F199" i="41" s="1"/>
  <c r="G199" i="41" s="1"/>
  <c r="E181" i="41"/>
  <c r="F181" i="41"/>
  <c r="G181" i="41" s="1"/>
  <c r="E163" i="41"/>
  <c r="E145" i="41"/>
  <c r="F145" i="41" s="1"/>
  <c r="E127" i="41"/>
  <c r="E91" i="41"/>
  <c r="E73" i="41"/>
  <c r="E55" i="41"/>
  <c r="E37" i="41"/>
  <c r="E19" i="41"/>
  <c r="H6" i="46"/>
  <c r="F41" i="46"/>
  <c r="H41" i="46"/>
  <c r="F62" i="46"/>
  <c r="H62" i="46"/>
  <c r="J62" i="46" s="1"/>
  <c r="L62" i="46" s="1"/>
  <c r="F83" i="46"/>
  <c r="H83" i="46" s="1"/>
  <c r="F104" i="46"/>
  <c r="F125" i="46"/>
  <c r="H125" i="46" s="1"/>
  <c r="F146" i="46"/>
  <c r="H146" i="46"/>
  <c r="J146" i="46"/>
  <c r="L146" i="46" s="1"/>
  <c r="F167" i="46"/>
  <c r="H167" i="46" s="1"/>
  <c r="F188" i="46"/>
  <c r="H188" i="46"/>
  <c r="J188" i="46" s="1"/>
  <c r="L188" i="46" s="1"/>
  <c r="F209" i="46"/>
  <c r="F230" i="46"/>
  <c r="H230" i="46"/>
  <c r="J230" i="46"/>
  <c r="L230" i="46" s="1"/>
  <c r="N77" i="46"/>
  <c r="D77" i="46"/>
  <c r="B158" i="17"/>
  <c r="C122" i="15"/>
  <c r="C136" i="15"/>
  <c r="C161" i="15"/>
  <c r="C6" i="24"/>
  <c r="C10" i="24"/>
  <c r="K56" i="24" s="1"/>
  <c r="F136" i="15"/>
  <c r="G161" i="15"/>
  <c r="I136" i="15"/>
  <c r="J161" i="15"/>
  <c r="C161" i="45"/>
  <c r="G161" i="45"/>
  <c r="J161" i="45"/>
  <c r="M161" i="45"/>
  <c r="D36" i="10"/>
  <c r="D48" i="10"/>
  <c r="G48" i="10"/>
  <c r="J48" i="10"/>
  <c r="M48" i="10"/>
  <c r="G57" i="10"/>
  <c r="G60" i="10" s="1"/>
  <c r="G59" i="10"/>
  <c r="B15" i="10"/>
  <c r="B16" i="10" s="1"/>
  <c r="B17" i="10" s="1"/>
  <c r="B31" i="35" s="1"/>
  <c r="B28" i="10"/>
  <c r="B30" i="10"/>
  <c r="B31" i="10"/>
  <c r="B32" i="10" s="1"/>
  <c r="C209" i="16"/>
  <c r="C49" i="16"/>
  <c r="C69" i="16"/>
  <c r="C89" i="16"/>
  <c r="C109" i="16"/>
  <c r="C129" i="16"/>
  <c r="C149" i="16"/>
  <c r="C169" i="16"/>
  <c r="C167" i="16"/>
  <c r="C189" i="16"/>
  <c r="C29" i="16"/>
  <c r="C8" i="16"/>
  <c r="C28" i="16"/>
  <c r="C208" i="16"/>
  <c r="C188" i="16"/>
  <c r="C168" i="16"/>
  <c r="C148" i="16"/>
  <c r="C150" i="16" s="1"/>
  <c r="C147" i="16"/>
  <c r="C151" i="16" s="1"/>
  <c r="C128" i="16"/>
  <c r="C108" i="16"/>
  <c r="C110" i="16" s="1"/>
  <c r="C88" i="16"/>
  <c r="C68" i="16"/>
  <c r="C67" i="16"/>
  <c r="C48" i="16"/>
  <c r="C7" i="16"/>
  <c r="C9" i="16" s="1"/>
  <c r="C27" i="16"/>
  <c r="C207" i="16"/>
  <c r="C187" i="16"/>
  <c r="C87" i="16"/>
  <c r="C91" i="16" s="1"/>
  <c r="C47" i="16"/>
  <c r="C6" i="16"/>
  <c r="C10" i="16" s="1"/>
  <c r="F33" i="22"/>
  <c r="AJ23" i="22"/>
  <c r="AG23" i="22"/>
  <c r="AD23" i="22"/>
  <c r="AA23" i="22"/>
  <c r="X23" i="22"/>
  <c r="U23" i="22"/>
  <c r="R23" i="22"/>
  <c r="O23" i="22"/>
  <c r="L23" i="22"/>
  <c r="F23" i="22"/>
  <c r="I23" i="22"/>
  <c r="E5" i="22"/>
  <c r="E6" i="22" s="1"/>
  <c r="F30" i="24"/>
  <c r="F33" i="24"/>
  <c r="AC5" i="19"/>
  <c r="AI5" i="19"/>
  <c r="C76" i="18"/>
  <c r="C77" i="18" s="1"/>
  <c r="C125" i="18"/>
  <c r="C111" i="18"/>
  <c r="C122" i="18" s="1"/>
  <c r="C124" i="18"/>
  <c r="C105" i="18"/>
  <c r="C106" i="18" s="1"/>
  <c r="M9" i="18"/>
  <c r="C104" i="18"/>
  <c r="C91" i="18"/>
  <c r="O15" i="8"/>
  <c r="E80" i="18" s="1"/>
  <c r="O16" i="8"/>
  <c r="K51" i="18" s="1"/>
  <c r="N14" i="8"/>
  <c r="O14" i="8" s="1"/>
  <c r="N21" i="8"/>
  <c r="O21" i="8"/>
  <c r="O23" i="8"/>
  <c r="K52" i="18" s="1"/>
  <c r="O22" i="8"/>
  <c r="D81" i="18" s="1"/>
  <c r="E42" i="9"/>
  <c r="F42" i="9"/>
  <c r="H47" i="9"/>
  <c r="I42" i="9"/>
  <c r="J37" i="9"/>
  <c r="J39" i="9"/>
  <c r="J42" i="9"/>
  <c r="J54" i="9" s="1"/>
  <c r="J23" i="9"/>
  <c r="K37" i="9"/>
  <c r="K54" i="9"/>
  <c r="K16" i="9"/>
  <c r="L39" i="9"/>
  <c r="L47" i="9"/>
  <c r="L54" i="9" s="1"/>
  <c r="L30" i="9"/>
  <c r="M39" i="9"/>
  <c r="G66" i="11"/>
  <c r="I66" i="11"/>
  <c r="I69" i="11" s="1"/>
  <c r="L58" i="11"/>
  <c r="L61" i="11" s="1"/>
  <c r="M13" i="24" s="1"/>
  <c r="L66" i="11"/>
  <c r="L69" i="11" s="1"/>
  <c r="M14" i="24" s="1"/>
  <c r="M66" i="11"/>
  <c r="M65" i="11" s="1"/>
  <c r="N66" i="11"/>
  <c r="N69" i="11" s="1"/>
  <c r="O58" i="11"/>
  <c r="O61" i="11" s="1"/>
  <c r="O42" i="11"/>
  <c r="P37" i="11"/>
  <c r="P36" i="11"/>
  <c r="P35" i="11"/>
  <c r="P34" i="11"/>
  <c r="P33" i="11"/>
  <c r="P32" i="11"/>
  <c r="E85" i="11"/>
  <c r="E86" i="11" s="1"/>
  <c r="E109" i="11"/>
  <c r="E110" i="11" s="1"/>
  <c r="F85" i="11"/>
  <c r="H7" i="11"/>
  <c r="E83" i="11"/>
  <c r="E107" i="11"/>
  <c r="G109" i="11"/>
  <c r="E27" i="11"/>
  <c r="C14" i="11"/>
  <c r="C13" i="11"/>
  <c r="C10" i="11"/>
  <c r="C9" i="11"/>
  <c r="C8" i="11"/>
  <c r="C7" i="11"/>
  <c r="N65" i="11"/>
  <c r="F84" i="11"/>
  <c r="G84" i="11"/>
  <c r="F108" i="11"/>
  <c r="G108" i="11"/>
  <c r="E108" i="11"/>
  <c r="E100" i="11"/>
  <c r="E84" i="11"/>
  <c r="E41" i="11"/>
  <c r="P70" i="24"/>
  <c r="P69" i="24"/>
  <c r="P43" i="24"/>
  <c r="P44" i="24"/>
  <c r="P45" i="24"/>
  <c r="P46" i="24"/>
  <c r="E35" i="24"/>
  <c r="E34" i="24"/>
  <c r="J58" i="24"/>
  <c r="L58" i="24"/>
  <c r="M56" i="24"/>
  <c r="P56" i="24"/>
  <c r="M37" i="24"/>
  <c r="J37" i="24"/>
  <c r="Q5" i="7"/>
  <c r="E178" i="35"/>
  <c r="D3" i="35"/>
  <c r="F178" i="35"/>
  <c r="F321" i="35"/>
  <c r="F170" i="35"/>
  <c r="F229" i="35" s="1"/>
  <c r="F313" i="35"/>
  <c r="G178" i="35"/>
  <c r="G170" i="35"/>
  <c r="G257" i="35" s="1"/>
  <c r="H178" i="35"/>
  <c r="H170" i="35"/>
  <c r="H285" i="35" s="1"/>
  <c r="H313" i="35"/>
  <c r="I178" i="35"/>
  <c r="I170" i="35"/>
  <c r="I114" i="35" s="1"/>
  <c r="J178" i="35"/>
  <c r="J321" i="35"/>
  <c r="J160" i="35"/>
  <c r="J161" i="35"/>
  <c r="J170" i="35"/>
  <c r="J313" i="35"/>
  <c r="K178" i="35"/>
  <c r="K159" i="35"/>
  <c r="K302" i="35" s="1"/>
  <c r="K160" i="35"/>
  <c r="K275" i="35" s="1"/>
  <c r="K161" i="35"/>
  <c r="K162" i="35"/>
  <c r="K78" i="35" s="1"/>
  <c r="K170" i="35"/>
  <c r="K313" i="35" s="1"/>
  <c r="L178" i="35"/>
  <c r="L38" i="35"/>
  <c r="L159" i="35"/>
  <c r="L218" i="35" s="1"/>
  <c r="L160" i="35"/>
  <c r="L20" i="35" s="1"/>
  <c r="L161" i="35"/>
  <c r="L170" i="35"/>
  <c r="M178" i="35"/>
  <c r="M38" i="35" s="1"/>
  <c r="M321" i="35"/>
  <c r="M160" i="35"/>
  <c r="M303" i="35" s="1"/>
  <c r="M161" i="35"/>
  <c r="M170" i="35"/>
  <c r="M313" i="35"/>
  <c r="N178" i="35"/>
  <c r="N321" i="35" s="1"/>
  <c r="N159" i="35"/>
  <c r="N274" i="35" s="1"/>
  <c r="N160" i="35"/>
  <c r="N161" i="35"/>
  <c r="N170" i="35"/>
  <c r="N201" i="35" s="1"/>
  <c r="N313" i="35"/>
  <c r="D7" i="35"/>
  <c r="D174" i="35"/>
  <c r="D34" i="35" s="1"/>
  <c r="D179" i="35"/>
  <c r="D39" i="35"/>
  <c r="D172" i="35"/>
  <c r="D163" i="35"/>
  <c r="D162" i="35"/>
  <c r="D164" i="35"/>
  <c r="D52" i="35" s="1"/>
  <c r="D165" i="35"/>
  <c r="D167" i="35"/>
  <c r="D170" i="35"/>
  <c r="F285" i="35"/>
  <c r="F257" i="35"/>
  <c r="H257" i="35"/>
  <c r="I257" i="35"/>
  <c r="J257" i="35"/>
  <c r="M257" i="35"/>
  <c r="N257" i="35"/>
  <c r="H229" i="35"/>
  <c r="F201" i="35"/>
  <c r="H201" i="35"/>
  <c r="J201" i="35"/>
  <c r="L201" i="35"/>
  <c r="M201" i="35"/>
  <c r="F142" i="35"/>
  <c r="H142" i="35"/>
  <c r="F114" i="35"/>
  <c r="G114" i="35"/>
  <c r="J114" i="35"/>
  <c r="M114" i="35"/>
  <c r="N114" i="35"/>
  <c r="F86" i="35"/>
  <c r="F58" i="35"/>
  <c r="H58" i="35"/>
  <c r="J58" i="35"/>
  <c r="M58" i="35"/>
  <c r="N58" i="35"/>
  <c r="F30" i="35"/>
  <c r="H30" i="35"/>
  <c r="P183" i="35"/>
  <c r="D158" i="35"/>
  <c r="O107" i="35"/>
  <c r="G38" i="35"/>
  <c r="H38" i="35"/>
  <c r="I38" i="35"/>
  <c r="J21" i="35"/>
  <c r="K21" i="35"/>
  <c r="L21" i="35"/>
  <c r="M21" i="35"/>
  <c r="J20" i="35"/>
  <c r="K20" i="35"/>
  <c r="M20" i="35"/>
  <c r="N20" i="35"/>
  <c r="G321" i="35"/>
  <c r="H321" i="35"/>
  <c r="I321" i="35"/>
  <c r="K304" i="35"/>
  <c r="L304" i="35"/>
  <c r="M304" i="35"/>
  <c r="J303" i="35"/>
  <c r="K303" i="35"/>
  <c r="L303" i="35"/>
  <c r="N303" i="35"/>
  <c r="L302" i="35"/>
  <c r="G293" i="35"/>
  <c r="H293" i="35"/>
  <c r="I293" i="35"/>
  <c r="M293" i="35"/>
  <c r="J276" i="35"/>
  <c r="K276" i="35"/>
  <c r="L276" i="35"/>
  <c r="M276" i="35"/>
  <c r="J275" i="35"/>
  <c r="L275" i="35"/>
  <c r="M275" i="35"/>
  <c r="N275" i="35"/>
  <c r="K274" i="35"/>
  <c r="L274" i="35"/>
  <c r="G265" i="35"/>
  <c r="H265" i="35"/>
  <c r="I265" i="35"/>
  <c r="M265" i="35"/>
  <c r="J248" i="35"/>
  <c r="K248" i="35"/>
  <c r="L248" i="35"/>
  <c r="M248" i="35"/>
  <c r="J247" i="35"/>
  <c r="L247" i="35"/>
  <c r="M247" i="35"/>
  <c r="N247" i="35"/>
  <c r="K246" i="35"/>
  <c r="L246" i="35"/>
  <c r="E237" i="35"/>
  <c r="G237" i="35"/>
  <c r="H237" i="35"/>
  <c r="I237" i="35"/>
  <c r="M237" i="35"/>
  <c r="J220" i="35"/>
  <c r="K220" i="35"/>
  <c r="L220" i="35"/>
  <c r="M220" i="35"/>
  <c r="J219" i="35"/>
  <c r="K219" i="35"/>
  <c r="L219" i="35"/>
  <c r="M219" i="35"/>
  <c r="N219" i="35"/>
  <c r="K218" i="35"/>
  <c r="N218" i="35"/>
  <c r="G209" i="35"/>
  <c r="H209" i="35"/>
  <c r="I209" i="35"/>
  <c r="K209" i="35"/>
  <c r="M209" i="35"/>
  <c r="J192" i="35"/>
  <c r="K192" i="35"/>
  <c r="L192" i="35"/>
  <c r="M192" i="35"/>
  <c r="J191" i="35"/>
  <c r="K191" i="35"/>
  <c r="L191" i="35"/>
  <c r="M191" i="35"/>
  <c r="N191" i="35"/>
  <c r="K190" i="35"/>
  <c r="L190" i="35"/>
  <c r="F150" i="35"/>
  <c r="G150" i="35"/>
  <c r="H150" i="35"/>
  <c r="I150" i="35"/>
  <c r="M150" i="35"/>
  <c r="J133" i="35"/>
  <c r="K133" i="35"/>
  <c r="L133" i="35"/>
  <c r="M133" i="35"/>
  <c r="J132" i="35"/>
  <c r="K132" i="35"/>
  <c r="L132" i="35"/>
  <c r="M132" i="35"/>
  <c r="N132" i="35"/>
  <c r="E122" i="35"/>
  <c r="F122" i="35"/>
  <c r="G122" i="35"/>
  <c r="H122" i="35"/>
  <c r="I122" i="35"/>
  <c r="L122" i="35"/>
  <c r="M122" i="35"/>
  <c r="J105" i="35"/>
  <c r="K105" i="35"/>
  <c r="L105" i="35"/>
  <c r="M105" i="35"/>
  <c r="J104" i="35"/>
  <c r="K104" i="35"/>
  <c r="L104" i="35"/>
  <c r="M104" i="35"/>
  <c r="N104" i="35"/>
  <c r="K103" i="35"/>
  <c r="L103" i="35"/>
  <c r="N103" i="35"/>
  <c r="E94" i="35"/>
  <c r="F94" i="35"/>
  <c r="G94" i="35"/>
  <c r="H94" i="35"/>
  <c r="I94" i="35"/>
  <c r="L94" i="35"/>
  <c r="M94" i="35"/>
  <c r="N94" i="35"/>
  <c r="J77" i="35"/>
  <c r="K77" i="35"/>
  <c r="L77" i="35"/>
  <c r="M77" i="35"/>
  <c r="J76" i="35"/>
  <c r="K76" i="35"/>
  <c r="L76" i="35"/>
  <c r="M76" i="35"/>
  <c r="N76" i="35"/>
  <c r="L75" i="35"/>
  <c r="F66" i="35"/>
  <c r="G66" i="35"/>
  <c r="H66" i="35"/>
  <c r="I66" i="35"/>
  <c r="K66" i="35"/>
  <c r="L66" i="35"/>
  <c r="M66" i="35"/>
  <c r="N66" i="35"/>
  <c r="J49" i="35"/>
  <c r="K49" i="35"/>
  <c r="L49" i="35"/>
  <c r="M49" i="35"/>
  <c r="J48" i="35"/>
  <c r="K48" i="35"/>
  <c r="L48" i="35"/>
  <c r="M48" i="35"/>
  <c r="N48" i="35"/>
  <c r="K47" i="35"/>
  <c r="L47" i="35"/>
  <c r="O23" i="35"/>
  <c r="D322" i="35"/>
  <c r="D317" i="35"/>
  <c r="D313" i="35"/>
  <c r="D310" i="35"/>
  <c r="D308" i="35"/>
  <c r="D306" i="35"/>
  <c r="D305" i="35"/>
  <c r="D304" i="35"/>
  <c r="D303" i="35"/>
  <c r="D302" i="35"/>
  <c r="D301" i="35"/>
  <c r="D294" i="35"/>
  <c r="D289" i="35"/>
  <c r="D282" i="35"/>
  <c r="D280" i="35"/>
  <c r="D279" i="35"/>
  <c r="D278" i="35"/>
  <c r="D277" i="35"/>
  <c r="D276" i="35"/>
  <c r="D275" i="35"/>
  <c r="D274" i="35"/>
  <c r="D273" i="35"/>
  <c r="D266" i="35"/>
  <c r="D261" i="35"/>
  <c r="D259" i="35"/>
  <c r="D257" i="35"/>
  <c r="D254" i="35"/>
  <c r="D252" i="35"/>
  <c r="D250" i="35"/>
  <c r="D249" i="35"/>
  <c r="D248" i="35"/>
  <c r="D247" i="35"/>
  <c r="D246" i="35"/>
  <c r="D245" i="35"/>
  <c r="D238" i="35"/>
  <c r="D233" i="35"/>
  <c r="D226" i="35"/>
  <c r="D224" i="35"/>
  <c r="D222" i="35"/>
  <c r="D221" i="35"/>
  <c r="D220" i="35"/>
  <c r="D219" i="35"/>
  <c r="D218" i="35"/>
  <c r="D217" i="35"/>
  <c r="D210" i="35"/>
  <c r="D205" i="35"/>
  <c r="D203" i="35"/>
  <c r="D201" i="35"/>
  <c r="D198" i="35"/>
  <c r="D196" i="35"/>
  <c r="D194" i="35"/>
  <c r="D193" i="35"/>
  <c r="D192" i="35"/>
  <c r="D191" i="35"/>
  <c r="D190" i="35"/>
  <c r="D189" i="35"/>
  <c r="R182" i="35"/>
  <c r="D151" i="35"/>
  <c r="D146" i="35"/>
  <c r="D139" i="35"/>
  <c r="D137" i="35"/>
  <c r="D135" i="35"/>
  <c r="D134" i="35"/>
  <c r="D133" i="35"/>
  <c r="D132" i="35"/>
  <c r="D131" i="35"/>
  <c r="D130" i="35"/>
  <c r="D123" i="35"/>
  <c r="D118" i="35"/>
  <c r="D116" i="35"/>
  <c r="D111" i="35"/>
  <c r="D109" i="35"/>
  <c r="D107" i="35"/>
  <c r="D106" i="35"/>
  <c r="D105" i="35"/>
  <c r="D104" i="35"/>
  <c r="D103" i="35"/>
  <c r="D102" i="35"/>
  <c r="D95" i="35"/>
  <c r="D90" i="35"/>
  <c r="D83" i="35"/>
  <c r="D81" i="35"/>
  <c r="D79" i="35"/>
  <c r="D78" i="35"/>
  <c r="D77" i="35"/>
  <c r="D76" i="35"/>
  <c r="D75" i="35"/>
  <c r="D74" i="35"/>
  <c r="D67" i="35"/>
  <c r="D62" i="35"/>
  <c r="D60" i="35"/>
  <c r="D55" i="35"/>
  <c r="D53" i="35"/>
  <c r="D51" i="35"/>
  <c r="D50" i="35"/>
  <c r="D49" i="35"/>
  <c r="D48" i="35"/>
  <c r="D47" i="35"/>
  <c r="D46" i="35"/>
  <c r="O42" i="35"/>
  <c r="C42" i="35"/>
  <c r="B42" i="35"/>
  <c r="C41" i="35"/>
  <c r="B41" i="35"/>
  <c r="C40" i="35"/>
  <c r="B40" i="35"/>
  <c r="C39" i="35"/>
  <c r="B39" i="35"/>
  <c r="O38" i="35"/>
  <c r="C38" i="35"/>
  <c r="B38" i="35"/>
  <c r="C37" i="35"/>
  <c r="B37" i="35"/>
  <c r="C36" i="35"/>
  <c r="B36" i="35"/>
  <c r="O35" i="35"/>
  <c r="C35" i="35"/>
  <c r="B35" i="35"/>
  <c r="O34" i="35"/>
  <c r="C34" i="35"/>
  <c r="B34" i="35"/>
  <c r="O33" i="35"/>
  <c r="C33" i="35"/>
  <c r="B33" i="35"/>
  <c r="O32" i="35"/>
  <c r="C32" i="35"/>
  <c r="B32" i="35"/>
  <c r="O31" i="35"/>
  <c r="C31" i="35"/>
  <c r="O30" i="35"/>
  <c r="C30" i="35"/>
  <c r="B30" i="35"/>
  <c r="O29" i="35"/>
  <c r="C29" i="35"/>
  <c r="B29" i="35"/>
  <c r="O28" i="35"/>
  <c r="C28" i="35"/>
  <c r="B28" i="35"/>
  <c r="O27" i="35"/>
  <c r="D27" i="35"/>
  <c r="C27" i="35"/>
  <c r="B27" i="35"/>
  <c r="O26" i="35"/>
  <c r="C26" i="35"/>
  <c r="B26" i="35"/>
  <c r="O25" i="35"/>
  <c r="D25" i="35"/>
  <c r="C25" i="35"/>
  <c r="B25" i="35"/>
  <c r="O24" i="35"/>
  <c r="C24" i="35"/>
  <c r="B24" i="35"/>
  <c r="D23" i="35"/>
  <c r="C23" i="35"/>
  <c r="B23" i="35"/>
  <c r="D22" i="35"/>
  <c r="D21" i="35"/>
  <c r="D20" i="35"/>
  <c r="D19" i="35"/>
  <c r="O18" i="35"/>
  <c r="D18" i="35"/>
  <c r="C18" i="35"/>
  <c r="P17" i="35"/>
  <c r="O17" i="35"/>
  <c r="N17" i="35"/>
  <c r="M17" i="35"/>
  <c r="L17" i="35"/>
  <c r="K17" i="35"/>
  <c r="J17" i="35"/>
  <c r="I17" i="35"/>
  <c r="H17" i="35"/>
  <c r="G17" i="35"/>
  <c r="F17" i="35"/>
  <c r="E17" i="35"/>
  <c r="C17" i="35"/>
  <c r="B17" i="35"/>
  <c r="D5" i="35"/>
  <c r="D4" i="35"/>
  <c r="E159" i="35"/>
  <c r="E246" i="35" s="1"/>
  <c r="E160" i="35"/>
  <c r="E48" i="35" s="1"/>
  <c r="E104" i="35"/>
  <c r="E132" i="35"/>
  <c r="E247" i="35"/>
  <c r="E275" i="35"/>
  <c r="E20" i="35"/>
  <c r="F160" i="35"/>
  <c r="F20" i="35" s="1"/>
  <c r="F275" i="35"/>
  <c r="G160" i="35"/>
  <c r="G48" i="35" s="1"/>
  <c r="H160" i="35"/>
  <c r="H104" i="35" s="1"/>
  <c r="H275" i="35"/>
  <c r="I160" i="35"/>
  <c r="I275" i="35" s="1"/>
  <c r="F247" i="35"/>
  <c r="F132" i="35"/>
  <c r="H132" i="35"/>
  <c r="I132" i="35"/>
  <c r="F104" i="35"/>
  <c r="H219" i="35"/>
  <c r="H191" i="35"/>
  <c r="I48" i="35"/>
  <c r="I76" i="35"/>
  <c r="I20" i="35"/>
  <c r="E161" i="35"/>
  <c r="E21" i="35" s="1"/>
  <c r="F161" i="35"/>
  <c r="F248" i="35"/>
  <c r="G161" i="35"/>
  <c r="G248" i="35" s="1"/>
  <c r="H161" i="35"/>
  <c r="H133" i="35" s="1"/>
  <c r="H248" i="35"/>
  <c r="I161" i="35"/>
  <c r="I248" i="35" s="1"/>
  <c r="F105" i="35"/>
  <c r="H105" i="35"/>
  <c r="I105" i="35"/>
  <c r="F77" i="35"/>
  <c r="F49" i="35"/>
  <c r="F133" i="35"/>
  <c r="F192" i="35"/>
  <c r="F276" i="35"/>
  <c r="F304" i="35"/>
  <c r="G21" i="35"/>
  <c r="I21" i="35"/>
  <c r="I192" i="35"/>
  <c r="I49" i="35"/>
  <c r="F180" i="35"/>
  <c r="F211" i="35" s="1"/>
  <c r="F40" i="35"/>
  <c r="G180" i="35"/>
  <c r="G40" i="35" s="1"/>
  <c r="H180" i="35"/>
  <c r="H323" i="35" s="1"/>
  <c r="K180" i="35"/>
  <c r="K40" i="35" s="1"/>
  <c r="L180" i="35"/>
  <c r="L124" i="35" s="1"/>
  <c r="E180" i="35"/>
  <c r="E40" i="35" s="1"/>
  <c r="F323" i="35"/>
  <c r="F295" i="35"/>
  <c r="F267" i="35"/>
  <c r="K239" i="35"/>
  <c r="F124" i="35"/>
  <c r="F68" i="35"/>
  <c r="O40" i="35"/>
  <c r="D177" i="35"/>
  <c r="D121" i="35" s="1"/>
  <c r="D180" i="35"/>
  <c r="D295" i="35" s="1"/>
  <c r="D177" i="37"/>
  <c r="D180" i="37"/>
  <c r="D182" i="37"/>
  <c r="D175" i="37"/>
  <c r="D165" i="37"/>
  <c r="D167" i="37" s="1"/>
  <c r="D169" i="37" s="1"/>
  <c r="D171" i="37" s="1"/>
  <c r="D166" i="37"/>
  <c r="D168" i="37"/>
  <c r="D170" i="37"/>
  <c r="D3" i="37"/>
  <c r="D173" i="37"/>
  <c r="E181" i="37"/>
  <c r="E183" i="37"/>
  <c r="E162" i="37"/>
  <c r="E193" i="37" s="1"/>
  <c r="E163" i="37"/>
  <c r="E164" i="37"/>
  <c r="N181" i="37"/>
  <c r="N183" i="37"/>
  <c r="N162" i="37"/>
  <c r="N163" i="37"/>
  <c r="N164" i="37"/>
  <c r="N165" i="37" s="1"/>
  <c r="M181" i="37"/>
  <c r="M162" i="37"/>
  <c r="M165" i="37" s="1"/>
  <c r="M163" i="37"/>
  <c r="M164" i="37"/>
  <c r="L181" i="37"/>
  <c r="L162" i="37"/>
  <c r="L165" i="37" s="1"/>
  <c r="L163" i="37"/>
  <c r="L164" i="37"/>
  <c r="K181" i="37"/>
  <c r="K183" i="37"/>
  <c r="K162" i="37"/>
  <c r="K165" i="37" s="1"/>
  <c r="K163" i="37"/>
  <c r="K164" i="37"/>
  <c r="G181" i="37"/>
  <c r="G183" i="37"/>
  <c r="G163" i="37"/>
  <c r="G164" i="37"/>
  <c r="H181" i="37"/>
  <c r="H183" i="37"/>
  <c r="H163" i="37"/>
  <c r="H164" i="37"/>
  <c r="J181" i="37"/>
  <c r="J183" i="37"/>
  <c r="J163" i="37"/>
  <c r="J164" i="37"/>
  <c r="F181" i="37"/>
  <c r="F183" i="37"/>
  <c r="F163" i="37"/>
  <c r="F164" i="37"/>
  <c r="I181" i="37"/>
  <c r="I163" i="37"/>
  <c r="I164" i="37"/>
  <c r="N66" i="9"/>
  <c r="N73" i="9"/>
  <c r="N70" i="9"/>
  <c r="A47" i="9"/>
  <c r="A42" i="9"/>
  <c r="A37" i="9"/>
  <c r="A28" i="9"/>
  <c r="A21" i="9"/>
  <c r="A14" i="9"/>
  <c r="O21" i="9"/>
  <c r="O28" i="9"/>
  <c r="O38" i="9"/>
  <c r="N28" i="9"/>
  <c r="N21" i="9"/>
  <c r="E1" i="19"/>
  <c r="AI20" i="19"/>
  <c r="AF20" i="19"/>
  <c r="AC20" i="19"/>
  <c r="Z20" i="19"/>
  <c r="W20" i="19"/>
  <c r="T20" i="19"/>
  <c r="Q20" i="19"/>
  <c r="N20" i="19"/>
  <c r="K20" i="19"/>
  <c r="O198" i="41"/>
  <c r="O180" i="41"/>
  <c r="O162" i="41"/>
  <c r="O144" i="41"/>
  <c r="O126" i="41"/>
  <c r="O108" i="41"/>
  <c r="O90" i="41"/>
  <c r="O72" i="41"/>
  <c r="O54" i="41"/>
  <c r="O36" i="41"/>
  <c r="O18" i="41"/>
  <c r="J12" i="41"/>
  <c r="F14" i="41"/>
  <c r="F8" i="41"/>
  <c r="F12" i="41"/>
  <c r="B5" i="41"/>
  <c r="B6" i="41"/>
  <c r="B7" i="41"/>
  <c r="B8" i="41"/>
  <c r="B9" i="41"/>
  <c r="B11" i="41"/>
  <c r="B12" i="41"/>
  <c r="B13" i="41"/>
  <c r="B14" i="41"/>
  <c r="B15" i="41"/>
  <c r="D4" i="41"/>
  <c r="B4" i="41"/>
  <c r="N245" i="46"/>
  <c r="E245" i="46"/>
  <c r="D245" i="46"/>
  <c r="N224" i="46"/>
  <c r="E224" i="46"/>
  <c r="D224" i="46"/>
  <c r="N203" i="46"/>
  <c r="F203" i="46"/>
  <c r="E203" i="46"/>
  <c r="D203" i="46"/>
  <c r="N182" i="46"/>
  <c r="F182" i="46"/>
  <c r="E182" i="46"/>
  <c r="D182" i="46"/>
  <c r="N161" i="46"/>
  <c r="F161" i="46"/>
  <c r="E161" i="46"/>
  <c r="D161" i="46"/>
  <c r="N140" i="46"/>
  <c r="F140" i="46"/>
  <c r="E140" i="46"/>
  <c r="D140" i="46"/>
  <c r="N119" i="46"/>
  <c r="E119" i="46"/>
  <c r="D119" i="46"/>
  <c r="N98" i="46"/>
  <c r="F98" i="46"/>
  <c r="E98" i="46"/>
  <c r="D98" i="46"/>
  <c r="N56" i="46"/>
  <c r="F56" i="46"/>
  <c r="E56" i="46"/>
  <c r="D56" i="46"/>
  <c r="N35" i="46"/>
  <c r="F35" i="46"/>
  <c r="E35" i="46"/>
  <c r="D35" i="46"/>
  <c r="Z229" i="46"/>
  <c r="Z208" i="46"/>
  <c r="Z187" i="46"/>
  <c r="Z166" i="46"/>
  <c r="Z145" i="46"/>
  <c r="Z124" i="46"/>
  <c r="Z103" i="46"/>
  <c r="Z82" i="46"/>
  <c r="Z61" i="46"/>
  <c r="Z40" i="46"/>
  <c r="Z19" i="46"/>
  <c r="E15" i="46"/>
  <c r="B15" i="46"/>
  <c r="B14" i="46"/>
  <c r="J13" i="46"/>
  <c r="E13" i="46"/>
  <c r="B13" i="46"/>
  <c r="B12" i="46"/>
  <c r="B11" i="46"/>
  <c r="B9" i="46"/>
  <c r="E8" i="46"/>
  <c r="B8" i="46"/>
  <c r="B7" i="46"/>
  <c r="B6" i="46"/>
  <c r="B5" i="46"/>
  <c r="D4" i="46"/>
  <c r="B4" i="46"/>
  <c r="O199" i="42"/>
  <c r="O181" i="42"/>
  <c r="O163" i="42"/>
  <c r="O145" i="42"/>
  <c r="O127" i="42"/>
  <c r="O109" i="42"/>
  <c r="O91" i="42"/>
  <c r="O73" i="42"/>
  <c r="O55" i="42"/>
  <c r="O37" i="42"/>
  <c r="O19" i="42"/>
  <c r="G15" i="42"/>
  <c r="K13" i="42"/>
  <c r="G13" i="42"/>
  <c r="G8" i="42"/>
  <c r="D4" i="42"/>
  <c r="B4" i="42"/>
  <c r="C121" i="43"/>
  <c r="C135" i="43"/>
  <c r="D135" i="43"/>
  <c r="E135" i="43"/>
  <c r="F135" i="43"/>
  <c r="G135" i="43"/>
  <c r="H135" i="43"/>
  <c r="I135" i="43"/>
  <c r="J135" i="43"/>
  <c r="L135" i="43"/>
  <c r="M135" i="43"/>
  <c r="N135" i="43"/>
  <c r="C160" i="43"/>
  <c r="E160" i="43"/>
  <c r="G160" i="43"/>
  <c r="I160" i="43"/>
  <c r="J160" i="43"/>
  <c r="L160" i="43"/>
  <c r="M160" i="43"/>
  <c r="N244" i="48"/>
  <c r="H244" i="48"/>
  <c r="G244" i="48"/>
  <c r="F244" i="48"/>
  <c r="E244" i="48"/>
  <c r="D244" i="48"/>
  <c r="Z228" i="48"/>
  <c r="N223" i="48"/>
  <c r="G223" i="48"/>
  <c r="F223" i="48"/>
  <c r="E223" i="48"/>
  <c r="D223" i="48"/>
  <c r="Z207" i="48"/>
  <c r="N202" i="48"/>
  <c r="G202" i="48"/>
  <c r="F202" i="48"/>
  <c r="E202" i="48"/>
  <c r="D202" i="48"/>
  <c r="Z186" i="48"/>
  <c r="N181" i="48"/>
  <c r="J181" i="48"/>
  <c r="I181" i="48"/>
  <c r="H181" i="48"/>
  <c r="G181" i="48"/>
  <c r="F181" i="48"/>
  <c r="E181" i="48"/>
  <c r="D181" i="48"/>
  <c r="Z165" i="48"/>
  <c r="N160" i="48"/>
  <c r="H160" i="48"/>
  <c r="G160" i="48"/>
  <c r="F160" i="48"/>
  <c r="E160" i="48"/>
  <c r="D160" i="48"/>
  <c r="Z144" i="48"/>
  <c r="N139" i="48"/>
  <c r="G139" i="48"/>
  <c r="F139" i="48"/>
  <c r="E139" i="48"/>
  <c r="D139" i="48"/>
  <c r="Z123" i="48"/>
  <c r="N118" i="48"/>
  <c r="G118" i="48"/>
  <c r="F118" i="48"/>
  <c r="E118" i="48"/>
  <c r="D118" i="48"/>
  <c r="Z102" i="48"/>
  <c r="N97" i="48"/>
  <c r="H97" i="48"/>
  <c r="G97" i="48"/>
  <c r="F97" i="48"/>
  <c r="E97" i="48"/>
  <c r="D97" i="48"/>
  <c r="Z81" i="48"/>
  <c r="N76" i="48"/>
  <c r="F76" i="48"/>
  <c r="E76" i="48"/>
  <c r="D76" i="48"/>
  <c r="Z60" i="48"/>
  <c r="N55" i="48"/>
  <c r="E55" i="48"/>
  <c r="D55" i="48"/>
  <c r="Z39" i="48"/>
  <c r="N34" i="48"/>
  <c r="F34" i="48"/>
  <c r="E34" i="48"/>
  <c r="D34" i="48"/>
  <c r="Z18" i="48"/>
  <c r="H14" i="48"/>
  <c r="P12" i="48"/>
  <c r="H12" i="48"/>
  <c r="H8" i="48"/>
  <c r="D4" i="48"/>
  <c r="B4" i="48"/>
  <c r="C122" i="47"/>
  <c r="C136" i="47"/>
  <c r="D136" i="47"/>
  <c r="E136" i="47"/>
  <c r="F136" i="47"/>
  <c r="G136" i="47"/>
  <c r="H136" i="47"/>
  <c r="I136" i="47"/>
  <c r="J136" i="47"/>
  <c r="K136" i="47"/>
  <c r="L136" i="47"/>
  <c r="M136" i="47"/>
  <c r="N136" i="47"/>
  <c r="C161" i="47"/>
  <c r="E161" i="47"/>
  <c r="G161" i="47"/>
  <c r="I161" i="47"/>
  <c r="J161" i="47"/>
  <c r="L161" i="47"/>
  <c r="M161" i="47"/>
  <c r="D7" i="34"/>
  <c r="H7" i="34" s="1"/>
  <c r="D149" i="17" s="1"/>
  <c r="H4" i="34"/>
  <c r="D146" i="17" s="1"/>
  <c r="F38" i="34"/>
  <c r="D3" i="34"/>
  <c r="F30" i="34"/>
  <c r="G38" i="34"/>
  <c r="G30" i="34"/>
  <c r="H38" i="34"/>
  <c r="E38" i="34"/>
  <c r="I38" i="34"/>
  <c r="J38" i="34"/>
  <c r="K38" i="34"/>
  <c r="L38" i="34"/>
  <c r="M38" i="34"/>
  <c r="N38" i="34"/>
  <c r="H30" i="34"/>
  <c r="I30" i="34"/>
  <c r="J20" i="34"/>
  <c r="J21" i="34"/>
  <c r="J30" i="34"/>
  <c r="K19" i="34"/>
  <c r="K20" i="34"/>
  <c r="K21" i="34"/>
  <c r="K30" i="34"/>
  <c r="L19" i="34"/>
  <c r="L22" i="34" s="1"/>
  <c r="L20" i="34"/>
  <c r="L21" i="34"/>
  <c r="L30" i="34"/>
  <c r="M19" i="34"/>
  <c r="M22" i="34" s="1"/>
  <c r="M20" i="34"/>
  <c r="M21" i="34"/>
  <c r="M30" i="34"/>
  <c r="N19" i="34"/>
  <c r="N22" i="34" s="1"/>
  <c r="N20" i="34"/>
  <c r="N21" i="34"/>
  <c r="N30" i="34"/>
  <c r="D34" i="34"/>
  <c r="D37" i="34"/>
  <c r="D39" i="34"/>
  <c r="D40" i="34"/>
  <c r="D32" i="34"/>
  <c r="D23" i="34"/>
  <c r="D22" i="34"/>
  <c r="D24" i="34" s="1"/>
  <c r="D26" i="34" s="1"/>
  <c r="E19" i="34"/>
  <c r="E22" i="34" s="1"/>
  <c r="E20" i="34"/>
  <c r="E21" i="34"/>
  <c r="F20" i="34"/>
  <c r="F21" i="34"/>
  <c r="G20" i="34"/>
  <c r="G21" i="34"/>
  <c r="H20" i="34"/>
  <c r="H21" i="34"/>
  <c r="I20" i="34"/>
  <c r="I21" i="34"/>
  <c r="D25" i="34"/>
  <c r="D27" i="34"/>
  <c r="D30" i="34"/>
  <c r="P43" i="34"/>
  <c r="D18" i="34"/>
  <c r="R42" i="34"/>
  <c r="D5" i="34"/>
  <c r="D4" i="34"/>
  <c r="F40" i="34"/>
  <c r="G40" i="34"/>
  <c r="H40" i="34"/>
  <c r="I40" i="34"/>
  <c r="J40" i="34"/>
  <c r="K40" i="34"/>
  <c r="L40" i="34"/>
  <c r="M40" i="34"/>
  <c r="N40" i="34"/>
  <c r="E40" i="34"/>
  <c r="B4" i="25"/>
  <c r="B5" i="25"/>
  <c r="I5" i="25"/>
  <c r="B6" i="25"/>
  <c r="H6" i="25"/>
  <c r="B7" i="25"/>
  <c r="F7" i="25" s="1"/>
  <c r="D13" i="25"/>
  <c r="D16" i="25" s="1"/>
  <c r="D38" i="25" s="1"/>
  <c r="C9" i="25"/>
  <c r="G13" i="25"/>
  <c r="G15" i="25" s="1"/>
  <c r="G37" i="25" s="1"/>
  <c r="J13" i="25"/>
  <c r="J15" i="25" s="1"/>
  <c r="J37" i="25" s="1"/>
  <c r="M13" i="25"/>
  <c r="E84" i="25"/>
  <c r="F163" i="25"/>
  <c r="F4" i="25"/>
  <c r="F91" i="25" s="1"/>
  <c r="F6" i="25"/>
  <c r="G163" i="25"/>
  <c r="G4" i="25"/>
  <c r="G90" i="25" s="1"/>
  <c r="G6" i="25"/>
  <c r="G113" i="25" s="1"/>
  <c r="H163" i="25"/>
  <c r="H4" i="25"/>
  <c r="H7" i="25"/>
  <c r="H125" i="25" s="1"/>
  <c r="I163" i="25"/>
  <c r="I6" i="25"/>
  <c r="J163" i="25"/>
  <c r="J4" i="25"/>
  <c r="J92" i="25" s="1"/>
  <c r="J6" i="25"/>
  <c r="J113" i="25" s="1"/>
  <c r="K163" i="25"/>
  <c r="K4" i="25"/>
  <c r="K91" i="25" s="1"/>
  <c r="K6" i="25"/>
  <c r="K114" i="25" s="1"/>
  <c r="L163" i="25"/>
  <c r="L4" i="25"/>
  <c r="L92" i="25" s="1"/>
  <c r="L6" i="25"/>
  <c r="L113" i="25" s="1"/>
  <c r="M163" i="25"/>
  <c r="M4" i="25"/>
  <c r="M91" i="25" s="1"/>
  <c r="M6" i="25"/>
  <c r="M112" i="25" s="1"/>
  <c r="N163" i="25"/>
  <c r="N4" i="25"/>
  <c r="N92" i="25" s="1"/>
  <c r="N6" i="25"/>
  <c r="N113" i="25" s="1"/>
  <c r="O167" i="25"/>
  <c r="O146" i="25"/>
  <c r="O147" i="25"/>
  <c r="O148" i="25"/>
  <c r="O149" i="25"/>
  <c r="O90" i="25"/>
  <c r="O101" i="25"/>
  <c r="O112" i="25"/>
  <c r="O123" i="25"/>
  <c r="O84" i="25"/>
  <c r="G16" i="25"/>
  <c r="G38" i="25" s="1"/>
  <c r="J16" i="25"/>
  <c r="J38" i="25" s="1"/>
  <c r="M16" i="25"/>
  <c r="M38" i="25" s="1"/>
  <c r="G91" i="25"/>
  <c r="J91" i="25"/>
  <c r="K113" i="25"/>
  <c r="M113" i="25"/>
  <c r="O91" i="25"/>
  <c r="O102" i="25"/>
  <c r="O113" i="25"/>
  <c r="O124" i="25"/>
  <c r="M17" i="25"/>
  <c r="M39" i="25" s="1"/>
  <c r="F92" i="25"/>
  <c r="G92" i="25"/>
  <c r="G114" i="25"/>
  <c r="L114" i="25"/>
  <c r="O92" i="25"/>
  <c r="O103" i="25"/>
  <c r="O114" i="25"/>
  <c r="O125" i="25"/>
  <c r="D18" i="25"/>
  <c r="D40" i="25" s="1"/>
  <c r="G18" i="25"/>
  <c r="G40" i="25" s="1"/>
  <c r="F93" i="25"/>
  <c r="F115" i="25"/>
  <c r="G93" i="25"/>
  <c r="G115" i="25"/>
  <c r="J93" i="25"/>
  <c r="J115" i="25"/>
  <c r="K93" i="25"/>
  <c r="K115" i="25"/>
  <c r="M115" i="25"/>
  <c r="O93" i="25"/>
  <c r="O104" i="25"/>
  <c r="O115" i="25"/>
  <c r="O126" i="25"/>
  <c r="D19" i="25"/>
  <c r="D41" i="25" s="1"/>
  <c r="J19" i="25"/>
  <c r="J41" i="25" s="1"/>
  <c r="M19" i="25"/>
  <c r="M41" i="25" s="1"/>
  <c r="F94" i="25"/>
  <c r="G116" i="25"/>
  <c r="H127" i="25"/>
  <c r="J94" i="25"/>
  <c r="J116" i="25"/>
  <c r="K94" i="25"/>
  <c r="K116" i="25"/>
  <c r="M94" i="25"/>
  <c r="M116" i="25"/>
  <c r="N116" i="25"/>
  <c r="O94" i="25"/>
  <c r="O105" i="25"/>
  <c r="O116" i="25"/>
  <c r="O127" i="25"/>
  <c r="D20" i="25"/>
  <c r="D42" i="25" s="1"/>
  <c r="G20" i="25"/>
  <c r="G42" i="25" s="1"/>
  <c r="F95" i="25"/>
  <c r="G95" i="25"/>
  <c r="G117" i="25"/>
  <c r="H128" i="25"/>
  <c r="J95" i="25"/>
  <c r="K95" i="25"/>
  <c r="L117" i="25"/>
  <c r="M95" i="25"/>
  <c r="M117" i="25"/>
  <c r="N117" i="25"/>
  <c r="O95" i="25"/>
  <c r="O106" i="25"/>
  <c r="O117" i="25"/>
  <c r="O128" i="25"/>
  <c r="D21" i="25"/>
  <c r="D43" i="25" s="1"/>
  <c r="G21" i="25"/>
  <c r="G43" i="25" s="1"/>
  <c r="J21" i="25"/>
  <c r="J43" i="25" s="1"/>
  <c r="F96" i="25"/>
  <c r="G118" i="25"/>
  <c r="J96" i="25"/>
  <c r="K96" i="25"/>
  <c r="K118" i="25"/>
  <c r="L118" i="25"/>
  <c r="M96" i="25"/>
  <c r="M118" i="25"/>
  <c r="N96" i="25"/>
  <c r="N118" i="25"/>
  <c r="O96" i="25"/>
  <c r="O107" i="25"/>
  <c r="O118" i="25"/>
  <c r="O129" i="25"/>
  <c r="D22" i="25"/>
  <c r="D44" i="25" s="1"/>
  <c r="G22" i="25"/>
  <c r="G44" i="25" s="1"/>
  <c r="J22" i="25"/>
  <c r="J44" i="25" s="1"/>
  <c r="F97" i="25"/>
  <c r="G119" i="25"/>
  <c r="H130" i="25"/>
  <c r="J97" i="25"/>
  <c r="J119" i="25"/>
  <c r="K97" i="25"/>
  <c r="M97" i="25"/>
  <c r="M119" i="25"/>
  <c r="N119" i="25"/>
  <c r="O97" i="25"/>
  <c r="O108" i="25"/>
  <c r="O119" i="25"/>
  <c r="O130" i="25"/>
  <c r="D23" i="25"/>
  <c r="D45" i="25" s="1"/>
  <c r="G23" i="25"/>
  <c r="G45" i="25" s="1"/>
  <c r="J23" i="25"/>
  <c r="J45" i="25" s="1"/>
  <c r="F98" i="25"/>
  <c r="G98" i="25"/>
  <c r="G120" i="25"/>
  <c r="J98" i="25"/>
  <c r="K98" i="25"/>
  <c r="K120" i="25"/>
  <c r="L120" i="25"/>
  <c r="M98" i="25"/>
  <c r="M120" i="25"/>
  <c r="N120" i="25"/>
  <c r="O98" i="25"/>
  <c r="O109" i="25"/>
  <c r="O120" i="25"/>
  <c r="O131" i="25"/>
  <c r="D206" i="25"/>
  <c r="D14" i="25"/>
  <c r="D36" i="25" s="1"/>
  <c r="J14" i="25"/>
  <c r="J36" i="25" s="1"/>
  <c r="F89" i="25"/>
  <c r="G111" i="25"/>
  <c r="J111" i="25"/>
  <c r="K89" i="25"/>
  <c r="L111" i="25"/>
  <c r="M89" i="25"/>
  <c r="N111" i="25"/>
  <c r="O89" i="25"/>
  <c r="O100" i="25"/>
  <c r="O111" i="25"/>
  <c r="O122" i="25"/>
  <c r="F171" i="25"/>
  <c r="G171" i="25"/>
  <c r="H171" i="25"/>
  <c r="I171" i="25"/>
  <c r="J171" i="25"/>
  <c r="K171" i="25"/>
  <c r="L171" i="25"/>
  <c r="M171" i="25"/>
  <c r="N171" i="25"/>
  <c r="O171" i="25"/>
  <c r="E171" i="25"/>
  <c r="M46" i="25"/>
  <c r="J46" i="25"/>
  <c r="G46" i="25"/>
  <c r="D46" i="25"/>
  <c r="E183" i="25"/>
  <c r="F183" i="25"/>
  <c r="G183" i="25"/>
  <c r="H183" i="25"/>
  <c r="I183" i="25"/>
  <c r="J183" i="25"/>
  <c r="K183" i="25"/>
  <c r="L183" i="25"/>
  <c r="M183" i="25"/>
  <c r="N183" i="25"/>
  <c r="O183" i="25"/>
  <c r="F206" i="25"/>
  <c r="H206" i="25"/>
  <c r="I206" i="25"/>
  <c r="J206" i="25"/>
  <c r="K206" i="25"/>
  <c r="L206" i="25"/>
  <c r="M206" i="25"/>
  <c r="N206" i="25"/>
  <c r="O29" i="25"/>
  <c r="I30" i="25"/>
  <c r="D170" i="25"/>
  <c r="D183" i="25"/>
  <c r="D3" i="28"/>
  <c r="E170" i="28"/>
  <c r="E178" i="28"/>
  <c r="E94" i="28" s="1"/>
  <c r="E66" i="28"/>
  <c r="F170" i="28"/>
  <c r="F58" i="28" s="1"/>
  <c r="F178" i="28"/>
  <c r="F122" i="28"/>
  <c r="F66" i="28"/>
  <c r="G170" i="28"/>
  <c r="G58" i="28" s="1"/>
  <c r="G178" i="28"/>
  <c r="G66" i="28" s="1"/>
  <c r="H170" i="28"/>
  <c r="H58" i="28"/>
  <c r="H178" i="28"/>
  <c r="H66" i="28" s="1"/>
  <c r="H122" i="28"/>
  <c r="I170" i="28"/>
  <c r="I86" i="28" s="1"/>
  <c r="I58" i="28"/>
  <c r="I178" i="28"/>
  <c r="I94" i="28" s="1"/>
  <c r="I66" i="28"/>
  <c r="J161" i="28"/>
  <c r="J49" i="28"/>
  <c r="J160" i="28"/>
  <c r="J104" i="28"/>
  <c r="J105" i="28"/>
  <c r="J48" i="28"/>
  <c r="J170" i="28"/>
  <c r="J285" i="28" s="1"/>
  <c r="J178" i="28"/>
  <c r="J66" i="28"/>
  <c r="K161" i="28"/>
  <c r="K248" i="28" s="1"/>
  <c r="K160" i="28"/>
  <c r="K48" i="28" s="1"/>
  <c r="K247" i="28"/>
  <c r="K159" i="28"/>
  <c r="K246" i="28" s="1"/>
  <c r="K170" i="28"/>
  <c r="K86" i="28"/>
  <c r="K58" i="28"/>
  <c r="K178" i="28"/>
  <c r="L161" i="28"/>
  <c r="L105" i="28" s="1"/>
  <c r="L160" i="28"/>
  <c r="L159" i="28"/>
  <c r="L47" i="28" s="1"/>
  <c r="L49" i="28"/>
  <c r="L170" i="28"/>
  <c r="L114" i="28"/>
  <c r="L58" i="28"/>
  <c r="L178" i="28"/>
  <c r="L122" i="28" s="1"/>
  <c r="M161" i="28"/>
  <c r="M77" i="28"/>
  <c r="M49" i="28"/>
  <c r="M160" i="28"/>
  <c r="M76" i="28"/>
  <c r="M159" i="28"/>
  <c r="M47" i="28" s="1"/>
  <c r="M103" i="28"/>
  <c r="M170" i="28"/>
  <c r="M58" i="28"/>
  <c r="M178" i="28"/>
  <c r="M94" i="28"/>
  <c r="M66" i="28"/>
  <c r="N161" i="28"/>
  <c r="N160" i="28"/>
  <c r="N104" i="28" s="1"/>
  <c r="N159" i="28"/>
  <c r="N47" i="28" s="1"/>
  <c r="N103" i="28"/>
  <c r="N48" i="28"/>
  <c r="N170" i="28"/>
  <c r="N285" i="28"/>
  <c r="N178" i="28"/>
  <c r="N66" i="28"/>
  <c r="D7" i="28"/>
  <c r="D163" i="28"/>
  <c r="D135" i="28" s="1"/>
  <c r="D50" i="28"/>
  <c r="D165" i="28"/>
  <c r="D167" i="28"/>
  <c r="D83" i="28"/>
  <c r="D179" i="28"/>
  <c r="D67" i="28"/>
  <c r="F86" i="28"/>
  <c r="F94" i="28"/>
  <c r="G86" i="28"/>
  <c r="H86" i="28"/>
  <c r="H94" i="28"/>
  <c r="J77" i="28"/>
  <c r="J76" i="28"/>
  <c r="J94" i="28"/>
  <c r="K76" i="28"/>
  <c r="L77" i="28"/>
  <c r="L86" i="28"/>
  <c r="L94" i="28"/>
  <c r="M86" i="28"/>
  <c r="N76" i="28"/>
  <c r="N75" i="28"/>
  <c r="N94" i="28"/>
  <c r="D78" i="28"/>
  <c r="D95" i="28"/>
  <c r="E122" i="28"/>
  <c r="G122" i="28"/>
  <c r="I122" i="28"/>
  <c r="J122" i="28"/>
  <c r="M122" i="28"/>
  <c r="N122" i="28"/>
  <c r="G114" i="28"/>
  <c r="H114" i="28"/>
  <c r="K104" i="28"/>
  <c r="K114" i="28"/>
  <c r="M105" i="28"/>
  <c r="M106" i="28" s="1"/>
  <c r="M104" i="28"/>
  <c r="M114" i="28"/>
  <c r="D107" i="28"/>
  <c r="D108" i="28" s="1"/>
  <c r="D106" i="28"/>
  <c r="D111" i="28"/>
  <c r="D123" i="28"/>
  <c r="E142" i="28"/>
  <c r="F150" i="28"/>
  <c r="G142" i="28"/>
  <c r="H142" i="28"/>
  <c r="H150" i="28"/>
  <c r="I142" i="28"/>
  <c r="J133" i="28"/>
  <c r="J132" i="28"/>
  <c r="J150" i="28"/>
  <c r="K132" i="28"/>
  <c r="L133" i="28"/>
  <c r="L132" i="28"/>
  <c r="L142" i="28"/>
  <c r="M131" i="28"/>
  <c r="M142" i="28"/>
  <c r="N132" i="28"/>
  <c r="N150" i="28"/>
  <c r="D134" i="28"/>
  <c r="D151" i="28"/>
  <c r="E201" i="28"/>
  <c r="E209" i="28"/>
  <c r="G201" i="28"/>
  <c r="G209" i="28"/>
  <c r="H201" i="28"/>
  <c r="I201" i="28"/>
  <c r="I209" i="28"/>
  <c r="J192" i="28"/>
  <c r="J209" i="28"/>
  <c r="K191" i="28"/>
  <c r="K201" i="28"/>
  <c r="L191" i="28"/>
  <c r="L190" i="28"/>
  <c r="M192" i="28"/>
  <c r="M191" i="28"/>
  <c r="M201" i="28"/>
  <c r="M209" i="28"/>
  <c r="N190" i="28"/>
  <c r="N209" i="28"/>
  <c r="D193" i="28"/>
  <c r="D198" i="28"/>
  <c r="D210" i="28"/>
  <c r="E229" i="28"/>
  <c r="E237" i="28"/>
  <c r="F229" i="28"/>
  <c r="F237" i="28"/>
  <c r="G229" i="28"/>
  <c r="G237" i="28"/>
  <c r="H229" i="28"/>
  <c r="H237" i="28"/>
  <c r="I229" i="28"/>
  <c r="I237" i="28"/>
  <c r="J219" i="28"/>
  <c r="J220" i="28"/>
  <c r="J237" i="28"/>
  <c r="K219" i="28"/>
  <c r="L218" i="28"/>
  <c r="L219" i="28"/>
  <c r="L229" i="28"/>
  <c r="L237" i="28"/>
  <c r="M218" i="28"/>
  <c r="M220" i="28"/>
  <c r="M229" i="28"/>
  <c r="N219" i="28"/>
  <c r="N220" i="28"/>
  <c r="N237" i="28"/>
  <c r="D222" i="28"/>
  <c r="D221" i="28"/>
  <c r="D223" i="28" s="1"/>
  <c r="D238" i="28"/>
  <c r="E257" i="28"/>
  <c r="E265" i="28"/>
  <c r="G257" i="28"/>
  <c r="H257" i="28"/>
  <c r="I257" i="28"/>
  <c r="J257" i="28"/>
  <c r="K257" i="28"/>
  <c r="L257" i="28"/>
  <c r="M257" i="28"/>
  <c r="N257" i="28"/>
  <c r="G265" i="28"/>
  <c r="I265" i="28"/>
  <c r="J248" i="28"/>
  <c r="J265" i="28"/>
  <c r="L248" i="28"/>
  <c r="L247" i="28"/>
  <c r="L246" i="28"/>
  <c r="M248" i="28"/>
  <c r="M265" i="28"/>
  <c r="N246" i="28"/>
  <c r="N265" i="28"/>
  <c r="D250" i="28"/>
  <c r="D249" i="28"/>
  <c r="D251" i="28"/>
  <c r="D253" i="28" s="1"/>
  <c r="D252" i="28"/>
  <c r="D266" i="28"/>
  <c r="E285" i="28"/>
  <c r="G285" i="28"/>
  <c r="H285" i="28"/>
  <c r="I285" i="28"/>
  <c r="K285" i="28"/>
  <c r="L285" i="28"/>
  <c r="M285" i="28"/>
  <c r="F293" i="28"/>
  <c r="H293" i="28"/>
  <c r="J276" i="28"/>
  <c r="J275" i="28"/>
  <c r="J293" i="28"/>
  <c r="K276" i="28"/>
  <c r="K275" i="28"/>
  <c r="L276" i="28"/>
  <c r="L275" i="28"/>
  <c r="L274" i="28"/>
  <c r="L293" i="28"/>
  <c r="M276" i="28"/>
  <c r="M274" i="28"/>
  <c r="N275" i="28"/>
  <c r="N274" i="28"/>
  <c r="N293" i="28"/>
  <c r="D278" i="28"/>
  <c r="D277" i="28"/>
  <c r="D279" i="28"/>
  <c r="D294" i="28"/>
  <c r="E313" i="28"/>
  <c r="E321" i="28"/>
  <c r="G313" i="28"/>
  <c r="H313" i="28"/>
  <c r="I313" i="28"/>
  <c r="J313" i="28"/>
  <c r="K313" i="28"/>
  <c r="L313" i="28"/>
  <c r="M313" i="28"/>
  <c r="N313" i="28"/>
  <c r="F321" i="28"/>
  <c r="G321" i="28"/>
  <c r="H321" i="28"/>
  <c r="I321" i="28"/>
  <c r="J303" i="28"/>
  <c r="J304" i="28"/>
  <c r="J321" i="28"/>
  <c r="K303" i="28"/>
  <c r="K304" i="28"/>
  <c r="L302" i="28"/>
  <c r="L303" i="28"/>
  <c r="L304" i="28"/>
  <c r="L305" i="28"/>
  <c r="M302" i="28"/>
  <c r="M303" i="28"/>
  <c r="M304" i="28"/>
  <c r="M305" i="28" s="1"/>
  <c r="M321" i="28"/>
  <c r="N321" i="28"/>
  <c r="D306" i="28"/>
  <c r="D305" i="28"/>
  <c r="D307" i="28"/>
  <c r="D309" i="28" s="1"/>
  <c r="D311" i="28" s="1"/>
  <c r="D308" i="28"/>
  <c r="D310" i="28"/>
  <c r="D322" i="28"/>
  <c r="E30" i="28"/>
  <c r="E38" i="28"/>
  <c r="F30" i="28"/>
  <c r="F38" i="28"/>
  <c r="G30" i="28"/>
  <c r="G38" i="28"/>
  <c r="H30" i="28"/>
  <c r="H38" i="28"/>
  <c r="I30" i="28"/>
  <c r="I38" i="28"/>
  <c r="J21" i="28"/>
  <c r="J20" i="28"/>
  <c r="J38" i="28"/>
  <c r="K21" i="28"/>
  <c r="K20" i="28"/>
  <c r="K30" i="28"/>
  <c r="K38" i="28"/>
  <c r="L21" i="28"/>
  <c r="L20" i="28"/>
  <c r="L19" i="28"/>
  <c r="L30" i="28"/>
  <c r="L38" i="28"/>
  <c r="M21" i="28"/>
  <c r="M19" i="28"/>
  <c r="M30" i="28"/>
  <c r="M38" i="28"/>
  <c r="N20" i="28"/>
  <c r="N19" i="28"/>
  <c r="N38" i="28"/>
  <c r="D33" i="28"/>
  <c r="D34" i="28"/>
  <c r="D39" i="28"/>
  <c r="D23" i="28"/>
  <c r="D24" i="28"/>
  <c r="D27" i="28"/>
  <c r="P183" i="28"/>
  <c r="D158" i="28"/>
  <c r="D189" i="28"/>
  <c r="O186" i="28"/>
  <c r="O175" i="28"/>
  <c r="Q185" i="28"/>
  <c r="D317" i="28"/>
  <c r="D289" i="28"/>
  <c r="D261" i="28"/>
  <c r="D233" i="28"/>
  <c r="D205" i="28"/>
  <c r="D146" i="28"/>
  <c r="D118" i="28"/>
  <c r="D90" i="28"/>
  <c r="D62" i="28"/>
  <c r="D31" i="28"/>
  <c r="O174" i="28"/>
  <c r="O167" i="28"/>
  <c r="O241" i="28"/>
  <c r="O70" i="28"/>
  <c r="D190" i="28"/>
  <c r="D191" i="28"/>
  <c r="D192" i="28"/>
  <c r="D218" i="28"/>
  <c r="D219" i="28"/>
  <c r="D220" i="28"/>
  <c r="D246" i="28"/>
  <c r="D247" i="28"/>
  <c r="D248" i="28"/>
  <c r="D274" i="28"/>
  <c r="D275" i="28"/>
  <c r="D276" i="28"/>
  <c r="D302" i="28"/>
  <c r="D303" i="28"/>
  <c r="D304" i="28"/>
  <c r="D131" i="28"/>
  <c r="D132" i="28"/>
  <c r="D133" i="28"/>
  <c r="D103" i="28"/>
  <c r="D104" i="28"/>
  <c r="D105" i="28"/>
  <c r="D75" i="28"/>
  <c r="D76" i="28"/>
  <c r="D77" i="28"/>
  <c r="D47" i="28"/>
  <c r="D48" i="28"/>
  <c r="D49" i="28"/>
  <c r="S182" i="28"/>
  <c r="D4" i="28"/>
  <c r="D5" i="28"/>
  <c r="B17" i="28"/>
  <c r="C17" i="28"/>
  <c r="E17" i="28"/>
  <c r="F17" i="28"/>
  <c r="G17" i="28"/>
  <c r="H17" i="28"/>
  <c r="I17" i="28"/>
  <c r="J17" i="28"/>
  <c r="K17" i="28"/>
  <c r="L17" i="28"/>
  <c r="M17" i="28"/>
  <c r="N17" i="28"/>
  <c r="O17" i="28"/>
  <c r="P17" i="28"/>
  <c r="C18" i="28"/>
  <c r="O18" i="28"/>
  <c r="B23" i="28"/>
  <c r="C23" i="28"/>
  <c r="O23" i="28"/>
  <c r="B24" i="28"/>
  <c r="C24" i="28"/>
  <c r="O24" i="28"/>
  <c r="B25" i="28"/>
  <c r="C25" i="28"/>
  <c r="O25" i="28"/>
  <c r="B26" i="28"/>
  <c r="C26" i="28"/>
  <c r="O26" i="28"/>
  <c r="B27" i="28"/>
  <c r="C27" i="28"/>
  <c r="O27" i="28"/>
  <c r="B28" i="28"/>
  <c r="C28" i="28"/>
  <c r="O28" i="28"/>
  <c r="B29" i="28"/>
  <c r="C29" i="28"/>
  <c r="O29" i="28"/>
  <c r="B30" i="28"/>
  <c r="C30" i="28"/>
  <c r="O30" i="28"/>
  <c r="B31" i="28"/>
  <c r="C31" i="28"/>
  <c r="O31" i="28"/>
  <c r="B32" i="28"/>
  <c r="C32" i="28"/>
  <c r="O32" i="28"/>
  <c r="B33" i="28"/>
  <c r="C33" i="28"/>
  <c r="O33" i="28"/>
  <c r="B34" i="28"/>
  <c r="C34" i="28"/>
  <c r="O34" i="28"/>
  <c r="B35" i="28"/>
  <c r="C35" i="28"/>
  <c r="O35" i="28"/>
  <c r="B36" i="28"/>
  <c r="C36" i="28"/>
  <c r="B37" i="28"/>
  <c r="C37" i="28"/>
  <c r="B38" i="28"/>
  <c r="C38" i="28"/>
  <c r="O38" i="28"/>
  <c r="B39" i="28"/>
  <c r="C39" i="28"/>
  <c r="B40" i="28"/>
  <c r="C40" i="28"/>
  <c r="B41" i="28"/>
  <c r="C41" i="28"/>
  <c r="B42" i="28"/>
  <c r="C42" i="28"/>
  <c r="O42" i="28"/>
  <c r="E159" i="28"/>
  <c r="E302" i="28" s="1"/>
  <c r="G160" i="28"/>
  <c r="G219" i="28"/>
  <c r="G161" i="28"/>
  <c r="G220" i="28" s="1"/>
  <c r="H160" i="28"/>
  <c r="H303" i="28"/>
  <c r="H161" i="28"/>
  <c r="H304" i="28"/>
  <c r="E160" i="28"/>
  <c r="E132" i="28" s="1"/>
  <c r="E76" i="28"/>
  <c r="E275" i="28"/>
  <c r="F160" i="28"/>
  <c r="F303" i="28" s="1"/>
  <c r="F191" i="28"/>
  <c r="F275" i="28"/>
  <c r="F161" i="28"/>
  <c r="F133" i="28" s="1"/>
  <c r="F76" i="28"/>
  <c r="G104" i="28"/>
  <c r="G48" i="28"/>
  <c r="G76" i="28"/>
  <c r="G77" i="28"/>
  <c r="G132" i="28"/>
  <c r="G191" i="28"/>
  <c r="G275" i="28"/>
  <c r="G303" i="28"/>
  <c r="G20" i="28"/>
  <c r="H191" i="28"/>
  <c r="H219" i="28"/>
  <c r="H247" i="28"/>
  <c r="H275" i="28"/>
  <c r="H132" i="28"/>
  <c r="H104" i="28"/>
  <c r="H76" i="28"/>
  <c r="H20" i="28"/>
  <c r="H48" i="28"/>
  <c r="I160" i="28"/>
  <c r="I76" i="28" s="1"/>
  <c r="I161" i="28"/>
  <c r="I77" i="28" s="1"/>
  <c r="I132" i="28"/>
  <c r="I275" i="28"/>
  <c r="E161" i="28"/>
  <c r="E192" i="28" s="1"/>
  <c r="E248" i="28"/>
  <c r="G304" i="28"/>
  <c r="I304" i="28"/>
  <c r="E133" i="28"/>
  <c r="E77" i="28"/>
  <c r="E21" i="28"/>
  <c r="G21" i="28"/>
  <c r="H21" i="28"/>
  <c r="I21" i="28"/>
  <c r="E49" i="28"/>
  <c r="G276" i="28"/>
  <c r="H276" i="28"/>
  <c r="I276" i="28"/>
  <c r="F220" i="28"/>
  <c r="F77" i="28"/>
  <c r="G192" i="28"/>
  <c r="G248" i="28"/>
  <c r="G133" i="28"/>
  <c r="G105" i="28"/>
  <c r="G49" i="28"/>
  <c r="H220" i="28"/>
  <c r="H133" i="28"/>
  <c r="H77" i="28"/>
  <c r="I192" i="28"/>
  <c r="I220" i="28"/>
  <c r="I248" i="28"/>
  <c r="I133" i="28"/>
  <c r="I105" i="28"/>
  <c r="I49" i="28"/>
  <c r="F180" i="28"/>
  <c r="F96" i="28" s="1"/>
  <c r="G180" i="28"/>
  <c r="G124" i="28" s="1"/>
  <c r="H180" i="28"/>
  <c r="H96" i="28" s="1"/>
  <c r="I180" i="28"/>
  <c r="I124" i="28" s="1"/>
  <c r="J180" i="28"/>
  <c r="J96" i="28"/>
  <c r="K180" i="28"/>
  <c r="K124" i="28" s="1"/>
  <c r="L180" i="28"/>
  <c r="L96" i="28" s="1"/>
  <c r="M180" i="28"/>
  <c r="M124" i="28" s="1"/>
  <c r="N180" i="28"/>
  <c r="N96" i="28" s="1"/>
  <c r="O42" i="30"/>
  <c r="O43" i="28" s="1"/>
  <c r="O180" i="28"/>
  <c r="E180" i="28"/>
  <c r="E211" i="28" s="1"/>
  <c r="E40" i="28"/>
  <c r="O40" i="28"/>
  <c r="D177" i="28"/>
  <c r="D264" i="28" s="1"/>
  <c r="D180" i="28"/>
  <c r="D323" i="28" s="1"/>
  <c r="D40" i="28"/>
  <c r="D177" i="30"/>
  <c r="D37" i="30"/>
  <c r="D179" i="30"/>
  <c r="D39" i="30" s="1"/>
  <c r="D180" i="30"/>
  <c r="D40" i="30" s="1"/>
  <c r="D22" i="30"/>
  <c r="D163" i="30"/>
  <c r="D23" i="30"/>
  <c r="D24" i="30" s="1"/>
  <c r="D26" i="30" s="1"/>
  <c r="D28" i="30" s="1"/>
  <c r="D165" i="30"/>
  <c r="D25" i="30"/>
  <c r="D167" i="30"/>
  <c r="D27" i="30"/>
  <c r="D168" i="30"/>
  <c r="D3" i="30"/>
  <c r="D170" i="30"/>
  <c r="D30" i="30" s="1"/>
  <c r="D172" i="30"/>
  <c r="D32" i="30" s="1"/>
  <c r="E178" i="30"/>
  <c r="E321" i="30"/>
  <c r="E180" i="30"/>
  <c r="E40" i="30" s="1"/>
  <c r="E159" i="30"/>
  <c r="E302" i="30" s="1"/>
  <c r="E305" i="30" s="1"/>
  <c r="E160" i="30"/>
  <c r="E20" i="30"/>
  <c r="E161" i="30"/>
  <c r="E304" i="30"/>
  <c r="N178" i="30"/>
  <c r="N293" i="30"/>
  <c r="N38" i="30"/>
  <c r="N180" i="30"/>
  <c r="F180" i="30"/>
  <c r="F295" i="30" s="1"/>
  <c r="G180" i="30"/>
  <c r="G295" i="30" s="1"/>
  <c r="H180" i="30"/>
  <c r="H295" i="30" s="1"/>
  <c r="I180" i="30"/>
  <c r="I295" i="30" s="1"/>
  <c r="J180" i="30"/>
  <c r="J295" i="30" s="1"/>
  <c r="K180" i="30"/>
  <c r="K295" i="30" s="1"/>
  <c r="L180" i="30"/>
  <c r="L295" i="30" s="1"/>
  <c r="M180" i="30"/>
  <c r="M295" i="30" s="1"/>
  <c r="N159" i="30"/>
  <c r="N190" i="30" s="1"/>
  <c r="N160" i="30"/>
  <c r="N191" i="30"/>
  <c r="N161" i="30"/>
  <c r="N20" i="30"/>
  <c r="N170" i="30"/>
  <c r="F170" i="30"/>
  <c r="F285" i="30" s="1"/>
  <c r="G170" i="30"/>
  <c r="G285" i="30" s="1"/>
  <c r="H170" i="30"/>
  <c r="H285" i="30"/>
  <c r="I170" i="30"/>
  <c r="I285" i="30" s="1"/>
  <c r="J170" i="30"/>
  <c r="J285" i="30" s="1"/>
  <c r="K170" i="30"/>
  <c r="K285" i="30" s="1"/>
  <c r="L170" i="30"/>
  <c r="L285" i="30"/>
  <c r="M170" i="30"/>
  <c r="M285" i="30" s="1"/>
  <c r="M178" i="30"/>
  <c r="M38" i="30" s="1"/>
  <c r="M159" i="30"/>
  <c r="M19" i="30" s="1"/>
  <c r="M160" i="30"/>
  <c r="M247" i="30" s="1"/>
  <c r="M161" i="30"/>
  <c r="M21" i="30" s="1"/>
  <c r="M30" i="30"/>
  <c r="L178" i="30"/>
  <c r="L38" i="30" s="1"/>
  <c r="L40" i="30"/>
  <c r="L159" i="30"/>
  <c r="L19" i="30" s="1"/>
  <c r="L160" i="30"/>
  <c r="L20" i="30"/>
  <c r="L161" i="30"/>
  <c r="L303" i="30"/>
  <c r="L30" i="30"/>
  <c r="K178" i="30"/>
  <c r="K209" i="30"/>
  <c r="K40" i="30"/>
  <c r="K159" i="30"/>
  <c r="K160" i="30"/>
  <c r="K20" i="30" s="1"/>
  <c r="K161" i="30"/>
  <c r="K304" i="30" s="1"/>
  <c r="K303" i="30"/>
  <c r="K30" i="30"/>
  <c r="G178" i="30"/>
  <c r="G321" i="30" s="1"/>
  <c r="G160" i="30"/>
  <c r="G20" i="30" s="1"/>
  <c r="G161" i="30"/>
  <c r="G21" i="30" s="1"/>
  <c r="G313" i="30"/>
  <c r="H178" i="30"/>
  <c r="H38" i="30" s="1"/>
  <c r="H40" i="30"/>
  <c r="H160" i="30"/>
  <c r="H275" i="30"/>
  <c r="H161" i="30"/>
  <c r="H21" i="30" s="1"/>
  <c r="H201" i="30"/>
  <c r="H30" i="30"/>
  <c r="J178" i="30"/>
  <c r="J38" i="30"/>
  <c r="J40" i="30"/>
  <c r="J160" i="30"/>
  <c r="J20" i="30" s="1"/>
  <c r="J161" i="30"/>
  <c r="J21" i="30"/>
  <c r="J303" i="30"/>
  <c r="J30" i="30"/>
  <c r="F178" i="30"/>
  <c r="F265" i="30"/>
  <c r="F40" i="30"/>
  <c r="F160" i="30"/>
  <c r="F20" i="30" s="1"/>
  <c r="F161" i="30"/>
  <c r="F304" i="30" s="1"/>
  <c r="F30" i="30"/>
  <c r="I178" i="30"/>
  <c r="I321" i="30" s="1"/>
  <c r="I160" i="30"/>
  <c r="I20" i="30" s="1"/>
  <c r="I161" i="30"/>
  <c r="I21" i="30" s="1"/>
  <c r="F313" i="30"/>
  <c r="H321" i="30"/>
  <c r="H313" i="30"/>
  <c r="J321" i="30"/>
  <c r="J304" i="30"/>
  <c r="J313" i="30"/>
  <c r="K313" i="30"/>
  <c r="L321" i="30"/>
  <c r="L302" i="30"/>
  <c r="L313" i="30"/>
  <c r="M304" i="30"/>
  <c r="N321" i="30"/>
  <c r="N303" i="30"/>
  <c r="N302" i="30"/>
  <c r="D7" i="30"/>
  <c r="D174" i="30"/>
  <c r="E293" i="30"/>
  <c r="G293" i="30"/>
  <c r="I293" i="30"/>
  <c r="J293" i="30"/>
  <c r="J276" i="30"/>
  <c r="J275" i="30"/>
  <c r="K276" i="30"/>
  <c r="L293" i="30"/>
  <c r="L275" i="30"/>
  <c r="L274" i="30"/>
  <c r="M293" i="30"/>
  <c r="M276" i="30"/>
  <c r="N275" i="30"/>
  <c r="N274" i="30"/>
  <c r="F257" i="30"/>
  <c r="G265" i="30"/>
  <c r="H265" i="30"/>
  <c r="H257" i="30"/>
  <c r="I265" i="30"/>
  <c r="J265" i="30"/>
  <c r="J247" i="30"/>
  <c r="J248" i="30"/>
  <c r="J257" i="30"/>
  <c r="K265" i="30"/>
  <c r="K247" i="30"/>
  <c r="K257" i="30"/>
  <c r="L246" i="30"/>
  <c r="L247" i="30"/>
  <c r="L257" i="30"/>
  <c r="M265" i="30"/>
  <c r="M248" i="30"/>
  <c r="N265" i="30"/>
  <c r="N247" i="30"/>
  <c r="D266" i="30"/>
  <c r="F229" i="30"/>
  <c r="H237" i="30"/>
  <c r="H229" i="30"/>
  <c r="J237" i="30"/>
  <c r="J220" i="30"/>
  <c r="J229" i="30"/>
  <c r="K219" i="30"/>
  <c r="K220" i="30"/>
  <c r="K229" i="30"/>
  <c r="L218" i="30"/>
  <c r="L229" i="30"/>
  <c r="M220" i="30"/>
  <c r="M229" i="30"/>
  <c r="N237" i="30"/>
  <c r="N219" i="30"/>
  <c r="D238" i="30"/>
  <c r="F209" i="30"/>
  <c r="F201" i="30"/>
  <c r="G209" i="30"/>
  <c r="H209" i="30"/>
  <c r="I209" i="30"/>
  <c r="J209" i="30"/>
  <c r="J191" i="30"/>
  <c r="J192" i="30"/>
  <c r="K191" i="30"/>
  <c r="K201" i="30"/>
  <c r="L190" i="30"/>
  <c r="L191" i="30"/>
  <c r="L192" i="30"/>
  <c r="L193" i="30" s="1"/>
  <c r="M209" i="30"/>
  <c r="M191" i="30"/>
  <c r="N209" i="30"/>
  <c r="E150" i="30"/>
  <c r="F142" i="30"/>
  <c r="G150" i="30"/>
  <c r="G142" i="30"/>
  <c r="H142" i="30"/>
  <c r="I150" i="30"/>
  <c r="J150" i="30"/>
  <c r="J133" i="30"/>
  <c r="J132" i="30"/>
  <c r="J142" i="30"/>
  <c r="K133" i="30"/>
  <c r="K142" i="30"/>
  <c r="L133" i="30"/>
  <c r="L134" i="30" s="1"/>
  <c r="L132" i="30"/>
  <c r="L131" i="30"/>
  <c r="L142" i="30"/>
  <c r="M150" i="30"/>
  <c r="M133" i="30"/>
  <c r="M142" i="30"/>
  <c r="N132" i="30"/>
  <c r="N131" i="30"/>
  <c r="F114" i="30"/>
  <c r="G122" i="30"/>
  <c r="H122" i="30"/>
  <c r="H114" i="30"/>
  <c r="I122" i="30"/>
  <c r="J122" i="30"/>
  <c r="J105" i="30"/>
  <c r="J104" i="30"/>
  <c r="J114" i="30"/>
  <c r="K122" i="30"/>
  <c r="K104" i="30"/>
  <c r="K114" i="30"/>
  <c r="L104" i="30"/>
  <c r="L103" i="30"/>
  <c r="L114" i="30"/>
  <c r="M122" i="30"/>
  <c r="N122" i="30"/>
  <c r="N104" i="30"/>
  <c r="N103" i="30"/>
  <c r="F86" i="30"/>
  <c r="H94" i="30"/>
  <c r="H86" i="30"/>
  <c r="J94" i="30"/>
  <c r="J77" i="30"/>
  <c r="J86" i="30"/>
  <c r="K76" i="30"/>
  <c r="K86" i="30"/>
  <c r="L76" i="30"/>
  <c r="L75" i="30"/>
  <c r="L86" i="30"/>
  <c r="M77" i="30"/>
  <c r="N94" i="30"/>
  <c r="N76" i="30"/>
  <c r="N75" i="30"/>
  <c r="F66" i="30"/>
  <c r="F58" i="30"/>
  <c r="G66" i="30"/>
  <c r="H66" i="30"/>
  <c r="I66" i="30"/>
  <c r="J66" i="30"/>
  <c r="J48" i="30"/>
  <c r="J49" i="30"/>
  <c r="K48" i="30"/>
  <c r="K58" i="30"/>
  <c r="L66" i="30"/>
  <c r="L47" i="30"/>
  <c r="L48" i="30"/>
  <c r="M66" i="30"/>
  <c r="M48" i="30"/>
  <c r="M49" i="30"/>
  <c r="N66" i="30"/>
  <c r="N47" i="30"/>
  <c r="N48" i="30"/>
  <c r="D67" i="30"/>
  <c r="Q185" i="30"/>
  <c r="P183" i="30"/>
  <c r="D158" i="30"/>
  <c r="D130" i="30"/>
  <c r="O186" i="30"/>
  <c r="D19" i="30"/>
  <c r="D20" i="30"/>
  <c r="D21" i="30"/>
  <c r="D18" i="30"/>
  <c r="D315" i="30"/>
  <c r="D313" i="30"/>
  <c r="D310" i="30"/>
  <c r="D309" i="30"/>
  <c r="D308" i="30"/>
  <c r="D307" i="30"/>
  <c r="D306" i="30"/>
  <c r="D305" i="30"/>
  <c r="D304" i="30"/>
  <c r="D303" i="30"/>
  <c r="D302" i="30"/>
  <c r="D301" i="30"/>
  <c r="D287" i="30"/>
  <c r="D285" i="30"/>
  <c r="D282" i="30"/>
  <c r="D281" i="30"/>
  <c r="D280" i="30"/>
  <c r="D279" i="30"/>
  <c r="D278" i="30"/>
  <c r="D277" i="30"/>
  <c r="D276" i="30"/>
  <c r="D275" i="30"/>
  <c r="D274" i="30"/>
  <c r="D273" i="30"/>
  <c r="D259" i="30"/>
  <c r="D257" i="30"/>
  <c r="D254" i="30"/>
  <c r="D253" i="30"/>
  <c r="D252" i="30"/>
  <c r="D251" i="30"/>
  <c r="D250" i="30"/>
  <c r="D249" i="30"/>
  <c r="D248" i="30"/>
  <c r="D247" i="30"/>
  <c r="D246" i="30"/>
  <c r="D245" i="30"/>
  <c r="D231" i="30"/>
  <c r="D229" i="30"/>
  <c r="D226" i="30"/>
  <c r="D225" i="30"/>
  <c r="D224" i="30"/>
  <c r="D223" i="30"/>
  <c r="D222" i="30"/>
  <c r="D221" i="30"/>
  <c r="D220" i="30"/>
  <c r="D219" i="30"/>
  <c r="D218" i="30"/>
  <c r="D217" i="30"/>
  <c r="D203" i="30"/>
  <c r="D201" i="30"/>
  <c r="D198" i="30"/>
  <c r="D197" i="30"/>
  <c r="D196" i="30"/>
  <c r="D195" i="30"/>
  <c r="D194" i="30"/>
  <c r="D193" i="30"/>
  <c r="D192" i="30"/>
  <c r="D191" i="30"/>
  <c r="D190" i="30"/>
  <c r="D189" i="30"/>
  <c r="S182" i="30"/>
  <c r="D144" i="30"/>
  <c r="D142" i="30"/>
  <c r="D139" i="30"/>
  <c r="D138" i="30"/>
  <c r="D137" i="30"/>
  <c r="D136" i="30"/>
  <c r="D135" i="30"/>
  <c r="D134" i="30"/>
  <c r="D133" i="30"/>
  <c r="D132" i="30"/>
  <c r="D131" i="30"/>
  <c r="D116" i="30"/>
  <c r="D114" i="30"/>
  <c r="D111" i="30"/>
  <c r="D110" i="30"/>
  <c r="D109" i="30"/>
  <c r="D108" i="30"/>
  <c r="D107" i="30"/>
  <c r="D106" i="30"/>
  <c r="D105" i="30"/>
  <c r="D104" i="30"/>
  <c r="D103" i="30"/>
  <c r="D88" i="30"/>
  <c r="D86" i="30"/>
  <c r="D83" i="30"/>
  <c r="D82" i="30"/>
  <c r="D81" i="30"/>
  <c r="D80" i="30"/>
  <c r="D79" i="30"/>
  <c r="D78" i="30"/>
  <c r="D77" i="30"/>
  <c r="D76" i="30"/>
  <c r="D75" i="30"/>
  <c r="D60" i="30"/>
  <c r="D58" i="30"/>
  <c r="D55" i="30"/>
  <c r="D54" i="30"/>
  <c r="D53" i="30"/>
  <c r="D52" i="30"/>
  <c r="D51" i="30"/>
  <c r="D50" i="30"/>
  <c r="D49" i="30"/>
  <c r="D48" i="30"/>
  <c r="D47" i="30"/>
  <c r="C42" i="30"/>
  <c r="B42" i="30"/>
  <c r="C41" i="30"/>
  <c r="B41" i="30"/>
  <c r="C40" i="30"/>
  <c r="B40" i="30"/>
  <c r="C39" i="30"/>
  <c r="B39" i="30"/>
  <c r="O38" i="30"/>
  <c r="C38" i="30"/>
  <c r="B38" i="30"/>
  <c r="C37" i="30"/>
  <c r="B37" i="30"/>
  <c r="C36" i="30"/>
  <c r="B36" i="30"/>
  <c r="O35" i="30"/>
  <c r="C35" i="30"/>
  <c r="B35" i="30"/>
  <c r="O34" i="30"/>
  <c r="C34" i="30"/>
  <c r="B34" i="30"/>
  <c r="O33" i="30"/>
  <c r="C33" i="30"/>
  <c r="B33" i="30"/>
  <c r="O32" i="30"/>
  <c r="C32" i="30"/>
  <c r="B32" i="30"/>
  <c r="O31" i="30"/>
  <c r="C31" i="30"/>
  <c r="B31" i="30"/>
  <c r="O30" i="30"/>
  <c r="C30" i="30"/>
  <c r="B30" i="30"/>
  <c r="O29" i="30"/>
  <c r="C29" i="30"/>
  <c r="B29" i="30"/>
  <c r="O28" i="30"/>
  <c r="C28" i="30"/>
  <c r="B28" i="30"/>
  <c r="O27" i="30"/>
  <c r="C27" i="30"/>
  <c r="B27" i="30"/>
  <c r="O26" i="30"/>
  <c r="C26" i="30"/>
  <c r="B26" i="30"/>
  <c r="O25" i="30"/>
  <c r="C25" i="30"/>
  <c r="B25" i="30"/>
  <c r="O24" i="30"/>
  <c r="C24" i="30"/>
  <c r="B24" i="30"/>
  <c r="O23" i="30"/>
  <c r="C23" i="30"/>
  <c r="B23" i="30"/>
  <c r="O18" i="30"/>
  <c r="C18" i="30"/>
  <c r="P17" i="30"/>
  <c r="O17" i="30"/>
  <c r="N17" i="30"/>
  <c r="M17" i="30"/>
  <c r="L17" i="30"/>
  <c r="K17" i="30"/>
  <c r="J17" i="30"/>
  <c r="I17" i="30"/>
  <c r="H17" i="30"/>
  <c r="G17" i="30"/>
  <c r="F17" i="30"/>
  <c r="E17" i="30"/>
  <c r="C17" i="30"/>
  <c r="B17" i="30"/>
  <c r="D5" i="30"/>
  <c r="D4" i="30"/>
  <c r="E247" i="30"/>
  <c r="E248" i="30"/>
  <c r="F219" i="30"/>
  <c r="F220" i="30"/>
  <c r="G191" i="30"/>
  <c r="G192" i="30"/>
  <c r="G48" i="30"/>
  <c r="G49" i="30"/>
  <c r="E48" i="30"/>
  <c r="E76" i="30"/>
  <c r="E104" i="30"/>
  <c r="E132" i="30"/>
  <c r="E191" i="30"/>
  <c r="E219" i="30"/>
  <c r="E275" i="30"/>
  <c r="E303" i="30"/>
  <c r="F303" i="30"/>
  <c r="F275" i="30"/>
  <c r="F247" i="30"/>
  <c r="F191" i="30"/>
  <c r="F132" i="30"/>
  <c r="F104" i="30"/>
  <c r="F76" i="30"/>
  <c r="F48" i="30"/>
  <c r="G76" i="30"/>
  <c r="G104" i="30"/>
  <c r="G132" i="30"/>
  <c r="G219" i="30"/>
  <c r="G247" i="30"/>
  <c r="G248" i="30"/>
  <c r="G275" i="30"/>
  <c r="G303" i="30"/>
  <c r="H219" i="30"/>
  <c r="H76" i="30"/>
  <c r="I76" i="30"/>
  <c r="I104" i="30"/>
  <c r="E105" i="30"/>
  <c r="F276" i="30"/>
  <c r="F133" i="30"/>
  <c r="F77" i="30"/>
  <c r="G304" i="30"/>
  <c r="G276" i="30"/>
  <c r="G220" i="30"/>
  <c r="G133" i="30"/>
  <c r="G105" i="30"/>
  <c r="G77" i="30"/>
  <c r="H192" i="30"/>
  <c r="H133" i="30"/>
  <c r="I304" i="30"/>
  <c r="I276" i="30"/>
  <c r="I248" i="30"/>
  <c r="I220" i="30"/>
  <c r="I192" i="30"/>
  <c r="I133" i="30"/>
  <c r="I105" i="30"/>
  <c r="I77" i="30"/>
  <c r="I49" i="30"/>
  <c r="F323" i="30"/>
  <c r="H323" i="30"/>
  <c r="J323" i="30"/>
  <c r="K323" i="30"/>
  <c r="L323" i="30"/>
  <c r="F267" i="30"/>
  <c r="H267" i="30"/>
  <c r="J267" i="30"/>
  <c r="K267" i="30"/>
  <c r="L267" i="30"/>
  <c r="F239" i="30"/>
  <c r="G239" i="30"/>
  <c r="H239" i="30"/>
  <c r="J239" i="30"/>
  <c r="K239" i="30"/>
  <c r="L239" i="30"/>
  <c r="F211" i="30"/>
  <c r="H211" i="30"/>
  <c r="J211" i="30"/>
  <c r="K211" i="30"/>
  <c r="L211" i="30"/>
  <c r="F152" i="30"/>
  <c r="H152" i="30"/>
  <c r="I152" i="30"/>
  <c r="J152" i="30"/>
  <c r="K152" i="30"/>
  <c r="L152" i="30"/>
  <c r="F124" i="30"/>
  <c r="H124" i="30"/>
  <c r="J124" i="30"/>
  <c r="K124" i="30"/>
  <c r="L124" i="30"/>
  <c r="F96" i="30"/>
  <c r="G96" i="30"/>
  <c r="H96" i="30"/>
  <c r="I96" i="30"/>
  <c r="J96" i="30"/>
  <c r="K96" i="30"/>
  <c r="L96" i="30"/>
  <c r="F68" i="30"/>
  <c r="H68" i="30"/>
  <c r="J68" i="30"/>
  <c r="K68" i="30"/>
  <c r="L68" i="30"/>
  <c r="E239" i="30"/>
  <c r="E211" i="30"/>
  <c r="E152" i="30"/>
  <c r="E124" i="30"/>
  <c r="E96" i="30"/>
  <c r="E68" i="30"/>
  <c r="O40" i="30"/>
  <c r="D320" i="30"/>
  <c r="D292" i="30"/>
  <c r="D264" i="30"/>
  <c r="D267" i="30"/>
  <c r="D236" i="30"/>
  <c r="D208" i="30"/>
  <c r="D149" i="30"/>
  <c r="D121" i="30"/>
  <c r="D124" i="30"/>
  <c r="D93" i="30"/>
  <c r="D65" i="30"/>
  <c r="D323" i="30"/>
  <c r="D295" i="30"/>
  <c r="D239" i="30"/>
  <c r="D211" i="30"/>
  <c r="D152" i="30"/>
  <c r="D96" i="30"/>
  <c r="D68" i="30"/>
  <c r="E178" i="29"/>
  <c r="D3" i="29"/>
  <c r="O29" i="29" s="1"/>
  <c r="O31" i="29" s="1"/>
  <c r="O33" i="29" s="1"/>
  <c r="F178" i="29"/>
  <c r="F170" i="29"/>
  <c r="F313" i="29"/>
  <c r="G178" i="29"/>
  <c r="G170" i="29"/>
  <c r="H178" i="29"/>
  <c r="H170" i="29"/>
  <c r="H58" i="29"/>
  <c r="I178" i="29"/>
  <c r="I170" i="29"/>
  <c r="I313" i="29" s="1"/>
  <c r="J178" i="29"/>
  <c r="J161" i="29"/>
  <c r="J304" i="29" s="1"/>
  <c r="J160" i="29"/>
  <c r="J170" i="29"/>
  <c r="J313" i="29" s="1"/>
  <c r="K178" i="29"/>
  <c r="K161" i="29"/>
  <c r="K162" i="29" s="1"/>
  <c r="K159" i="29"/>
  <c r="K160" i="29"/>
  <c r="K303" i="29"/>
  <c r="K170" i="29"/>
  <c r="K313" i="29" s="1"/>
  <c r="L178" i="29"/>
  <c r="L161" i="29"/>
  <c r="L304" i="29" s="1"/>
  <c r="L160" i="29"/>
  <c r="L159" i="29"/>
  <c r="L302" i="29" s="1"/>
  <c r="L170" i="29"/>
  <c r="L313" i="29" s="1"/>
  <c r="M178" i="29"/>
  <c r="M265" i="29" s="1"/>
  <c r="M161" i="29"/>
  <c r="M160" i="29"/>
  <c r="M303" i="29"/>
  <c r="M159" i="29"/>
  <c r="M170" i="29"/>
  <c r="M313" i="29" s="1"/>
  <c r="N178" i="29"/>
  <c r="N161" i="29"/>
  <c r="N160" i="29"/>
  <c r="N159" i="29"/>
  <c r="N302" i="29" s="1"/>
  <c r="N170" i="29"/>
  <c r="N313" i="29" s="1"/>
  <c r="D7" i="29"/>
  <c r="D174" i="29"/>
  <c r="D179" i="29"/>
  <c r="D294" i="29" s="1"/>
  <c r="D163" i="29"/>
  <c r="D162" i="29"/>
  <c r="D164" i="29"/>
  <c r="D165" i="29"/>
  <c r="D167" i="29"/>
  <c r="D170" i="29"/>
  <c r="D172" i="29"/>
  <c r="F285" i="29"/>
  <c r="I285" i="29"/>
  <c r="J285" i="29"/>
  <c r="K275" i="29"/>
  <c r="K285" i="29"/>
  <c r="L285" i="29"/>
  <c r="M275" i="29"/>
  <c r="M285" i="29"/>
  <c r="N274" i="29"/>
  <c r="N285" i="29"/>
  <c r="F257" i="29"/>
  <c r="H257" i="29"/>
  <c r="I257" i="29"/>
  <c r="J257" i="29"/>
  <c r="K247" i="29"/>
  <c r="K257" i="29"/>
  <c r="L257" i="29"/>
  <c r="M247" i="29"/>
  <c r="M257" i="29"/>
  <c r="N248" i="29"/>
  <c r="N246" i="29"/>
  <c r="N257" i="29"/>
  <c r="F229" i="29"/>
  <c r="I229" i="29"/>
  <c r="J229" i="29"/>
  <c r="K219" i="29"/>
  <c r="K229" i="29"/>
  <c r="L218" i="29"/>
  <c r="L229" i="29"/>
  <c r="M219" i="29"/>
  <c r="M229" i="29"/>
  <c r="N220" i="29"/>
  <c r="N218" i="29"/>
  <c r="N229" i="29"/>
  <c r="F201" i="29"/>
  <c r="H201" i="29"/>
  <c r="I201" i="29"/>
  <c r="J201" i="29"/>
  <c r="K191" i="29"/>
  <c r="K201" i="29"/>
  <c r="L190" i="29"/>
  <c r="L201" i="29"/>
  <c r="M191" i="29"/>
  <c r="M201" i="29"/>
  <c r="N190" i="29"/>
  <c r="N201" i="29"/>
  <c r="F142" i="29"/>
  <c r="I142" i="29"/>
  <c r="J142" i="29"/>
  <c r="K132" i="29"/>
  <c r="K142" i="29"/>
  <c r="L131" i="29"/>
  <c r="L142" i="29"/>
  <c r="M132" i="29"/>
  <c r="M142" i="29"/>
  <c r="N131" i="29"/>
  <c r="N142" i="29"/>
  <c r="F114" i="29"/>
  <c r="H114" i="29"/>
  <c r="I114" i="29"/>
  <c r="J105" i="29"/>
  <c r="J114" i="29"/>
  <c r="K104" i="29"/>
  <c r="K114" i="29"/>
  <c r="L103" i="29"/>
  <c r="L114" i="29"/>
  <c r="M104" i="29"/>
  <c r="M114" i="29"/>
  <c r="N103" i="29"/>
  <c r="N114" i="29"/>
  <c r="F86" i="29"/>
  <c r="I86" i="29"/>
  <c r="J77" i="29"/>
  <c r="J86" i="29"/>
  <c r="K76" i="29"/>
  <c r="K86" i="29"/>
  <c r="L75" i="29"/>
  <c r="L86" i="29"/>
  <c r="M76" i="29"/>
  <c r="M86" i="29"/>
  <c r="N75" i="29"/>
  <c r="N86" i="29"/>
  <c r="F58" i="29"/>
  <c r="I58" i="29"/>
  <c r="J49" i="29"/>
  <c r="J58" i="29"/>
  <c r="K48" i="29"/>
  <c r="K58" i="29"/>
  <c r="L47" i="29"/>
  <c r="L58" i="29"/>
  <c r="M48" i="29"/>
  <c r="M58" i="29"/>
  <c r="N47" i="29"/>
  <c r="N58" i="29"/>
  <c r="F30" i="29"/>
  <c r="I30" i="29"/>
  <c r="J21" i="29"/>
  <c r="J30" i="29"/>
  <c r="K20" i="29"/>
  <c r="K30" i="29"/>
  <c r="L19" i="29"/>
  <c r="L30" i="29"/>
  <c r="M20" i="29"/>
  <c r="M30" i="29"/>
  <c r="N19" i="29"/>
  <c r="N30" i="29"/>
  <c r="P183" i="29"/>
  <c r="D158" i="29"/>
  <c r="E321" i="29"/>
  <c r="F321" i="29"/>
  <c r="H321" i="29"/>
  <c r="I321" i="29"/>
  <c r="N321" i="29"/>
  <c r="D313" i="29"/>
  <c r="D310" i="29"/>
  <c r="D308" i="29"/>
  <c r="D306" i="29"/>
  <c r="D305" i="29"/>
  <c r="D304" i="29"/>
  <c r="D303" i="29"/>
  <c r="D302" i="29"/>
  <c r="D301" i="29"/>
  <c r="E293" i="29"/>
  <c r="F293" i="29"/>
  <c r="G293" i="29"/>
  <c r="H293" i="29"/>
  <c r="I293" i="29"/>
  <c r="J293" i="29"/>
  <c r="N293" i="29"/>
  <c r="D285" i="29"/>
  <c r="D282" i="29"/>
  <c r="D280" i="29"/>
  <c r="D279" i="29"/>
  <c r="D278" i="29"/>
  <c r="D277" i="29"/>
  <c r="D276" i="29"/>
  <c r="D275" i="29"/>
  <c r="D274" i="29"/>
  <c r="D273" i="29"/>
  <c r="D266" i="29"/>
  <c r="E265" i="29"/>
  <c r="F265" i="29"/>
  <c r="H265" i="29"/>
  <c r="I265" i="29"/>
  <c r="N265" i="29"/>
  <c r="D257" i="29"/>
  <c r="D254" i="29"/>
  <c r="D252" i="29"/>
  <c r="D250" i="29"/>
  <c r="D249" i="29"/>
  <c r="D248" i="29"/>
  <c r="D247" i="29"/>
  <c r="D246" i="29"/>
  <c r="D245" i="29"/>
  <c r="D222" i="29"/>
  <c r="D224" i="29"/>
  <c r="D226" i="29"/>
  <c r="D229" i="29"/>
  <c r="E237" i="29"/>
  <c r="F237" i="29"/>
  <c r="H237" i="29"/>
  <c r="I237" i="29"/>
  <c r="N237" i="29"/>
  <c r="D238" i="29"/>
  <c r="D221" i="29"/>
  <c r="D220" i="29"/>
  <c r="D219" i="29"/>
  <c r="D218" i="29"/>
  <c r="D217" i="29"/>
  <c r="D194" i="29"/>
  <c r="D195" i="29"/>
  <c r="D196" i="29"/>
  <c r="D198" i="29"/>
  <c r="D201" i="29"/>
  <c r="E209" i="29"/>
  <c r="F209" i="29"/>
  <c r="H209" i="29"/>
  <c r="I209" i="29"/>
  <c r="K209" i="29"/>
  <c r="N209" i="29"/>
  <c r="D193" i="29"/>
  <c r="D192" i="29"/>
  <c r="D191" i="29"/>
  <c r="D190" i="29"/>
  <c r="D189" i="29"/>
  <c r="D135" i="29"/>
  <c r="D137" i="29"/>
  <c r="D139" i="29"/>
  <c r="D142" i="29"/>
  <c r="E150" i="29"/>
  <c r="F150" i="29"/>
  <c r="H150" i="29"/>
  <c r="I150" i="29"/>
  <c r="N150" i="29"/>
  <c r="D134" i="29"/>
  <c r="D133" i="29"/>
  <c r="D132" i="29"/>
  <c r="D131" i="29"/>
  <c r="D130" i="29"/>
  <c r="D107" i="29"/>
  <c r="D108" i="29"/>
  <c r="D109" i="29"/>
  <c r="D111" i="29"/>
  <c r="D114" i="29"/>
  <c r="E122" i="29"/>
  <c r="F122" i="29"/>
  <c r="H122" i="29"/>
  <c r="I122" i="29"/>
  <c r="N122" i="29"/>
  <c r="D106" i="29"/>
  <c r="D105" i="29"/>
  <c r="D104" i="29"/>
  <c r="D103" i="29"/>
  <c r="D102" i="29"/>
  <c r="D79" i="29"/>
  <c r="D81" i="29"/>
  <c r="D83" i="29"/>
  <c r="D86" i="29"/>
  <c r="E94" i="29"/>
  <c r="F94" i="29"/>
  <c r="H94" i="29"/>
  <c r="I94" i="29"/>
  <c r="N94" i="29"/>
  <c r="D78" i="29"/>
  <c r="D77" i="29"/>
  <c r="D76" i="29"/>
  <c r="D75" i="29"/>
  <c r="D74" i="29"/>
  <c r="D51" i="29"/>
  <c r="D52" i="29"/>
  <c r="D53" i="29"/>
  <c r="D55" i="29"/>
  <c r="D58" i="29"/>
  <c r="E66" i="29"/>
  <c r="F66" i="29"/>
  <c r="H66" i="29"/>
  <c r="I66" i="29"/>
  <c r="L66" i="29"/>
  <c r="N66" i="29"/>
  <c r="D50" i="29"/>
  <c r="D49" i="29"/>
  <c r="D48" i="29"/>
  <c r="D47" i="29"/>
  <c r="D46" i="29"/>
  <c r="O23" i="29"/>
  <c r="O24" i="29" s="1"/>
  <c r="O26" i="29" s="1"/>
  <c r="O28" i="29" s="1"/>
  <c r="O25" i="29"/>
  <c r="O27" i="29"/>
  <c r="O30" i="29"/>
  <c r="O32" i="29"/>
  <c r="E38" i="29"/>
  <c r="F38" i="29"/>
  <c r="H38" i="29"/>
  <c r="I38" i="29"/>
  <c r="M38" i="29"/>
  <c r="N38" i="29"/>
  <c r="D39" i="29"/>
  <c r="S182" i="29"/>
  <c r="O42" i="29"/>
  <c r="C42" i="29"/>
  <c r="B42" i="29"/>
  <c r="C41" i="29"/>
  <c r="B41" i="29"/>
  <c r="C40" i="29"/>
  <c r="B40" i="29"/>
  <c r="C39" i="29"/>
  <c r="B39" i="29"/>
  <c r="O38" i="29"/>
  <c r="C38" i="29"/>
  <c r="B38" i="29"/>
  <c r="C37" i="29"/>
  <c r="B37" i="29"/>
  <c r="C36" i="29"/>
  <c r="B36" i="29"/>
  <c r="O35" i="29"/>
  <c r="C35" i="29"/>
  <c r="B35" i="29"/>
  <c r="O34" i="29"/>
  <c r="C34" i="29"/>
  <c r="B34" i="29"/>
  <c r="C33" i="29"/>
  <c r="B33" i="29"/>
  <c r="C32" i="29"/>
  <c r="B32" i="29"/>
  <c r="C31" i="29"/>
  <c r="B31" i="29"/>
  <c r="C30" i="29"/>
  <c r="B30" i="29"/>
  <c r="C29" i="29"/>
  <c r="B29" i="29"/>
  <c r="C28" i="29"/>
  <c r="B28" i="29"/>
  <c r="C27" i="29"/>
  <c r="B27" i="29"/>
  <c r="C26" i="29"/>
  <c r="B26" i="29"/>
  <c r="C25" i="29"/>
  <c r="B25" i="29"/>
  <c r="C24" i="29"/>
  <c r="B24" i="29"/>
  <c r="C23" i="29"/>
  <c r="B23" i="29"/>
  <c r="O18" i="29"/>
  <c r="C18" i="29"/>
  <c r="P17" i="29"/>
  <c r="O17" i="29"/>
  <c r="N17" i="29"/>
  <c r="M17" i="29"/>
  <c r="L17" i="29"/>
  <c r="K17" i="29"/>
  <c r="J17" i="29"/>
  <c r="I17" i="29"/>
  <c r="H17" i="29"/>
  <c r="G17" i="29"/>
  <c r="F17" i="29"/>
  <c r="E17" i="29"/>
  <c r="C17" i="29"/>
  <c r="B17" i="29"/>
  <c r="D5" i="29"/>
  <c r="D4" i="29"/>
  <c r="E159" i="29"/>
  <c r="E302" i="29" s="1"/>
  <c r="G161" i="29"/>
  <c r="G220" i="29" s="1"/>
  <c r="G160" i="29"/>
  <c r="G219" i="29"/>
  <c r="E160" i="29"/>
  <c r="E104" i="29"/>
  <c r="F160" i="29"/>
  <c r="F247" i="29" s="1"/>
  <c r="F76" i="29"/>
  <c r="F48" i="29"/>
  <c r="G20" i="29"/>
  <c r="G48" i="29"/>
  <c r="G76" i="29"/>
  <c r="G104" i="29"/>
  <c r="G132" i="29"/>
  <c r="G191" i="29"/>
  <c r="G247" i="29"/>
  <c r="G275" i="29"/>
  <c r="G303" i="29"/>
  <c r="H160" i="29"/>
  <c r="H303" i="29" s="1"/>
  <c r="H132" i="29"/>
  <c r="H104" i="29"/>
  <c r="H76" i="29"/>
  <c r="H20" i="29"/>
  <c r="I160" i="29"/>
  <c r="I104" i="29" s="1"/>
  <c r="E161" i="29"/>
  <c r="E133" i="29" s="1"/>
  <c r="E304" i="29"/>
  <c r="E276" i="29"/>
  <c r="E248" i="29"/>
  <c r="E220" i="29"/>
  <c r="E192" i="29"/>
  <c r="E77" i="29"/>
  <c r="E49" i="29"/>
  <c r="E21" i="29"/>
  <c r="F161" i="29"/>
  <c r="F276" i="29" s="1"/>
  <c r="F77" i="29"/>
  <c r="G304" i="29"/>
  <c r="G276" i="29"/>
  <c r="G248" i="29"/>
  <c r="G192" i="29"/>
  <c r="G133" i="29"/>
  <c r="G105" i="29"/>
  <c r="G77" i="29"/>
  <c r="G49" i="29"/>
  <c r="G21" i="29"/>
  <c r="H161" i="29"/>
  <c r="H276" i="29" s="1"/>
  <c r="I161" i="29"/>
  <c r="I105" i="29"/>
  <c r="E170" i="29"/>
  <c r="E229" i="29" s="1"/>
  <c r="E180" i="29"/>
  <c r="E295" i="29" s="1"/>
  <c r="F180" i="29"/>
  <c r="F323" i="29"/>
  <c r="G180" i="29"/>
  <c r="G96" i="29" s="1"/>
  <c r="H180" i="29"/>
  <c r="H323" i="29" s="1"/>
  <c r="I180" i="29"/>
  <c r="J180" i="29"/>
  <c r="J323" i="29" s="1"/>
  <c r="K180" i="29"/>
  <c r="K239" i="29" s="1"/>
  <c r="L180" i="29"/>
  <c r="L96" i="29" s="1"/>
  <c r="M180" i="29"/>
  <c r="M40" i="29" s="1"/>
  <c r="N180" i="29"/>
  <c r="N323" i="29" s="1"/>
  <c r="F295" i="29"/>
  <c r="I295" i="29"/>
  <c r="J295" i="29"/>
  <c r="F267" i="29"/>
  <c r="H267" i="29"/>
  <c r="J267" i="29"/>
  <c r="F239" i="29"/>
  <c r="J239" i="29"/>
  <c r="N239" i="29"/>
  <c r="F211" i="29"/>
  <c r="J211" i="29"/>
  <c r="N211" i="29"/>
  <c r="F152" i="29"/>
  <c r="I152" i="29"/>
  <c r="J152" i="29"/>
  <c r="M152" i="29"/>
  <c r="N152" i="29"/>
  <c r="F124" i="29"/>
  <c r="H124" i="29"/>
  <c r="J124" i="29"/>
  <c r="N124" i="29"/>
  <c r="F96" i="29"/>
  <c r="J96" i="29"/>
  <c r="K96" i="29"/>
  <c r="N96" i="29"/>
  <c r="E58" i="29"/>
  <c r="F68" i="29"/>
  <c r="J68" i="29"/>
  <c r="N68" i="29"/>
  <c r="F40" i="29"/>
  <c r="I40" i="29"/>
  <c r="J40" i="29"/>
  <c r="N40" i="29"/>
  <c r="O40" i="29"/>
  <c r="D177" i="29"/>
  <c r="D320" i="29" s="1"/>
  <c r="D37" i="29"/>
  <c r="D180" i="29"/>
  <c r="D124" i="29" s="1"/>
  <c r="D40" i="29"/>
  <c r="N23" i="8"/>
  <c r="N16" i="8"/>
  <c r="G130" i="17"/>
  <c r="G187" i="17"/>
  <c r="H159" i="17" s="1"/>
  <c r="G173" i="17" s="1"/>
  <c r="E130" i="17"/>
  <c r="E187" i="17" s="1"/>
  <c r="F159" i="17" s="1"/>
  <c r="E173" i="17" s="1"/>
  <c r="C175" i="17"/>
  <c r="C176" i="17"/>
  <c r="C177" i="17"/>
  <c r="C178" i="17"/>
  <c r="C179" i="17"/>
  <c r="C180" i="17"/>
  <c r="C181" i="17"/>
  <c r="C182" i="17"/>
  <c r="C183" i="17"/>
  <c r="C184" i="17"/>
  <c r="C174" i="17"/>
  <c r="D173" i="17"/>
  <c r="F173" i="17"/>
  <c r="C161" i="17"/>
  <c r="C162" i="17"/>
  <c r="C163" i="17"/>
  <c r="C164" i="17"/>
  <c r="C165" i="17"/>
  <c r="C166" i="17"/>
  <c r="C167" i="17"/>
  <c r="C168" i="17"/>
  <c r="C169" i="17"/>
  <c r="C170" i="17"/>
  <c r="C160" i="17"/>
  <c r="C145" i="17"/>
  <c r="C146" i="17"/>
  <c r="C147" i="17"/>
  <c r="C148" i="17"/>
  <c r="C149" i="17"/>
  <c r="C150" i="17"/>
  <c r="C151" i="17"/>
  <c r="C152" i="17"/>
  <c r="C153" i="17"/>
  <c r="C154" i="17"/>
  <c r="C155" i="17"/>
  <c r="D144" i="17"/>
  <c r="E144" i="17"/>
  <c r="F144" i="17"/>
  <c r="C132" i="17"/>
  <c r="C189" i="17" s="1"/>
  <c r="C133" i="17"/>
  <c r="C190" i="17" s="1"/>
  <c r="C134" i="17"/>
  <c r="C191" i="17"/>
  <c r="C135" i="17"/>
  <c r="C192" i="17" s="1"/>
  <c r="C136" i="17"/>
  <c r="C193" i="17" s="1"/>
  <c r="C137" i="17"/>
  <c r="C194" i="17" s="1"/>
  <c r="C138" i="17"/>
  <c r="C195" i="17"/>
  <c r="C139" i="17"/>
  <c r="C196" i="17" s="1"/>
  <c r="C140" i="17"/>
  <c r="C197" i="17" s="1"/>
  <c r="C141" i="17"/>
  <c r="C198" i="17" s="1"/>
  <c r="C131" i="17"/>
  <c r="C188" i="17"/>
  <c r="F130" i="17"/>
  <c r="F187" i="17" s="1"/>
  <c r="D130" i="17"/>
  <c r="D187" i="17" s="1"/>
  <c r="C103" i="17"/>
  <c r="C104" i="17"/>
  <c r="C105" i="17"/>
  <c r="C106" i="17"/>
  <c r="C107" i="17"/>
  <c r="C108" i="17"/>
  <c r="C109" i="17"/>
  <c r="C110" i="17"/>
  <c r="C111" i="17"/>
  <c r="C112" i="17"/>
  <c r="C113" i="17"/>
  <c r="D102" i="17"/>
  <c r="E102" i="17"/>
  <c r="F102" i="17"/>
  <c r="G102" i="17"/>
  <c r="C127" i="17"/>
  <c r="C117" i="17"/>
  <c r="C118" i="17"/>
  <c r="C119" i="17"/>
  <c r="C120" i="17"/>
  <c r="C121" i="17"/>
  <c r="C122" i="17"/>
  <c r="C123" i="17"/>
  <c r="C124" i="17"/>
  <c r="C125" i="17"/>
  <c r="C126" i="17"/>
  <c r="D116" i="17"/>
  <c r="E116" i="17"/>
  <c r="F116" i="17"/>
  <c r="G116" i="17"/>
  <c r="C99" i="17"/>
  <c r="C89" i="17"/>
  <c r="C90" i="17"/>
  <c r="C91" i="17"/>
  <c r="C92" i="17"/>
  <c r="C93" i="17"/>
  <c r="C94" i="17"/>
  <c r="C95" i="17"/>
  <c r="C96" i="17"/>
  <c r="C97" i="17"/>
  <c r="C98" i="17"/>
  <c r="D88" i="17"/>
  <c r="E88" i="17"/>
  <c r="F88" i="17"/>
  <c r="G88" i="17"/>
  <c r="C75" i="17"/>
  <c r="C76" i="17"/>
  <c r="C77" i="17"/>
  <c r="C78" i="17"/>
  <c r="C79" i="17"/>
  <c r="C80" i="17"/>
  <c r="C81" i="17"/>
  <c r="C82" i="17"/>
  <c r="C83" i="17"/>
  <c r="C84" i="17"/>
  <c r="C85" i="17"/>
  <c r="D74" i="17"/>
  <c r="E74" i="17"/>
  <c r="F74" i="17"/>
  <c r="G74" i="17"/>
  <c r="C71" i="17"/>
  <c r="C61" i="17"/>
  <c r="C62" i="17"/>
  <c r="C63" i="17"/>
  <c r="C64" i="17"/>
  <c r="C65" i="17"/>
  <c r="C66" i="17"/>
  <c r="C67" i="17"/>
  <c r="C68" i="17"/>
  <c r="C69" i="17"/>
  <c r="C70" i="17"/>
  <c r="D60" i="17"/>
  <c r="E60" i="17"/>
  <c r="F60" i="17"/>
  <c r="G60" i="17"/>
  <c r="C47" i="17"/>
  <c r="C48" i="17"/>
  <c r="C49" i="17"/>
  <c r="C50" i="17"/>
  <c r="C51" i="17"/>
  <c r="C52" i="17"/>
  <c r="C53" i="17"/>
  <c r="C54" i="17"/>
  <c r="C55" i="17"/>
  <c r="C56" i="17"/>
  <c r="C57" i="17"/>
  <c r="D46" i="17"/>
  <c r="E46" i="17"/>
  <c r="F46" i="17"/>
  <c r="G46" i="17"/>
  <c r="D7" i="39"/>
  <c r="E178" i="39"/>
  <c r="E180" i="39"/>
  <c r="E161" i="39"/>
  <c r="E21" i="39"/>
  <c r="E160" i="39"/>
  <c r="E20" i="39"/>
  <c r="E19" i="39"/>
  <c r="D3" i="39"/>
  <c r="E170" i="39"/>
  <c r="E30" i="39" s="1"/>
  <c r="F178" i="39"/>
  <c r="F180" i="39"/>
  <c r="F161" i="39"/>
  <c r="F21" i="39"/>
  <c r="F160" i="39"/>
  <c r="F76" i="39" s="1"/>
  <c r="F19" i="39"/>
  <c r="F75" i="39"/>
  <c r="F77" i="39"/>
  <c r="F170" i="39"/>
  <c r="F86" i="39" s="1"/>
  <c r="G178" i="39"/>
  <c r="G180" i="39"/>
  <c r="G211" i="39" s="1"/>
  <c r="G161" i="39"/>
  <c r="G21" i="39"/>
  <c r="G160" i="39"/>
  <c r="G48" i="39" s="1"/>
  <c r="G20" i="39"/>
  <c r="G170" i="39"/>
  <c r="G114" i="39" s="1"/>
  <c r="G30" i="39"/>
  <c r="H178" i="39"/>
  <c r="H180" i="39"/>
  <c r="H96" i="39" s="1"/>
  <c r="H161" i="39"/>
  <c r="H105" i="39" s="1"/>
  <c r="H160" i="39"/>
  <c r="H20" i="39"/>
  <c r="H170" i="39"/>
  <c r="H58" i="39" s="1"/>
  <c r="I178" i="39"/>
  <c r="I180" i="39"/>
  <c r="I161" i="39"/>
  <c r="I77" i="39" s="1"/>
  <c r="I21" i="39"/>
  <c r="I160" i="39"/>
  <c r="I20" i="39"/>
  <c r="I170" i="39"/>
  <c r="I30" i="39" s="1"/>
  <c r="J178" i="39"/>
  <c r="J180" i="39"/>
  <c r="J161" i="39"/>
  <c r="J105" i="39" s="1"/>
  <c r="J160" i="39"/>
  <c r="J48" i="39" s="1"/>
  <c r="J170" i="39"/>
  <c r="J30" i="39"/>
  <c r="K178" i="39"/>
  <c r="K180" i="39"/>
  <c r="K161" i="39"/>
  <c r="K21" i="39" s="1"/>
  <c r="K160" i="39"/>
  <c r="K76" i="39" s="1"/>
  <c r="K20" i="39"/>
  <c r="K19" i="39"/>
  <c r="K170" i="39"/>
  <c r="K313" i="39" s="1"/>
  <c r="K30" i="39"/>
  <c r="L178" i="39"/>
  <c r="L180" i="39"/>
  <c r="L161" i="39"/>
  <c r="L49" i="39" s="1"/>
  <c r="L21" i="39"/>
  <c r="L160" i="39"/>
  <c r="L20" i="39"/>
  <c r="L19" i="39"/>
  <c r="L22" i="39"/>
  <c r="L170" i="39"/>
  <c r="L30" i="39" s="1"/>
  <c r="M178" i="39"/>
  <c r="M180" i="39"/>
  <c r="M124" i="39" s="1"/>
  <c r="M161" i="39"/>
  <c r="M77" i="39" s="1"/>
  <c r="M160" i="39"/>
  <c r="M19" i="39"/>
  <c r="M170" i="39"/>
  <c r="M114" i="39" s="1"/>
  <c r="N178" i="39"/>
  <c r="N180" i="39"/>
  <c r="N161" i="39"/>
  <c r="N49" i="39" s="1"/>
  <c r="N160" i="39"/>
  <c r="N20" i="39"/>
  <c r="N19" i="39"/>
  <c r="N76" i="39"/>
  <c r="N170" i="39"/>
  <c r="N285" i="39" s="1"/>
  <c r="N30" i="39"/>
  <c r="D177" i="39"/>
  <c r="D174" i="39"/>
  <c r="D179" i="39"/>
  <c r="D180" i="39"/>
  <c r="E159" i="39"/>
  <c r="E162" i="39" s="1"/>
  <c r="K159" i="39"/>
  <c r="K162" i="39" s="1"/>
  <c r="L159" i="39"/>
  <c r="L162" i="39" s="1"/>
  <c r="M159" i="39"/>
  <c r="N159" i="39"/>
  <c r="N162" i="39" s="1"/>
  <c r="E104" i="39"/>
  <c r="E103" i="39"/>
  <c r="E114" i="39"/>
  <c r="F105" i="39"/>
  <c r="F103" i="39"/>
  <c r="G105" i="39"/>
  <c r="G104" i="39"/>
  <c r="I105" i="39"/>
  <c r="I104" i="39"/>
  <c r="K104" i="39"/>
  <c r="K103" i="39"/>
  <c r="K114" i="39"/>
  <c r="L105" i="39"/>
  <c r="L103" i="39"/>
  <c r="M104" i="39"/>
  <c r="M103" i="39"/>
  <c r="N104" i="39"/>
  <c r="N103" i="39"/>
  <c r="E75" i="39"/>
  <c r="E76" i="39"/>
  <c r="E86" i="39"/>
  <c r="G76" i="39"/>
  <c r="G77" i="39"/>
  <c r="H76" i="39"/>
  <c r="I76" i="39"/>
  <c r="J77" i="39"/>
  <c r="J86" i="39"/>
  <c r="K75" i="39"/>
  <c r="L75" i="39"/>
  <c r="L78" i="39" s="1"/>
  <c r="L76" i="39"/>
  <c r="L77" i="39"/>
  <c r="M75" i="39"/>
  <c r="N75" i="39"/>
  <c r="N78" i="39" s="1"/>
  <c r="N77" i="39"/>
  <c r="N86" i="39"/>
  <c r="E48" i="39"/>
  <c r="E47" i="39"/>
  <c r="E50" i="39" s="1"/>
  <c r="E58" i="39"/>
  <c r="F49" i="39"/>
  <c r="F48" i="39"/>
  <c r="F47" i="39"/>
  <c r="G49" i="39"/>
  <c r="G58" i="39"/>
  <c r="H49" i="39"/>
  <c r="I49" i="39"/>
  <c r="I48" i="39"/>
  <c r="I58" i="39"/>
  <c r="J49" i="39"/>
  <c r="K48" i="39"/>
  <c r="K47" i="39"/>
  <c r="K58" i="39"/>
  <c r="L47" i="39"/>
  <c r="M47" i="39"/>
  <c r="M58" i="39"/>
  <c r="N48" i="39"/>
  <c r="N47" i="39"/>
  <c r="E304" i="39"/>
  <c r="E303" i="39"/>
  <c r="E302" i="39"/>
  <c r="E305" i="39" s="1"/>
  <c r="E313" i="39"/>
  <c r="F304" i="39"/>
  <c r="F302" i="39"/>
  <c r="F313" i="39"/>
  <c r="G304" i="39"/>
  <c r="G303" i="39"/>
  <c r="G313" i="39"/>
  <c r="H303" i="39"/>
  <c r="H313" i="39"/>
  <c r="I304" i="39"/>
  <c r="I303" i="39"/>
  <c r="I313" i="39"/>
  <c r="J304" i="39"/>
  <c r="J313" i="39"/>
  <c r="K303" i="39"/>
  <c r="K302" i="39"/>
  <c r="L304" i="39"/>
  <c r="L303" i="39"/>
  <c r="L302" i="39"/>
  <c r="L305" i="39" s="1"/>
  <c r="M304" i="39"/>
  <c r="M305" i="39" s="1"/>
  <c r="M303" i="39"/>
  <c r="M302" i="39"/>
  <c r="M313" i="39"/>
  <c r="N303" i="39"/>
  <c r="N302" i="39"/>
  <c r="N313" i="39"/>
  <c r="E276" i="39"/>
  <c r="E275" i="39"/>
  <c r="E274" i="39"/>
  <c r="E285" i="39"/>
  <c r="F276" i="39"/>
  <c r="F275" i="39"/>
  <c r="F274" i="39"/>
  <c r="G276" i="39"/>
  <c r="G275" i="39"/>
  <c r="G285" i="39"/>
  <c r="H275" i="39"/>
  <c r="H285" i="39"/>
  <c r="I276" i="39"/>
  <c r="I275" i="39"/>
  <c r="J285" i="39"/>
  <c r="K275" i="39"/>
  <c r="K274" i="39"/>
  <c r="K285" i="39"/>
  <c r="L276" i="39"/>
  <c r="L275" i="39"/>
  <c r="L274" i="39"/>
  <c r="M276" i="39"/>
  <c r="M274" i="39"/>
  <c r="M285" i="39"/>
  <c r="N276" i="39"/>
  <c r="N275" i="39"/>
  <c r="N274" i="39"/>
  <c r="E248" i="39"/>
  <c r="E247" i="39"/>
  <c r="E246" i="39"/>
  <c r="E249" i="39" s="1"/>
  <c r="E257" i="39"/>
  <c r="F248" i="39"/>
  <c r="F246" i="39"/>
  <c r="F257" i="39"/>
  <c r="G248" i="39"/>
  <c r="G247" i="39"/>
  <c r="G257" i="39"/>
  <c r="H247" i="39"/>
  <c r="H257" i="39"/>
  <c r="I248" i="39"/>
  <c r="I247" i="39"/>
  <c r="I257" i="39"/>
  <c r="J248" i="39"/>
  <c r="J257" i="39"/>
  <c r="K247" i="39"/>
  <c r="K246" i="39"/>
  <c r="K257" i="39"/>
  <c r="L248" i="39"/>
  <c r="L247" i="39"/>
  <c r="L246" i="39"/>
  <c r="L249" i="39"/>
  <c r="M248" i="39"/>
  <c r="M247" i="39"/>
  <c r="M246" i="39"/>
  <c r="M257" i="39"/>
  <c r="N247" i="39"/>
  <c r="N246" i="39"/>
  <c r="N257" i="39"/>
  <c r="E218" i="39"/>
  <c r="E219" i="39"/>
  <c r="E220" i="39"/>
  <c r="E229" i="39"/>
  <c r="F218" i="39"/>
  <c r="F221" i="39" s="1"/>
  <c r="F219" i="39"/>
  <c r="F220" i="39"/>
  <c r="G219" i="39"/>
  <c r="G220" i="39"/>
  <c r="G229" i="39"/>
  <c r="H219" i="39"/>
  <c r="H229" i="39"/>
  <c r="I219" i="39"/>
  <c r="I220" i="39"/>
  <c r="J220" i="39"/>
  <c r="J229" i="39"/>
  <c r="K218" i="39"/>
  <c r="K219" i="39"/>
  <c r="K229" i="39"/>
  <c r="L218" i="39"/>
  <c r="L221" i="39" s="1"/>
  <c r="L219" i="39"/>
  <c r="L220" i="39"/>
  <c r="M218" i="39"/>
  <c r="M220" i="39"/>
  <c r="M229" i="39"/>
  <c r="N218" i="39"/>
  <c r="N219" i="39"/>
  <c r="N229" i="39"/>
  <c r="E192" i="39"/>
  <c r="E191" i="39"/>
  <c r="E190" i="39"/>
  <c r="E193" i="39" s="1"/>
  <c r="E201" i="39"/>
  <c r="F192" i="39"/>
  <c r="F191" i="39"/>
  <c r="F190" i="39"/>
  <c r="F201" i="39"/>
  <c r="G192" i="39"/>
  <c r="G191" i="39"/>
  <c r="G201" i="39"/>
  <c r="H191" i="39"/>
  <c r="H201" i="39"/>
  <c r="I192" i="39"/>
  <c r="I191" i="39"/>
  <c r="I201" i="39"/>
  <c r="J192" i="39"/>
  <c r="J201" i="39"/>
  <c r="K191" i="39"/>
  <c r="K190" i="39"/>
  <c r="K201" i="39"/>
  <c r="L192" i="39"/>
  <c r="L191" i="39"/>
  <c r="L190" i="39"/>
  <c r="L193" i="39" s="1"/>
  <c r="M192" i="39"/>
  <c r="M191" i="39"/>
  <c r="M190" i="39"/>
  <c r="M201" i="39"/>
  <c r="N191" i="39"/>
  <c r="N190" i="39"/>
  <c r="N201" i="39"/>
  <c r="E133" i="39"/>
  <c r="E132" i="39"/>
  <c r="E131" i="39"/>
  <c r="E142" i="39"/>
  <c r="F133" i="39"/>
  <c r="F132" i="39"/>
  <c r="F131" i="39"/>
  <c r="G133" i="39"/>
  <c r="G132" i="39"/>
  <c r="G142" i="39"/>
  <c r="H132" i="39"/>
  <c r="H142" i="39"/>
  <c r="I133" i="39"/>
  <c r="I132" i="39"/>
  <c r="J133" i="39"/>
  <c r="J142" i="39"/>
  <c r="K132" i="39"/>
  <c r="K131" i="39"/>
  <c r="K142" i="39"/>
  <c r="L133" i="39"/>
  <c r="L134" i="39" s="1"/>
  <c r="L132" i="39"/>
  <c r="L131" i="39"/>
  <c r="M133" i="39"/>
  <c r="M131" i="39"/>
  <c r="M142" i="39"/>
  <c r="N133" i="39"/>
  <c r="N132" i="39"/>
  <c r="N131" i="39"/>
  <c r="N142" i="39"/>
  <c r="D7" i="38"/>
  <c r="E178" i="38"/>
  <c r="E180" i="38"/>
  <c r="E161" i="38"/>
  <c r="E21" i="38"/>
  <c r="E20" i="38"/>
  <c r="E159" i="38"/>
  <c r="E274" i="38" s="1"/>
  <c r="D3" i="38"/>
  <c r="D169" i="38" s="1"/>
  <c r="E170" i="38"/>
  <c r="E30" i="38" s="1"/>
  <c r="F178" i="38"/>
  <c r="F180" i="38"/>
  <c r="F161" i="38"/>
  <c r="F192" i="38" s="1"/>
  <c r="F20" i="38"/>
  <c r="F170" i="38"/>
  <c r="F313" i="38" s="1"/>
  <c r="G178" i="38"/>
  <c r="G180" i="38"/>
  <c r="G161" i="38"/>
  <c r="G21" i="38"/>
  <c r="G20" i="38"/>
  <c r="G170" i="38"/>
  <c r="G30" i="38"/>
  <c r="H178" i="38"/>
  <c r="H180" i="38"/>
  <c r="H267" i="38" s="1"/>
  <c r="H161" i="38"/>
  <c r="H220" i="38" s="1"/>
  <c r="H160" i="38"/>
  <c r="H20" i="38"/>
  <c r="H170" i="38"/>
  <c r="H257" i="38" s="1"/>
  <c r="I178" i="38"/>
  <c r="I180" i="38"/>
  <c r="I161" i="38"/>
  <c r="I21" i="38"/>
  <c r="I20" i="38"/>
  <c r="I170" i="38"/>
  <c r="I30" i="38" s="1"/>
  <c r="J178" i="38"/>
  <c r="J180" i="38"/>
  <c r="J295" i="38" s="1"/>
  <c r="J161" i="38"/>
  <c r="J304" i="38" s="1"/>
  <c r="J20" i="38"/>
  <c r="J170" i="38"/>
  <c r="J30" i="38" s="1"/>
  <c r="K178" i="38"/>
  <c r="K180" i="38"/>
  <c r="K161" i="38"/>
  <c r="K276" i="38" s="1"/>
  <c r="K20" i="38"/>
  <c r="K159" i="38"/>
  <c r="K162" i="38" s="1"/>
  <c r="K19" i="38"/>
  <c r="K170" i="38"/>
  <c r="K285" i="38" s="1"/>
  <c r="L178" i="38"/>
  <c r="L180" i="38"/>
  <c r="L152" i="38" s="1"/>
  <c r="L161" i="38"/>
  <c r="L21" i="38"/>
  <c r="L20" i="38"/>
  <c r="L159" i="38"/>
  <c r="L19" i="38" s="1"/>
  <c r="L160" i="38"/>
  <c r="L247" i="38" s="1"/>
  <c r="L170" i="38"/>
  <c r="L30" i="38"/>
  <c r="M178" i="38"/>
  <c r="M180" i="38"/>
  <c r="M161" i="38"/>
  <c r="M21" i="38"/>
  <c r="M20" i="38"/>
  <c r="M159" i="38"/>
  <c r="M19" i="38" s="1"/>
  <c r="M170" i="38"/>
  <c r="M30" i="38"/>
  <c r="N178" i="38"/>
  <c r="N180" i="38"/>
  <c r="N161" i="38"/>
  <c r="N21" i="38" s="1"/>
  <c r="N20" i="38"/>
  <c r="N159" i="38"/>
  <c r="N162" i="38" s="1"/>
  <c r="N170" i="38"/>
  <c r="N30" i="38"/>
  <c r="D174" i="38"/>
  <c r="D177" i="38"/>
  <c r="D179" i="38"/>
  <c r="D180" i="38"/>
  <c r="D172" i="38"/>
  <c r="D167" i="38"/>
  <c r="D168" i="38"/>
  <c r="D170" i="38"/>
  <c r="E160" i="38"/>
  <c r="F160" i="38"/>
  <c r="G160" i="38"/>
  <c r="I160" i="38"/>
  <c r="I303" i="38"/>
  <c r="J160" i="38"/>
  <c r="K160" i="38"/>
  <c r="K275" i="38" s="1"/>
  <c r="M160" i="38"/>
  <c r="M303" i="38" s="1"/>
  <c r="N160" i="38"/>
  <c r="N303" i="38" s="1"/>
  <c r="E304" i="38"/>
  <c r="E313" i="38"/>
  <c r="F303" i="38"/>
  <c r="G304" i="38"/>
  <c r="G303" i="38"/>
  <c r="H304" i="38"/>
  <c r="H303" i="38"/>
  <c r="I304" i="38"/>
  <c r="I313" i="38"/>
  <c r="J303" i="38"/>
  <c r="J313" i="38"/>
  <c r="K303" i="38"/>
  <c r="K302" i="38"/>
  <c r="L304" i="38"/>
  <c r="L302" i="38"/>
  <c r="L313" i="38"/>
  <c r="M304" i="38"/>
  <c r="M302" i="38"/>
  <c r="M313" i="38"/>
  <c r="N302" i="38"/>
  <c r="N313" i="38"/>
  <c r="E276" i="38"/>
  <c r="E285" i="38"/>
  <c r="F275" i="38"/>
  <c r="F276" i="38"/>
  <c r="G275" i="38"/>
  <c r="G276" i="38"/>
  <c r="G285" i="38"/>
  <c r="H275" i="38"/>
  <c r="H285" i="38"/>
  <c r="I275" i="38"/>
  <c r="I276" i="38"/>
  <c r="J275" i="38"/>
  <c r="J276" i="38"/>
  <c r="J285" i="38"/>
  <c r="K274" i="38"/>
  <c r="L274" i="38"/>
  <c r="L276" i="38"/>
  <c r="L285" i="38"/>
  <c r="M274" i="38"/>
  <c r="M275" i="38"/>
  <c r="M276" i="38"/>
  <c r="M277" i="38"/>
  <c r="M285" i="38"/>
  <c r="N274" i="38"/>
  <c r="N275" i="38"/>
  <c r="N285" i="38"/>
  <c r="E248" i="38"/>
  <c r="E257" i="38"/>
  <c r="F247" i="38"/>
  <c r="F257" i="38"/>
  <c r="G247" i="38"/>
  <c r="G248" i="38"/>
  <c r="G257" i="38"/>
  <c r="H247" i="38"/>
  <c r="H248" i="38"/>
  <c r="I247" i="38"/>
  <c r="I248" i="38"/>
  <c r="J247" i="38"/>
  <c r="J257" i="38"/>
  <c r="K246" i="38"/>
  <c r="K247" i="38"/>
  <c r="K257" i="38"/>
  <c r="L246" i="38"/>
  <c r="L248" i="38"/>
  <c r="L257" i="38"/>
  <c r="M246" i="38"/>
  <c r="M249" i="38" s="1"/>
  <c r="M247" i="38"/>
  <c r="M248" i="38"/>
  <c r="M257" i="38"/>
  <c r="N246" i="38"/>
  <c r="N257" i="38"/>
  <c r="E220" i="38"/>
  <c r="E229" i="38"/>
  <c r="F219" i="38"/>
  <c r="G220" i="38"/>
  <c r="G219" i="38"/>
  <c r="G229" i="38"/>
  <c r="H219" i="38"/>
  <c r="H229" i="38"/>
  <c r="I220" i="38"/>
  <c r="I219" i="38"/>
  <c r="J220" i="38"/>
  <c r="J219" i="38"/>
  <c r="J229" i="38"/>
  <c r="K220" i="38"/>
  <c r="K218" i="38"/>
  <c r="L220" i="38"/>
  <c r="L218" i="38"/>
  <c r="L229" i="38"/>
  <c r="M220" i="38"/>
  <c r="M219" i="38"/>
  <c r="M218" i="38"/>
  <c r="M221" i="38"/>
  <c r="M229" i="38"/>
  <c r="N220" i="38"/>
  <c r="N219" i="38"/>
  <c r="N229" i="38"/>
  <c r="E192" i="38"/>
  <c r="E201" i="38"/>
  <c r="F191" i="38"/>
  <c r="F201" i="38"/>
  <c r="G192" i="38"/>
  <c r="G191" i="38"/>
  <c r="G201" i="38"/>
  <c r="H191" i="38"/>
  <c r="H201" i="38"/>
  <c r="I192" i="38"/>
  <c r="I191" i="38"/>
  <c r="J192" i="38"/>
  <c r="J191" i="38"/>
  <c r="J201" i="38"/>
  <c r="K191" i="38"/>
  <c r="K190" i="38"/>
  <c r="K201" i="38"/>
  <c r="L192" i="38"/>
  <c r="L190" i="38"/>
  <c r="L201" i="38"/>
  <c r="M192" i="38"/>
  <c r="M191" i="38"/>
  <c r="M190" i="38"/>
  <c r="M201" i="38"/>
  <c r="N190" i="38"/>
  <c r="N201" i="38"/>
  <c r="E133" i="38"/>
  <c r="E142" i="38"/>
  <c r="F132" i="38"/>
  <c r="G133" i="38"/>
  <c r="G132" i="38"/>
  <c r="G142" i="38"/>
  <c r="H132" i="38"/>
  <c r="H142" i="38"/>
  <c r="I133" i="38"/>
  <c r="I132" i="38"/>
  <c r="J133" i="38"/>
  <c r="J132" i="38"/>
  <c r="J142" i="38"/>
  <c r="K133" i="38"/>
  <c r="K134" i="38" s="1"/>
  <c r="K132" i="38"/>
  <c r="K131" i="38"/>
  <c r="K142" i="38"/>
  <c r="L133" i="38"/>
  <c r="L131" i="38"/>
  <c r="L142" i="38"/>
  <c r="M133" i="38"/>
  <c r="M132" i="38"/>
  <c r="M131" i="38"/>
  <c r="M134" i="38"/>
  <c r="M142" i="38"/>
  <c r="N133" i="38"/>
  <c r="N134" i="38" s="1"/>
  <c r="N132" i="38"/>
  <c r="N131" i="38"/>
  <c r="N142" i="38"/>
  <c r="E105" i="38"/>
  <c r="E114" i="38"/>
  <c r="F104" i="38"/>
  <c r="F114" i="38"/>
  <c r="G105" i="38"/>
  <c r="G104" i="38"/>
  <c r="G114" i="38"/>
  <c r="H104" i="38"/>
  <c r="H114" i="38"/>
  <c r="I105" i="38"/>
  <c r="I104" i="38"/>
  <c r="J105" i="38"/>
  <c r="J104" i="38"/>
  <c r="J114" i="38"/>
  <c r="K104" i="38"/>
  <c r="K103" i="38"/>
  <c r="K114" i="38"/>
  <c r="L105" i="38"/>
  <c r="L103" i="38"/>
  <c r="L114" i="38"/>
  <c r="M105" i="38"/>
  <c r="M106" i="38" s="1"/>
  <c r="M104" i="38"/>
  <c r="M103" i="38"/>
  <c r="M114" i="38"/>
  <c r="N103" i="38"/>
  <c r="N114" i="38"/>
  <c r="E77" i="38"/>
  <c r="E86" i="38"/>
  <c r="F76" i="38"/>
  <c r="G77" i="38"/>
  <c r="G76" i="38"/>
  <c r="G86" i="38"/>
  <c r="H76" i="38"/>
  <c r="H86" i="38"/>
  <c r="I77" i="38"/>
  <c r="I76" i="38"/>
  <c r="J77" i="38"/>
  <c r="J76" i="38"/>
  <c r="J86" i="38"/>
  <c r="K77" i="38"/>
  <c r="K76" i="38"/>
  <c r="K75" i="38"/>
  <c r="K86" i="38"/>
  <c r="L77" i="38"/>
  <c r="L75" i="38"/>
  <c r="L86" i="38"/>
  <c r="M77" i="38"/>
  <c r="M76" i="38"/>
  <c r="M75" i="38"/>
  <c r="M78" i="38"/>
  <c r="M86" i="38"/>
  <c r="N77" i="38"/>
  <c r="N78" i="38" s="1"/>
  <c r="N76" i="38"/>
  <c r="N75" i="38"/>
  <c r="N86" i="38"/>
  <c r="E49" i="38"/>
  <c r="E58" i="38"/>
  <c r="F48" i="38"/>
  <c r="F58" i="38"/>
  <c r="G48" i="38"/>
  <c r="G49" i="38"/>
  <c r="G58" i="38"/>
  <c r="H48" i="38"/>
  <c r="H49" i="38"/>
  <c r="H58" i="38"/>
  <c r="I48" i="38"/>
  <c r="I49" i="38"/>
  <c r="J48" i="38"/>
  <c r="J49" i="38"/>
  <c r="J58" i="38"/>
  <c r="K47" i="38"/>
  <c r="K48" i="38"/>
  <c r="K58" i="38"/>
  <c r="L47" i="38"/>
  <c r="L49" i="38"/>
  <c r="L58" i="38"/>
  <c r="M47" i="38"/>
  <c r="M48" i="38"/>
  <c r="M49" i="38"/>
  <c r="M58" i="38"/>
  <c r="N47" i="38"/>
  <c r="N58" i="38"/>
  <c r="D7" i="37"/>
  <c r="E21" i="37"/>
  <c r="E20" i="37"/>
  <c r="E19" i="37"/>
  <c r="E22" i="37" s="1"/>
  <c r="E30" i="37"/>
  <c r="F21" i="37"/>
  <c r="F20" i="37"/>
  <c r="F30" i="37"/>
  <c r="G21" i="37"/>
  <c r="G20" i="37"/>
  <c r="G30" i="37"/>
  <c r="H21" i="37"/>
  <c r="H20" i="37"/>
  <c r="H30" i="37"/>
  <c r="I21" i="37"/>
  <c r="I20" i="37"/>
  <c r="I30" i="37"/>
  <c r="J21" i="37"/>
  <c r="J20" i="37"/>
  <c r="J30" i="37"/>
  <c r="K21" i="37"/>
  <c r="K20" i="37"/>
  <c r="K19" i="37"/>
  <c r="K22" i="37" s="1"/>
  <c r="K30" i="37"/>
  <c r="L21" i="37"/>
  <c r="L22" i="37" s="1"/>
  <c r="L20" i="37"/>
  <c r="L19" i="37"/>
  <c r="L30" i="37"/>
  <c r="M21" i="37"/>
  <c r="M20" i="37"/>
  <c r="M19" i="37"/>
  <c r="M30" i="37"/>
  <c r="N21" i="37"/>
  <c r="N22" i="37" s="1"/>
  <c r="N20" i="37"/>
  <c r="N19" i="37"/>
  <c r="N30" i="37"/>
  <c r="E307" i="37"/>
  <c r="E306" i="37"/>
  <c r="E316" i="37"/>
  <c r="F307" i="37"/>
  <c r="F306" i="37"/>
  <c r="F316" i="37"/>
  <c r="G307" i="37"/>
  <c r="G306" i="37"/>
  <c r="G316" i="37"/>
  <c r="H307" i="37"/>
  <c r="H306" i="37"/>
  <c r="H316" i="37"/>
  <c r="I307" i="37"/>
  <c r="I306" i="37"/>
  <c r="I316" i="37"/>
  <c r="J307" i="37"/>
  <c r="J306" i="37"/>
  <c r="J316" i="37"/>
  <c r="K307" i="37"/>
  <c r="K306" i="37"/>
  <c r="K305" i="37"/>
  <c r="K308" i="37" s="1"/>
  <c r="K316" i="37"/>
  <c r="L307" i="37"/>
  <c r="L306" i="37"/>
  <c r="L305" i="37"/>
  <c r="L308" i="37"/>
  <c r="L316" i="37"/>
  <c r="M307" i="37"/>
  <c r="M308" i="37" s="1"/>
  <c r="M306" i="37"/>
  <c r="M305" i="37"/>
  <c r="M316" i="37"/>
  <c r="N307" i="37"/>
  <c r="N306" i="37"/>
  <c r="N305" i="37"/>
  <c r="N308" i="37" s="1"/>
  <c r="N316" i="37"/>
  <c r="E279" i="37"/>
  <c r="E278" i="37"/>
  <c r="E288" i="37"/>
  <c r="F279" i="37"/>
  <c r="F278" i="37"/>
  <c r="F288" i="37"/>
  <c r="G279" i="37"/>
  <c r="G278" i="37"/>
  <c r="G288" i="37"/>
  <c r="H279" i="37"/>
  <c r="H278" i="37"/>
  <c r="H288" i="37"/>
  <c r="I279" i="37"/>
  <c r="I278" i="37"/>
  <c r="I288" i="37"/>
  <c r="J279" i="37"/>
  <c r="J278" i="37"/>
  <c r="J288" i="37"/>
  <c r="K279" i="37"/>
  <c r="K278" i="37"/>
  <c r="K277" i="37"/>
  <c r="K280" i="37" s="1"/>
  <c r="K288" i="37"/>
  <c r="L279" i="37"/>
  <c r="L280" i="37" s="1"/>
  <c r="L278" i="37"/>
  <c r="L277" i="37"/>
  <c r="L288" i="37"/>
  <c r="M279" i="37"/>
  <c r="M278" i="37"/>
  <c r="M277" i="37"/>
  <c r="M288" i="37"/>
  <c r="N279" i="37"/>
  <c r="N280" i="37" s="1"/>
  <c r="N278" i="37"/>
  <c r="N277" i="37"/>
  <c r="N288" i="37"/>
  <c r="E251" i="37"/>
  <c r="E250" i="37"/>
  <c r="E260" i="37"/>
  <c r="F251" i="37"/>
  <c r="F250" i="37"/>
  <c r="F260" i="37"/>
  <c r="G251" i="37"/>
  <c r="G250" i="37"/>
  <c r="G260" i="37"/>
  <c r="H251" i="37"/>
  <c r="H250" i="37"/>
  <c r="H260" i="37"/>
  <c r="I251" i="37"/>
  <c r="I250" i="37"/>
  <c r="I260" i="37"/>
  <c r="J251" i="37"/>
  <c r="J250" i="37"/>
  <c r="J260" i="37"/>
  <c r="K251" i="37"/>
  <c r="K250" i="37"/>
  <c r="K249" i="37"/>
  <c r="K260" i="37"/>
  <c r="L251" i="37"/>
  <c r="L250" i="37"/>
  <c r="L249" i="37"/>
  <c r="L260" i="37"/>
  <c r="M251" i="37"/>
  <c r="M250" i="37"/>
  <c r="M249" i="37"/>
  <c r="M260" i="37"/>
  <c r="N251" i="37"/>
  <c r="N250" i="37"/>
  <c r="N249" i="37"/>
  <c r="N252" i="37" s="1"/>
  <c r="N260" i="37"/>
  <c r="E223" i="37"/>
  <c r="E222" i="37"/>
  <c r="E232" i="37"/>
  <c r="F223" i="37"/>
  <c r="F222" i="37"/>
  <c r="F232" i="37"/>
  <c r="G223" i="37"/>
  <c r="G222" i="37"/>
  <c r="G232" i="37"/>
  <c r="H223" i="37"/>
  <c r="H222" i="37"/>
  <c r="H232" i="37"/>
  <c r="I223" i="37"/>
  <c r="I222" i="37"/>
  <c r="I232" i="37"/>
  <c r="J223" i="37"/>
  <c r="J222" i="37"/>
  <c r="J232" i="37"/>
  <c r="K223" i="37"/>
  <c r="K224" i="37" s="1"/>
  <c r="K222" i="37"/>
  <c r="K221" i="37"/>
  <c r="K232" i="37"/>
  <c r="L223" i="37"/>
  <c r="L224" i="37" s="1"/>
  <c r="L222" i="37"/>
  <c r="L221" i="37"/>
  <c r="L232" i="37"/>
  <c r="M223" i="37"/>
  <c r="M222" i="37"/>
  <c r="M221" i="37"/>
  <c r="M224" i="37" s="1"/>
  <c r="M232" i="37"/>
  <c r="N223" i="37"/>
  <c r="N222" i="37"/>
  <c r="N221" i="37"/>
  <c r="N224" i="37"/>
  <c r="N232" i="37"/>
  <c r="E195" i="37"/>
  <c r="E194" i="37"/>
  <c r="E204" i="37"/>
  <c r="F195" i="37"/>
  <c r="F194" i="37"/>
  <c r="F204" i="37"/>
  <c r="G195" i="37"/>
  <c r="G194" i="37"/>
  <c r="G204" i="37"/>
  <c r="H195" i="37"/>
  <c r="H194" i="37"/>
  <c r="H204" i="37"/>
  <c r="I195" i="37"/>
  <c r="I194" i="37"/>
  <c r="I204" i="37"/>
  <c r="J195" i="37"/>
  <c r="J194" i="37"/>
  <c r="J204" i="37"/>
  <c r="K195" i="37"/>
  <c r="K194" i="37"/>
  <c r="K193" i="37"/>
  <c r="K204" i="37"/>
  <c r="L195" i="37"/>
  <c r="L194" i="37"/>
  <c r="L193" i="37"/>
  <c r="L196" i="37" s="1"/>
  <c r="L204" i="37"/>
  <c r="M195" i="37"/>
  <c r="M194" i="37"/>
  <c r="M193" i="37"/>
  <c r="M196" i="37"/>
  <c r="M204" i="37"/>
  <c r="N195" i="37"/>
  <c r="N196" i="37" s="1"/>
  <c r="N194" i="37"/>
  <c r="N193" i="37"/>
  <c r="N204" i="37"/>
  <c r="E136" i="37"/>
  <c r="E135" i="37"/>
  <c r="E134" i="37"/>
  <c r="E137" i="37" s="1"/>
  <c r="E145" i="37"/>
  <c r="F136" i="37"/>
  <c r="F135" i="37"/>
  <c r="F145" i="37"/>
  <c r="G136" i="37"/>
  <c r="G135" i="37"/>
  <c r="G145" i="37"/>
  <c r="H136" i="37"/>
  <c r="H135" i="37"/>
  <c r="H145" i="37"/>
  <c r="I136" i="37"/>
  <c r="I135" i="37"/>
  <c r="I145" i="37"/>
  <c r="J136" i="37"/>
  <c r="J135" i="37"/>
  <c r="J145" i="37"/>
  <c r="K136" i="37"/>
  <c r="K135" i="37"/>
  <c r="K134" i="37"/>
  <c r="K137" i="37"/>
  <c r="K145" i="37"/>
  <c r="L136" i="37"/>
  <c r="L135" i="37"/>
  <c r="L134" i="37"/>
  <c r="L137" i="37" s="1"/>
  <c r="L145" i="37"/>
  <c r="M136" i="37"/>
  <c r="M137" i="37" s="1"/>
  <c r="M135" i="37"/>
  <c r="M134" i="37"/>
  <c r="M145" i="37"/>
  <c r="N136" i="37"/>
  <c r="N135" i="37"/>
  <c r="N134" i="37"/>
  <c r="N137" i="37" s="1"/>
  <c r="N145" i="37"/>
  <c r="E108" i="37"/>
  <c r="E107" i="37"/>
  <c r="E117" i="37"/>
  <c r="F108" i="37"/>
  <c r="F107" i="37"/>
  <c r="F117" i="37"/>
  <c r="G108" i="37"/>
  <c r="G107" i="37"/>
  <c r="G117" i="37"/>
  <c r="H108" i="37"/>
  <c r="H107" i="37"/>
  <c r="H117" i="37"/>
  <c r="I108" i="37"/>
  <c r="I107" i="37"/>
  <c r="I117" i="37"/>
  <c r="J108" i="37"/>
  <c r="J107" i="37"/>
  <c r="J117" i="37"/>
  <c r="K108" i="37"/>
  <c r="K107" i="37"/>
  <c r="K106" i="37"/>
  <c r="K109" i="37"/>
  <c r="K117" i="37"/>
  <c r="L108" i="37"/>
  <c r="L109" i="37" s="1"/>
  <c r="L107" i="37"/>
  <c r="L106" i="37"/>
  <c r="L117" i="37"/>
  <c r="M108" i="37"/>
  <c r="M107" i="37"/>
  <c r="M106" i="37"/>
  <c r="M109" i="37" s="1"/>
  <c r="M117" i="37"/>
  <c r="N108" i="37"/>
  <c r="N107" i="37"/>
  <c r="N106" i="37"/>
  <c r="N109" i="37"/>
  <c r="N117" i="37"/>
  <c r="E77" i="37"/>
  <c r="E76" i="37"/>
  <c r="E86" i="37"/>
  <c r="F77" i="37"/>
  <c r="F76" i="37"/>
  <c r="F86" i="37"/>
  <c r="G77" i="37"/>
  <c r="G76" i="37"/>
  <c r="G86" i="37"/>
  <c r="H77" i="37"/>
  <c r="H76" i="37"/>
  <c r="H86" i="37"/>
  <c r="I77" i="37"/>
  <c r="I76" i="37"/>
  <c r="I86" i="37"/>
  <c r="J77" i="37"/>
  <c r="J76" i="37"/>
  <c r="J86" i="37"/>
  <c r="K77" i="37"/>
  <c r="K78" i="37" s="1"/>
  <c r="K76" i="37"/>
  <c r="K75" i="37"/>
  <c r="K86" i="37"/>
  <c r="L77" i="37"/>
  <c r="L76" i="37"/>
  <c r="L75" i="37"/>
  <c r="L78" i="37" s="1"/>
  <c r="L86" i="37"/>
  <c r="M77" i="37"/>
  <c r="M76" i="37"/>
  <c r="M75" i="37"/>
  <c r="M78" i="37"/>
  <c r="M86" i="37"/>
  <c r="N77" i="37"/>
  <c r="N76" i="37"/>
  <c r="N75" i="37"/>
  <c r="N86" i="37"/>
  <c r="E49" i="37"/>
  <c r="E48" i="37"/>
  <c r="E58" i="37"/>
  <c r="F49" i="37"/>
  <c r="F48" i="37"/>
  <c r="F58" i="37"/>
  <c r="G49" i="37"/>
  <c r="G48" i="37"/>
  <c r="G58" i="37"/>
  <c r="H49" i="37"/>
  <c r="H48" i="37"/>
  <c r="H58" i="37"/>
  <c r="I49" i="37"/>
  <c r="I48" i="37"/>
  <c r="I58" i="37"/>
  <c r="J49" i="37"/>
  <c r="J48" i="37"/>
  <c r="J58" i="37"/>
  <c r="K49" i="37"/>
  <c r="K48" i="37"/>
  <c r="K47" i="37"/>
  <c r="K50" i="37"/>
  <c r="K58" i="37"/>
  <c r="L49" i="37"/>
  <c r="L48" i="37"/>
  <c r="L47" i="37"/>
  <c r="L50" i="37"/>
  <c r="L58" i="37"/>
  <c r="M49" i="37"/>
  <c r="M50" i="37" s="1"/>
  <c r="M48" i="37"/>
  <c r="M47" i="37"/>
  <c r="M58" i="37"/>
  <c r="N49" i="37"/>
  <c r="N48" i="37"/>
  <c r="N47" i="37"/>
  <c r="N58" i="37"/>
  <c r="Q185" i="39"/>
  <c r="D307" i="39"/>
  <c r="D165" i="39"/>
  <c r="D252" i="39"/>
  <c r="D308" i="39"/>
  <c r="D309" i="39"/>
  <c r="D167" i="39"/>
  <c r="D310" i="39" s="1"/>
  <c r="D311" i="39"/>
  <c r="D312" i="39"/>
  <c r="D170" i="39"/>
  <c r="D313" i="39" s="1"/>
  <c r="D314" i="39"/>
  <c r="D172" i="39"/>
  <c r="D203" i="39" s="1"/>
  <c r="D316" i="39"/>
  <c r="D317" i="39"/>
  <c r="D322" i="39"/>
  <c r="D163" i="39"/>
  <c r="D306" i="39"/>
  <c r="D279" i="39"/>
  <c r="D280" i="39"/>
  <c r="D281" i="39"/>
  <c r="D282" i="39"/>
  <c r="D283" i="39"/>
  <c r="D284" i="39"/>
  <c r="D285" i="39"/>
  <c r="D286" i="39"/>
  <c r="D288" i="39"/>
  <c r="D289" i="39"/>
  <c r="D294" i="39"/>
  <c r="D278" i="39"/>
  <c r="D251" i="39"/>
  <c r="D253" i="39"/>
  <c r="D254" i="39"/>
  <c r="D255" i="39"/>
  <c r="D256" i="39"/>
  <c r="D257" i="39"/>
  <c r="D258" i="39"/>
  <c r="D260" i="39"/>
  <c r="D261" i="39"/>
  <c r="D266" i="39"/>
  <c r="D250" i="39"/>
  <c r="D223" i="39"/>
  <c r="D224" i="39"/>
  <c r="D225" i="39"/>
  <c r="D226" i="39"/>
  <c r="D227" i="39"/>
  <c r="D228" i="39"/>
  <c r="D229" i="39"/>
  <c r="D230" i="39"/>
  <c r="D232" i="39"/>
  <c r="D233" i="39"/>
  <c r="D238" i="39"/>
  <c r="D222" i="39"/>
  <c r="D195" i="39"/>
  <c r="D196" i="39"/>
  <c r="D197" i="39"/>
  <c r="D198" i="39"/>
  <c r="D199" i="39"/>
  <c r="D200" i="39"/>
  <c r="D201" i="39"/>
  <c r="D202" i="39"/>
  <c r="D204" i="39"/>
  <c r="D205" i="39"/>
  <c r="D210" i="39"/>
  <c r="D194" i="39"/>
  <c r="D136" i="39"/>
  <c r="D137" i="39"/>
  <c r="D138" i="39"/>
  <c r="D139" i="39"/>
  <c r="D140" i="39"/>
  <c r="D141" i="39"/>
  <c r="D142" i="39"/>
  <c r="D143" i="39"/>
  <c r="D145" i="39"/>
  <c r="D146" i="39"/>
  <c r="D151" i="39"/>
  <c r="D135" i="39"/>
  <c r="D108" i="39"/>
  <c r="D110" i="39"/>
  <c r="D111" i="39"/>
  <c r="D112" i="39"/>
  <c r="D113" i="39"/>
  <c r="D114" i="39"/>
  <c r="D115" i="39"/>
  <c r="D117" i="39"/>
  <c r="D118" i="39"/>
  <c r="D123" i="39"/>
  <c r="D107" i="39"/>
  <c r="D80" i="39"/>
  <c r="D81" i="39"/>
  <c r="D82" i="39"/>
  <c r="D83" i="39"/>
  <c r="D84" i="39"/>
  <c r="D85" i="39"/>
  <c r="D86" i="39"/>
  <c r="D87" i="39"/>
  <c r="D89" i="39"/>
  <c r="D90" i="39"/>
  <c r="D95" i="39"/>
  <c r="D79" i="39"/>
  <c r="D52" i="39"/>
  <c r="D53" i="39"/>
  <c r="D54" i="39"/>
  <c r="D55" i="39"/>
  <c r="D56" i="39"/>
  <c r="D57" i="39"/>
  <c r="D58" i="39"/>
  <c r="D59" i="39"/>
  <c r="D61" i="39"/>
  <c r="D62" i="39"/>
  <c r="D67" i="39"/>
  <c r="D51" i="39"/>
  <c r="D25" i="39"/>
  <c r="D26" i="39"/>
  <c r="D27" i="39"/>
  <c r="D28" i="39"/>
  <c r="D29" i="39"/>
  <c r="D30" i="39"/>
  <c r="D31" i="39"/>
  <c r="D33" i="39"/>
  <c r="D34" i="39"/>
  <c r="D39" i="39"/>
  <c r="D24" i="39"/>
  <c r="D23" i="39"/>
  <c r="P160" i="39"/>
  <c r="P161" i="39"/>
  <c r="P170" i="39"/>
  <c r="P183" i="39"/>
  <c r="D158" i="39"/>
  <c r="E96" i="39"/>
  <c r="F96" i="39"/>
  <c r="G96" i="39"/>
  <c r="I96" i="39"/>
  <c r="J96" i="39"/>
  <c r="K96" i="39"/>
  <c r="L96" i="39"/>
  <c r="N96" i="39"/>
  <c r="E94" i="39"/>
  <c r="F94" i="39"/>
  <c r="G94" i="39"/>
  <c r="H94" i="39"/>
  <c r="P94" i="39" s="1"/>
  <c r="I94" i="39"/>
  <c r="J94" i="39"/>
  <c r="K94" i="39"/>
  <c r="L94" i="39"/>
  <c r="M94" i="39"/>
  <c r="N94" i="39"/>
  <c r="E323" i="39"/>
  <c r="F323" i="39"/>
  <c r="G323" i="39"/>
  <c r="I323" i="39"/>
  <c r="J323" i="39"/>
  <c r="K323" i="39"/>
  <c r="L323" i="39"/>
  <c r="N323" i="39"/>
  <c r="E321" i="39"/>
  <c r="F321" i="39"/>
  <c r="G321" i="39"/>
  <c r="H321" i="39"/>
  <c r="P321" i="39" s="1"/>
  <c r="I321" i="39"/>
  <c r="J321" i="39"/>
  <c r="K321" i="39"/>
  <c r="L321" i="39"/>
  <c r="M321" i="39"/>
  <c r="N321" i="39"/>
  <c r="D305" i="39"/>
  <c r="D304" i="39"/>
  <c r="D303" i="39"/>
  <c r="D302" i="39"/>
  <c r="D301" i="39"/>
  <c r="E295" i="39"/>
  <c r="F295" i="39"/>
  <c r="I295" i="39"/>
  <c r="J295" i="39"/>
  <c r="K295" i="39"/>
  <c r="L295" i="39"/>
  <c r="N295" i="39"/>
  <c r="E293" i="39"/>
  <c r="F293" i="39"/>
  <c r="G293" i="39"/>
  <c r="H293" i="39"/>
  <c r="I293" i="39"/>
  <c r="J293" i="39"/>
  <c r="K293" i="39"/>
  <c r="L293" i="39"/>
  <c r="M293" i="39"/>
  <c r="N293" i="39"/>
  <c r="P293" i="39"/>
  <c r="D277" i="39"/>
  <c r="D276" i="39"/>
  <c r="D275" i="39"/>
  <c r="D274" i="39"/>
  <c r="D273" i="39"/>
  <c r="E267" i="39"/>
  <c r="F267" i="39"/>
  <c r="G267" i="39"/>
  <c r="H267" i="39"/>
  <c r="I267" i="39"/>
  <c r="J267" i="39"/>
  <c r="K267" i="39"/>
  <c r="L267" i="39"/>
  <c r="N267" i="39"/>
  <c r="E265" i="39"/>
  <c r="P265" i="39" s="1"/>
  <c r="F265" i="39"/>
  <c r="G265" i="39"/>
  <c r="H265" i="39"/>
  <c r="I265" i="39"/>
  <c r="J265" i="39"/>
  <c r="K265" i="39"/>
  <c r="L265" i="39"/>
  <c r="M265" i="39"/>
  <c r="N265" i="39"/>
  <c r="D249" i="39"/>
  <c r="D248" i="39"/>
  <c r="D247" i="39"/>
  <c r="D246" i="39"/>
  <c r="D245" i="39"/>
  <c r="E239" i="39"/>
  <c r="F239" i="39"/>
  <c r="G239" i="39"/>
  <c r="I239" i="39"/>
  <c r="J239" i="39"/>
  <c r="K239" i="39"/>
  <c r="L239" i="39"/>
  <c r="N239" i="39"/>
  <c r="E237" i="39"/>
  <c r="F237" i="39"/>
  <c r="G237" i="39"/>
  <c r="H237" i="39"/>
  <c r="I237" i="39"/>
  <c r="J237" i="39"/>
  <c r="P237" i="39" s="1"/>
  <c r="K237" i="39"/>
  <c r="L237" i="39"/>
  <c r="M237" i="39"/>
  <c r="N237" i="39"/>
  <c r="D221" i="39"/>
  <c r="D220" i="39"/>
  <c r="D219" i="39"/>
  <c r="D218" i="39"/>
  <c r="D217" i="39"/>
  <c r="E211" i="39"/>
  <c r="F211" i="39"/>
  <c r="I211" i="39"/>
  <c r="J211" i="39"/>
  <c r="K211" i="39"/>
  <c r="L211" i="39"/>
  <c r="N211" i="39"/>
  <c r="E209" i="39"/>
  <c r="F209" i="39"/>
  <c r="G209" i="39"/>
  <c r="H209" i="39"/>
  <c r="I209" i="39"/>
  <c r="J209" i="39"/>
  <c r="K209" i="39"/>
  <c r="L209" i="39"/>
  <c r="M209" i="39"/>
  <c r="N209" i="39"/>
  <c r="P209" i="39"/>
  <c r="D193" i="39"/>
  <c r="D192" i="39"/>
  <c r="D191" i="39"/>
  <c r="D190" i="39"/>
  <c r="D189" i="39"/>
  <c r="S182" i="39"/>
  <c r="E152" i="39"/>
  <c r="F152" i="39"/>
  <c r="G152" i="39"/>
  <c r="I152" i="39"/>
  <c r="J152" i="39"/>
  <c r="K152" i="39"/>
  <c r="L152" i="39"/>
  <c r="N152" i="39"/>
  <c r="E150" i="39"/>
  <c r="F150" i="39"/>
  <c r="G150" i="39"/>
  <c r="H150" i="39"/>
  <c r="I150" i="39"/>
  <c r="J150" i="39"/>
  <c r="K150" i="39"/>
  <c r="P150" i="39" s="1"/>
  <c r="L150" i="39"/>
  <c r="M150" i="39"/>
  <c r="N150" i="39"/>
  <c r="D134" i="39"/>
  <c r="D133" i="39"/>
  <c r="D132" i="39"/>
  <c r="D131" i="39"/>
  <c r="D130" i="39"/>
  <c r="E124" i="39"/>
  <c r="F124" i="39"/>
  <c r="I124" i="39"/>
  <c r="J124" i="39"/>
  <c r="K124" i="39"/>
  <c r="L124" i="39"/>
  <c r="N124" i="39"/>
  <c r="E122" i="39"/>
  <c r="F122" i="39"/>
  <c r="G122" i="39"/>
  <c r="H122" i="39"/>
  <c r="I122" i="39"/>
  <c r="J122" i="39"/>
  <c r="K122" i="39"/>
  <c r="L122" i="39"/>
  <c r="M122" i="39"/>
  <c r="N122" i="39"/>
  <c r="P122" i="39"/>
  <c r="D106" i="39"/>
  <c r="D105" i="39"/>
  <c r="D104" i="39"/>
  <c r="D103" i="39"/>
  <c r="D102" i="39"/>
  <c r="D78" i="39"/>
  <c r="D77" i="39"/>
  <c r="D76" i="39"/>
  <c r="D75" i="39"/>
  <c r="D74" i="39"/>
  <c r="E68" i="39"/>
  <c r="F68" i="39"/>
  <c r="I68" i="39"/>
  <c r="J68" i="39"/>
  <c r="K68" i="39"/>
  <c r="L68" i="39"/>
  <c r="N68" i="39"/>
  <c r="E66" i="39"/>
  <c r="P66" i="39" s="1"/>
  <c r="F66" i="39"/>
  <c r="G66" i="39"/>
  <c r="H66" i="39"/>
  <c r="I66" i="39"/>
  <c r="J66" i="39"/>
  <c r="K66" i="39"/>
  <c r="L66" i="39"/>
  <c r="M66" i="39"/>
  <c r="N66" i="39"/>
  <c r="D50" i="39"/>
  <c r="D49" i="39"/>
  <c r="D48" i="39"/>
  <c r="D47" i="39"/>
  <c r="D46" i="39"/>
  <c r="O42" i="39"/>
  <c r="C42" i="39"/>
  <c r="B42" i="39"/>
  <c r="C41" i="39"/>
  <c r="B41" i="39"/>
  <c r="O40" i="39"/>
  <c r="N40" i="39"/>
  <c r="L40" i="39"/>
  <c r="K40" i="39"/>
  <c r="J40" i="39"/>
  <c r="I40" i="39"/>
  <c r="F40" i="39"/>
  <c r="E40" i="39"/>
  <c r="C40" i="39"/>
  <c r="B40" i="39"/>
  <c r="C39" i="39"/>
  <c r="B39" i="39"/>
  <c r="O38" i="39"/>
  <c r="N38" i="39"/>
  <c r="M38" i="39"/>
  <c r="L38" i="39"/>
  <c r="K38" i="39"/>
  <c r="J38" i="39"/>
  <c r="I38" i="39"/>
  <c r="H38" i="39"/>
  <c r="G38" i="39"/>
  <c r="F38" i="39"/>
  <c r="E38" i="39"/>
  <c r="C38" i="39"/>
  <c r="B38" i="39"/>
  <c r="C37" i="39"/>
  <c r="B37" i="39"/>
  <c r="C36" i="39"/>
  <c r="B36" i="39"/>
  <c r="O35" i="39"/>
  <c r="C35" i="39"/>
  <c r="B35" i="39"/>
  <c r="O34" i="39"/>
  <c r="C34" i="39"/>
  <c r="B34" i="39"/>
  <c r="O33" i="39"/>
  <c r="C33" i="39"/>
  <c r="B33" i="39"/>
  <c r="O32" i="39"/>
  <c r="C32" i="39"/>
  <c r="B32" i="39"/>
  <c r="O31" i="39"/>
  <c r="C31" i="39"/>
  <c r="B31" i="39"/>
  <c r="O30" i="39"/>
  <c r="C30" i="39"/>
  <c r="B30" i="39"/>
  <c r="O29" i="39"/>
  <c r="C29" i="39"/>
  <c r="B29" i="39"/>
  <c r="O28" i="39"/>
  <c r="C28" i="39"/>
  <c r="B28" i="39"/>
  <c r="O27" i="39"/>
  <c r="C27" i="39"/>
  <c r="B27" i="39"/>
  <c r="O26" i="39"/>
  <c r="C26" i="39"/>
  <c r="B26" i="39"/>
  <c r="O25" i="39"/>
  <c r="C25" i="39"/>
  <c r="B25" i="39"/>
  <c r="O24" i="39"/>
  <c r="C24" i="39"/>
  <c r="B24" i="39"/>
  <c r="O23" i="39"/>
  <c r="C23" i="39"/>
  <c r="B23" i="39"/>
  <c r="O18" i="39"/>
  <c r="C18" i="39"/>
  <c r="P17" i="39"/>
  <c r="O17" i="39"/>
  <c r="N17" i="39"/>
  <c r="M17" i="39"/>
  <c r="L17" i="39"/>
  <c r="K17" i="39"/>
  <c r="J17" i="39"/>
  <c r="I17" i="39"/>
  <c r="H17" i="39"/>
  <c r="G17" i="39"/>
  <c r="F17" i="39"/>
  <c r="E17" i="39"/>
  <c r="C17" i="39"/>
  <c r="B17" i="39"/>
  <c r="D5" i="39"/>
  <c r="D4" i="39"/>
  <c r="O42" i="38"/>
  <c r="O43" i="39"/>
  <c r="D320" i="39"/>
  <c r="D292" i="39"/>
  <c r="D264" i="39"/>
  <c r="D236" i="39"/>
  <c r="D208" i="39"/>
  <c r="D149" i="39"/>
  <c r="D121" i="39"/>
  <c r="D93" i="39"/>
  <c r="D65" i="39"/>
  <c r="D37" i="39"/>
  <c r="D323" i="39"/>
  <c r="D295" i="39"/>
  <c r="D267" i="39"/>
  <c r="D239" i="39"/>
  <c r="D211" i="39"/>
  <c r="D152" i="39"/>
  <c r="D124" i="39"/>
  <c r="D96" i="39"/>
  <c r="D68" i="39"/>
  <c r="D40" i="39"/>
  <c r="P160" i="38"/>
  <c r="P161" i="38"/>
  <c r="D163" i="38"/>
  <c r="D278" i="38" s="1"/>
  <c r="D165" i="38"/>
  <c r="D224" i="38"/>
  <c r="P170" i="38"/>
  <c r="P183" i="38"/>
  <c r="D158" i="38"/>
  <c r="D301" i="38"/>
  <c r="Q185" i="38"/>
  <c r="O154" i="38"/>
  <c r="E38" i="38"/>
  <c r="P38" i="38" s="1"/>
  <c r="F38" i="38"/>
  <c r="G38" i="38"/>
  <c r="H38" i="38"/>
  <c r="I38" i="38"/>
  <c r="J38" i="38"/>
  <c r="K38" i="38"/>
  <c r="L38" i="38"/>
  <c r="M38" i="38"/>
  <c r="N38" i="38"/>
  <c r="E40" i="38"/>
  <c r="F40" i="38"/>
  <c r="G40" i="38"/>
  <c r="H40" i="38"/>
  <c r="I40" i="38"/>
  <c r="K40" i="38"/>
  <c r="L40" i="38"/>
  <c r="M40" i="38"/>
  <c r="N40" i="38"/>
  <c r="E323" i="38"/>
  <c r="F323" i="38"/>
  <c r="G323" i="38"/>
  <c r="I323" i="38"/>
  <c r="J323" i="38"/>
  <c r="K323" i="38"/>
  <c r="M323" i="38"/>
  <c r="N323" i="38"/>
  <c r="D322" i="38"/>
  <c r="E321" i="38"/>
  <c r="F321" i="38"/>
  <c r="P321" i="38" s="1"/>
  <c r="G321" i="38"/>
  <c r="H321" i="38"/>
  <c r="I321" i="38"/>
  <c r="J321" i="38"/>
  <c r="K321" i="38"/>
  <c r="L321" i="38"/>
  <c r="M321" i="38"/>
  <c r="N321" i="38"/>
  <c r="D315" i="38"/>
  <c r="D313" i="38"/>
  <c r="D311" i="38"/>
  <c r="D310" i="38"/>
  <c r="D309" i="38"/>
  <c r="D307" i="38"/>
  <c r="D306" i="38"/>
  <c r="D305" i="38"/>
  <c r="D304" i="38"/>
  <c r="D303" i="38"/>
  <c r="D302" i="38"/>
  <c r="E295" i="38"/>
  <c r="F295" i="38"/>
  <c r="G295" i="38"/>
  <c r="I295" i="38"/>
  <c r="K295" i="38"/>
  <c r="M295" i="38"/>
  <c r="N295" i="38"/>
  <c r="D294" i="38"/>
  <c r="E293" i="38"/>
  <c r="F293" i="38"/>
  <c r="G293" i="38"/>
  <c r="H293" i="38"/>
  <c r="I293" i="38"/>
  <c r="J293" i="38"/>
  <c r="K293" i="38"/>
  <c r="L293" i="38"/>
  <c r="M293" i="38"/>
  <c r="N293" i="38"/>
  <c r="P293" i="38"/>
  <c r="D287" i="38"/>
  <c r="D285" i="38"/>
  <c r="D283" i="38"/>
  <c r="D282" i="38"/>
  <c r="D281" i="38"/>
  <c r="D280" i="38"/>
  <c r="D279" i="38"/>
  <c r="D277" i="38"/>
  <c r="D276" i="38"/>
  <c r="D275" i="38"/>
  <c r="D274" i="38"/>
  <c r="D273" i="38"/>
  <c r="E267" i="38"/>
  <c r="F267" i="38"/>
  <c r="G267" i="38"/>
  <c r="I267" i="38"/>
  <c r="K267" i="38"/>
  <c r="M267" i="38"/>
  <c r="N267" i="38"/>
  <c r="D266" i="38"/>
  <c r="E265" i="38"/>
  <c r="P265" i="38" s="1"/>
  <c r="F265" i="38"/>
  <c r="G265" i="38"/>
  <c r="H265" i="38"/>
  <c r="I265" i="38"/>
  <c r="J265" i="38"/>
  <c r="K265" i="38"/>
  <c r="L265" i="38"/>
  <c r="M265" i="38"/>
  <c r="N265" i="38"/>
  <c r="D259" i="38"/>
  <c r="D257" i="38"/>
  <c r="D255" i="38"/>
  <c r="D254" i="38"/>
  <c r="D253" i="38"/>
  <c r="D251" i="38"/>
  <c r="D249" i="38"/>
  <c r="D248" i="38"/>
  <c r="D247" i="38"/>
  <c r="D246" i="38"/>
  <c r="D245" i="38"/>
  <c r="E239" i="38"/>
  <c r="F239" i="38"/>
  <c r="G239" i="38"/>
  <c r="I239" i="38"/>
  <c r="K239" i="38"/>
  <c r="M239" i="38"/>
  <c r="N239" i="38"/>
  <c r="D238" i="38"/>
  <c r="E237" i="38"/>
  <c r="F237" i="38"/>
  <c r="G237" i="38"/>
  <c r="H237" i="38"/>
  <c r="I237" i="38"/>
  <c r="P237" i="38" s="1"/>
  <c r="J237" i="38"/>
  <c r="K237" i="38"/>
  <c r="L237" i="38"/>
  <c r="M237" i="38"/>
  <c r="N237" i="38"/>
  <c r="D231" i="38"/>
  <c r="D229" i="38"/>
  <c r="D227" i="38"/>
  <c r="D226" i="38"/>
  <c r="D225" i="38"/>
  <c r="D223" i="38"/>
  <c r="D222" i="38"/>
  <c r="D221" i="38"/>
  <c r="D220" i="38"/>
  <c r="D219" i="38"/>
  <c r="D218" i="38"/>
  <c r="D217" i="38"/>
  <c r="E211" i="38"/>
  <c r="F211" i="38"/>
  <c r="G211" i="38"/>
  <c r="I211" i="38"/>
  <c r="K211" i="38"/>
  <c r="M211" i="38"/>
  <c r="N211" i="38"/>
  <c r="D210" i="38"/>
  <c r="E209" i="38"/>
  <c r="P209" i="38" s="1"/>
  <c r="F209" i="38"/>
  <c r="G209" i="38"/>
  <c r="H209" i="38"/>
  <c r="I209" i="38"/>
  <c r="J209" i="38"/>
  <c r="K209" i="38"/>
  <c r="L209" i="38"/>
  <c r="M209" i="38"/>
  <c r="N209" i="38"/>
  <c r="D203" i="38"/>
  <c r="D201" i="38"/>
  <c r="D199" i="38"/>
  <c r="D198" i="38"/>
  <c r="D197" i="38"/>
  <c r="D195" i="38"/>
  <c r="D194" i="38"/>
  <c r="D193" i="38"/>
  <c r="D192" i="38"/>
  <c r="D191" i="38"/>
  <c r="D190" i="38"/>
  <c r="S182" i="38"/>
  <c r="E152" i="38"/>
  <c r="F152" i="38"/>
  <c r="G152" i="38"/>
  <c r="I152" i="38"/>
  <c r="K152" i="38"/>
  <c r="M152" i="38"/>
  <c r="N152" i="38"/>
  <c r="D151" i="38"/>
  <c r="E150" i="38"/>
  <c r="F150" i="38"/>
  <c r="G150" i="38"/>
  <c r="H150" i="38"/>
  <c r="I150" i="38"/>
  <c r="J150" i="38"/>
  <c r="K150" i="38"/>
  <c r="L150" i="38"/>
  <c r="M150" i="38"/>
  <c r="N150" i="38"/>
  <c r="P150" i="38"/>
  <c r="D144" i="38"/>
  <c r="D142" i="38"/>
  <c r="D140" i="38"/>
  <c r="D139" i="38"/>
  <c r="D138" i="38"/>
  <c r="D136" i="38"/>
  <c r="D135" i="38"/>
  <c r="D134" i="38"/>
  <c r="D133" i="38"/>
  <c r="D132" i="38"/>
  <c r="D131" i="38"/>
  <c r="E124" i="38"/>
  <c r="F124" i="38"/>
  <c r="G124" i="38"/>
  <c r="I124" i="38"/>
  <c r="K124" i="38"/>
  <c r="M124" i="38"/>
  <c r="N124" i="38"/>
  <c r="D123" i="38"/>
  <c r="E122" i="38"/>
  <c r="F122" i="38"/>
  <c r="G122" i="38"/>
  <c r="H122" i="38"/>
  <c r="I122" i="38"/>
  <c r="P122" i="38" s="1"/>
  <c r="J122" i="38"/>
  <c r="K122" i="38"/>
  <c r="L122" i="38"/>
  <c r="M122" i="38"/>
  <c r="N122" i="38"/>
  <c r="D116" i="38"/>
  <c r="D114" i="38"/>
  <c r="D112" i="38"/>
  <c r="D111" i="38"/>
  <c r="D110" i="38"/>
  <c r="D109" i="38"/>
  <c r="D108" i="38"/>
  <c r="D107" i="38"/>
  <c r="D106" i="38"/>
  <c r="D105" i="38"/>
  <c r="D104" i="38"/>
  <c r="D103" i="38"/>
  <c r="D102" i="38"/>
  <c r="E96" i="38"/>
  <c r="F96" i="38"/>
  <c r="G96" i="38"/>
  <c r="I96" i="38"/>
  <c r="K96" i="38"/>
  <c r="M96" i="38"/>
  <c r="N96" i="38"/>
  <c r="D95" i="38"/>
  <c r="E94" i="38"/>
  <c r="F94" i="38"/>
  <c r="G94" i="38"/>
  <c r="H94" i="38"/>
  <c r="I94" i="38"/>
  <c r="J94" i="38"/>
  <c r="K94" i="38"/>
  <c r="P94" i="38" s="1"/>
  <c r="L94" i="38"/>
  <c r="M94" i="38"/>
  <c r="N94" i="38"/>
  <c r="D88" i="38"/>
  <c r="D86" i="38"/>
  <c r="D84" i="38"/>
  <c r="D83" i="38"/>
  <c r="D82" i="38"/>
  <c r="D81" i="38"/>
  <c r="D80" i="38"/>
  <c r="D78" i="38"/>
  <c r="D77" i="38"/>
  <c r="D76" i="38"/>
  <c r="D75" i="38"/>
  <c r="D74" i="38"/>
  <c r="E68" i="38"/>
  <c r="F68" i="38"/>
  <c r="G68" i="38"/>
  <c r="I68" i="38"/>
  <c r="K68" i="38"/>
  <c r="M68" i="38"/>
  <c r="N68" i="38"/>
  <c r="D67" i="38"/>
  <c r="E66" i="38"/>
  <c r="F66" i="38"/>
  <c r="G66" i="38"/>
  <c r="H66" i="38"/>
  <c r="I66" i="38"/>
  <c r="J66" i="38"/>
  <c r="K66" i="38"/>
  <c r="L66" i="38"/>
  <c r="M66" i="38"/>
  <c r="N66" i="38"/>
  <c r="P66" i="38"/>
  <c r="D60" i="38"/>
  <c r="D58" i="38"/>
  <c r="D56" i="38"/>
  <c r="D55" i="38"/>
  <c r="D54" i="38"/>
  <c r="D53" i="38"/>
  <c r="D52" i="38"/>
  <c r="D51" i="38"/>
  <c r="D50" i="38"/>
  <c r="D49" i="38"/>
  <c r="D48" i="38"/>
  <c r="D47" i="38"/>
  <c r="D46" i="38"/>
  <c r="C42" i="38"/>
  <c r="B42" i="38"/>
  <c r="C41" i="38"/>
  <c r="B41" i="38"/>
  <c r="O40" i="38"/>
  <c r="C40" i="38"/>
  <c r="B40" i="38"/>
  <c r="D39" i="38"/>
  <c r="C39" i="38"/>
  <c r="B39" i="38"/>
  <c r="O38" i="38"/>
  <c r="C38" i="38"/>
  <c r="B38" i="38"/>
  <c r="C37" i="38"/>
  <c r="B37" i="38"/>
  <c r="C36" i="38"/>
  <c r="B36" i="38"/>
  <c r="O35" i="38"/>
  <c r="C35" i="38"/>
  <c r="B35" i="38"/>
  <c r="O34" i="38"/>
  <c r="C34" i="38"/>
  <c r="B34" i="38"/>
  <c r="O33" i="38"/>
  <c r="C33" i="38"/>
  <c r="B33" i="38"/>
  <c r="O32" i="38"/>
  <c r="D32" i="38"/>
  <c r="C32" i="38"/>
  <c r="B32" i="38"/>
  <c r="O31" i="38"/>
  <c r="C31" i="38"/>
  <c r="B31" i="38"/>
  <c r="O30" i="38"/>
  <c r="D30" i="38"/>
  <c r="C30" i="38"/>
  <c r="B30" i="38"/>
  <c r="O29" i="38"/>
  <c r="C29" i="38"/>
  <c r="B29" i="38"/>
  <c r="O28" i="38"/>
  <c r="D28" i="38"/>
  <c r="C28" i="38"/>
  <c r="B28" i="38"/>
  <c r="O27" i="38"/>
  <c r="D27" i="38"/>
  <c r="C27" i="38"/>
  <c r="B27" i="38"/>
  <c r="O26" i="38"/>
  <c r="D26" i="38"/>
  <c r="C26" i="38"/>
  <c r="B26" i="38"/>
  <c r="O25" i="38"/>
  <c r="D25" i="38"/>
  <c r="C25" i="38"/>
  <c r="B25" i="38"/>
  <c r="O24" i="38"/>
  <c r="D24" i="38"/>
  <c r="C24" i="38"/>
  <c r="B24" i="38"/>
  <c r="O23" i="38"/>
  <c r="D23" i="38"/>
  <c r="C23" i="38"/>
  <c r="B23" i="38"/>
  <c r="D22" i="38"/>
  <c r="D21" i="38"/>
  <c r="P20" i="38"/>
  <c r="D20" i="38"/>
  <c r="D19" i="38"/>
  <c r="O18" i="38"/>
  <c r="D18" i="38"/>
  <c r="C18" i="38"/>
  <c r="P17" i="38"/>
  <c r="O17" i="38"/>
  <c r="N17" i="38"/>
  <c r="M17" i="38"/>
  <c r="L17" i="38"/>
  <c r="K17" i="38"/>
  <c r="J17" i="38"/>
  <c r="I17" i="38"/>
  <c r="H17" i="38"/>
  <c r="G17" i="38"/>
  <c r="F17" i="38"/>
  <c r="E17" i="38"/>
  <c r="C17" i="38"/>
  <c r="B17" i="38"/>
  <c r="D5" i="38"/>
  <c r="D4" i="38"/>
  <c r="D320" i="38"/>
  <c r="D292" i="38"/>
  <c r="D264" i="38"/>
  <c r="D236" i="38"/>
  <c r="D208" i="38"/>
  <c r="D149" i="38"/>
  <c r="D121" i="38"/>
  <c r="D93" i="38"/>
  <c r="D65" i="38"/>
  <c r="D37" i="38"/>
  <c r="D323" i="38"/>
  <c r="D295" i="38"/>
  <c r="D267" i="38"/>
  <c r="D239" i="38"/>
  <c r="D211" i="38"/>
  <c r="D152" i="38"/>
  <c r="D124" i="38"/>
  <c r="D96" i="38"/>
  <c r="D68" i="38"/>
  <c r="D40" i="38"/>
  <c r="O216" i="37"/>
  <c r="E326" i="37"/>
  <c r="F326" i="37"/>
  <c r="G326" i="37"/>
  <c r="H326" i="37"/>
  <c r="J326" i="37"/>
  <c r="K326" i="37"/>
  <c r="N326" i="37"/>
  <c r="D325" i="37"/>
  <c r="E324" i="37"/>
  <c r="F324" i="37"/>
  <c r="G324" i="37"/>
  <c r="H324" i="37"/>
  <c r="I324" i="37"/>
  <c r="J324" i="37"/>
  <c r="K324" i="37"/>
  <c r="L324" i="37"/>
  <c r="M324" i="37"/>
  <c r="N324" i="37"/>
  <c r="D318" i="37"/>
  <c r="D316" i="37"/>
  <c r="P316" i="37" s="1"/>
  <c r="D314" i="37"/>
  <c r="D313" i="37"/>
  <c r="D312" i="37"/>
  <c r="D311" i="37"/>
  <c r="D310" i="37"/>
  <c r="D309" i="37"/>
  <c r="D308" i="37"/>
  <c r="D307" i="37"/>
  <c r="P307" i="37"/>
  <c r="D306" i="37"/>
  <c r="P306" i="37"/>
  <c r="D305" i="37"/>
  <c r="D161" i="37"/>
  <c r="E298" i="37"/>
  <c r="F298" i="37"/>
  <c r="G298" i="37"/>
  <c r="H298" i="37"/>
  <c r="J298" i="37"/>
  <c r="K298" i="37"/>
  <c r="N298" i="37"/>
  <c r="D297" i="37"/>
  <c r="E296" i="37"/>
  <c r="F296" i="37"/>
  <c r="G296" i="37"/>
  <c r="H296" i="37"/>
  <c r="I296" i="37"/>
  <c r="J296" i="37"/>
  <c r="K296" i="37"/>
  <c r="L296" i="37"/>
  <c r="M296" i="37"/>
  <c r="N296" i="37"/>
  <c r="D290" i="37"/>
  <c r="D288" i="37"/>
  <c r="P288" i="37"/>
  <c r="D286" i="37"/>
  <c r="D285" i="37"/>
  <c r="D284" i="37"/>
  <c r="D283" i="37"/>
  <c r="D282" i="37"/>
  <c r="D281" i="37"/>
  <c r="D280" i="37"/>
  <c r="D279" i="37"/>
  <c r="P279" i="37"/>
  <c r="D278" i="37"/>
  <c r="P278" i="37" s="1"/>
  <c r="D277" i="37"/>
  <c r="E270" i="37"/>
  <c r="F270" i="37"/>
  <c r="G270" i="37"/>
  <c r="H270" i="37"/>
  <c r="J270" i="37"/>
  <c r="K270" i="37"/>
  <c r="N270" i="37"/>
  <c r="D269" i="37"/>
  <c r="E268" i="37"/>
  <c r="F268" i="37"/>
  <c r="G268" i="37"/>
  <c r="H268" i="37"/>
  <c r="I268" i="37"/>
  <c r="J268" i="37"/>
  <c r="K268" i="37"/>
  <c r="L268" i="37"/>
  <c r="M268" i="37"/>
  <c r="N268" i="37"/>
  <c r="D262" i="37"/>
  <c r="D260" i="37"/>
  <c r="P260" i="37"/>
  <c r="D258" i="37"/>
  <c r="D257" i="37"/>
  <c r="D256" i="37"/>
  <c r="D255" i="37"/>
  <c r="D254" i="37"/>
  <c r="D253" i="37"/>
  <c r="D252" i="37"/>
  <c r="D251" i="37"/>
  <c r="P251" i="37" s="1"/>
  <c r="D250" i="37"/>
  <c r="P250" i="37"/>
  <c r="D249" i="37"/>
  <c r="E242" i="37"/>
  <c r="F242" i="37"/>
  <c r="G242" i="37"/>
  <c r="H242" i="37"/>
  <c r="J242" i="37"/>
  <c r="K242" i="37"/>
  <c r="N242" i="37"/>
  <c r="D241" i="37"/>
  <c r="E240" i="37"/>
  <c r="F240" i="37"/>
  <c r="G240" i="37"/>
  <c r="H240" i="37"/>
  <c r="I240" i="37"/>
  <c r="J240" i="37"/>
  <c r="K240" i="37"/>
  <c r="L240" i="37"/>
  <c r="M240" i="37"/>
  <c r="N240" i="37"/>
  <c r="D234" i="37"/>
  <c r="D232" i="37"/>
  <c r="P232" i="37"/>
  <c r="D230" i="37"/>
  <c r="D229" i="37"/>
  <c r="D228" i="37"/>
  <c r="D227" i="37"/>
  <c r="D226" i="37"/>
  <c r="D225" i="37"/>
  <c r="D224" i="37"/>
  <c r="D223" i="37"/>
  <c r="P223" i="37" s="1"/>
  <c r="D222" i="37"/>
  <c r="P222" i="37"/>
  <c r="D221" i="37"/>
  <c r="E214" i="37"/>
  <c r="F214" i="37"/>
  <c r="G214" i="37"/>
  <c r="H214" i="37"/>
  <c r="J214" i="37"/>
  <c r="K214" i="37"/>
  <c r="N214" i="37"/>
  <c r="D213" i="37"/>
  <c r="E212" i="37"/>
  <c r="F212" i="37"/>
  <c r="G212" i="37"/>
  <c r="H212" i="37"/>
  <c r="I212" i="37"/>
  <c r="J212" i="37"/>
  <c r="K212" i="37"/>
  <c r="L212" i="37"/>
  <c r="M212" i="37"/>
  <c r="N212" i="37"/>
  <c r="D206" i="37"/>
  <c r="D204" i="37"/>
  <c r="P204" i="37"/>
  <c r="D202" i="37"/>
  <c r="D201" i="37"/>
  <c r="D200" i="37"/>
  <c r="D199" i="37"/>
  <c r="D198" i="37"/>
  <c r="D197" i="37"/>
  <c r="D196" i="37"/>
  <c r="D195" i="37"/>
  <c r="P195" i="37" s="1"/>
  <c r="D194" i="37"/>
  <c r="P194" i="37"/>
  <c r="D193" i="37"/>
  <c r="P173" i="37"/>
  <c r="P164" i="37"/>
  <c r="P163" i="37"/>
  <c r="E155" i="37"/>
  <c r="F155" i="37"/>
  <c r="G155" i="37"/>
  <c r="H155" i="37"/>
  <c r="J155" i="37"/>
  <c r="K155" i="37"/>
  <c r="N155" i="37"/>
  <c r="D154" i="37"/>
  <c r="E153" i="37"/>
  <c r="F153" i="37"/>
  <c r="G153" i="37"/>
  <c r="H153" i="37"/>
  <c r="I153" i="37"/>
  <c r="J153" i="37"/>
  <c r="K153" i="37"/>
  <c r="L153" i="37"/>
  <c r="M153" i="37"/>
  <c r="N153" i="37"/>
  <c r="D147" i="37"/>
  <c r="D145" i="37"/>
  <c r="P145" i="37"/>
  <c r="D143" i="37"/>
  <c r="D142" i="37"/>
  <c r="D141" i="37"/>
  <c r="D140" i="37"/>
  <c r="D139" i="37"/>
  <c r="D138" i="37"/>
  <c r="D137" i="37"/>
  <c r="D136" i="37"/>
  <c r="P136" i="37"/>
  <c r="D135" i="37"/>
  <c r="P135" i="37" s="1"/>
  <c r="D134" i="37"/>
  <c r="D133" i="37"/>
  <c r="E127" i="37"/>
  <c r="F127" i="37"/>
  <c r="G127" i="37"/>
  <c r="H127" i="37"/>
  <c r="J127" i="37"/>
  <c r="K127" i="37"/>
  <c r="N127" i="37"/>
  <c r="D126" i="37"/>
  <c r="E125" i="37"/>
  <c r="F125" i="37"/>
  <c r="G125" i="37"/>
  <c r="H125" i="37"/>
  <c r="I125" i="37"/>
  <c r="J125" i="37"/>
  <c r="K125" i="37"/>
  <c r="L125" i="37"/>
  <c r="M125" i="37"/>
  <c r="N125" i="37"/>
  <c r="D119" i="37"/>
  <c r="D117" i="37"/>
  <c r="P117" i="37" s="1"/>
  <c r="D115" i="37"/>
  <c r="D114" i="37"/>
  <c r="D113" i="37"/>
  <c r="D112" i="37"/>
  <c r="D111" i="37"/>
  <c r="D110" i="37"/>
  <c r="D109" i="37"/>
  <c r="D108" i="37"/>
  <c r="P108" i="37" s="1"/>
  <c r="D107" i="37"/>
  <c r="P107" i="37"/>
  <c r="D106" i="37"/>
  <c r="D105" i="37"/>
  <c r="E96" i="37"/>
  <c r="F96" i="37"/>
  <c r="G96" i="37"/>
  <c r="H96" i="37"/>
  <c r="J96" i="37"/>
  <c r="K96" i="37"/>
  <c r="N96" i="37"/>
  <c r="D95" i="37"/>
  <c r="E94" i="37"/>
  <c r="F94" i="37"/>
  <c r="G94" i="37"/>
  <c r="H94" i="37"/>
  <c r="I94" i="37"/>
  <c r="J94" i="37"/>
  <c r="K94" i="37"/>
  <c r="L94" i="37"/>
  <c r="M94" i="37"/>
  <c r="N94" i="37"/>
  <c r="D88" i="37"/>
  <c r="D86" i="37"/>
  <c r="P86" i="37"/>
  <c r="D84" i="37"/>
  <c r="D83" i="37"/>
  <c r="D82" i="37"/>
  <c r="D81" i="37"/>
  <c r="D80" i="37"/>
  <c r="D79" i="37"/>
  <c r="D78" i="37"/>
  <c r="D77" i="37"/>
  <c r="P77" i="37" s="1"/>
  <c r="D76" i="37"/>
  <c r="P76" i="37"/>
  <c r="D75" i="37"/>
  <c r="D74" i="37"/>
  <c r="E68" i="37"/>
  <c r="F68" i="37"/>
  <c r="G68" i="37"/>
  <c r="H68" i="37"/>
  <c r="J68" i="37"/>
  <c r="K68" i="37"/>
  <c r="N68" i="37"/>
  <c r="D67" i="37"/>
  <c r="E66" i="37"/>
  <c r="F66" i="37"/>
  <c r="G66" i="37"/>
  <c r="H66" i="37"/>
  <c r="I66" i="37"/>
  <c r="J66" i="37"/>
  <c r="K66" i="37"/>
  <c r="L66" i="37"/>
  <c r="M66" i="37"/>
  <c r="N66" i="37"/>
  <c r="D60" i="37"/>
  <c r="D58" i="37"/>
  <c r="P58" i="37" s="1"/>
  <c r="D56" i="37"/>
  <c r="D55" i="37"/>
  <c r="D54" i="37"/>
  <c r="D53" i="37"/>
  <c r="D52" i="37"/>
  <c r="D51" i="37"/>
  <c r="D50" i="37"/>
  <c r="D49" i="37"/>
  <c r="P49" i="37" s="1"/>
  <c r="D48" i="37"/>
  <c r="P48" i="37"/>
  <c r="D47" i="37"/>
  <c r="D46" i="37"/>
  <c r="P30" i="37"/>
  <c r="E38" i="37"/>
  <c r="F38" i="37"/>
  <c r="G38" i="37"/>
  <c r="H38" i="37"/>
  <c r="I38" i="37"/>
  <c r="J38" i="37"/>
  <c r="K38" i="37"/>
  <c r="L38" i="37"/>
  <c r="M38" i="37"/>
  <c r="N38" i="37"/>
  <c r="D39" i="37"/>
  <c r="E40" i="37"/>
  <c r="F40" i="37"/>
  <c r="G40" i="37"/>
  <c r="D40" i="37"/>
  <c r="H40" i="37"/>
  <c r="J40" i="37"/>
  <c r="K40" i="37"/>
  <c r="N40" i="37"/>
  <c r="P20" i="37"/>
  <c r="P21" i="37"/>
  <c r="P186" i="37"/>
  <c r="R185" i="37"/>
  <c r="E99" i="37"/>
  <c r="F99" i="37"/>
  <c r="G99" i="37"/>
  <c r="H99" i="37"/>
  <c r="P99" i="37" s="1"/>
  <c r="I99" i="37"/>
  <c r="J99" i="37"/>
  <c r="K99" i="37"/>
  <c r="L99" i="37"/>
  <c r="M99" i="37"/>
  <c r="N99" i="37"/>
  <c r="D99" i="37"/>
  <c r="O42" i="37"/>
  <c r="C42" i="37"/>
  <c r="B42" i="37"/>
  <c r="C41" i="37"/>
  <c r="B41" i="37"/>
  <c r="O40" i="37"/>
  <c r="C40" i="37"/>
  <c r="B40" i="37"/>
  <c r="C39" i="37"/>
  <c r="B39" i="37"/>
  <c r="O38" i="37"/>
  <c r="C38" i="37"/>
  <c r="B38" i="37"/>
  <c r="C37" i="37"/>
  <c r="B37" i="37"/>
  <c r="C36" i="37"/>
  <c r="B36" i="37"/>
  <c r="O35" i="37"/>
  <c r="C35" i="37"/>
  <c r="B35" i="37"/>
  <c r="O34" i="37"/>
  <c r="C34" i="37"/>
  <c r="B34" i="37"/>
  <c r="O33" i="37"/>
  <c r="C33" i="37"/>
  <c r="B33" i="37"/>
  <c r="O32" i="37"/>
  <c r="C32" i="37"/>
  <c r="B32" i="37"/>
  <c r="O31" i="37"/>
  <c r="C31" i="37"/>
  <c r="B31" i="37"/>
  <c r="O30" i="37"/>
  <c r="C30" i="37"/>
  <c r="B30" i="37"/>
  <c r="O29" i="37"/>
  <c r="C29" i="37"/>
  <c r="B29" i="37"/>
  <c r="O28" i="37"/>
  <c r="C28" i="37"/>
  <c r="B28" i="37"/>
  <c r="O27" i="37"/>
  <c r="C27" i="37"/>
  <c r="B27" i="37"/>
  <c r="O26" i="37"/>
  <c r="C26" i="37"/>
  <c r="B26" i="37"/>
  <c r="O25" i="37"/>
  <c r="C25" i="37"/>
  <c r="B25" i="37"/>
  <c r="O24" i="37"/>
  <c r="C24" i="37"/>
  <c r="B24" i="37"/>
  <c r="O23" i="37"/>
  <c r="C23" i="37"/>
  <c r="B23" i="37"/>
  <c r="O18" i="37"/>
  <c r="C18" i="37"/>
  <c r="P17" i="37"/>
  <c r="O17" i="37"/>
  <c r="N17" i="37"/>
  <c r="M17" i="37"/>
  <c r="L17" i="37"/>
  <c r="K17" i="37"/>
  <c r="J17" i="37"/>
  <c r="I17" i="37"/>
  <c r="H17" i="37"/>
  <c r="G17" i="37"/>
  <c r="F17" i="37"/>
  <c r="E17" i="37"/>
  <c r="C17" i="37"/>
  <c r="B17" i="37"/>
  <c r="D5" i="37"/>
  <c r="D4" i="37"/>
  <c r="D323" i="37"/>
  <c r="D295" i="37"/>
  <c r="D267" i="37"/>
  <c r="D239" i="37"/>
  <c r="D211" i="37"/>
  <c r="D152" i="37"/>
  <c r="D124" i="37"/>
  <c r="D93" i="37"/>
  <c r="D65" i="37"/>
  <c r="D37" i="37"/>
  <c r="D192" i="37"/>
  <c r="D220" i="37"/>
  <c r="D248" i="37"/>
  <c r="D79" i="38"/>
  <c r="D130" i="38"/>
  <c r="D137" i="38"/>
  <c r="D189" i="38"/>
  <c r="D196" i="38"/>
  <c r="D250" i="38"/>
  <c r="D308" i="38"/>
  <c r="D88" i="39"/>
  <c r="D109" i="39"/>
  <c r="D231" i="39"/>
  <c r="D315" i="39"/>
  <c r="E77" i="39"/>
  <c r="E78" i="39" s="1"/>
  <c r="H48" i="39"/>
  <c r="D252" i="38"/>
  <c r="D144" i="39"/>
  <c r="D287" i="39"/>
  <c r="L303" i="29"/>
  <c r="L305" i="29"/>
  <c r="D32" i="39"/>
  <c r="D60" i="39"/>
  <c r="K313" i="38"/>
  <c r="G313" i="38"/>
  <c r="H21" i="38"/>
  <c r="N58" i="39"/>
  <c r="L48" i="39"/>
  <c r="L50" i="39"/>
  <c r="J58" i="39"/>
  <c r="F58" i="39"/>
  <c r="E49" i="39"/>
  <c r="N114" i="39"/>
  <c r="L104" i="39"/>
  <c r="L106" i="39"/>
  <c r="J114" i="39"/>
  <c r="H104" i="39"/>
  <c r="F114" i="39"/>
  <c r="E105" i="39"/>
  <c r="I239" i="29"/>
  <c r="I96" i="29"/>
  <c r="I267" i="29"/>
  <c r="I124" i="29"/>
  <c r="I323" i="29"/>
  <c r="I211" i="29"/>
  <c r="I68" i="29"/>
  <c r="H220" i="29"/>
  <c r="F21" i="29"/>
  <c r="I48" i="29"/>
  <c r="I191" i="29"/>
  <c r="I303" i="29"/>
  <c r="I76" i="29"/>
  <c r="I219" i="29"/>
  <c r="I20" i="29"/>
  <c r="I132" i="29"/>
  <c r="I275" i="29"/>
  <c r="E247" i="29"/>
  <c r="D60" i="29"/>
  <c r="H142" i="29"/>
  <c r="L104" i="29"/>
  <c r="P104" i="29" s="1"/>
  <c r="M276" i="29"/>
  <c r="M220" i="29"/>
  <c r="M133" i="29"/>
  <c r="M134" i="29" s="1"/>
  <c r="M131" i="29"/>
  <c r="M77" i="29"/>
  <c r="M21" i="29"/>
  <c r="M304" i="29"/>
  <c r="M248" i="29"/>
  <c r="M192" i="29"/>
  <c r="M105" i="29"/>
  <c r="M49" i="29"/>
  <c r="J247" i="29"/>
  <c r="J191" i="29"/>
  <c r="J104" i="29"/>
  <c r="J48" i="29"/>
  <c r="J303" i="29"/>
  <c r="J275" i="29"/>
  <c r="J219" i="29"/>
  <c r="J132" i="29"/>
  <c r="J76" i="29"/>
  <c r="J20" i="29"/>
  <c r="K295" i="29"/>
  <c r="K152" i="29"/>
  <c r="K40" i="29"/>
  <c r="K211" i="29"/>
  <c r="K68" i="29"/>
  <c r="K323" i="29"/>
  <c r="K267" i="29"/>
  <c r="K124" i="29"/>
  <c r="H21" i="29"/>
  <c r="F304" i="29"/>
  <c r="F248" i="29"/>
  <c r="F192" i="29"/>
  <c r="F105" i="29"/>
  <c r="F49" i="29"/>
  <c r="P161" i="29"/>
  <c r="E219" i="29"/>
  <c r="L219" i="29"/>
  <c r="N219" i="29"/>
  <c r="N162" i="29"/>
  <c r="N247" i="29"/>
  <c r="N249" i="29"/>
  <c r="N191" i="29"/>
  <c r="N104" i="29"/>
  <c r="N48" i="29"/>
  <c r="N303" i="29"/>
  <c r="N275" i="29"/>
  <c r="N132" i="29"/>
  <c r="N76" i="29"/>
  <c r="N20" i="29"/>
  <c r="M239" i="29"/>
  <c r="M96" i="29"/>
  <c r="M267" i="29"/>
  <c r="M124" i="29"/>
  <c r="M323" i="29"/>
  <c r="M211" i="29"/>
  <c r="M68" i="29"/>
  <c r="E96" i="29"/>
  <c r="E323" i="29"/>
  <c r="H304" i="29"/>
  <c r="H248" i="29"/>
  <c r="H192" i="29"/>
  <c r="H105" i="29"/>
  <c r="H49" i="29"/>
  <c r="E48" i="29"/>
  <c r="E191" i="29"/>
  <c r="E303" i="29"/>
  <c r="E76" i="29"/>
  <c r="E20" i="29"/>
  <c r="E132" i="29"/>
  <c r="E275" i="29"/>
  <c r="P160" i="29"/>
  <c r="D315" i="29"/>
  <c r="D259" i="29"/>
  <c r="D231" i="29"/>
  <c r="D144" i="29"/>
  <c r="D88" i="29"/>
  <c r="M162" i="29"/>
  <c r="M246" i="29"/>
  <c r="M190" i="29"/>
  <c r="M103" i="29"/>
  <c r="M47" i="29"/>
  <c r="M302" i="29"/>
  <c r="M274" i="29"/>
  <c r="M218" i="29"/>
  <c r="M75" i="29"/>
  <c r="M19" i="29"/>
  <c r="L275" i="29"/>
  <c r="L132" i="29"/>
  <c r="L76" i="29"/>
  <c r="L20" i="29"/>
  <c r="L162" i="29"/>
  <c r="L247" i="29"/>
  <c r="L191" i="29"/>
  <c r="L48" i="29"/>
  <c r="K248" i="29"/>
  <c r="K192" i="29"/>
  <c r="K105" i="29"/>
  <c r="K49" i="29"/>
  <c r="K304" i="29"/>
  <c r="K276" i="29"/>
  <c r="K274" i="29"/>
  <c r="K277" i="29"/>
  <c r="K220" i="29"/>
  <c r="K133" i="29"/>
  <c r="K77" i="29"/>
  <c r="K21" i="29"/>
  <c r="K22" i="29" s="1"/>
  <c r="K19" i="29"/>
  <c r="H247" i="30"/>
  <c r="G295" i="29"/>
  <c r="G152" i="29"/>
  <c r="G40" i="29"/>
  <c r="G211" i="29"/>
  <c r="G68" i="29"/>
  <c r="G323" i="29"/>
  <c r="G267" i="29"/>
  <c r="G124" i="29"/>
  <c r="K131" i="29"/>
  <c r="H313" i="29"/>
  <c r="N221" i="29"/>
  <c r="D166" i="29"/>
  <c r="D307" i="29"/>
  <c r="D251" i="29"/>
  <c r="D223" i="29"/>
  <c r="D136" i="29"/>
  <c r="D80" i="29"/>
  <c r="K218" i="29"/>
  <c r="K75" i="29"/>
  <c r="K302" i="29"/>
  <c r="K246" i="29"/>
  <c r="K190" i="29"/>
  <c r="K103" i="29"/>
  <c r="K47" i="29"/>
  <c r="H285" i="29"/>
  <c r="H229" i="29"/>
  <c r="H86" i="29"/>
  <c r="H30" i="29"/>
  <c r="P170" i="29"/>
  <c r="G321" i="29"/>
  <c r="G265" i="29"/>
  <c r="G38" i="29"/>
  <c r="G209" i="29"/>
  <c r="G122" i="29"/>
  <c r="G66" i="29"/>
  <c r="G237" i="29"/>
  <c r="G150" i="29"/>
  <c r="G94" i="29"/>
  <c r="K162" i="30"/>
  <c r="M162" i="30"/>
  <c r="E77" i="30"/>
  <c r="E220" i="30"/>
  <c r="P160" i="30"/>
  <c r="H48" i="30"/>
  <c r="H191" i="30"/>
  <c r="H303" i="30"/>
  <c r="D46" i="30"/>
  <c r="D74" i="30"/>
  <c r="D102" i="30"/>
  <c r="N58" i="30"/>
  <c r="L58" i="30"/>
  <c r="K49" i="30"/>
  <c r="J58" i="30"/>
  <c r="H58" i="30"/>
  <c r="M94" i="30"/>
  <c r="K94" i="30"/>
  <c r="J76" i="30"/>
  <c r="P76" i="30" s="1"/>
  <c r="M76" i="30"/>
  <c r="I94" i="30"/>
  <c r="G94" i="30"/>
  <c r="M114" i="30"/>
  <c r="M105" i="30"/>
  <c r="K105" i="30"/>
  <c r="I114" i="30"/>
  <c r="G114" i="30"/>
  <c r="N114" i="30"/>
  <c r="E122" i="30"/>
  <c r="N150" i="30"/>
  <c r="M132" i="30"/>
  <c r="K132" i="30"/>
  <c r="K131" i="30"/>
  <c r="K134" i="30" s="1"/>
  <c r="H150" i="30"/>
  <c r="F150" i="30"/>
  <c r="K150" i="30"/>
  <c r="N201" i="30"/>
  <c r="M192" i="30"/>
  <c r="L201" i="30"/>
  <c r="K192" i="30"/>
  <c r="J201" i="30"/>
  <c r="M237" i="30"/>
  <c r="L219" i="30"/>
  <c r="K237" i="30"/>
  <c r="J219" i="30"/>
  <c r="I237" i="30"/>
  <c r="G237" i="30"/>
  <c r="M246" i="30"/>
  <c r="M249" i="30" s="1"/>
  <c r="K246" i="30"/>
  <c r="K248" i="30"/>
  <c r="I257" i="30"/>
  <c r="G257" i="30"/>
  <c r="N257" i="30"/>
  <c r="E265" i="30"/>
  <c r="M275" i="30"/>
  <c r="K275" i="30"/>
  <c r="H293" i="30"/>
  <c r="F293" i="30"/>
  <c r="P293" i="30" s="1"/>
  <c r="K293" i="30"/>
  <c r="M321" i="30"/>
  <c r="K321" i="30"/>
  <c r="F321" i="30"/>
  <c r="P321" i="30"/>
  <c r="I30" i="30"/>
  <c r="I40" i="30"/>
  <c r="F21" i="30"/>
  <c r="F38" i="30"/>
  <c r="H20" i="30"/>
  <c r="P20" i="30" s="1"/>
  <c r="M20" i="30"/>
  <c r="G30" i="30"/>
  <c r="K21" i="30"/>
  <c r="K19" i="30"/>
  <c r="K38" i="30"/>
  <c r="M22" i="30"/>
  <c r="N30" i="30"/>
  <c r="N40" i="30"/>
  <c r="E21" i="30"/>
  <c r="E38" i="30"/>
  <c r="D96" i="28"/>
  <c r="F149" i="25"/>
  <c r="F122" i="25"/>
  <c r="F125" i="25"/>
  <c r="F127" i="25"/>
  <c r="F129" i="25"/>
  <c r="F131" i="25"/>
  <c r="F123" i="25"/>
  <c r="F124" i="25"/>
  <c r="F126" i="25"/>
  <c r="F128" i="25"/>
  <c r="F130" i="25"/>
  <c r="D28" i="34"/>
  <c r="D312" i="28"/>
  <c r="H275" i="29"/>
  <c r="E47" i="29"/>
  <c r="E50" i="29" s="1"/>
  <c r="E133" i="30"/>
  <c r="E276" i="30"/>
  <c r="H104" i="30"/>
  <c r="K47" i="30"/>
  <c r="K50" i="30" s="1"/>
  <c r="I58" i="30"/>
  <c r="G58" i="30"/>
  <c r="E66" i="30"/>
  <c r="K66" i="30"/>
  <c r="P66" i="30"/>
  <c r="F94" i="30"/>
  <c r="K103" i="30"/>
  <c r="K190" i="30"/>
  <c r="K193" i="30" s="1"/>
  <c r="I201" i="30"/>
  <c r="G201" i="30"/>
  <c r="E209" i="30"/>
  <c r="M219" i="30"/>
  <c r="F237" i="30"/>
  <c r="M303" i="30"/>
  <c r="F219" i="28"/>
  <c r="H48" i="29"/>
  <c r="H191" i="29"/>
  <c r="F104" i="29"/>
  <c r="I68" i="30"/>
  <c r="N96" i="30"/>
  <c r="I124" i="30"/>
  <c r="N152" i="30"/>
  <c r="I211" i="30"/>
  <c r="N239" i="30"/>
  <c r="I267" i="30"/>
  <c r="P161" i="30"/>
  <c r="F49" i="30"/>
  <c r="F105" i="30"/>
  <c r="F192" i="30"/>
  <c r="F248" i="30"/>
  <c r="E49" i="30"/>
  <c r="E192" i="30"/>
  <c r="H132" i="30"/>
  <c r="E190" i="30"/>
  <c r="E193" i="30" s="1"/>
  <c r="K77" i="30"/>
  <c r="I86" i="30"/>
  <c r="G86" i="30"/>
  <c r="E94" i="30"/>
  <c r="M104" i="30"/>
  <c r="F122" i="30"/>
  <c r="N142" i="30"/>
  <c r="K218" i="30"/>
  <c r="K221" i="30" s="1"/>
  <c r="I229" i="30"/>
  <c r="G229" i="30"/>
  <c r="E237" i="30"/>
  <c r="L75" i="28"/>
  <c r="D68" i="28"/>
  <c r="D239" i="28"/>
  <c r="M40" i="28"/>
  <c r="I40" i="28"/>
  <c r="G40" i="28"/>
  <c r="N323" i="28"/>
  <c r="L323" i="28"/>
  <c r="J323" i="28"/>
  <c r="H323" i="28"/>
  <c r="F323" i="28"/>
  <c r="M295" i="28"/>
  <c r="I295" i="28"/>
  <c r="G295" i="28"/>
  <c r="N267" i="28"/>
  <c r="L267" i="28"/>
  <c r="J267" i="28"/>
  <c r="H267" i="28"/>
  <c r="F267" i="28"/>
  <c r="M239" i="28"/>
  <c r="I239" i="28"/>
  <c r="G239" i="28"/>
  <c r="N211" i="28"/>
  <c r="L211" i="28"/>
  <c r="J211" i="28"/>
  <c r="H211" i="28"/>
  <c r="F211" i="28"/>
  <c r="M152" i="28"/>
  <c r="I152" i="28"/>
  <c r="G152" i="28"/>
  <c r="N124" i="28"/>
  <c r="L124" i="28"/>
  <c r="J124" i="28"/>
  <c r="H124" i="28"/>
  <c r="F124" i="28"/>
  <c r="M96" i="28"/>
  <c r="I96" i="28"/>
  <c r="G96" i="28"/>
  <c r="N68" i="28"/>
  <c r="M68" i="28"/>
  <c r="L68" i="28"/>
  <c r="J68" i="28"/>
  <c r="I68" i="28"/>
  <c r="H68" i="28"/>
  <c r="G68" i="28"/>
  <c r="F68" i="28"/>
  <c r="E105" i="28"/>
  <c r="P160" i="28"/>
  <c r="I303" i="28"/>
  <c r="I191" i="28"/>
  <c r="I48" i="28"/>
  <c r="G247" i="28"/>
  <c r="F48" i="28"/>
  <c r="F132" i="28"/>
  <c r="E303" i="28"/>
  <c r="E191" i="28"/>
  <c r="E48" i="28"/>
  <c r="K19" i="28"/>
  <c r="K190" i="28"/>
  <c r="M190" i="28"/>
  <c r="E103" i="28"/>
  <c r="E106" i="28" s="1"/>
  <c r="D46" i="28"/>
  <c r="D74" i="28"/>
  <c r="D102" i="28"/>
  <c r="D130" i="28"/>
  <c r="D301" i="28"/>
  <c r="D273" i="28"/>
  <c r="D245" i="28"/>
  <c r="D217" i="28"/>
  <c r="M20" i="28"/>
  <c r="M22" i="28"/>
  <c r="N303" i="28"/>
  <c r="L321" i="28"/>
  <c r="D282" i="28"/>
  <c r="M293" i="28"/>
  <c r="M275" i="28"/>
  <c r="P275" i="28"/>
  <c r="I293" i="28"/>
  <c r="G293" i="28"/>
  <c r="E293" i="28"/>
  <c r="N247" i="28"/>
  <c r="L265" i="28"/>
  <c r="J247" i="28"/>
  <c r="H265" i="28"/>
  <c r="F265" i="28"/>
  <c r="L220" i="28"/>
  <c r="L221" i="28"/>
  <c r="K229" i="28"/>
  <c r="K218" i="28"/>
  <c r="N201" i="28"/>
  <c r="M193" i="28"/>
  <c r="L201" i="28"/>
  <c r="L192" i="28"/>
  <c r="L193" i="28"/>
  <c r="J201" i="28"/>
  <c r="M133" i="28"/>
  <c r="L131" i="28"/>
  <c r="L134" i="28" s="1"/>
  <c r="K142" i="28"/>
  <c r="K133" i="28"/>
  <c r="K131" i="28"/>
  <c r="K134" i="28"/>
  <c r="N114" i="28"/>
  <c r="K103" i="28"/>
  <c r="J114" i="28"/>
  <c r="K77" i="28"/>
  <c r="K162" i="28"/>
  <c r="D55" i="28"/>
  <c r="N58" i="28"/>
  <c r="M48" i="28"/>
  <c r="M50" i="28" s="1"/>
  <c r="L66" i="28"/>
  <c r="K47" i="28"/>
  <c r="K49" i="28"/>
  <c r="J58" i="28"/>
  <c r="P183" i="25"/>
  <c r="N89" i="25"/>
  <c r="M111" i="25"/>
  <c r="K111" i="25"/>
  <c r="J89" i="25"/>
  <c r="H122" i="25"/>
  <c r="G89" i="25"/>
  <c r="M14" i="25"/>
  <c r="M36" i="25" s="1"/>
  <c r="N90" i="25"/>
  <c r="N7" i="25"/>
  <c r="N5" i="25"/>
  <c r="M90" i="25"/>
  <c r="M7" i="25"/>
  <c r="M5" i="25"/>
  <c r="L7" i="25"/>
  <c r="L5" i="25"/>
  <c r="K90" i="25"/>
  <c r="K7" i="25"/>
  <c r="K5" i="25"/>
  <c r="J90" i="25"/>
  <c r="J7" i="25"/>
  <c r="J5" i="25"/>
  <c r="I4" i="25"/>
  <c r="H149" i="25"/>
  <c r="H5" i="25"/>
  <c r="G7" i="25"/>
  <c r="G5" i="25"/>
  <c r="F90" i="25"/>
  <c r="F5" i="25"/>
  <c r="E6" i="25"/>
  <c r="E120" i="25" s="1"/>
  <c r="E5" i="25"/>
  <c r="E4" i="25"/>
  <c r="P20" i="34"/>
  <c r="H13" i="34"/>
  <c r="D155" i="17" s="1"/>
  <c r="H9" i="34"/>
  <c r="H5" i="34"/>
  <c r="D147" i="17" s="1"/>
  <c r="N148" i="25"/>
  <c r="N146" i="25"/>
  <c r="M148" i="25"/>
  <c r="M146" i="25"/>
  <c r="L148" i="25"/>
  <c r="N40" i="28"/>
  <c r="L40" i="28"/>
  <c r="J40" i="28"/>
  <c r="H40" i="28"/>
  <c r="F40" i="28"/>
  <c r="M323" i="28"/>
  <c r="I323" i="28"/>
  <c r="G323" i="28"/>
  <c r="N295" i="28"/>
  <c r="L295" i="28"/>
  <c r="J295" i="28"/>
  <c r="H295" i="28"/>
  <c r="F295" i="28"/>
  <c r="M267" i="28"/>
  <c r="I267" i="28"/>
  <c r="G267" i="28"/>
  <c r="N239" i="28"/>
  <c r="L239" i="28"/>
  <c r="J239" i="28"/>
  <c r="H239" i="28"/>
  <c r="F239" i="28"/>
  <c r="M211" i="28"/>
  <c r="K211" i="28"/>
  <c r="I211" i="28"/>
  <c r="G211" i="28"/>
  <c r="N152" i="28"/>
  <c r="L152" i="28"/>
  <c r="J152" i="28"/>
  <c r="H152" i="28"/>
  <c r="F152" i="28"/>
  <c r="P161" i="28"/>
  <c r="I247" i="28"/>
  <c r="I104" i="28"/>
  <c r="E247" i="28"/>
  <c r="M247" i="28"/>
  <c r="E104" i="28"/>
  <c r="F104" i="28"/>
  <c r="D254" i="28"/>
  <c r="D255" i="28" s="1"/>
  <c r="N229" i="28"/>
  <c r="K220" i="28"/>
  <c r="J229" i="28"/>
  <c r="K192" i="28"/>
  <c r="K193" i="28"/>
  <c r="N142" i="28"/>
  <c r="J142" i="28"/>
  <c r="K105" i="28"/>
  <c r="K106" i="28"/>
  <c r="N86" i="28"/>
  <c r="K75" i="28"/>
  <c r="J86" i="28"/>
  <c r="M162" i="28"/>
  <c r="D211" i="28"/>
  <c r="H49" i="28"/>
  <c r="H105" i="28"/>
  <c r="H192" i="28"/>
  <c r="H248" i="28"/>
  <c r="F49" i="28"/>
  <c r="F105" i="28"/>
  <c r="F192" i="28"/>
  <c r="F248" i="28"/>
  <c r="I20" i="28"/>
  <c r="I219" i="28"/>
  <c r="E20" i="28"/>
  <c r="E219" i="28"/>
  <c r="D168" i="28"/>
  <c r="N30" i="28"/>
  <c r="K22" i="28"/>
  <c r="J30" i="28"/>
  <c r="P30" i="28"/>
  <c r="K302" i="28"/>
  <c r="K305" i="28" s="1"/>
  <c r="D226" i="28"/>
  <c r="M237" i="28"/>
  <c r="M219" i="28"/>
  <c r="M221" i="28"/>
  <c r="N191" i="28"/>
  <c r="L209" i="28"/>
  <c r="J191" i="28"/>
  <c r="H209" i="28"/>
  <c r="F209" i="28"/>
  <c r="D139" i="28"/>
  <c r="M150" i="28"/>
  <c r="M132" i="28"/>
  <c r="I150" i="28"/>
  <c r="G150" i="28"/>
  <c r="E150" i="28"/>
  <c r="N115" i="25"/>
  <c r="M93" i="25"/>
  <c r="L115" i="25"/>
  <c r="H3" i="34"/>
  <c r="D145" i="17" s="1"/>
  <c r="H10" i="34"/>
  <c r="F245" i="46"/>
  <c r="G161" i="46"/>
  <c r="G203" i="46"/>
  <c r="F48" i="35"/>
  <c r="D172" i="37"/>
  <c r="D116" i="37" s="1"/>
  <c r="H152" i="35"/>
  <c r="L152" i="35"/>
  <c r="D40" i="35"/>
  <c r="D152" i="35"/>
  <c r="D93" i="35"/>
  <c r="D236" i="35"/>
  <c r="D37" i="35"/>
  <c r="F96" i="35"/>
  <c r="E124" i="35"/>
  <c r="G124" i="35"/>
  <c r="K124" i="35"/>
  <c r="F239" i="35"/>
  <c r="E267" i="35"/>
  <c r="K267" i="35"/>
  <c r="G267" i="35"/>
  <c r="L295" i="35"/>
  <c r="H295" i="35"/>
  <c r="H21" i="35"/>
  <c r="H220" i="35"/>
  <c r="H77" i="35"/>
  <c r="G133" i="35"/>
  <c r="G276" i="35"/>
  <c r="F21" i="35"/>
  <c r="F220" i="35"/>
  <c r="E162" i="35"/>
  <c r="E50" i="35" s="1"/>
  <c r="E133" i="35"/>
  <c r="I133" i="35"/>
  <c r="E276" i="35"/>
  <c r="P160" i="35"/>
  <c r="I303" i="35"/>
  <c r="I247" i="35"/>
  <c r="I191" i="35"/>
  <c r="I104" i="35"/>
  <c r="G247" i="35"/>
  <c r="G104" i="35"/>
  <c r="F191" i="35"/>
  <c r="F303" i="35"/>
  <c r="E303" i="35"/>
  <c r="E191" i="35"/>
  <c r="E131" i="35"/>
  <c r="E274" i="35"/>
  <c r="D24" i="35"/>
  <c r="E295" i="35"/>
  <c r="K295" i="35"/>
  <c r="G295" i="35"/>
  <c r="I77" i="35"/>
  <c r="I220" i="35"/>
  <c r="I276" i="35"/>
  <c r="G49" i="35"/>
  <c r="G192" i="35"/>
  <c r="G304" i="35"/>
  <c r="E49" i="35"/>
  <c r="E192" i="35"/>
  <c r="E304" i="35"/>
  <c r="G20" i="35"/>
  <c r="G219" i="35"/>
  <c r="G76" i="35"/>
  <c r="F76" i="35"/>
  <c r="F219" i="35"/>
  <c r="E47" i="35"/>
  <c r="E190" i="35"/>
  <c r="E302" i="35"/>
  <c r="P13" i="24"/>
  <c r="J14" i="24"/>
  <c r="E323" i="35"/>
  <c r="K323" i="35"/>
  <c r="G323" i="35"/>
  <c r="P161" i="35"/>
  <c r="H276" i="35"/>
  <c r="G77" i="35"/>
  <c r="G220" i="35"/>
  <c r="E77" i="35"/>
  <c r="E220" i="35"/>
  <c r="G303" i="35"/>
  <c r="G191" i="35"/>
  <c r="E75" i="35"/>
  <c r="E218" i="35"/>
  <c r="D65" i="35"/>
  <c r="D208" i="35"/>
  <c r="D223" i="35"/>
  <c r="D108" i="35"/>
  <c r="D307" i="35"/>
  <c r="D195" i="35"/>
  <c r="D80" i="35"/>
  <c r="D166" i="35"/>
  <c r="D251" i="35"/>
  <c r="D136" i="35"/>
  <c r="E111" i="11"/>
  <c r="F107" i="11" s="1"/>
  <c r="N150" i="35"/>
  <c r="J150" i="35"/>
  <c r="L150" i="35"/>
  <c r="L209" i="35"/>
  <c r="N237" i="35"/>
  <c r="J237" i="35"/>
  <c r="F237" i="35"/>
  <c r="L237" i="35"/>
  <c r="L265" i="35"/>
  <c r="N293" i="35"/>
  <c r="J293" i="35"/>
  <c r="F293" i="35"/>
  <c r="L293" i="35"/>
  <c r="L321" i="35"/>
  <c r="N38" i="35"/>
  <c r="J38" i="35"/>
  <c r="F38" i="35"/>
  <c r="N30" i="35"/>
  <c r="L30" i="35"/>
  <c r="J30" i="35"/>
  <c r="G30" i="35"/>
  <c r="M86" i="35"/>
  <c r="K86" i="35"/>
  <c r="I86" i="35"/>
  <c r="K106" i="35"/>
  <c r="N142" i="35"/>
  <c r="L142" i="35"/>
  <c r="J142" i="35"/>
  <c r="G142" i="35"/>
  <c r="M229" i="35"/>
  <c r="K229" i="35"/>
  <c r="I229" i="35"/>
  <c r="K249" i="35"/>
  <c r="N285" i="35"/>
  <c r="L285" i="35"/>
  <c r="J285" i="35"/>
  <c r="G285" i="35"/>
  <c r="K305" i="35"/>
  <c r="G313" i="35"/>
  <c r="M92" i="18"/>
  <c r="N122" i="35"/>
  <c r="N209" i="35"/>
  <c r="J209" i="35"/>
  <c r="F209" i="35"/>
  <c r="N265" i="35"/>
  <c r="J265" i="35"/>
  <c r="F265" i="35"/>
  <c r="M30" i="35"/>
  <c r="K30" i="35"/>
  <c r="I30" i="35"/>
  <c r="K50" i="35"/>
  <c r="N86" i="35"/>
  <c r="L86" i="35"/>
  <c r="J86" i="35"/>
  <c r="G86" i="35"/>
  <c r="M142" i="35"/>
  <c r="K142" i="35"/>
  <c r="I142" i="35"/>
  <c r="K193" i="35"/>
  <c r="N229" i="35"/>
  <c r="L229" i="35"/>
  <c r="J229" i="35"/>
  <c r="G229" i="35"/>
  <c r="M285" i="35"/>
  <c r="K285" i="35"/>
  <c r="I285" i="35"/>
  <c r="I65" i="11"/>
  <c r="K22" i="35"/>
  <c r="G58" i="35"/>
  <c r="K134" i="35"/>
  <c r="C31" i="16"/>
  <c r="C170" i="16"/>
  <c r="C90" i="16"/>
  <c r="G61" i="10"/>
  <c r="G62" i="10" s="1"/>
  <c r="F77" i="46"/>
  <c r="E77" i="46"/>
  <c r="F91" i="41"/>
  <c r="H199" i="41"/>
  <c r="G92" i="42"/>
  <c r="F37" i="41"/>
  <c r="H181" i="41"/>
  <c r="H128" i="42"/>
  <c r="F55" i="41"/>
  <c r="G145" i="41"/>
  <c r="L103" i="48"/>
  <c r="F73" i="41"/>
  <c r="F127" i="41"/>
  <c r="F163" i="41"/>
  <c r="F20" i="42"/>
  <c r="G56" i="42"/>
  <c r="E10" i="48"/>
  <c r="L16" i="7"/>
  <c r="H38" i="42"/>
  <c r="F164" i="42"/>
  <c r="H40" i="48"/>
  <c r="N229" i="48"/>
  <c r="F146" i="42"/>
  <c r="J61" i="48"/>
  <c r="L124" i="48"/>
  <c r="R166" i="48"/>
  <c r="Q180" i="48"/>
  <c r="J183" i="48" s="1"/>
  <c r="J32" i="47" s="1"/>
  <c r="L208" i="48"/>
  <c r="H74" i="42"/>
  <c r="J19" i="48"/>
  <c r="N82" i="48"/>
  <c r="N145" i="48"/>
  <c r="O180" i="48"/>
  <c r="I183" i="48" s="1"/>
  <c r="I32" i="47" s="1"/>
  <c r="L187" i="48"/>
  <c r="E13" i="48"/>
  <c r="E11" i="48"/>
  <c r="G11" i="11"/>
  <c r="C6" i="7" s="1"/>
  <c r="E8" i="48"/>
  <c r="E6" i="48"/>
  <c r="E7" i="48"/>
  <c r="E9" i="48"/>
  <c r="E12" i="48"/>
  <c r="E15" i="48"/>
  <c r="G109" i="41"/>
  <c r="P26" i="7"/>
  <c r="P16" i="7"/>
  <c r="O11" i="7"/>
  <c r="L26" i="7"/>
  <c r="K11" i="7"/>
  <c r="K29" i="7" s="1"/>
  <c r="H26" i="7"/>
  <c r="N8" i="10"/>
  <c r="H21" i="24"/>
  <c r="G84" i="25" s="1"/>
  <c r="O64" i="24"/>
  <c r="F64" i="24"/>
  <c r="H64" i="24"/>
  <c r="H69" i="24" s="1"/>
  <c r="H71" i="24" s="1"/>
  <c r="G23" i="10" s="1"/>
  <c r="J64" i="24"/>
  <c r="L64" i="24"/>
  <c r="N64" i="24"/>
  <c r="N69" i="24" s="1"/>
  <c r="G65" i="24"/>
  <c r="I65" i="24"/>
  <c r="K65" i="24"/>
  <c r="K21" i="24" s="1"/>
  <c r="J84" i="25" s="1"/>
  <c r="M65" i="24"/>
  <c r="M70" i="24" s="1"/>
  <c r="D256" i="28"/>
  <c r="O20" i="24"/>
  <c r="N83" i="25" s="1"/>
  <c r="O69" i="24"/>
  <c r="P82" i="48"/>
  <c r="O96" i="48"/>
  <c r="I99" i="48" s="1"/>
  <c r="I28" i="47" s="1"/>
  <c r="I97" i="48"/>
  <c r="L19" i="48"/>
  <c r="G34" i="48"/>
  <c r="P229" i="48"/>
  <c r="O243" i="48"/>
  <c r="I246" i="48" s="1"/>
  <c r="I35" i="47" s="1"/>
  <c r="I244" i="48"/>
  <c r="N42" i="9"/>
  <c r="I70" i="24"/>
  <c r="I21" i="24"/>
  <c r="N208" i="48"/>
  <c r="H223" i="48"/>
  <c r="N124" i="48"/>
  <c r="H139" i="48"/>
  <c r="B117" i="42"/>
  <c r="I38" i="42"/>
  <c r="G163" i="41"/>
  <c r="N103" i="48"/>
  <c r="H118" i="48"/>
  <c r="G91" i="41"/>
  <c r="P191" i="35"/>
  <c r="N188" i="46"/>
  <c r="H203" i="46"/>
  <c r="G245" i="46"/>
  <c r="P229" i="28"/>
  <c r="E115" i="25"/>
  <c r="E116" i="25"/>
  <c r="E111" i="25"/>
  <c r="G147" i="25"/>
  <c r="G101" i="25"/>
  <c r="G100" i="25"/>
  <c r="G103" i="25"/>
  <c r="G105" i="25"/>
  <c r="G107" i="25"/>
  <c r="G109" i="25"/>
  <c r="G102" i="25"/>
  <c r="G104" i="25"/>
  <c r="G106" i="25"/>
  <c r="G108" i="25"/>
  <c r="J149" i="25"/>
  <c r="J124" i="25"/>
  <c r="J126" i="25"/>
  <c r="J128" i="25"/>
  <c r="J130" i="25"/>
  <c r="J123" i="25"/>
  <c r="J122" i="25"/>
  <c r="J125" i="25"/>
  <c r="J127" i="25"/>
  <c r="J129" i="25"/>
  <c r="J131" i="25"/>
  <c r="M147" i="25"/>
  <c r="M101" i="25"/>
  <c r="M102" i="25"/>
  <c r="M104" i="25"/>
  <c r="M106" i="25"/>
  <c r="M108" i="25"/>
  <c r="M100" i="25"/>
  <c r="M103" i="25"/>
  <c r="M105" i="25"/>
  <c r="M107" i="25"/>
  <c r="M109" i="25"/>
  <c r="N149" i="25"/>
  <c r="N124" i="25"/>
  <c r="N126" i="25"/>
  <c r="N128" i="25"/>
  <c r="N130" i="25"/>
  <c r="N123" i="25"/>
  <c r="N122" i="25"/>
  <c r="N125" i="25"/>
  <c r="N127" i="25"/>
  <c r="N129" i="25"/>
  <c r="N131" i="25"/>
  <c r="M134" i="28"/>
  <c r="K221" i="28"/>
  <c r="K106" i="30"/>
  <c r="K221" i="29"/>
  <c r="K106" i="29"/>
  <c r="P48" i="29"/>
  <c r="K134" i="29"/>
  <c r="M50" i="29"/>
  <c r="M305" i="29"/>
  <c r="M221" i="29"/>
  <c r="M19" i="15"/>
  <c r="M19" i="45"/>
  <c r="N158" i="35"/>
  <c r="M18" i="43"/>
  <c r="M19" i="47"/>
  <c r="N155" i="25"/>
  <c r="N158" i="28"/>
  <c r="N18" i="34"/>
  <c r="N158" i="29"/>
  <c r="N158" i="30"/>
  <c r="N158" i="39"/>
  <c r="N158" i="38"/>
  <c r="N161" i="37"/>
  <c r="P145" i="48"/>
  <c r="O159" i="48"/>
  <c r="I162" i="48" s="1"/>
  <c r="I31" i="47" s="1"/>
  <c r="I160" i="48"/>
  <c r="I74" i="42"/>
  <c r="J40" i="48"/>
  <c r="F55" i="48"/>
  <c r="H56" i="42"/>
  <c r="G73" i="41"/>
  <c r="H92" i="42"/>
  <c r="G77" i="46"/>
  <c r="G149" i="25"/>
  <c r="G124" i="25"/>
  <c r="G126" i="25"/>
  <c r="G128" i="25"/>
  <c r="G130" i="25"/>
  <c r="G123" i="25"/>
  <c r="G122" i="25"/>
  <c r="G125" i="25"/>
  <c r="G127" i="25"/>
  <c r="G129" i="25"/>
  <c r="G131" i="25"/>
  <c r="L147" i="25"/>
  <c r="L101" i="25"/>
  <c r="L100" i="25"/>
  <c r="L103" i="25"/>
  <c r="L105" i="25"/>
  <c r="L107" i="25"/>
  <c r="L109" i="25"/>
  <c r="L102" i="25"/>
  <c r="L104" i="25"/>
  <c r="L106" i="25"/>
  <c r="L108" i="25"/>
  <c r="M149" i="25"/>
  <c r="M122" i="25"/>
  <c r="M125" i="25"/>
  <c r="M127" i="25"/>
  <c r="M129" i="25"/>
  <c r="M131" i="25"/>
  <c r="M123" i="25"/>
  <c r="M124" i="25"/>
  <c r="M126" i="25"/>
  <c r="M128" i="25"/>
  <c r="M130" i="25"/>
  <c r="E91" i="25"/>
  <c r="E102" i="25"/>
  <c r="K193" i="29"/>
  <c r="M22" i="29"/>
  <c r="M106" i="29"/>
  <c r="M277" i="29"/>
  <c r="E106" i="39"/>
  <c r="O29" i="7"/>
  <c r="N187" i="48"/>
  <c r="H202" i="48"/>
  <c r="G146" i="42"/>
  <c r="G20" i="42"/>
  <c r="G127" i="41"/>
  <c r="H145" i="41"/>
  <c r="I199" i="41"/>
  <c r="E305" i="35"/>
  <c r="E193" i="35"/>
  <c r="E277" i="35"/>
  <c r="E134" i="35"/>
  <c r="E221" i="35"/>
  <c r="E78" i="35"/>
  <c r="D144" i="37"/>
  <c r="D57" i="37"/>
  <c r="N146" i="46"/>
  <c r="H161" i="46"/>
  <c r="P219" i="28"/>
  <c r="E90" i="25"/>
  <c r="E146" i="25"/>
  <c r="E93" i="25"/>
  <c r="E95" i="25"/>
  <c r="E89" i="25"/>
  <c r="E96" i="25"/>
  <c r="E98" i="25"/>
  <c r="F147" i="25"/>
  <c r="F101" i="25"/>
  <c r="F102" i="25"/>
  <c r="F104" i="25"/>
  <c r="F106" i="25"/>
  <c r="F108" i="25"/>
  <c r="F100" i="25"/>
  <c r="F103" i="25"/>
  <c r="F105" i="25"/>
  <c r="F107" i="25"/>
  <c r="F109" i="25"/>
  <c r="K147" i="25"/>
  <c r="K101" i="25"/>
  <c r="K102" i="25"/>
  <c r="K104" i="25"/>
  <c r="K106" i="25"/>
  <c r="K108" i="25"/>
  <c r="K100" i="25"/>
  <c r="K103" i="25"/>
  <c r="K105" i="25"/>
  <c r="K107" i="25"/>
  <c r="K109" i="25"/>
  <c r="L149" i="25"/>
  <c r="L124" i="25"/>
  <c r="L126" i="25"/>
  <c r="L128" i="25"/>
  <c r="L130" i="25"/>
  <c r="L123" i="25"/>
  <c r="L122" i="25"/>
  <c r="L125" i="25"/>
  <c r="L127" i="25"/>
  <c r="L129" i="25"/>
  <c r="L131" i="25"/>
  <c r="P191" i="28"/>
  <c r="M277" i="28"/>
  <c r="E92" i="25"/>
  <c r="E94" i="25"/>
  <c r="E105" i="25"/>
  <c r="P132" i="28"/>
  <c r="P104" i="30"/>
  <c r="K78" i="29"/>
  <c r="K305" i="29"/>
  <c r="K249" i="29"/>
  <c r="E305" i="29"/>
  <c r="P76" i="29"/>
  <c r="M193" i="29"/>
  <c r="M78" i="29"/>
  <c r="G70" i="24"/>
  <c r="G21" i="24"/>
  <c r="F84" i="25" s="1"/>
  <c r="L69" i="24"/>
  <c r="L20" i="24"/>
  <c r="K83" i="25" s="1"/>
  <c r="H109" i="41"/>
  <c r="T166" i="48"/>
  <c r="S180" i="48"/>
  <c r="K183" i="48" s="1"/>
  <c r="K32" i="47" s="1"/>
  <c r="K181" i="48"/>
  <c r="L61" i="48"/>
  <c r="G76" i="48"/>
  <c r="G164" i="42"/>
  <c r="G55" i="41"/>
  <c r="I128" i="42"/>
  <c r="I181" i="41"/>
  <c r="G37" i="41"/>
  <c r="D168" i="35"/>
  <c r="D281" i="35"/>
  <c r="D54" i="35"/>
  <c r="D253" i="35"/>
  <c r="D138" i="35"/>
  <c r="D309" i="35"/>
  <c r="D197" i="35"/>
  <c r="D82" i="35"/>
  <c r="D225" i="35"/>
  <c r="D110" i="35"/>
  <c r="D26" i="35"/>
  <c r="D174" i="37"/>
  <c r="D176" i="37" s="1"/>
  <c r="D152" i="17"/>
  <c r="D151" i="17"/>
  <c r="E100" i="25"/>
  <c r="E147" i="25"/>
  <c r="E103" i="25"/>
  <c r="E107" i="25"/>
  <c r="E109" i="25"/>
  <c r="E101" i="25"/>
  <c r="E104" i="25"/>
  <c r="E106" i="25"/>
  <c r="E108" i="25"/>
  <c r="J147" i="25"/>
  <c r="J101" i="25"/>
  <c r="J100" i="25"/>
  <c r="J103" i="25"/>
  <c r="J105" i="25"/>
  <c r="J107" i="25"/>
  <c r="J109" i="25"/>
  <c r="J102" i="25"/>
  <c r="J104" i="25"/>
  <c r="J106" i="25"/>
  <c r="J108" i="25"/>
  <c r="K149" i="25"/>
  <c r="K122" i="25"/>
  <c r="K125" i="25"/>
  <c r="K127" i="25"/>
  <c r="K129" i="25"/>
  <c r="K131" i="25"/>
  <c r="K123" i="25"/>
  <c r="K124" i="25"/>
  <c r="K126" i="25"/>
  <c r="K128" i="25"/>
  <c r="K130" i="25"/>
  <c r="N147" i="25"/>
  <c r="N101" i="25"/>
  <c r="N100" i="25"/>
  <c r="N103" i="25"/>
  <c r="N105" i="25"/>
  <c r="N107" i="25"/>
  <c r="N109" i="25"/>
  <c r="N102" i="25"/>
  <c r="N104" i="25"/>
  <c r="N106" i="25"/>
  <c r="N108" i="25"/>
  <c r="K78" i="28"/>
  <c r="P303" i="28"/>
  <c r="E97" i="25"/>
  <c r="D29" i="34"/>
  <c r="D31" i="34" s="1"/>
  <c r="D33" i="34" s="1"/>
  <c r="D281" i="29"/>
  <c r="D197" i="29"/>
  <c r="D110" i="29"/>
  <c r="D54" i="29"/>
  <c r="D253" i="29"/>
  <c r="D138" i="29"/>
  <c r="D309" i="29"/>
  <c r="D168" i="29"/>
  <c r="D225" i="29"/>
  <c r="D82" i="29"/>
  <c r="K50" i="29"/>
  <c r="M249" i="29"/>
  <c r="D311" i="29"/>
  <c r="D255" i="29"/>
  <c r="D227" i="29"/>
  <c r="D140" i="29"/>
  <c r="D84" i="29"/>
  <c r="D169" i="29"/>
  <c r="D171" i="29" s="1"/>
  <c r="D258" i="29" s="1"/>
  <c r="D199" i="29"/>
  <c r="D56" i="29"/>
  <c r="D283" i="29"/>
  <c r="D112" i="29"/>
  <c r="D87" i="37"/>
  <c r="D227" i="35"/>
  <c r="D112" i="35"/>
  <c r="D169" i="35"/>
  <c r="D171" i="35" s="1"/>
  <c r="D311" i="35"/>
  <c r="D199" i="35"/>
  <c r="D84" i="35"/>
  <c r="D255" i="35"/>
  <c r="D140" i="35"/>
  <c r="D28" i="35"/>
  <c r="D283" i="35"/>
  <c r="D56" i="35"/>
  <c r="H37" i="41"/>
  <c r="N61" i="48"/>
  <c r="H76" i="48"/>
  <c r="U180" i="48"/>
  <c r="L183" i="48" s="1"/>
  <c r="L32" i="47" s="1"/>
  <c r="V166" i="48"/>
  <c r="L181" i="48"/>
  <c r="H127" i="41"/>
  <c r="I92" i="42"/>
  <c r="N301" i="39"/>
  <c r="N273" i="39"/>
  <c r="N245" i="39"/>
  <c r="N217" i="39"/>
  <c r="N189" i="39"/>
  <c r="N130" i="39"/>
  <c r="N102" i="39"/>
  <c r="N74" i="39"/>
  <c r="N46" i="39"/>
  <c r="N18" i="39"/>
  <c r="N245" i="28"/>
  <c r="N102" i="28"/>
  <c r="N273" i="28"/>
  <c r="N74" i="28"/>
  <c r="N189" i="28"/>
  <c r="N301" i="28"/>
  <c r="N18" i="28"/>
  <c r="N217" i="28"/>
  <c r="N130" i="28"/>
  <c r="N46" i="28"/>
  <c r="N301" i="35"/>
  <c r="N189" i="35"/>
  <c r="N46" i="35"/>
  <c r="N273" i="35"/>
  <c r="N130" i="35"/>
  <c r="N245" i="35"/>
  <c r="N102" i="35"/>
  <c r="N18" i="35"/>
  <c r="N217" i="35"/>
  <c r="N74" i="35"/>
  <c r="Q243" i="48"/>
  <c r="J246" i="48" s="1"/>
  <c r="J35" i="47" s="1"/>
  <c r="R229" i="48"/>
  <c r="J244" i="48"/>
  <c r="N19" i="48"/>
  <c r="H34" i="48"/>
  <c r="L59" i="9"/>
  <c r="L90" i="18" s="1"/>
  <c r="L102" i="18" s="1"/>
  <c r="J128" i="42"/>
  <c r="H55" i="41"/>
  <c r="P146" i="46"/>
  <c r="I161" i="46"/>
  <c r="J199" i="41"/>
  <c r="H20" i="42"/>
  <c r="H146" i="42"/>
  <c r="P187" i="48"/>
  <c r="O201" i="48"/>
  <c r="I204" i="48" s="1"/>
  <c r="I33" i="47" s="1"/>
  <c r="I202" i="48"/>
  <c r="J74" i="42"/>
  <c r="N301" i="30"/>
  <c r="N189" i="30"/>
  <c r="N46" i="30"/>
  <c r="N217" i="30"/>
  <c r="N74" i="30"/>
  <c r="N245" i="30"/>
  <c r="N102" i="30"/>
  <c r="N273" i="30"/>
  <c r="N130" i="30"/>
  <c r="N18" i="30"/>
  <c r="J59" i="9"/>
  <c r="J90" i="18"/>
  <c r="J102" i="18" s="1"/>
  <c r="J181" i="41"/>
  <c r="H164" i="42"/>
  <c r="I109" i="41"/>
  <c r="I145" i="41"/>
  <c r="H77" i="46"/>
  <c r="N62" i="46"/>
  <c r="L40" i="48"/>
  <c r="G55" i="48"/>
  <c r="R145" i="48"/>
  <c r="Q159" i="48"/>
  <c r="J162" i="48" s="1"/>
  <c r="J31" i="47" s="1"/>
  <c r="J160" i="48"/>
  <c r="N304" i="37"/>
  <c r="N276" i="37"/>
  <c r="N248" i="37"/>
  <c r="N220" i="37"/>
  <c r="N192" i="37"/>
  <c r="N133" i="37"/>
  <c r="N105" i="37"/>
  <c r="N74" i="37"/>
  <c r="N46" i="37"/>
  <c r="N18" i="37"/>
  <c r="N273" i="29"/>
  <c r="N130" i="29"/>
  <c r="N18" i="29"/>
  <c r="N301" i="29"/>
  <c r="N189" i="29"/>
  <c r="N46" i="29"/>
  <c r="N245" i="29"/>
  <c r="N102" i="29"/>
  <c r="N74" i="29"/>
  <c r="N217" i="29"/>
  <c r="H91" i="41"/>
  <c r="P103" i="48"/>
  <c r="O117" i="48"/>
  <c r="I120" i="48" s="1"/>
  <c r="I29" i="47" s="1"/>
  <c r="I118" i="48"/>
  <c r="P208" i="48"/>
  <c r="O222" i="48"/>
  <c r="I225" i="48" s="1"/>
  <c r="I34" i="47" s="1"/>
  <c r="I223" i="48"/>
  <c r="H73" i="41"/>
  <c r="I56" i="42"/>
  <c r="J56" i="42" s="1"/>
  <c r="N245" i="38"/>
  <c r="N74" i="38"/>
  <c r="N18" i="38"/>
  <c r="N273" i="38"/>
  <c r="N102" i="38"/>
  <c r="N301" i="38"/>
  <c r="N189" i="38"/>
  <c r="N130" i="38"/>
  <c r="N217" i="38"/>
  <c r="N46" i="38"/>
  <c r="N230" i="46"/>
  <c r="H245" i="46"/>
  <c r="P188" i="46"/>
  <c r="J203" i="46" s="1"/>
  <c r="I203" i="46"/>
  <c r="H163" i="41"/>
  <c r="J38" i="42"/>
  <c r="P124" i="48"/>
  <c r="O138" i="48"/>
  <c r="I141" i="48" s="1"/>
  <c r="I30" i="47" s="1"/>
  <c r="I139" i="48"/>
  <c r="H84" i="25"/>
  <c r="R82" i="48"/>
  <c r="Q96" i="48"/>
  <c r="J99" i="48" s="1"/>
  <c r="J28" i="47" s="1"/>
  <c r="J97" i="48"/>
  <c r="K59" i="9"/>
  <c r="K90" i="18"/>
  <c r="K102" i="18" s="1"/>
  <c r="I163" i="41"/>
  <c r="R188" i="46"/>
  <c r="N40" i="48"/>
  <c r="H55" i="48"/>
  <c r="P62" i="46"/>
  <c r="I77" i="46"/>
  <c r="J145" i="41"/>
  <c r="K181" i="41"/>
  <c r="W180" i="48"/>
  <c r="M183" i="48" s="1"/>
  <c r="M32" i="47" s="1"/>
  <c r="M181" i="48"/>
  <c r="P61" i="48"/>
  <c r="O75" i="48"/>
  <c r="I76" i="48"/>
  <c r="D312" i="35"/>
  <c r="D200" i="35"/>
  <c r="D85" i="35"/>
  <c r="D284" i="35"/>
  <c r="D57" i="35"/>
  <c r="D228" i="35"/>
  <c r="D113" i="35"/>
  <c r="D29" i="35"/>
  <c r="D256" i="35"/>
  <c r="D141" i="35"/>
  <c r="D113" i="29"/>
  <c r="Q138" i="48"/>
  <c r="J141" i="48" s="1"/>
  <c r="J30" i="47" s="1"/>
  <c r="R124" i="48"/>
  <c r="J139" i="48"/>
  <c r="I91" i="41"/>
  <c r="J109" i="41"/>
  <c r="K74" i="42"/>
  <c r="K128" i="42"/>
  <c r="S243" i="48"/>
  <c r="T229" i="48"/>
  <c r="K244" i="48"/>
  <c r="J92" i="42"/>
  <c r="I127" i="41"/>
  <c r="I37" i="41"/>
  <c r="P230" i="46"/>
  <c r="I245" i="46"/>
  <c r="I73" i="41"/>
  <c r="Q222" i="48"/>
  <c r="J225" i="48" s="1"/>
  <c r="J34" i="47" s="1"/>
  <c r="R208" i="48"/>
  <c r="J223" i="48"/>
  <c r="I164" i="42"/>
  <c r="R187" i="48"/>
  <c r="Q201" i="48"/>
  <c r="J202" i="48"/>
  <c r="I146" i="42"/>
  <c r="I20" i="42"/>
  <c r="J161" i="46"/>
  <c r="R146" i="46"/>
  <c r="I55" i="41"/>
  <c r="O33" i="48"/>
  <c r="I36" i="48" s="1"/>
  <c r="I25" i="47" s="1"/>
  <c r="P19" i="48"/>
  <c r="N41" i="48"/>
  <c r="O41" i="48" s="1"/>
  <c r="N43" i="48"/>
  <c r="O43" i="48" s="1"/>
  <c r="N45" i="48"/>
  <c r="O45" i="48" s="1"/>
  <c r="N47" i="48"/>
  <c r="O47" i="48" s="1"/>
  <c r="N49" i="48"/>
  <c r="O49" i="48" s="1"/>
  <c r="N51" i="48"/>
  <c r="O51" i="48" s="1"/>
  <c r="N63" i="48"/>
  <c r="O63" i="48" s="1"/>
  <c r="N65" i="48"/>
  <c r="O65" i="48" s="1"/>
  <c r="N67" i="48"/>
  <c r="O67" i="48" s="1"/>
  <c r="N69" i="48"/>
  <c r="O69" i="48" s="1"/>
  <c r="N71" i="48"/>
  <c r="O71" i="48" s="1"/>
  <c r="N73" i="48"/>
  <c r="O73" i="48" s="1"/>
  <c r="N83" i="48"/>
  <c r="O83" i="48" s="1"/>
  <c r="N85" i="48"/>
  <c r="O85" i="48" s="1"/>
  <c r="N87" i="48"/>
  <c r="O87" i="48" s="1"/>
  <c r="N89" i="48"/>
  <c r="O89" i="48" s="1"/>
  <c r="N91" i="48"/>
  <c r="O91" i="48" s="1"/>
  <c r="N93" i="48"/>
  <c r="O93" i="48" s="1"/>
  <c r="N105" i="48"/>
  <c r="O105" i="48" s="1"/>
  <c r="N107" i="48"/>
  <c r="O107" i="48" s="1"/>
  <c r="N109" i="48"/>
  <c r="O109" i="48" s="1"/>
  <c r="N111" i="48"/>
  <c r="O111" i="48" s="1"/>
  <c r="N113" i="48"/>
  <c r="O113" i="48" s="1"/>
  <c r="N115" i="48"/>
  <c r="O115" i="48" s="1"/>
  <c r="N146" i="48"/>
  <c r="O146" i="48" s="1"/>
  <c r="N148" i="48"/>
  <c r="O148" i="48" s="1"/>
  <c r="N150" i="48"/>
  <c r="O150" i="48" s="1"/>
  <c r="N152" i="48"/>
  <c r="O152" i="48" s="1"/>
  <c r="N154" i="48"/>
  <c r="O154" i="48" s="1"/>
  <c r="N156" i="48"/>
  <c r="O156" i="48" s="1"/>
  <c r="N168" i="48"/>
  <c r="O168" i="48" s="1"/>
  <c r="N170" i="48"/>
  <c r="O170" i="48" s="1"/>
  <c r="N172" i="48"/>
  <c r="O172" i="48" s="1"/>
  <c r="N174" i="48"/>
  <c r="O174" i="48" s="1"/>
  <c r="N176" i="48"/>
  <c r="O176" i="48" s="1"/>
  <c r="N178" i="48"/>
  <c r="O178" i="48" s="1"/>
  <c r="N42" i="48"/>
  <c r="O42" i="48" s="1"/>
  <c r="N44" i="48"/>
  <c r="O44" i="48" s="1"/>
  <c r="N46" i="48"/>
  <c r="O46" i="48" s="1"/>
  <c r="N48" i="48"/>
  <c r="O48" i="48" s="1"/>
  <c r="N50" i="48"/>
  <c r="O50" i="48" s="1"/>
  <c r="N52" i="48"/>
  <c r="O52" i="48" s="1"/>
  <c r="N62" i="48"/>
  <c r="O62" i="48" s="1"/>
  <c r="N64" i="48"/>
  <c r="O64" i="48" s="1"/>
  <c r="N66" i="48"/>
  <c r="O66" i="48" s="1"/>
  <c r="N68" i="48"/>
  <c r="O68" i="48" s="1"/>
  <c r="N70" i="48"/>
  <c r="O70" i="48" s="1"/>
  <c r="N72" i="48"/>
  <c r="O72" i="48" s="1"/>
  <c r="N84" i="48"/>
  <c r="O84" i="48" s="1"/>
  <c r="N86" i="48"/>
  <c r="O86" i="48" s="1"/>
  <c r="N88" i="48"/>
  <c r="O88" i="48" s="1"/>
  <c r="N90" i="48"/>
  <c r="O90" i="48" s="1"/>
  <c r="N92" i="48"/>
  <c r="O92" i="48" s="1"/>
  <c r="N94" i="48"/>
  <c r="O94" i="48" s="1"/>
  <c r="N104" i="48"/>
  <c r="O104" i="48" s="1"/>
  <c r="N106" i="48"/>
  <c r="O106" i="48" s="1"/>
  <c r="N108" i="48"/>
  <c r="O108" i="48" s="1"/>
  <c r="N110" i="48"/>
  <c r="O110" i="48" s="1"/>
  <c r="N112" i="48"/>
  <c r="O112" i="48" s="1"/>
  <c r="N114" i="48"/>
  <c r="O114" i="48" s="1"/>
  <c r="N147" i="48"/>
  <c r="O147" i="48" s="1"/>
  <c r="N149" i="48"/>
  <c r="O149" i="48" s="1"/>
  <c r="N151" i="48"/>
  <c r="O151" i="48" s="1"/>
  <c r="N153" i="48"/>
  <c r="O153" i="48" s="1"/>
  <c r="N155" i="48"/>
  <c r="O155" i="48" s="1"/>
  <c r="N157" i="48"/>
  <c r="O157" i="48" s="1"/>
  <c r="N167" i="48"/>
  <c r="O167" i="48" s="1"/>
  <c r="N169" i="48"/>
  <c r="O169" i="48" s="1"/>
  <c r="N171" i="48"/>
  <c r="O171" i="48" s="1"/>
  <c r="N173" i="48"/>
  <c r="O173" i="48" s="1"/>
  <c r="N175" i="48"/>
  <c r="O175" i="48" s="1"/>
  <c r="N177" i="48"/>
  <c r="O177" i="48" s="1"/>
  <c r="N189" i="48"/>
  <c r="O189" i="48" s="1"/>
  <c r="N191" i="48"/>
  <c r="O191" i="48" s="1"/>
  <c r="N193" i="48"/>
  <c r="O193" i="48" s="1"/>
  <c r="N195" i="48"/>
  <c r="O195" i="48" s="1"/>
  <c r="N197" i="48"/>
  <c r="O197" i="48" s="1"/>
  <c r="N199" i="48"/>
  <c r="O199" i="48" s="1"/>
  <c r="N209" i="48"/>
  <c r="O209" i="48" s="1"/>
  <c r="N211" i="48"/>
  <c r="O211" i="48" s="1"/>
  <c r="N213" i="48"/>
  <c r="O213" i="48" s="1"/>
  <c r="N215" i="48"/>
  <c r="O215" i="48" s="1"/>
  <c r="N217" i="48"/>
  <c r="O217" i="48" s="1"/>
  <c r="N219" i="48"/>
  <c r="O219" i="48" s="1"/>
  <c r="N231" i="48"/>
  <c r="O231" i="48" s="1"/>
  <c r="N233" i="48"/>
  <c r="O233" i="48" s="1"/>
  <c r="N235" i="48"/>
  <c r="O235" i="48" s="1"/>
  <c r="N237" i="48"/>
  <c r="O237" i="48" s="1"/>
  <c r="N239" i="48"/>
  <c r="O239" i="48" s="1"/>
  <c r="N241" i="48"/>
  <c r="O241" i="48" s="1"/>
  <c r="N194" i="48"/>
  <c r="O194" i="48" s="1"/>
  <c r="N214" i="48"/>
  <c r="O214" i="48" s="1"/>
  <c r="N234" i="48"/>
  <c r="O234" i="48" s="1"/>
  <c r="N125" i="48"/>
  <c r="O125" i="48" s="1"/>
  <c r="N127" i="48"/>
  <c r="O127" i="48" s="1"/>
  <c r="N129" i="48"/>
  <c r="O129" i="48" s="1"/>
  <c r="N131" i="48"/>
  <c r="O131" i="48" s="1"/>
  <c r="N133" i="48"/>
  <c r="O133" i="48" s="1"/>
  <c r="N135" i="48"/>
  <c r="N192" i="48"/>
  <c r="O192" i="48" s="1"/>
  <c r="N212" i="48"/>
  <c r="O212" i="48" s="1"/>
  <c r="N220" i="48"/>
  <c r="O220" i="48" s="1"/>
  <c r="N232" i="48"/>
  <c r="O232" i="48" s="1"/>
  <c r="N240" i="48"/>
  <c r="O240" i="48" s="1"/>
  <c r="N20" i="48"/>
  <c r="O20" i="48" s="1"/>
  <c r="N22" i="48"/>
  <c r="O22" i="48" s="1"/>
  <c r="N24" i="48"/>
  <c r="O24" i="48" s="1"/>
  <c r="N26" i="48"/>
  <c r="O26" i="48" s="1"/>
  <c r="N28" i="48"/>
  <c r="O28" i="48" s="1"/>
  <c r="N30" i="48"/>
  <c r="O30" i="48" s="1"/>
  <c r="N190" i="48"/>
  <c r="O190" i="48" s="1"/>
  <c r="N198" i="48"/>
  <c r="O198" i="48" s="1"/>
  <c r="N210" i="48"/>
  <c r="O210" i="48" s="1"/>
  <c r="N218" i="48"/>
  <c r="O218" i="48" s="1"/>
  <c r="N230" i="48"/>
  <c r="O230" i="48" s="1"/>
  <c r="N238" i="48"/>
  <c r="O238" i="48" s="1"/>
  <c r="N126" i="48"/>
  <c r="O126" i="48" s="1"/>
  <c r="N128" i="48"/>
  <c r="O128" i="48" s="1"/>
  <c r="N130" i="48"/>
  <c r="O130" i="48" s="1"/>
  <c r="N132" i="48"/>
  <c r="O132" i="48" s="1"/>
  <c r="N134" i="48"/>
  <c r="O134" i="48" s="1"/>
  <c r="N136" i="48"/>
  <c r="O136" i="48" s="1"/>
  <c r="I34" i="48"/>
  <c r="N188" i="48"/>
  <c r="O188" i="48" s="1"/>
  <c r="N196" i="48"/>
  <c r="O196" i="48" s="1"/>
  <c r="N216" i="48"/>
  <c r="O216" i="48" s="1"/>
  <c r="N236" i="48"/>
  <c r="O236" i="48" s="1"/>
  <c r="N21" i="48"/>
  <c r="O21" i="48" s="1"/>
  <c r="N23" i="48"/>
  <c r="O23" i="48" s="1"/>
  <c r="N25" i="48"/>
  <c r="O25" i="48" s="1"/>
  <c r="N27" i="48"/>
  <c r="O27" i="48" s="1"/>
  <c r="N29" i="48"/>
  <c r="O29" i="48" s="1"/>
  <c r="N31" i="48"/>
  <c r="O31" i="48" s="1"/>
  <c r="D314" i="29"/>
  <c r="D143" i="29"/>
  <c r="T82" i="48"/>
  <c r="S96" i="48"/>
  <c r="K97" i="48"/>
  <c r="K38" i="42"/>
  <c r="Q117" i="48"/>
  <c r="J120" i="48" s="1"/>
  <c r="J29" i="47" s="1"/>
  <c r="R103" i="48"/>
  <c r="J118" i="48"/>
  <c r="S159" i="48"/>
  <c r="K162" i="48" s="1"/>
  <c r="K31" i="47" s="1"/>
  <c r="T145" i="48"/>
  <c r="K160" i="48"/>
  <c r="K199" i="41"/>
  <c r="S222" i="48"/>
  <c r="K225" i="48" s="1"/>
  <c r="K34" i="47" s="1"/>
  <c r="T208" i="48"/>
  <c r="K223" i="48"/>
  <c r="P40" i="48"/>
  <c r="O54" i="48"/>
  <c r="I57" i="48" s="1"/>
  <c r="I26" i="47" s="1"/>
  <c r="I55" i="48"/>
  <c r="K56" i="42"/>
  <c r="L199" i="41"/>
  <c r="J55" i="41"/>
  <c r="T146" i="46"/>
  <c r="K161" i="46"/>
  <c r="J146" i="42"/>
  <c r="J204" i="48"/>
  <c r="J33" i="47" s="1"/>
  <c r="L74" i="42"/>
  <c r="J91" i="41"/>
  <c r="I78" i="48"/>
  <c r="I27" i="47" s="1"/>
  <c r="K145" i="41"/>
  <c r="R62" i="46"/>
  <c r="J77" i="46"/>
  <c r="T103" i="48"/>
  <c r="S117" i="48"/>
  <c r="K120" i="48" s="1"/>
  <c r="K29" i="47" s="1"/>
  <c r="K118" i="48"/>
  <c r="L38" i="42"/>
  <c r="K99" i="48"/>
  <c r="K28" i="47" s="1"/>
  <c r="Q33" i="48"/>
  <c r="J36" i="48" s="1"/>
  <c r="J25" i="47" s="1"/>
  <c r="R19" i="48"/>
  <c r="P42" i="48"/>
  <c r="Q42" i="48" s="1"/>
  <c r="P44" i="48"/>
  <c r="Q44" i="48" s="1"/>
  <c r="P46" i="48"/>
  <c r="Q46" i="48" s="1"/>
  <c r="P48" i="48"/>
  <c r="Q48" i="48" s="1"/>
  <c r="P50" i="48"/>
  <c r="Q50" i="48" s="1"/>
  <c r="P52" i="48"/>
  <c r="Q52" i="48" s="1"/>
  <c r="P62" i="48"/>
  <c r="Q62" i="48" s="1"/>
  <c r="P64" i="48"/>
  <c r="Q64" i="48" s="1"/>
  <c r="P66" i="48"/>
  <c r="Q66" i="48" s="1"/>
  <c r="P68" i="48"/>
  <c r="Q68" i="48" s="1"/>
  <c r="P70" i="48"/>
  <c r="Q70" i="48" s="1"/>
  <c r="P72" i="48"/>
  <c r="Q72" i="48" s="1"/>
  <c r="P84" i="48"/>
  <c r="P86" i="48"/>
  <c r="P88" i="48"/>
  <c r="Q88" i="48" s="1"/>
  <c r="P90" i="48"/>
  <c r="P92" i="48"/>
  <c r="Q92" i="48" s="1"/>
  <c r="P94" i="48"/>
  <c r="Q94" i="48" s="1"/>
  <c r="P104" i="48"/>
  <c r="Q104" i="48" s="1"/>
  <c r="P106" i="48"/>
  <c r="P108" i="48"/>
  <c r="Q108" i="48" s="1"/>
  <c r="P110" i="48"/>
  <c r="Q110" i="48" s="1"/>
  <c r="P112" i="48"/>
  <c r="Q112" i="48" s="1"/>
  <c r="P114" i="48"/>
  <c r="Q114" i="48" s="1"/>
  <c r="P147" i="48"/>
  <c r="Q147" i="48" s="1"/>
  <c r="P149" i="48"/>
  <c r="P151" i="48"/>
  <c r="Q151" i="48" s="1"/>
  <c r="P153" i="48"/>
  <c r="Q153" i="48" s="1"/>
  <c r="P155" i="48"/>
  <c r="P157" i="48"/>
  <c r="P167" i="48"/>
  <c r="Q167" i="48" s="1"/>
  <c r="P169" i="48"/>
  <c r="Q169" i="48" s="1"/>
  <c r="P171" i="48"/>
  <c r="Q171" i="48" s="1"/>
  <c r="P173" i="48"/>
  <c r="Q173" i="48" s="1"/>
  <c r="P175" i="48"/>
  <c r="Q175" i="48" s="1"/>
  <c r="P177" i="48"/>
  <c r="Q177" i="48" s="1"/>
  <c r="P41" i="48"/>
  <c r="Q41" i="48" s="1"/>
  <c r="P43" i="48"/>
  <c r="P45" i="48"/>
  <c r="Q45" i="48" s="1"/>
  <c r="P47" i="48"/>
  <c r="Q47" i="48" s="1"/>
  <c r="P49" i="48"/>
  <c r="Q49" i="48" s="1"/>
  <c r="P51" i="48"/>
  <c r="Q51" i="48" s="1"/>
  <c r="P63" i="48"/>
  <c r="Q63" i="48" s="1"/>
  <c r="P65" i="48"/>
  <c r="P67" i="48"/>
  <c r="Q67" i="48" s="1"/>
  <c r="P69" i="48"/>
  <c r="P71" i="48"/>
  <c r="Q71" i="48" s="1"/>
  <c r="P73" i="48"/>
  <c r="Q73" i="48" s="1"/>
  <c r="P83" i="48"/>
  <c r="Q83" i="48" s="1"/>
  <c r="P85" i="48"/>
  <c r="Q85" i="48" s="1"/>
  <c r="P87" i="48"/>
  <c r="Q87" i="48" s="1"/>
  <c r="P89" i="48"/>
  <c r="Q89" i="48" s="1"/>
  <c r="P91" i="48"/>
  <c r="P93" i="48"/>
  <c r="P105" i="48"/>
  <c r="Q105" i="48" s="1"/>
  <c r="P107" i="48"/>
  <c r="Q107" i="48" s="1"/>
  <c r="P109" i="48"/>
  <c r="Q109" i="48" s="1"/>
  <c r="P111" i="48"/>
  <c r="Q111" i="48" s="1"/>
  <c r="P113" i="48"/>
  <c r="Q113" i="48" s="1"/>
  <c r="P115" i="48"/>
  <c r="Q115" i="48" s="1"/>
  <c r="P146" i="48"/>
  <c r="P148" i="48"/>
  <c r="P150" i="48"/>
  <c r="Q150" i="48" s="1"/>
  <c r="P152" i="48"/>
  <c r="Q152" i="48" s="1"/>
  <c r="P154" i="48"/>
  <c r="Q154" i="48" s="1"/>
  <c r="P156" i="48"/>
  <c r="Q156" i="48" s="1"/>
  <c r="P168" i="48"/>
  <c r="Q168" i="48" s="1"/>
  <c r="P170" i="48"/>
  <c r="Q170" i="48" s="1"/>
  <c r="P172" i="48"/>
  <c r="Q172" i="48" s="1"/>
  <c r="P174" i="48"/>
  <c r="Q174" i="48" s="1"/>
  <c r="P176" i="48"/>
  <c r="Q176" i="48" s="1"/>
  <c r="P178" i="48"/>
  <c r="Q178" i="48" s="1"/>
  <c r="P188" i="48"/>
  <c r="Q188" i="48" s="1"/>
  <c r="P190" i="48"/>
  <c r="Q190" i="48" s="1"/>
  <c r="P192" i="48"/>
  <c r="Q192" i="48" s="1"/>
  <c r="P194" i="48"/>
  <c r="Q194" i="48" s="1"/>
  <c r="P196" i="48"/>
  <c r="Q196" i="48" s="1"/>
  <c r="P198" i="48"/>
  <c r="Q198" i="48" s="1"/>
  <c r="P210" i="48"/>
  <c r="Q210" i="48" s="1"/>
  <c r="P212" i="48"/>
  <c r="Q212" i="48" s="1"/>
  <c r="P214" i="48"/>
  <c r="Q214" i="48" s="1"/>
  <c r="P216" i="48"/>
  <c r="Q216" i="48" s="1"/>
  <c r="P218" i="48"/>
  <c r="Q218" i="48" s="1"/>
  <c r="P220" i="48"/>
  <c r="Q220" i="48" s="1"/>
  <c r="P230" i="48"/>
  <c r="Q230" i="48" s="1"/>
  <c r="P232" i="48"/>
  <c r="Q232" i="48" s="1"/>
  <c r="P234" i="48"/>
  <c r="Q234" i="48" s="1"/>
  <c r="P236" i="48"/>
  <c r="Q236" i="48" s="1"/>
  <c r="P238" i="48"/>
  <c r="Q238" i="48" s="1"/>
  <c r="P189" i="48"/>
  <c r="Q189" i="48" s="1"/>
  <c r="P197" i="48"/>
  <c r="Q197" i="48" s="1"/>
  <c r="P209" i="48"/>
  <c r="Q209" i="48" s="1"/>
  <c r="P217" i="48"/>
  <c r="P237" i="48"/>
  <c r="Q237" i="48" s="1"/>
  <c r="P195" i="48"/>
  <c r="Q195" i="48" s="1"/>
  <c r="P215" i="48"/>
  <c r="Q215" i="48" s="1"/>
  <c r="P235" i="48"/>
  <c r="Q235" i="48" s="1"/>
  <c r="P240" i="48"/>
  <c r="Q240" i="48" s="1"/>
  <c r="P21" i="48"/>
  <c r="Q21" i="48" s="1"/>
  <c r="P23" i="48"/>
  <c r="P25" i="48"/>
  <c r="Q25" i="48" s="1"/>
  <c r="P27" i="48"/>
  <c r="Q27" i="48" s="1"/>
  <c r="P29" i="48"/>
  <c r="Q29" i="48" s="1"/>
  <c r="P31" i="48"/>
  <c r="Q31" i="48" s="1"/>
  <c r="P125" i="48"/>
  <c r="Q125" i="48" s="1"/>
  <c r="P127" i="48"/>
  <c r="Q127" i="48" s="1"/>
  <c r="P129" i="48"/>
  <c r="Q129" i="48" s="1"/>
  <c r="P131" i="48"/>
  <c r="Q131" i="48" s="1"/>
  <c r="P133" i="48"/>
  <c r="Q133" i="48" s="1"/>
  <c r="P135" i="48"/>
  <c r="Q135" i="48" s="1"/>
  <c r="J34" i="48"/>
  <c r="P193" i="48"/>
  <c r="Q193" i="48" s="1"/>
  <c r="P213" i="48"/>
  <c r="Q213" i="48" s="1"/>
  <c r="P233" i="48"/>
  <c r="P191" i="48"/>
  <c r="Q191" i="48" s="1"/>
  <c r="P199" i="48"/>
  <c r="P211" i="48"/>
  <c r="Q211" i="48" s="1"/>
  <c r="P219" i="48"/>
  <c r="Q219" i="48" s="1"/>
  <c r="P231" i="48"/>
  <c r="Q231" i="48" s="1"/>
  <c r="P239" i="48"/>
  <c r="Q239" i="48" s="1"/>
  <c r="P241" i="48"/>
  <c r="Q241" i="48" s="1"/>
  <c r="P20" i="48"/>
  <c r="Q20" i="48" s="1"/>
  <c r="P22" i="48"/>
  <c r="Q22" i="48" s="1"/>
  <c r="P24" i="48"/>
  <c r="Q24" i="48" s="1"/>
  <c r="P26" i="48"/>
  <c r="Q26" i="48" s="1"/>
  <c r="P28" i="48"/>
  <c r="Q28" i="48" s="1"/>
  <c r="P30" i="48"/>
  <c r="Q30" i="48" s="1"/>
  <c r="P126" i="48"/>
  <c r="Q126" i="48" s="1"/>
  <c r="P128" i="48"/>
  <c r="Q128" i="48" s="1"/>
  <c r="P130" i="48"/>
  <c r="Q130" i="48" s="1"/>
  <c r="P132" i="48"/>
  <c r="Q132" i="48" s="1"/>
  <c r="P134" i="48"/>
  <c r="P136" i="48"/>
  <c r="Q136" i="48" s="1"/>
  <c r="T187" i="48"/>
  <c r="S201" i="48"/>
  <c r="K204" i="48" s="1"/>
  <c r="K33" i="47" s="1"/>
  <c r="K202" i="48"/>
  <c r="J164" i="42"/>
  <c r="J73" i="41"/>
  <c r="K92" i="42"/>
  <c r="V229" i="48"/>
  <c r="U243" i="48"/>
  <c r="L246" i="48" s="1"/>
  <c r="L35" i="47" s="1"/>
  <c r="L244" i="48"/>
  <c r="L128" i="42"/>
  <c r="K109" i="41"/>
  <c r="S138" i="48"/>
  <c r="K141" i="48" s="1"/>
  <c r="K30" i="47" s="1"/>
  <c r="T124" i="48"/>
  <c r="K139" i="48"/>
  <c r="R61" i="48"/>
  <c r="Q75" i="48"/>
  <c r="J78" i="48" s="1"/>
  <c r="J27" i="47" s="1"/>
  <c r="J76" i="48"/>
  <c r="T188" i="46"/>
  <c r="K203" i="46"/>
  <c r="J163" i="41"/>
  <c r="U159" i="48"/>
  <c r="L162" i="48" s="1"/>
  <c r="L31" i="47" s="1"/>
  <c r="V145" i="48"/>
  <c r="L160" i="48"/>
  <c r="U96" i="48"/>
  <c r="L99" i="48" s="1"/>
  <c r="L28" i="47" s="1"/>
  <c r="V82" i="48"/>
  <c r="L97" i="48"/>
  <c r="O135" i="48"/>
  <c r="J20" i="42"/>
  <c r="J245" i="46"/>
  <c r="R230" i="46"/>
  <c r="J37" i="41"/>
  <c r="J127" i="41"/>
  <c r="K246" i="48"/>
  <c r="K35" i="47" s="1"/>
  <c r="L181" i="41"/>
  <c r="M181" i="41"/>
  <c r="K127" i="41"/>
  <c r="K37" i="41"/>
  <c r="T230" i="46"/>
  <c r="K245" i="46"/>
  <c r="W96" i="48"/>
  <c r="M99" i="48" s="1"/>
  <c r="M28" i="47" s="1"/>
  <c r="M97" i="48"/>
  <c r="M128" i="42"/>
  <c r="W243" i="48"/>
  <c r="M246" i="48" s="1"/>
  <c r="M35" i="47" s="1"/>
  <c r="M244" i="48"/>
  <c r="K164" i="42"/>
  <c r="M74" i="42"/>
  <c r="V146" i="46"/>
  <c r="M161" i="46" s="1"/>
  <c r="L161" i="46"/>
  <c r="K55" i="41"/>
  <c r="R40" i="48"/>
  <c r="Q54" i="48"/>
  <c r="J57" i="48" s="1"/>
  <c r="J26" i="47" s="1"/>
  <c r="J55" i="48"/>
  <c r="V188" i="46"/>
  <c r="M203" i="46"/>
  <c r="L203" i="46"/>
  <c r="V124" i="48"/>
  <c r="U138" i="48"/>
  <c r="L141" i="48" s="1"/>
  <c r="L30" i="47" s="1"/>
  <c r="L139" i="48"/>
  <c r="Q233" i="48"/>
  <c r="Q148" i="48"/>
  <c r="Q93" i="48"/>
  <c r="Q69" i="48"/>
  <c r="Q43" i="48"/>
  <c r="Q157" i="48"/>
  <c r="Q149" i="48"/>
  <c r="Q86" i="48"/>
  <c r="V103" i="48"/>
  <c r="U117" i="48"/>
  <c r="L120" i="48" s="1"/>
  <c r="L29" i="47" s="1"/>
  <c r="L118" i="48"/>
  <c r="V208" i="48"/>
  <c r="U222" i="48"/>
  <c r="L223" i="48"/>
  <c r="S75" i="48"/>
  <c r="K78" i="48" s="1"/>
  <c r="K27" i="47" s="1"/>
  <c r="T61" i="48"/>
  <c r="K76" i="48"/>
  <c r="L92" i="42"/>
  <c r="U201" i="48"/>
  <c r="L204" i="48" s="1"/>
  <c r="L33" i="47" s="1"/>
  <c r="V187" i="48"/>
  <c r="L202" i="48"/>
  <c r="Q217" i="48"/>
  <c r="Q146" i="48"/>
  <c r="Q91" i="48"/>
  <c r="Q155" i="48"/>
  <c r="Q84" i="48"/>
  <c r="K91" i="41"/>
  <c r="K146" i="42"/>
  <c r="L56" i="42"/>
  <c r="K20" i="42"/>
  <c r="W159" i="48"/>
  <c r="M162" i="48" s="1"/>
  <c r="M31" i="47" s="1"/>
  <c r="M160" i="48"/>
  <c r="K163" i="41"/>
  <c r="L109" i="41"/>
  <c r="K73" i="41"/>
  <c r="Q134" i="48"/>
  <c r="Q199" i="48"/>
  <c r="Q23" i="48"/>
  <c r="Q65" i="48"/>
  <c r="Q106" i="48"/>
  <c r="Q90" i="48"/>
  <c r="T19" i="48"/>
  <c r="S33" i="48"/>
  <c r="K36" i="48" s="1"/>
  <c r="K25" i="47" s="1"/>
  <c r="R41" i="48"/>
  <c r="S41" i="48" s="1"/>
  <c r="R43" i="48"/>
  <c r="S43" i="48" s="1"/>
  <c r="R45" i="48"/>
  <c r="S45" i="48" s="1"/>
  <c r="R47" i="48"/>
  <c r="S47" i="48" s="1"/>
  <c r="R49" i="48"/>
  <c r="S49" i="48" s="1"/>
  <c r="R51" i="48"/>
  <c r="S51" i="48" s="1"/>
  <c r="R63" i="48"/>
  <c r="S63" i="48" s="1"/>
  <c r="R65" i="48"/>
  <c r="S65" i="48" s="1"/>
  <c r="R67" i="48"/>
  <c r="S67" i="48" s="1"/>
  <c r="R69" i="48"/>
  <c r="S69" i="48" s="1"/>
  <c r="R71" i="48"/>
  <c r="S71" i="48" s="1"/>
  <c r="R73" i="48"/>
  <c r="S73" i="48" s="1"/>
  <c r="R83" i="48"/>
  <c r="S83" i="48" s="1"/>
  <c r="R85" i="48"/>
  <c r="S85" i="48" s="1"/>
  <c r="R87" i="48"/>
  <c r="S87" i="48" s="1"/>
  <c r="R89" i="48"/>
  <c r="S89" i="48" s="1"/>
  <c r="R91" i="48"/>
  <c r="S91" i="48" s="1"/>
  <c r="R93" i="48"/>
  <c r="S93" i="48" s="1"/>
  <c r="R105" i="48"/>
  <c r="S105" i="48" s="1"/>
  <c r="R107" i="48"/>
  <c r="S107" i="48" s="1"/>
  <c r="R109" i="48"/>
  <c r="S109" i="48" s="1"/>
  <c r="R111" i="48"/>
  <c r="S111" i="48" s="1"/>
  <c r="R113" i="48"/>
  <c r="S113" i="48" s="1"/>
  <c r="R115" i="48"/>
  <c r="S115" i="48" s="1"/>
  <c r="R146" i="48"/>
  <c r="S146" i="48" s="1"/>
  <c r="R148" i="48"/>
  <c r="S148" i="48" s="1"/>
  <c r="R150" i="48"/>
  <c r="S150" i="48" s="1"/>
  <c r="R152" i="48"/>
  <c r="S152" i="48" s="1"/>
  <c r="R154" i="48"/>
  <c r="S154" i="48" s="1"/>
  <c r="R156" i="48"/>
  <c r="S156" i="48" s="1"/>
  <c r="R168" i="48"/>
  <c r="S168" i="48" s="1"/>
  <c r="R170" i="48"/>
  <c r="S170" i="48" s="1"/>
  <c r="R172" i="48"/>
  <c r="S172" i="48" s="1"/>
  <c r="R174" i="48"/>
  <c r="S174" i="48" s="1"/>
  <c r="R176" i="48"/>
  <c r="S176" i="48" s="1"/>
  <c r="R178" i="48"/>
  <c r="S178" i="48" s="1"/>
  <c r="R42" i="48"/>
  <c r="S42" i="48" s="1"/>
  <c r="R44" i="48"/>
  <c r="S44" i="48" s="1"/>
  <c r="R46" i="48"/>
  <c r="R48" i="48"/>
  <c r="S48" i="48" s="1"/>
  <c r="R50" i="48"/>
  <c r="S50" i="48" s="1"/>
  <c r="R52" i="48"/>
  <c r="S52" i="48" s="1"/>
  <c r="R62" i="48"/>
  <c r="S62" i="48" s="1"/>
  <c r="R64" i="48"/>
  <c r="S64" i="48" s="1"/>
  <c r="R66" i="48"/>
  <c r="S66" i="48" s="1"/>
  <c r="R68" i="48"/>
  <c r="S68" i="48" s="1"/>
  <c r="R70" i="48"/>
  <c r="S70" i="48" s="1"/>
  <c r="R72" i="48"/>
  <c r="R84" i="48"/>
  <c r="S84" i="48" s="1"/>
  <c r="R86" i="48"/>
  <c r="S86" i="48" s="1"/>
  <c r="R88" i="48"/>
  <c r="S88" i="48" s="1"/>
  <c r="R90" i="48"/>
  <c r="S90" i="48" s="1"/>
  <c r="R92" i="48"/>
  <c r="S92" i="48" s="1"/>
  <c r="R94" i="48"/>
  <c r="S94" i="48" s="1"/>
  <c r="R104" i="48"/>
  <c r="S104" i="48" s="1"/>
  <c r="R106" i="48"/>
  <c r="S106" i="48" s="1"/>
  <c r="R108" i="48"/>
  <c r="S108" i="48" s="1"/>
  <c r="R110" i="48"/>
  <c r="S110" i="48" s="1"/>
  <c r="R112" i="48"/>
  <c r="S112" i="48" s="1"/>
  <c r="R114" i="48"/>
  <c r="S114" i="48" s="1"/>
  <c r="R147" i="48"/>
  <c r="S147" i="48" s="1"/>
  <c r="R149" i="48"/>
  <c r="S149" i="48" s="1"/>
  <c r="R151" i="48"/>
  <c r="R153" i="48"/>
  <c r="R155" i="48"/>
  <c r="S155" i="48" s="1"/>
  <c r="R157" i="48"/>
  <c r="S157" i="48" s="1"/>
  <c r="R167" i="48"/>
  <c r="S167" i="48" s="1"/>
  <c r="R169" i="48"/>
  <c r="S169" i="48" s="1"/>
  <c r="R171" i="48"/>
  <c r="S171" i="48" s="1"/>
  <c r="R173" i="48"/>
  <c r="S173" i="48" s="1"/>
  <c r="R175" i="48"/>
  <c r="S175" i="48" s="1"/>
  <c r="R177" i="48"/>
  <c r="R189" i="48"/>
  <c r="S189" i="48" s="1"/>
  <c r="R191" i="48"/>
  <c r="S191" i="48" s="1"/>
  <c r="R193" i="48"/>
  <c r="S193" i="48" s="1"/>
  <c r="R195" i="48"/>
  <c r="S195" i="48" s="1"/>
  <c r="R197" i="48"/>
  <c r="S197" i="48" s="1"/>
  <c r="R199" i="48"/>
  <c r="S199" i="48" s="1"/>
  <c r="R209" i="48"/>
  <c r="S209" i="48" s="1"/>
  <c r="R211" i="48"/>
  <c r="S211" i="48" s="1"/>
  <c r="R213" i="48"/>
  <c r="S213" i="48" s="1"/>
  <c r="R215" i="48"/>
  <c r="S215" i="48" s="1"/>
  <c r="R217" i="48"/>
  <c r="S217" i="48" s="1"/>
  <c r="R219" i="48"/>
  <c r="S219" i="48" s="1"/>
  <c r="R192" i="48"/>
  <c r="R212" i="48"/>
  <c r="R220" i="48"/>
  <c r="S220" i="48" s="1"/>
  <c r="R126" i="48"/>
  <c r="S126" i="48" s="1"/>
  <c r="R128" i="48"/>
  <c r="S128" i="48" s="1"/>
  <c r="R130" i="48"/>
  <c r="S130" i="48" s="1"/>
  <c r="R132" i="48"/>
  <c r="S132" i="48" s="1"/>
  <c r="R134" i="48"/>
  <c r="S134" i="48" s="1"/>
  <c r="R136" i="48"/>
  <c r="S136" i="48" s="1"/>
  <c r="K34" i="48"/>
  <c r="R190" i="48"/>
  <c r="S190" i="48" s="1"/>
  <c r="R198" i="48"/>
  <c r="S198" i="48" s="1"/>
  <c r="R210" i="48"/>
  <c r="S210" i="48" s="1"/>
  <c r="R218" i="48"/>
  <c r="S218" i="48" s="1"/>
  <c r="R231" i="48"/>
  <c r="S231" i="48" s="1"/>
  <c r="R233" i="48"/>
  <c r="S233" i="48" s="1"/>
  <c r="R235" i="48"/>
  <c r="S235" i="48" s="1"/>
  <c r="R237" i="48"/>
  <c r="S237" i="48" s="1"/>
  <c r="R239" i="48"/>
  <c r="S239" i="48" s="1"/>
  <c r="R241" i="48"/>
  <c r="S241" i="48" s="1"/>
  <c r="R20" i="48"/>
  <c r="S20" i="48" s="1"/>
  <c r="R22" i="48"/>
  <c r="S22" i="48" s="1"/>
  <c r="R24" i="48"/>
  <c r="S24" i="48" s="1"/>
  <c r="R26" i="48"/>
  <c r="S26" i="48" s="1"/>
  <c r="R28" i="48"/>
  <c r="S28" i="48" s="1"/>
  <c r="R30" i="48"/>
  <c r="S30" i="48" s="1"/>
  <c r="R188" i="48"/>
  <c r="S188" i="48" s="1"/>
  <c r="R196" i="48"/>
  <c r="S196" i="48" s="1"/>
  <c r="R216" i="48"/>
  <c r="S216" i="48" s="1"/>
  <c r="R125" i="48"/>
  <c r="S125" i="48" s="1"/>
  <c r="R127" i="48"/>
  <c r="S127" i="48" s="1"/>
  <c r="R129" i="48"/>
  <c r="S129" i="48" s="1"/>
  <c r="R131" i="48"/>
  <c r="S131" i="48" s="1"/>
  <c r="R133" i="48"/>
  <c r="S133" i="48" s="1"/>
  <c r="R135" i="48"/>
  <c r="S135" i="48" s="1"/>
  <c r="R194" i="48"/>
  <c r="S194" i="48" s="1"/>
  <c r="R214" i="48"/>
  <c r="S214" i="48" s="1"/>
  <c r="R230" i="48"/>
  <c r="S230" i="48" s="1"/>
  <c r="R232" i="48"/>
  <c r="S232" i="48" s="1"/>
  <c r="R234" i="48"/>
  <c r="S234" i="48" s="1"/>
  <c r="R236" i="48"/>
  <c r="S236" i="48" s="1"/>
  <c r="R238" i="48"/>
  <c r="R240" i="48"/>
  <c r="S240" i="48" s="1"/>
  <c r="R21" i="48"/>
  <c r="S21" i="48" s="1"/>
  <c r="R23" i="48"/>
  <c r="S23" i="48" s="1"/>
  <c r="R25" i="48"/>
  <c r="S25" i="48" s="1"/>
  <c r="R27" i="48"/>
  <c r="S27" i="48" s="1"/>
  <c r="R29" i="48"/>
  <c r="S29" i="48" s="1"/>
  <c r="R31" i="48"/>
  <c r="S31" i="48" s="1"/>
  <c r="M38" i="42"/>
  <c r="T62" i="46"/>
  <c r="K77" i="46"/>
  <c r="L145" i="41"/>
  <c r="M199" i="41"/>
  <c r="L77" i="46"/>
  <c r="V62" i="46"/>
  <c r="M77" i="46" s="1"/>
  <c r="S151" i="48"/>
  <c r="S46" i="48"/>
  <c r="V19" i="48"/>
  <c r="U33" i="48"/>
  <c r="L36" i="48" s="1"/>
  <c r="L25" i="47" s="1"/>
  <c r="T42" i="48"/>
  <c r="U42" i="48" s="1"/>
  <c r="T44" i="48"/>
  <c r="U44" i="48" s="1"/>
  <c r="T46" i="48"/>
  <c r="U46" i="48" s="1"/>
  <c r="T48" i="48"/>
  <c r="U48" i="48" s="1"/>
  <c r="T50" i="48"/>
  <c r="U50" i="48" s="1"/>
  <c r="T52" i="48"/>
  <c r="U52" i="48" s="1"/>
  <c r="T62" i="48"/>
  <c r="U62" i="48" s="1"/>
  <c r="T64" i="48"/>
  <c r="U64" i="48" s="1"/>
  <c r="T66" i="48"/>
  <c r="U66" i="48" s="1"/>
  <c r="T68" i="48"/>
  <c r="U68" i="48" s="1"/>
  <c r="T70" i="48"/>
  <c r="U70" i="48" s="1"/>
  <c r="T72" i="48"/>
  <c r="U72" i="48" s="1"/>
  <c r="T84" i="48"/>
  <c r="U84" i="48" s="1"/>
  <c r="T86" i="48"/>
  <c r="U86" i="48" s="1"/>
  <c r="T88" i="48"/>
  <c r="U88" i="48" s="1"/>
  <c r="T90" i="48"/>
  <c r="U90" i="48" s="1"/>
  <c r="T92" i="48"/>
  <c r="U92" i="48" s="1"/>
  <c r="T94" i="48"/>
  <c r="U94" i="48" s="1"/>
  <c r="T104" i="48"/>
  <c r="U104" i="48" s="1"/>
  <c r="T106" i="48"/>
  <c r="U106" i="48" s="1"/>
  <c r="T108" i="48"/>
  <c r="U108" i="48" s="1"/>
  <c r="T110" i="48"/>
  <c r="U110" i="48" s="1"/>
  <c r="T112" i="48"/>
  <c r="U112" i="48" s="1"/>
  <c r="T114" i="48"/>
  <c r="U114" i="48" s="1"/>
  <c r="T147" i="48"/>
  <c r="U147" i="48" s="1"/>
  <c r="T149" i="48"/>
  <c r="U149" i="48" s="1"/>
  <c r="T151" i="48"/>
  <c r="U151" i="48" s="1"/>
  <c r="T153" i="48"/>
  <c r="U153" i="48" s="1"/>
  <c r="T155" i="48"/>
  <c r="U155" i="48" s="1"/>
  <c r="T157" i="48"/>
  <c r="U157" i="48" s="1"/>
  <c r="T167" i="48"/>
  <c r="U167" i="48" s="1"/>
  <c r="T41" i="48"/>
  <c r="U41" i="48" s="1"/>
  <c r="T43" i="48"/>
  <c r="U43" i="48" s="1"/>
  <c r="T45" i="48"/>
  <c r="U45" i="48" s="1"/>
  <c r="T47" i="48"/>
  <c r="U47" i="48" s="1"/>
  <c r="T49" i="48"/>
  <c r="U49" i="48" s="1"/>
  <c r="T51" i="48"/>
  <c r="U51" i="48" s="1"/>
  <c r="T63" i="48"/>
  <c r="U63" i="48" s="1"/>
  <c r="T65" i="48"/>
  <c r="U65" i="48" s="1"/>
  <c r="T67" i="48"/>
  <c r="U67" i="48" s="1"/>
  <c r="T69" i="48"/>
  <c r="U69" i="48" s="1"/>
  <c r="T71" i="48"/>
  <c r="U71" i="48" s="1"/>
  <c r="T73" i="48"/>
  <c r="U73" i="48" s="1"/>
  <c r="T83" i="48"/>
  <c r="U83" i="48" s="1"/>
  <c r="T85" i="48"/>
  <c r="U85" i="48" s="1"/>
  <c r="T87" i="48"/>
  <c r="U87" i="48" s="1"/>
  <c r="T89" i="48"/>
  <c r="U89" i="48" s="1"/>
  <c r="T91" i="48"/>
  <c r="U91" i="48" s="1"/>
  <c r="T93" i="48"/>
  <c r="U93" i="48" s="1"/>
  <c r="T105" i="48"/>
  <c r="U105" i="48" s="1"/>
  <c r="T107" i="48"/>
  <c r="U107" i="48" s="1"/>
  <c r="T109" i="48"/>
  <c r="U109" i="48" s="1"/>
  <c r="T111" i="48"/>
  <c r="U111" i="48" s="1"/>
  <c r="T113" i="48"/>
  <c r="U113" i="48" s="1"/>
  <c r="T115" i="48"/>
  <c r="U115" i="48" s="1"/>
  <c r="T146" i="48"/>
  <c r="U146" i="48" s="1"/>
  <c r="T148" i="48"/>
  <c r="U148" i="48" s="1"/>
  <c r="T150" i="48"/>
  <c r="U150" i="48" s="1"/>
  <c r="T152" i="48"/>
  <c r="U152" i="48" s="1"/>
  <c r="T154" i="48"/>
  <c r="U154" i="48" s="1"/>
  <c r="T156" i="48"/>
  <c r="U156" i="48" s="1"/>
  <c r="T168" i="48"/>
  <c r="U168" i="48" s="1"/>
  <c r="T170" i="48"/>
  <c r="U170" i="48" s="1"/>
  <c r="T172" i="48"/>
  <c r="U172" i="48" s="1"/>
  <c r="T174" i="48"/>
  <c r="U174" i="48" s="1"/>
  <c r="T176" i="48"/>
  <c r="U176" i="48" s="1"/>
  <c r="T178" i="48"/>
  <c r="U178" i="48" s="1"/>
  <c r="T188" i="48"/>
  <c r="U188" i="48" s="1"/>
  <c r="T190" i="48"/>
  <c r="U190" i="48" s="1"/>
  <c r="T192" i="48"/>
  <c r="U192" i="48" s="1"/>
  <c r="T194" i="48"/>
  <c r="U194" i="48" s="1"/>
  <c r="T196" i="48"/>
  <c r="U196" i="48" s="1"/>
  <c r="T198" i="48"/>
  <c r="U198" i="48" s="1"/>
  <c r="T210" i="48"/>
  <c r="U210" i="48" s="1"/>
  <c r="T212" i="48"/>
  <c r="U212" i="48" s="1"/>
  <c r="T214" i="48"/>
  <c r="U214" i="48" s="1"/>
  <c r="T216" i="48"/>
  <c r="U216" i="48" s="1"/>
  <c r="T218" i="48"/>
  <c r="U218" i="48" s="1"/>
  <c r="T220" i="48"/>
  <c r="U220" i="48" s="1"/>
  <c r="T175" i="48"/>
  <c r="U175" i="48" s="1"/>
  <c r="T195" i="48"/>
  <c r="U195" i="48" s="1"/>
  <c r="T215" i="48"/>
  <c r="U215" i="48" s="1"/>
  <c r="T173" i="48"/>
  <c r="U173" i="48" s="1"/>
  <c r="T193" i="48"/>
  <c r="U193" i="48" s="1"/>
  <c r="T213" i="48"/>
  <c r="U213" i="48" s="1"/>
  <c r="T230" i="48"/>
  <c r="U230" i="48" s="1"/>
  <c r="T232" i="48"/>
  <c r="U232" i="48" s="1"/>
  <c r="T234" i="48"/>
  <c r="U234" i="48" s="1"/>
  <c r="T236" i="48"/>
  <c r="U236" i="48" s="1"/>
  <c r="T238" i="48"/>
  <c r="U238" i="48" s="1"/>
  <c r="T240" i="48"/>
  <c r="U240" i="48" s="1"/>
  <c r="T21" i="48"/>
  <c r="U21" i="48" s="1"/>
  <c r="T23" i="48"/>
  <c r="U23" i="48" s="1"/>
  <c r="T25" i="48"/>
  <c r="U25" i="48" s="1"/>
  <c r="T27" i="48"/>
  <c r="U27" i="48" s="1"/>
  <c r="T29" i="48"/>
  <c r="U29" i="48" s="1"/>
  <c r="T31" i="48"/>
  <c r="U31" i="48" s="1"/>
  <c r="T126" i="48"/>
  <c r="U126" i="48" s="1"/>
  <c r="T128" i="48"/>
  <c r="U128" i="48" s="1"/>
  <c r="T130" i="48"/>
  <c r="U130" i="48" s="1"/>
  <c r="T132" i="48"/>
  <c r="U132" i="48" s="1"/>
  <c r="T134" i="48"/>
  <c r="U134" i="48" s="1"/>
  <c r="T136" i="48"/>
  <c r="U136" i="48" s="1"/>
  <c r="T171" i="48"/>
  <c r="U171" i="48" s="1"/>
  <c r="T191" i="48"/>
  <c r="U191" i="48" s="1"/>
  <c r="T199" i="48"/>
  <c r="U199" i="48" s="1"/>
  <c r="T211" i="48"/>
  <c r="U211" i="48" s="1"/>
  <c r="T219" i="48"/>
  <c r="U219" i="48" s="1"/>
  <c r="T169" i="48"/>
  <c r="U169" i="48" s="1"/>
  <c r="T177" i="48"/>
  <c r="U177" i="48" s="1"/>
  <c r="T189" i="48"/>
  <c r="U189" i="48" s="1"/>
  <c r="T197" i="48"/>
  <c r="U197" i="48" s="1"/>
  <c r="T209" i="48"/>
  <c r="U209" i="48" s="1"/>
  <c r="T217" i="48"/>
  <c r="U217" i="48" s="1"/>
  <c r="T231" i="48"/>
  <c r="U231" i="48" s="1"/>
  <c r="T233" i="48"/>
  <c r="U233" i="48" s="1"/>
  <c r="T235" i="48"/>
  <c r="U235" i="48" s="1"/>
  <c r="T237" i="48"/>
  <c r="U237" i="48" s="1"/>
  <c r="T239" i="48"/>
  <c r="U239" i="48" s="1"/>
  <c r="T241" i="48"/>
  <c r="U241" i="48" s="1"/>
  <c r="T20" i="48"/>
  <c r="U20" i="48" s="1"/>
  <c r="T22" i="48"/>
  <c r="U22" i="48" s="1"/>
  <c r="T24" i="48"/>
  <c r="U24" i="48" s="1"/>
  <c r="T26" i="48"/>
  <c r="U26" i="48" s="1"/>
  <c r="T28" i="48"/>
  <c r="U28" i="48" s="1"/>
  <c r="T30" i="48"/>
  <c r="U30" i="48" s="1"/>
  <c r="T125" i="48"/>
  <c r="U125" i="48" s="1"/>
  <c r="T127" i="48"/>
  <c r="U127" i="48" s="1"/>
  <c r="T129" i="48"/>
  <c r="U129" i="48" s="1"/>
  <c r="T131" i="48"/>
  <c r="U131" i="48" s="1"/>
  <c r="T133" i="48"/>
  <c r="U133" i="48" s="1"/>
  <c r="T135" i="48"/>
  <c r="U135" i="48" s="1"/>
  <c r="L34" i="48"/>
  <c r="L20" i="42"/>
  <c r="W138" i="48"/>
  <c r="M141" i="48" s="1"/>
  <c r="M30" i="47" s="1"/>
  <c r="M139" i="48"/>
  <c r="L127" i="41"/>
  <c r="M145" i="41"/>
  <c r="S238" i="48"/>
  <c r="S212" i="48"/>
  <c r="L163" i="41"/>
  <c r="L146" i="42"/>
  <c r="L91" i="41"/>
  <c r="W201" i="48"/>
  <c r="M204" i="48" s="1"/>
  <c r="M33" i="47" s="1"/>
  <c r="M202" i="48"/>
  <c r="U75" i="48"/>
  <c r="L78" i="48" s="1"/>
  <c r="L27" i="47" s="1"/>
  <c r="V61" i="48"/>
  <c r="L76" i="48"/>
  <c r="L225" i="48"/>
  <c r="L34" i="47" s="1"/>
  <c r="T40" i="48"/>
  <c r="S54" i="48"/>
  <c r="K57" i="48" s="1"/>
  <c r="K26" i="47" s="1"/>
  <c r="K55" i="48"/>
  <c r="S192" i="48"/>
  <c r="L73" i="41"/>
  <c r="M56" i="42"/>
  <c r="M92" i="42"/>
  <c r="W222" i="48"/>
  <c r="M225" i="48" s="1"/>
  <c r="M34" i="47" s="1"/>
  <c r="M223" i="48"/>
  <c r="L164" i="42"/>
  <c r="L37" i="41"/>
  <c r="S177" i="48"/>
  <c r="S153" i="48"/>
  <c r="S72" i="48"/>
  <c r="M109" i="41"/>
  <c r="W117" i="48"/>
  <c r="M120" i="48" s="1"/>
  <c r="M29" i="47" s="1"/>
  <c r="M118" i="48"/>
  <c r="L55" i="41"/>
  <c r="V230" i="46"/>
  <c r="M245" i="46" s="1"/>
  <c r="L245" i="46"/>
  <c r="M164" i="42"/>
  <c r="M163" i="41"/>
  <c r="M127" i="41"/>
  <c r="M73" i="41"/>
  <c r="W75" i="48"/>
  <c r="M78" i="48" s="1"/>
  <c r="M27" i="47" s="1"/>
  <c r="M76" i="48"/>
  <c r="M91" i="41"/>
  <c r="M146" i="42"/>
  <c r="V47" i="48"/>
  <c r="W33" i="48"/>
  <c r="M36" i="48" s="1"/>
  <c r="M25" i="47" s="1"/>
  <c r="V41" i="48"/>
  <c r="W41" i="48" s="1"/>
  <c r="V43" i="48"/>
  <c r="V45" i="48"/>
  <c r="W45" i="48" s="1"/>
  <c r="V49" i="48"/>
  <c r="W49" i="48" s="1"/>
  <c r="V51" i="48"/>
  <c r="V63" i="48"/>
  <c r="W63" i="48" s="1"/>
  <c r="V65" i="48"/>
  <c r="V67" i="48"/>
  <c r="V69" i="48"/>
  <c r="W69" i="48" s="1"/>
  <c r="V71" i="48"/>
  <c r="W71" i="48" s="1"/>
  <c r="V73" i="48"/>
  <c r="W73" i="48" s="1"/>
  <c r="V83" i="48"/>
  <c r="W83" i="48" s="1"/>
  <c r="V85" i="48"/>
  <c r="V87" i="48"/>
  <c r="W87" i="48" s="1"/>
  <c r="V89" i="48"/>
  <c r="W89" i="48" s="1"/>
  <c r="V91" i="48"/>
  <c r="V93" i="48"/>
  <c r="W93" i="48" s="1"/>
  <c r="V105" i="48"/>
  <c r="W105" i="48" s="1"/>
  <c r="V107" i="48"/>
  <c r="W107" i="48" s="1"/>
  <c r="V109" i="48"/>
  <c r="W109" i="48" s="1"/>
  <c r="V111" i="48"/>
  <c r="V113" i="48"/>
  <c r="W113" i="48" s="1"/>
  <c r="V115" i="48"/>
  <c r="W115" i="48" s="1"/>
  <c r="V146" i="48"/>
  <c r="V148" i="48"/>
  <c r="W148" i="48" s="1"/>
  <c r="V150" i="48"/>
  <c r="W150" i="48" s="1"/>
  <c r="V152" i="48"/>
  <c r="W152" i="48" s="1"/>
  <c r="V154" i="48"/>
  <c r="W154" i="48" s="1"/>
  <c r="V156" i="48"/>
  <c r="V42" i="48"/>
  <c r="V44" i="48"/>
  <c r="W44" i="48" s="1"/>
  <c r="V46" i="48"/>
  <c r="W46" i="48" s="1"/>
  <c r="V48" i="48"/>
  <c r="W48" i="48" s="1"/>
  <c r="V50" i="48"/>
  <c r="V52" i="48"/>
  <c r="W52" i="48" s="1"/>
  <c r="V62" i="48"/>
  <c r="W62" i="48" s="1"/>
  <c r="V64" i="48"/>
  <c r="V66" i="48"/>
  <c r="W66" i="48" s="1"/>
  <c r="V68" i="48"/>
  <c r="V70" i="48"/>
  <c r="W70" i="48" s="1"/>
  <c r="V72" i="48"/>
  <c r="W72" i="48" s="1"/>
  <c r="V84" i="48"/>
  <c r="W84" i="48" s="1"/>
  <c r="V86" i="48"/>
  <c r="W86" i="48" s="1"/>
  <c r="V88" i="48"/>
  <c r="W88" i="48" s="1"/>
  <c r="V90" i="48"/>
  <c r="V92" i="48"/>
  <c r="W92" i="48" s="1"/>
  <c r="V94" i="48"/>
  <c r="W94" i="48" s="1"/>
  <c r="V104" i="48"/>
  <c r="W104" i="48" s="1"/>
  <c r="V106" i="48"/>
  <c r="W106" i="48" s="1"/>
  <c r="V108" i="48"/>
  <c r="W108" i="48" s="1"/>
  <c r="V110" i="48"/>
  <c r="W110" i="48" s="1"/>
  <c r="V112" i="48"/>
  <c r="W112" i="48" s="1"/>
  <c r="V114" i="48"/>
  <c r="W114" i="48" s="1"/>
  <c r="V147" i="48"/>
  <c r="V149" i="48"/>
  <c r="W149" i="48" s="1"/>
  <c r="V151" i="48"/>
  <c r="W151" i="48" s="1"/>
  <c r="V153" i="48"/>
  <c r="W153" i="48" s="1"/>
  <c r="V155" i="48"/>
  <c r="W155" i="48" s="1"/>
  <c r="V157" i="48"/>
  <c r="W157" i="48" s="1"/>
  <c r="V167" i="48"/>
  <c r="W167" i="48" s="1"/>
  <c r="V169" i="48"/>
  <c r="V171" i="48"/>
  <c r="W171" i="48" s="1"/>
  <c r="V173" i="48"/>
  <c r="W173" i="48" s="1"/>
  <c r="V175" i="48"/>
  <c r="W175" i="48" s="1"/>
  <c r="V177" i="48"/>
  <c r="W177" i="48" s="1"/>
  <c r="V189" i="48"/>
  <c r="W189" i="48" s="1"/>
  <c r="V191" i="48"/>
  <c r="W191" i="48" s="1"/>
  <c r="V193" i="48"/>
  <c r="W193" i="48" s="1"/>
  <c r="V195" i="48"/>
  <c r="W195" i="48" s="1"/>
  <c r="V197" i="48"/>
  <c r="W197" i="48" s="1"/>
  <c r="V199" i="48"/>
  <c r="W199" i="48" s="1"/>
  <c r="V209" i="48"/>
  <c r="W209" i="48" s="1"/>
  <c r="V211" i="48"/>
  <c r="W211" i="48" s="1"/>
  <c r="V213" i="48"/>
  <c r="W213" i="48" s="1"/>
  <c r="V215" i="48"/>
  <c r="W215" i="48" s="1"/>
  <c r="V217" i="48"/>
  <c r="W217" i="48" s="1"/>
  <c r="V219" i="48"/>
  <c r="W219" i="48" s="1"/>
  <c r="V170" i="48"/>
  <c r="W170" i="48" s="1"/>
  <c r="V178" i="48"/>
  <c r="W178" i="48" s="1"/>
  <c r="V190" i="48"/>
  <c r="W190" i="48" s="1"/>
  <c r="V198" i="48"/>
  <c r="W198" i="48" s="1"/>
  <c r="V210" i="48"/>
  <c r="W210" i="48" s="1"/>
  <c r="V218" i="48"/>
  <c r="W218" i="48" s="1"/>
  <c r="V125" i="48"/>
  <c r="W125" i="48" s="1"/>
  <c r="V127" i="48"/>
  <c r="W127" i="48" s="1"/>
  <c r="V129" i="48"/>
  <c r="W129" i="48" s="1"/>
  <c r="V131" i="48"/>
  <c r="W131" i="48" s="1"/>
  <c r="V133" i="48"/>
  <c r="W133" i="48" s="1"/>
  <c r="V135" i="48"/>
  <c r="V168" i="48"/>
  <c r="W168" i="48" s="1"/>
  <c r="V176" i="48"/>
  <c r="W176" i="48" s="1"/>
  <c r="V188" i="48"/>
  <c r="V196" i="48"/>
  <c r="W196" i="48" s="1"/>
  <c r="V216" i="48"/>
  <c r="W216" i="48" s="1"/>
  <c r="V231" i="48"/>
  <c r="W231" i="48" s="1"/>
  <c r="V233" i="48"/>
  <c r="W233" i="48" s="1"/>
  <c r="V235" i="48"/>
  <c r="W235" i="48" s="1"/>
  <c r="V237" i="48"/>
  <c r="W237" i="48" s="1"/>
  <c r="V239" i="48"/>
  <c r="W239" i="48" s="1"/>
  <c r="V241" i="48"/>
  <c r="W241" i="48" s="1"/>
  <c r="V20" i="48"/>
  <c r="W20" i="48" s="1"/>
  <c r="V22" i="48"/>
  <c r="V24" i="48"/>
  <c r="W24" i="48" s="1"/>
  <c r="V26" i="48"/>
  <c r="W26" i="48" s="1"/>
  <c r="V28" i="48"/>
  <c r="W28" i="48" s="1"/>
  <c r="V30" i="48"/>
  <c r="W30" i="48" s="1"/>
  <c r="V174" i="48"/>
  <c r="W174" i="48" s="1"/>
  <c r="V194" i="48"/>
  <c r="V214" i="48"/>
  <c r="W214" i="48" s="1"/>
  <c r="V126" i="48"/>
  <c r="W126" i="48" s="1"/>
  <c r="V128" i="48"/>
  <c r="W128" i="48" s="1"/>
  <c r="V130" i="48"/>
  <c r="W130" i="48" s="1"/>
  <c r="V132" i="48"/>
  <c r="W132" i="48" s="1"/>
  <c r="V134" i="48"/>
  <c r="W134" i="48" s="1"/>
  <c r="V136" i="48"/>
  <c r="W136" i="48" s="1"/>
  <c r="M34" i="48"/>
  <c r="V172" i="48"/>
  <c r="W172" i="48" s="1"/>
  <c r="V192" i="48"/>
  <c r="W192" i="48" s="1"/>
  <c r="V212" i="48"/>
  <c r="W212" i="48" s="1"/>
  <c r="V220" i="48"/>
  <c r="W220" i="48" s="1"/>
  <c r="V230" i="48"/>
  <c r="W230" i="48" s="1"/>
  <c r="V232" i="48"/>
  <c r="W232" i="48" s="1"/>
  <c r="V234" i="48"/>
  <c r="W234" i="48" s="1"/>
  <c r="V236" i="48"/>
  <c r="W236" i="48" s="1"/>
  <c r="V238" i="48"/>
  <c r="W238" i="48" s="1"/>
  <c r="V240" i="48"/>
  <c r="W240" i="48" s="1"/>
  <c r="V21" i="48"/>
  <c r="W21" i="48" s="1"/>
  <c r="V23" i="48"/>
  <c r="W23" i="48" s="1"/>
  <c r="V25" i="48"/>
  <c r="W25" i="48" s="1"/>
  <c r="V27" i="48"/>
  <c r="W27" i="48" s="1"/>
  <c r="V29" i="48"/>
  <c r="W29" i="48" s="1"/>
  <c r="V31" i="48"/>
  <c r="W31" i="48" s="1"/>
  <c r="M37" i="41"/>
  <c r="U54" i="48"/>
  <c r="V40" i="48"/>
  <c r="L55" i="48"/>
  <c r="M20" i="42"/>
  <c r="W194" i="48"/>
  <c r="W188" i="48"/>
  <c r="W146" i="48"/>
  <c r="W91" i="48"/>
  <c r="W67" i="48"/>
  <c r="W68" i="48"/>
  <c r="W65" i="48"/>
  <c r="W54" i="48"/>
  <c r="M57" i="48" s="1"/>
  <c r="M26" i="47" s="1"/>
  <c r="M55" i="48"/>
  <c r="W147" i="48"/>
  <c r="W50" i="48"/>
  <c r="W42" i="48"/>
  <c r="W135" i="48"/>
  <c r="W169" i="48"/>
  <c r="W90" i="48"/>
  <c r="W64" i="48"/>
  <c r="W156" i="48"/>
  <c r="W111" i="48"/>
  <c r="W85" i="48"/>
  <c r="W51" i="48"/>
  <c r="W43" i="48"/>
  <c r="K66" i="11" l="1"/>
  <c r="K69" i="11" s="1"/>
  <c r="L30" i="25"/>
  <c r="J66" i="11"/>
  <c r="J69" i="11" s="1"/>
  <c r="O66" i="11"/>
  <c r="O69" i="11" s="1"/>
  <c r="H66" i="11"/>
  <c r="N150" i="25"/>
  <c r="N169" i="25" s="1"/>
  <c r="O74" i="11"/>
  <c r="I42" i="11"/>
  <c r="I43" i="11" s="1"/>
  <c r="K65" i="11"/>
  <c r="H58" i="11"/>
  <c r="I50" i="11"/>
  <c r="J50" i="11"/>
  <c r="G92" i="11"/>
  <c r="F92" i="11"/>
  <c r="O50" i="11"/>
  <c r="O49" i="11" s="1"/>
  <c r="N50" i="11"/>
  <c r="N53" i="11" s="1"/>
  <c r="N28" i="25" s="1"/>
  <c r="E92" i="11"/>
  <c r="M50" i="11"/>
  <c r="M49" i="11" s="1"/>
  <c r="E50" i="11"/>
  <c r="L50" i="11"/>
  <c r="H50" i="11"/>
  <c r="K50" i="11"/>
  <c r="G50" i="11"/>
  <c r="H6" i="34"/>
  <c r="D148" i="17" s="1"/>
  <c r="L161" i="45"/>
  <c r="H12" i="34"/>
  <c r="D154" i="17" s="1"/>
  <c r="N26" i="7"/>
  <c r="H11" i="34"/>
  <c r="D153" i="17" s="1"/>
  <c r="H8" i="34"/>
  <c r="D150" i="17" s="1"/>
  <c r="G16" i="7"/>
  <c r="M161" i="15"/>
  <c r="E23" i="9"/>
  <c r="E25" i="9"/>
  <c r="F161" i="47"/>
  <c r="F160" i="43"/>
  <c r="F161" i="15"/>
  <c r="E206" i="25"/>
  <c r="F161" i="45"/>
  <c r="K161" i="47"/>
  <c r="G206" i="25"/>
  <c r="H160" i="43"/>
  <c r="P30" i="10"/>
  <c r="L56" i="9"/>
  <c r="C50" i="16"/>
  <c r="C71" i="16"/>
  <c r="C70" i="16"/>
  <c r="C210" i="16"/>
  <c r="C30" i="16"/>
  <c r="L92" i="18"/>
  <c r="M8" i="10"/>
  <c r="AF5" i="19"/>
  <c r="K252" i="37"/>
  <c r="M22" i="38"/>
  <c r="M252" i="37"/>
  <c r="M305" i="38"/>
  <c r="M162" i="39"/>
  <c r="M22" i="37"/>
  <c r="L22" i="38"/>
  <c r="M249" i="39"/>
  <c r="L246" i="29"/>
  <c r="L249" i="28"/>
  <c r="N50" i="37"/>
  <c r="M280" i="37"/>
  <c r="M50" i="38"/>
  <c r="M193" i="38"/>
  <c r="M162" i="38"/>
  <c r="L277" i="39"/>
  <c r="N19" i="30"/>
  <c r="N75" i="35"/>
  <c r="K196" i="37"/>
  <c r="N50" i="39"/>
  <c r="N218" i="30"/>
  <c r="N131" i="35"/>
  <c r="N19" i="35"/>
  <c r="L252" i="37"/>
  <c r="N277" i="39"/>
  <c r="N246" i="30"/>
  <c r="L249" i="38"/>
  <c r="N134" i="39"/>
  <c r="M193" i="39"/>
  <c r="L274" i="29"/>
  <c r="L22" i="28"/>
  <c r="L277" i="28"/>
  <c r="M246" i="28"/>
  <c r="M249" i="28" s="1"/>
  <c r="N221" i="28"/>
  <c r="N131" i="28"/>
  <c r="M75" i="28"/>
  <c r="M78" i="28" s="1"/>
  <c r="L103" i="28"/>
  <c r="K274" i="28"/>
  <c r="K277" i="28" s="1"/>
  <c r="N47" i="35"/>
  <c r="K75" i="35"/>
  <c r="L131" i="35"/>
  <c r="N190" i="35"/>
  <c r="K19" i="35"/>
  <c r="N162" i="35"/>
  <c r="N78" i="37"/>
  <c r="N302" i="28"/>
  <c r="N218" i="28"/>
  <c r="K131" i="35"/>
  <c r="N302" i="35"/>
  <c r="M159" i="35"/>
  <c r="E47" i="30"/>
  <c r="E50" i="30" s="1"/>
  <c r="E218" i="30"/>
  <c r="E221" i="30" s="1"/>
  <c r="E75" i="30"/>
  <c r="E78" i="30" s="1"/>
  <c r="E246" i="30"/>
  <c r="E19" i="30"/>
  <c r="E22" i="30" s="1"/>
  <c r="E162" i="30"/>
  <c r="E274" i="30"/>
  <c r="E277" i="30" s="1"/>
  <c r="E131" i="30"/>
  <c r="E134" i="30" s="1"/>
  <c r="E103" i="30"/>
  <c r="E39" i="9"/>
  <c r="K39" i="9"/>
  <c r="I16" i="7"/>
  <c r="E170" i="35"/>
  <c r="E30" i="29"/>
  <c r="E86" i="29"/>
  <c r="E201" i="30"/>
  <c r="E86" i="30"/>
  <c r="E30" i="30"/>
  <c r="P30" i="30" s="1"/>
  <c r="E257" i="30"/>
  <c r="E142" i="30"/>
  <c r="E58" i="30"/>
  <c r="E229" i="30"/>
  <c r="E114" i="30"/>
  <c r="P114" i="30" s="1"/>
  <c r="E313" i="30"/>
  <c r="P170" i="30"/>
  <c r="E285" i="30"/>
  <c r="E114" i="29"/>
  <c r="E257" i="29"/>
  <c r="E163" i="25"/>
  <c r="P163" i="25" s="1"/>
  <c r="E30" i="34"/>
  <c r="P30" i="34" s="1"/>
  <c r="D61" i="47"/>
  <c r="E114" i="35"/>
  <c r="E257" i="35"/>
  <c r="H20" i="19"/>
  <c r="E313" i="29"/>
  <c r="D170" i="28"/>
  <c r="E201" i="29"/>
  <c r="D60" i="43"/>
  <c r="E58" i="35"/>
  <c r="E201" i="35"/>
  <c r="P16" i="10"/>
  <c r="D61" i="45"/>
  <c r="E285" i="29"/>
  <c r="E229" i="35"/>
  <c r="P229" i="35" s="1"/>
  <c r="E142" i="29"/>
  <c r="E86" i="35"/>
  <c r="D261" i="37"/>
  <c r="C51" i="16"/>
  <c r="C211" i="16"/>
  <c r="C107" i="16"/>
  <c r="C111" i="16" s="1"/>
  <c r="E14" i="42"/>
  <c r="C127" i="16"/>
  <c r="O135" i="43"/>
  <c r="D136" i="45"/>
  <c r="I183" i="37"/>
  <c r="M183" i="37"/>
  <c r="K136" i="45"/>
  <c r="E211" i="35"/>
  <c r="I180" i="35"/>
  <c r="P37" i="24"/>
  <c r="L136" i="15"/>
  <c r="L183" i="37"/>
  <c r="H37" i="24"/>
  <c r="D183" i="37"/>
  <c r="I37" i="24"/>
  <c r="K136" i="15"/>
  <c r="E239" i="35"/>
  <c r="N180" i="35"/>
  <c r="N295" i="35" s="1"/>
  <c r="K37" i="24"/>
  <c r="M180" i="35"/>
  <c r="L37" i="24"/>
  <c r="J21" i="24"/>
  <c r="I84" i="25" s="1"/>
  <c r="J70" i="24"/>
  <c r="K70" i="24"/>
  <c r="P71" i="24"/>
  <c r="O85" i="25"/>
  <c r="O134" i="25" s="1"/>
  <c r="O174" i="25" s="1"/>
  <c r="M21" i="24"/>
  <c r="L84" i="25" s="1"/>
  <c r="N65" i="24"/>
  <c r="O65" i="24"/>
  <c r="L65" i="24"/>
  <c r="F34" i="24"/>
  <c r="N20" i="24"/>
  <c r="M83" i="25" s="1"/>
  <c r="G64" i="24"/>
  <c r="G69" i="24" s="1"/>
  <c r="O14" i="24"/>
  <c r="N30" i="25"/>
  <c r="L65" i="11"/>
  <c r="L46" i="24"/>
  <c r="E66" i="11"/>
  <c r="G6" i="24"/>
  <c r="G93" i="11"/>
  <c r="K46" i="24"/>
  <c r="F109" i="11"/>
  <c r="F110" i="11" s="1"/>
  <c r="O53" i="11"/>
  <c r="P12" i="24" s="1"/>
  <c r="L14" i="24"/>
  <c r="K30" i="25"/>
  <c r="K14" i="24"/>
  <c r="J30" i="25"/>
  <c r="G52" i="24"/>
  <c r="G58" i="24"/>
  <c r="H52" i="24"/>
  <c r="G33" i="24"/>
  <c r="H33" i="24"/>
  <c r="F58" i="24"/>
  <c r="H123" i="25"/>
  <c r="E7" i="25"/>
  <c r="J120" i="25"/>
  <c r="L119" i="25"/>
  <c r="J118" i="25"/>
  <c r="K117" i="25"/>
  <c r="H126" i="25"/>
  <c r="J65" i="11"/>
  <c r="M9" i="24"/>
  <c r="K119" i="25"/>
  <c r="H124" i="25"/>
  <c r="P58" i="24"/>
  <c r="E65" i="11"/>
  <c r="G100" i="11"/>
  <c r="L57" i="11"/>
  <c r="M69" i="11"/>
  <c r="H10" i="11"/>
  <c r="N58" i="11"/>
  <c r="K58" i="11"/>
  <c r="H131" i="25"/>
  <c r="H129" i="25"/>
  <c r="J117" i="25"/>
  <c r="L116" i="25"/>
  <c r="K148" i="25"/>
  <c r="I7" i="25"/>
  <c r="O58" i="24"/>
  <c r="F100" i="11"/>
  <c r="G9" i="24"/>
  <c r="H58" i="24" s="1"/>
  <c r="I19" i="24"/>
  <c r="I58" i="11"/>
  <c r="J9" i="24"/>
  <c r="H9" i="24"/>
  <c r="K27" i="24" s="1"/>
  <c r="E67" i="11"/>
  <c r="F52" i="24" s="1"/>
  <c r="J114" i="25"/>
  <c r="H8" i="11"/>
  <c r="M58" i="11"/>
  <c r="J58" i="11"/>
  <c r="G58" i="11"/>
  <c r="O8" i="24"/>
  <c r="G101" i="11"/>
  <c r="M92" i="25"/>
  <c r="M6" i="24"/>
  <c r="N55" i="24" s="1"/>
  <c r="K92" i="25"/>
  <c r="E81" i="18"/>
  <c r="H161" i="47"/>
  <c r="D161" i="45"/>
  <c r="K161" i="15"/>
  <c r="D161" i="15"/>
  <c r="D160" i="43"/>
  <c r="K160" i="43"/>
  <c r="K161" i="45"/>
  <c r="D161" i="47"/>
  <c r="H161" i="15"/>
  <c r="K56" i="9"/>
  <c r="E103" i="29"/>
  <c r="E162" i="29"/>
  <c r="E249" i="37"/>
  <c r="E165" i="37"/>
  <c r="E106" i="35"/>
  <c r="E75" i="37"/>
  <c r="E106" i="37"/>
  <c r="E109" i="37" s="1"/>
  <c r="E249" i="35"/>
  <c r="E221" i="37"/>
  <c r="E224" i="37" s="1"/>
  <c r="F134" i="39"/>
  <c r="E22" i="35"/>
  <c r="E162" i="28"/>
  <c r="E190" i="29"/>
  <c r="E193" i="29" s="1"/>
  <c r="E47" i="37"/>
  <c r="E50" i="37" s="1"/>
  <c r="E9" i="8"/>
  <c r="E277" i="37"/>
  <c r="E280" i="37" s="1"/>
  <c r="E305" i="37"/>
  <c r="E308" i="37" s="1"/>
  <c r="E106" i="30"/>
  <c r="E246" i="29"/>
  <c r="E249" i="29" s="1"/>
  <c r="E162" i="38"/>
  <c r="E103" i="38"/>
  <c r="E302" i="38"/>
  <c r="G17" i="9"/>
  <c r="H17" i="9" s="1"/>
  <c r="I17" i="9" s="1"/>
  <c r="J17" i="9" s="1"/>
  <c r="K17" i="9" s="1"/>
  <c r="L17" i="9" s="1"/>
  <c r="M17" i="9" s="1"/>
  <c r="M18" i="9" s="1"/>
  <c r="K22" i="30"/>
  <c r="K22" i="39"/>
  <c r="K78" i="38"/>
  <c r="K249" i="30"/>
  <c r="K50" i="28"/>
  <c r="K221" i="35"/>
  <c r="E16" i="9"/>
  <c r="E18" i="9" s="1"/>
  <c r="K68" i="35"/>
  <c r="K211" i="35"/>
  <c r="H136" i="45"/>
  <c r="K96" i="35"/>
  <c r="K152" i="35"/>
  <c r="D124" i="28"/>
  <c r="C190" i="16"/>
  <c r="D230" i="29"/>
  <c r="D200" i="29"/>
  <c r="D286" i="29"/>
  <c r="D256" i="29"/>
  <c r="D173" i="29"/>
  <c r="D312" i="29"/>
  <c r="D59" i="29"/>
  <c r="D85" i="29"/>
  <c r="D115" i="29"/>
  <c r="D141" i="29"/>
  <c r="D202" i="29"/>
  <c r="D228" i="29"/>
  <c r="D87" i="29"/>
  <c r="D57" i="29"/>
  <c r="D284" i="29"/>
  <c r="D65" i="29"/>
  <c r="D236" i="28"/>
  <c r="D93" i="29"/>
  <c r="D208" i="28"/>
  <c r="D121" i="29"/>
  <c r="D149" i="29"/>
  <c r="D149" i="35"/>
  <c r="D208" i="29"/>
  <c r="D264" i="35"/>
  <c r="D236" i="29"/>
  <c r="D292" i="28"/>
  <c r="G71" i="24"/>
  <c r="F23" i="10" s="1"/>
  <c r="M64" i="24"/>
  <c r="M20" i="24" s="1"/>
  <c r="L83" i="25" s="1"/>
  <c r="K64" i="24"/>
  <c r="G17" i="25"/>
  <c r="G39" i="25" s="1"/>
  <c r="G19" i="25"/>
  <c r="G41" i="25" s="1"/>
  <c r="J17" i="25"/>
  <c r="J39" i="25" s="1"/>
  <c r="J18" i="25"/>
  <c r="J40" i="25" s="1"/>
  <c r="J20" i="25"/>
  <c r="J42" i="25" s="1"/>
  <c r="D15" i="25"/>
  <c r="D37" i="25" s="1"/>
  <c r="D17" i="25"/>
  <c r="D39" i="25" s="1"/>
  <c r="E112" i="25"/>
  <c r="E118" i="25"/>
  <c r="E148" i="25"/>
  <c r="J112" i="25"/>
  <c r="M8" i="24"/>
  <c r="E114" i="25"/>
  <c r="E119" i="25"/>
  <c r="N114" i="25"/>
  <c r="K112" i="25"/>
  <c r="E117" i="25"/>
  <c r="M114" i="25"/>
  <c r="E113" i="25"/>
  <c r="L17" i="24"/>
  <c r="H55" i="24"/>
  <c r="L6" i="24"/>
  <c r="N94" i="25"/>
  <c r="N91" i="25"/>
  <c r="H49" i="24"/>
  <c r="O6" i="24"/>
  <c r="N97" i="25"/>
  <c r="G96" i="25"/>
  <c r="G94" i="25"/>
  <c r="G55" i="24"/>
  <c r="N95" i="25"/>
  <c r="G97" i="25"/>
  <c r="N98" i="25"/>
  <c r="N93" i="25"/>
  <c r="H6" i="24"/>
  <c r="B119" i="42"/>
  <c r="J52" i="42"/>
  <c r="J98" i="43" s="1"/>
  <c r="K51" i="42"/>
  <c r="K25" i="43" s="1"/>
  <c r="J106" i="42"/>
  <c r="J101" i="43" s="1"/>
  <c r="L88" i="42"/>
  <c r="L100" i="43" s="1"/>
  <c r="J33" i="42"/>
  <c r="J24" i="43" s="1"/>
  <c r="L52" i="42"/>
  <c r="L98" i="43" s="1"/>
  <c r="K34" i="42"/>
  <c r="K97" i="43" s="1"/>
  <c r="K160" i="42"/>
  <c r="K104" i="43" s="1"/>
  <c r="M141" i="42"/>
  <c r="M30" i="43" s="1"/>
  <c r="L177" i="42"/>
  <c r="L32" i="43" s="1"/>
  <c r="J51" i="42"/>
  <c r="J25" i="43" s="1"/>
  <c r="K52" i="42"/>
  <c r="K98" i="43" s="1"/>
  <c r="L87" i="42"/>
  <c r="L27" i="43" s="1"/>
  <c r="K70" i="42"/>
  <c r="K99" i="43" s="1"/>
  <c r="K159" i="42"/>
  <c r="K31" i="43" s="1"/>
  <c r="L106" i="42"/>
  <c r="L101" i="43" s="1"/>
  <c r="J177" i="42"/>
  <c r="J32" i="43" s="1"/>
  <c r="J159" i="42"/>
  <c r="J31" i="43" s="1"/>
  <c r="J34" i="42"/>
  <c r="J97" i="43" s="1"/>
  <c r="L70" i="42"/>
  <c r="L99" i="43" s="1"/>
  <c r="L159" i="42"/>
  <c r="L31" i="43" s="1"/>
  <c r="J87" i="42"/>
  <c r="J27" i="43" s="1"/>
  <c r="J69" i="42"/>
  <c r="J26" i="43" s="1"/>
  <c r="K177" i="42"/>
  <c r="K32" i="43" s="1"/>
  <c r="M52" i="42"/>
  <c r="M98" i="43" s="1"/>
  <c r="L160" i="42"/>
  <c r="L104" i="43" s="1"/>
  <c r="M142" i="42"/>
  <c r="M103" i="43" s="1"/>
  <c r="L178" i="42"/>
  <c r="L105" i="43" s="1"/>
  <c r="M70" i="42"/>
  <c r="M99" i="43" s="1"/>
  <c r="L33" i="42"/>
  <c r="L24" i="43" s="1"/>
  <c r="J88" i="42"/>
  <c r="J100" i="43" s="1"/>
  <c r="K88" i="42"/>
  <c r="K100" i="43" s="1"/>
  <c r="L141" i="42"/>
  <c r="L30" i="43" s="1"/>
  <c r="J178" i="42"/>
  <c r="J105" i="43" s="1"/>
  <c r="J160" i="42"/>
  <c r="J104" i="43" s="1"/>
  <c r="M87" i="42"/>
  <c r="M27" i="43" s="1"/>
  <c r="L69" i="42"/>
  <c r="L26" i="43" s="1"/>
  <c r="M51" i="42"/>
  <c r="M25" i="43" s="1"/>
  <c r="M106" i="42"/>
  <c r="M101" i="43" s="1"/>
  <c r="M177" i="42"/>
  <c r="M32" i="43" s="1"/>
  <c r="J141" i="42"/>
  <c r="J30" i="43" s="1"/>
  <c r="J70" i="42"/>
  <c r="J99" i="43" s="1"/>
  <c r="K87" i="42"/>
  <c r="K27" i="43" s="1"/>
  <c r="K141" i="42"/>
  <c r="K30" i="43" s="1"/>
  <c r="K105" i="42"/>
  <c r="K28" i="43" s="1"/>
  <c r="K69" i="42"/>
  <c r="K26" i="43" s="1"/>
  <c r="M88" i="42"/>
  <c r="M100" i="43" s="1"/>
  <c r="K178" i="42"/>
  <c r="K105" i="43" s="1"/>
  <c r="M105" i="42"/>
  <c r="M28" i="43" s="1"/>
  <c r="M160" i="42"/>
  <c r="M104" i="43" s="1"/>
  <c r="M178" i="42"/>
  <c r="M105" i="43" s="1"/>
  <c r="J142" i="42"/>
  <c r="J103" i="43" s="1"/>
  <c r="K142" i="42"/>
  <c r="K103" i="43" s="1"/>
  <c r="L142" i="42"/>
  <c r="L103" i="43" s="1"/>
  <c r="K106" i="42"/>
  <c r="K101" i="43" s="1"/>
  <c r="K33" i="42"/>
  <c r="K24" i="43" s="1"/>
  <c r="L105" i="42"/>
  <c r="L28" i="43" s="1"/>
  <c r="M69" i="42"/>
  <c r="M26" i="43" s="1"/>
  <c r="L34" i="42"/>
  <c r="L97" i="43" s="1"/>
  <c r="M159" i="42"/>
  <c r="M31" i="43" s="1"/>
  <c r="J105" i="42"/>
  <c r="J28" i="43" s="1"/>
  <c r="L51" i="42"/>
  <c r="L25" i="43" s="1"/>
  <c r="N72" i="9"/>
  <c r="H11" i="46"/>
  <c r="M81" i="18"/>
  <c r="H10" i="41"/>
  <c r="L68" i="41" s="1"/>
  <c r="L27" i="15" s="1"/>
  <c r="I81" i="18"/>
  <c r="G81" i="18"/>
  <c r="F31" i="24"/>
  <c r="J51" i="11"/>
  <c r="M150" i="25"/>
  <c r="M169" i="25" s="1"/>
  <c r="H51" i="11"/>
  <c r="N74" i="11"/>
  <c r="W22" i="48"/>
  <c r="W47" i="48"/>
  <c r="L57" i="48"/>
  <c r="L26" i="47" s="1"/>
  <c r="E190" i="38"/>
  <c r="E246" i="38"/>
  <c r="E75" i="38"/>
  <c r="E19" i="38"/>
  <c r="E22" i="38" s="1"/>
  <c r="E47" i="38"/>
  <c r="E131" i="38"/>
  <c r="E218" i="38"/>
  <c r="E252" i="37"/>
  <c r="L68" i="29"/>
  <c r="E152" i="29"/>
  <c r="K267" i="28"/>
  <c r="P180" i="30"/>
  <c r="P180" i="38"/>
  <c r="L68" i="38"/>
  <c r="H124" i="38"/>
  <c r="J152" i="38"/>
  <c r="H295" i="38"/>
  <c r="K323" i="28"/>
  <c r="E68" i="29"/>
  <c r="L96" i="38"/>
  <c r="H323" i="38"/>
  <c r="J40" i="38"/>
  <c r="P40" i="38" s="1"/>
  <c r="G68" i="39"/>
  <c r="G124" i="39"/>
  <c r="M239" i="39"/>
  <c r="H295" i="39"/>
  <c r="M96" i="39"/>
  <c r="H96" i="29"/>
  <c r="M124" i="30"/>
  <c r="E68" i="28"/>
  <c r="G211" i="30"/>
  <c r="E239" i="29"/>
  <c r="L211" i="38"/>
  <c r="H68" i="39"/>
  <c r="H124" i="39"/>
  <c r="M211" i="39"/>
  <c r="K96" i="28"/>
  <c r="E211" i="29"/>
  <c r="J68" i="38"/>
  <c r="H152" i="38"/>
  <c r="P152" i="38" s="1"/>
  <c r="J211" i="38"/>
  <c r="L239" i="38"/>
  <c r="L267" i="38"/>
  <c r="H152" i="39"/>
  <c r="M267" i="39"/>
  <c r="P267" i="39" s="1"/>
  <c r="G295" i="39"/>
  <c r="H323" i="39"/>
  <c r="H68" i="29"/>
  <c r="M40" i="30"/>
  <c r="P180" i="28"/>
  <c r="E239" i="28"/>
  <c r="K152" i="28"/>
  <c r="M40" i="39"/>
  <c r="M68" i="39"/>
  <c r="H40" i="29"/>
  <c r="K68" i="28"/>
  <c r="K239" i="28"/>
  <c r="G40" i="30"/>
  <c r="P40" i="30" s="1"/>
  <c r="E124" i="29"/>
  <c r="H68" i="38"/>
  <c r="L124" i="38"/>
  <c r="H211" i="38"/>
  <c r="J239" i="38"/>
  <c r="J267" i="38"/>
  <c r="P267" i="38" s="1"/>
  <c r="L295" i="38"/>
  <c r="P295" i="38" s="1"/>
  <c r="P180" i="39"/>
  <c r="M295" i="39"/>
  <c r="H211" i="29"/>
  <c r="H295" i="29"/>
  <c r="G152" i="30"/>
  <c r="G323" i="30"/>
  <c r="K295" i="28"/>
  <c r="G267" i="30"/>
  <c r="E267" i="29"/>
  <c r="H96" i="38"/>
  <c r="L323" i="38"/>
  <c r="G40" i="39"/>
  <c r="M152" i="39"/>
  <c r="H211" i="39"/>
  <c r="P211" i="39" s="1"/>
  <c r="M323" i="39"/>
  <c r="P323" i="39" s="1"/>
  <c r="E40" i="29"/>
  <c r="M136" i="45"/>
  <c r="G124" i="30"/>
  <c r="J96" i="38"/>
  <c r="K40" i="28"/>
  <c r="G68" i="30"/>
  <c r="P180" i="29"/>
  <c r="J124" i="38"/>
  <c r="P124" i="38" s="1"/>
  <c r="H239" i="38"/>
  <c r="H40" i="39"/>
  <c r="H239" i="39"/>
  <c r="H152" i="29"/>
  <c r="I59" i="11"/>
  <c r="D171" i="38"/>
  <c r="D314" i="38" s="1"/>
  <c r="D200" i="38"/>
  <c r="D29" i="38"/>
  <c r="D284" i="38"/>
  <c r="D85" i="38"/>
  <c r="D256" i="38"/>
  <c r="D141" i="38"/>
  <c r="D228" i="38"/>
  <c r="D57" i="38"/>
  <c r="D113" i="38"/>
  <c r="D312" i="38"/>
  <c r="D148" i="37"/>
  <c r="D120" i="37"/>
  <c r="D89" i="37"/>
  <c r="D319" i="37"/>
  <c r="D61" i="37"/>
  <c r="D291" i="37"/>
  <c r="D263" i="37"/>
  <c r="D235" i="37"/>
  <c r="D207" i="37"/>
  <c r="D118" i="37"/>
  <c r="D203" i="37"/>
  <c r="D146" i="37"/>
  <c r="D231" i="37"/>
  <c r="D205" i="37"/>
  <c r="D259" i="37"/>
  <c r="D233" i="37"/>
  <c r="D315" i="37"/>
  <c r="D287" i="37"/>
  <c r="D317" i="37"/>
  <c r="D289" i="37"/>
  <c r="D85" i="37"/>
  <c r="D59" i="37"/>
  <c r="M96" i="35"/>
  <c r="G136" i="45"/>
  <c r="E96" i="28"/>
  <c r="M239" i="35"/>
  <c r="P26" i="10"/>
  <c r="Q180" i="38" s="1"/>
  <c r="F93" i="11"/>
  <c r="G51" i="11"/>
  <c r="E51" i="11"/>
  <c r="E52" i="11" s="1"/>
  <c r="F51" i="11"/>
  <c r="E93" i="11"/>
  <c r="E94" i="11" s="1"/>
  <c r="E49" i="11"/>
  <c r="I51" i="11"/>
  <c r="E91" i="11"/>
  <c r="F32" i="24"/>
  <c r="L29" i="25"/>
  <c r="E101" i="11"/>
  <c r="E102" i="11" s="1"/>
  <c r="E103" i="11" s="1"/>
  <c r="F99" i="11" s="1"/>
  <c r="F86" i="11"/>
  <c r="G86" i="11" s="1"/>
  <c r="O26" i="7"/>
  <c r="J16" i="7"/>
  <c r="K26" i="7"/>
  <c r="L161" i="15"/>
  <c r="J11" i="7"/>
  <c r="J29" i="7" s="1"/>
  <c r="H161" i="45"/>
  <c r="I26" i="7"/>
  <c r="E19" i="28"/>
  <c r="E22" i="28" s="1"/>
  <c r="E131" i="28"/>
  <c r="E134" i="28" s="1"/>
  <c r="E274" i="28"/>
  <c r="E103" i="35"/>
  <c r="E218" i="28"/>
  <c r="D37" i="9"/>
  <c r="E19" i="29"/>
  <c r="E22" i="29" s="1"/>
  <c r="E19" i="35"/>
  <c r="P40" i="28"/>
  <c r="P96" i="39"/>
  <c r="D68" i="29"/>
  <c r="D96" i="29"/>
  <c r="E68" i="35"/>
  <c r="E96" i="35"/>
  <c r="N323" i="35"/>
  <c r="P211" i="28"/>
  <c r="N68" i="35"/>
  <c r="H267" i="35"/>
  <c r="H211" i="35"/>
  <c r="G152" i="35"/>
  <c r="G211" i="35"/>
  <c r="G239" i="35"/>
  <c r="E124" i="28"/>
  <c r="P124" i="28" s="1"/>
  <c r="G68" i="35"/>
  <c r="G96" i="35"/>
  <c r="F152" i="35"/>
  <c r="J180" i="35"/>
  <c r="F37" i="24"/>
  <c r="N37" i="24"/>
  <c r="N136" i="45"/>
  <c r="J136" i="45"/>
  <c r="E136" i="45"/>
  <c r="E152" i="28"/>
  <c r="E152" i="35"/>
  <c r="G37" i="24"/>
  <c r="O37" i="24"/>
  <c r="E99" i="11"/>
  <c r="E11" i="11"/>
  <c r="D22" i="10" s="1"/>
  <c r="D36" i="29" s="1"/>
  <c r="M74" i="11"/>
  <c r="E59" i="11"/>
  <c r="F51" i="24" s="1"/>
  <c r="J59" i="11"/>
  <c r="E57" i="11"/>
  <c r="H59" i="11"/>
  <c r="H74" i="11" s="1"/>
  <c r="H9" i="11"/>
  <c r="F101" i="11"/>
  <c r="G59" i="11"/>
  <c r="D60" i="10"/>
  <c r="K74" i="11"/>
  <c r="J212" i="41"/>
  <c r="J35" i="15" s="1"/>
  <c r="J158" i="41"/>
  <c r="J32" i="15" s="1"/>
  <c r="J159" i="41"/>
  <c r="J105" i="15" s="1"/>
  <c r="L195" i="41"/>
  <c r="L107" i="15" s="1"/>
  <c r="J51" i="41"/>
  <c r="J99" i="15" s="1"/>
  <c r="K195" i="41"/>
  <c r="K107" i="15" s="1"/>
  <c r="J123" i="41"/>
  <c r="C130" i="16"/>
  <c r="D286" i="35"/>
  <c r="D59" i="35"/>
  <c r="D31" i="35"/>
  <c r="D173" i="35"/>
  <c r="D202" i="35"/>
  <c r="D258" i="35"/>
  <c r="D87" i="35"/>
  <c r="D143" i="35"/>
  <c r="D314" i="35"/>
  <c r="D230" i="35"/>
  <c r="D115" i="35"/>
  <c r="D152" i="29"/>
  <c r="D211" i="35"/>
  <c r="D211" i="29"/>
  <c r="D267" i="28"/>
  <c r="E267" i="28"/>
  <c r="D239" i="35"/>
  <c r="D239" i="29"/>
  <c r="D295" i="28"/>
  <c r="E295" i="28"/>
  <c r="D323" i="35"/>
  <c r="D267" i="29"/>
  <c r="E323" i="28"/>
  <c r="D295" i="29"/>
  <c r="D323" i="29"/>
  <c r="D68" i="35"/>
  <c r="D96" i="35"/>
  <c r="D152" i="28"/>
  <c r="D124" i="35"/>
  <c r="P68" i="28"/>
  <c r="P124" i="39"/>
  <c r="O136" i="47"/>
  <c r="F122" i="45"/>
  <c r="G177" i="30"/>
  <c r="G177" i="35"/>
  <c r="G177" i="38"/>
  <c r="G180" i="37"/>
  <c r="G177" i="29"/>
  <c r="F121" i="43"/>
  <c r="G177" i="39"/>
  <c r="G170" i="25"/>
  <c r="F122" i="47"/>
  <c r="G37" i="34"/>
  <c r="G177" i="28"/>
  <c r="F122" i="15"/>
  <c r="J69" i="24"/>
  <c r="J71" i="24" s="1"/>
  <c r="I23" i="10" s="1"/>
  <c r="I69" i="24"/>
  <c r="I71" i="24" s="1"/>
  <c r="H23" i="10" s="1"/>
  <c r="I20" i="24"/>
  <c r="H83" i="25" s="1"/>
  <c r="H85" i="25" s="1"/>
  <c r="G34" i="24"/>
  <c r="H34" i="24" s="1"/>
  <c r="I34" i="24" s="1"/>
  <c r="J34" i="24" s="1"/>
  <c r="K34" i="24" s="1"/>
  <c r="H20" i="24"/>
  <c r="G83" i="25" s="1"/>
  <c r="G85" i="25" s="1"/>
  <c r="G135" i="25" s="1"/>
  <c r="G175" i="25" s="1"/>
  <c r="P47" i="24"/>
  <c r="O139" i="25"/>
  <c r="O179" i="25" s="1"/>
  <c r="L112" i="25"/>
  <c r="O17" i="24"/>
  <c r="O133" i="25"/>
  <c r="O173" i="25" s="1"/>
  <c r="O142" i="25"/>
  <c r="O182" i="25" s="1"/>
  <c r="L74" i="11"/>
  <c r="O136" i="25"/>
  <c r="O176" i="25" s="1"/>
  <c r="J148" i="25"/>
  <c r="G148" i="25"/>
  <c r="O150" i="25"/>
  <c r="O169" i="25" s="1"/>
  <c r="J6" i="24"/>
  <c r="K55" i="24" s="1"/>
  <c r="F146" i="25"/>
  <c r="L93" i="25"/>
  <c r="L91" i="25"/>
  <c r="G146" i="25"/>
  <c r="L89" i="25"/>
  <c r="L97" i="25"/>
  <c r="L96" i="25"/>
  <c r="L95" i="25"/>
  <c r="L94" i="25"/>
  <c r="K146" i="25"/>
  <c r="L146" i="25"/>
  <c r="L150" i="25" s="1"/>
  <c r="L169" i="25" s="1"/>
  <c r="L90" i="25"/>
  <c r="L98" i="25"/>
  <c r="C121" i="47"/>
  <c r="D176" i="39"/>
  <c r="P22" i="24"/>
  <c r="L80" i="18"/>
  <c r="G80" i="18"/>
  <c r="D80" i="18"/>
  <c r="K81" i="18"/>
  <c r="H81" i="18"/>
  <c r="M80" i="18"/>
  <c r="G103" i="39"/>
  <c r="G106" i="39" s="1"/>
  <c r="G75" i="39"/>
  <c r="G78" i="39" s="1"/>
  <c r="G47" i="39"/>
  <c r="G50" i="39" s="1"/>
  <c r="G302" i="39"/>
  <c r="G305" i="39" s="1"/>
  <c r="G274" i="39"/>
  <c r="G277" i="39" s="1"/>
  <c r="G19" i="39"/>
  <c r="G22" i="39" s="1"/>
  <c r="G218" i="39"/>
  <c r="G221" i="39" s="1"/>
  <c r="G246" i="39"/>
  <c r="G249" i="39" s="1"/>
  <c r="G190" i="39"/>
  <c r="G193" i="39" s="1"/>
  <c r="G131" i="39"/>
  <c r="G134" i="39" s="1"/>
  <c r="E221" i="39"/>
  <c r="F50" i="39"/>
  <c r="E196" i="37"/>
  <c r="F277" i="39"/>
  <c r="E277" i="39"/>
  <c r="E78" i="37"/>
  <c r="F193" i="39"/>
  <c r="E134" i="39"/>
  <c r="D27" i="8"/>
  <c r="H5" i="19" s="1"/>
  <c r="J56" i="9"/>
  <c r="K48" i="9"/>
  <c r="J49" i="9"/>
  <c r="G43" i="9"/>
  <c r="F44" i="9"/>
  <c r="E44" i="9"/>
  <c r="N79" i="9"/>
  <c r="H49" i="9"/>
  <c r="G55" i="9"/>
  <c r="H55" i="9" s="1"/>
  <c r="I55" i="9" s="1"/>
  <c r="G24" i="9"/>
  <c r="H24" i="9" s="1"/>
  <c r="I24" i="9" s="1"/>
  <c r="J24" i="9" s="1"/>
  <c r="K24" i="9" s="1"/>
  <c r="G31" i="9"/>
  <c r="H31" i="9" s="1"/>
  <c r="I31" i="9" s="1"/>
  <c r="E49" i="9"/>
  <c r="G15" i="9"/>
  <c r="H15" i="9" s="1"/>
  <c r="G29" i="9"/>
  <c r="H29" i="9" s="1"/>
  <c r="G22" i="9"/>
  <c r="H22" i="9" s="1"/>
  <c r="F23" i="9"/>
  <c r="M30" i="9"/>
  <c r="F30" i="9"/>
  <c r="F32" i="9" s="1"/>
  <c r="J30" i="9"/>
  <c r="E54" i="9"/>
  <c r="P11" i="7"/>
  <c r="P29" i="7" s="1"/>
  <c r="N16" i="7"/>
  <c r="I161" i="45"/>
  <c r="E161" i="45"/>
  <c r="I161" i="15"/>
  <c r="E161" i="15"/>
  <c r="G26" i="7"/>
  <c r="J26" i="7"/>
  <c r="D241" i="25"/>
  <c r="E241" i="25" s="1"/>
  <c r="M26" i="7"/>
  <c r="H11" i="7"/>
  <c r="H29" i="7" s="1"/>
  <c r="M11" i="7"/>
  <c r="M29" i="7" s="1"/>
  <c r="H16" i="7"/>
  <c r="M34" i="42"/>
  <c r="M97" i="43" s="1"/>
  <c r="M55" i="41"/>
  <c r="M33" i="42"/>
  <c r="M24" i="43" s="1"/>
  <c r="F69" i="24"/>
  <c r="F71" i="24" s="1"/>
  <c r="E23" i="10" s="1"/>
  <c r="P104" i="35"/>
  <c r="P34" i="24"/>
  <c r="L106" i="38"/>
  <c r="K277" i="38"/>
  <c r="K221" i="38"/>
  <c r="D59" i="38"/>
  <c r="D258" i="38"/>
  <c r="D202" i="38"/>
  <c r="D87" i="38"/>
  <c r="F78" i="39"/>
  <c r="D276" i="37"/>
  <c r="D304" i="37"/>
  <c r="E303" i="38"/>
  <c r="L162" i="38"/>
  <c r="K21" i="38"/>
  <c r="K22" i="38" s="1"/>
  <c r="F30" i="38"/>
  <c r="F21" i="38"/>
  <c r="N21" i="39"/>
  <c r="N22" i="39" s="1"/>
  <c r="M20" i="39"/>
  <c r="J20" i="39"/>
  <c r="H21" i="39"/>
  <c r="F30" i="39"/>
  <c r="D116" i="29"/>
  <c r="D287" i="29"/>
  <c r="D203" i="29"/>
  <c r="K150" i="29"/>
  <c r="K94" i="29"/>
  <c r="K237" i="29"/>
  <c r="K321" i="29"/>
  <c r="K265" i="29"/>
  <c r="K38" i="29"/>
  <c r="K66" i="29"/>
  <c r="K293" i="29"/>
  <c r="N22" i="30"/>
  <c r="D169" i="30"/>
  <c r="D171" i="30" s="1"/>
  <c r="D199" i="30"/>
  <c r="D140" i="30"/>
  <c r="D227" i="30"/>
  <c r="D255" i="30"/>
  <c r="D56" i="30"/>
  <c r="D283" i="30"/>
  <c r="D311" i="30"/>
  <c r="D84" i="30"/>
  <c r="D112" i="30"/>
  <c r="K75" i="30"/>
  <c r="K78" i="30" s="1"/>
  <c r="K302" i="30"/>
  <c r="K305" i="30" s="1"/>
  <c r="K274" i="30"/>
  <c r="K277" i="30" s="1"/>
  <c r="N21" i="30"/>
  <c r="N162" i="30"/>
  <c r="N220" i="30"/>
  <c r="N221" i="30" s="1"/>
  <c r="N105" i="30"/>
  <c r="N106" i="30" s="1"/>
  <c r="N248" i="30"/>
  <c r="N77" i="30"/>
  <c r="N78" i="30" s="1"/>
  <c r="N49" i="30"/>
  <c r="N50" i="30" s="1"/>
  <c r="N192" i="30"/>
  <c r="N304" i="30"/>
  <c r="N305" i="30" s="1"/>
  <c r="N133" i="30"/>
  <c r="N68" i="30"/>
  <c r="N124" i="30"/>
  <c r="P124" i="30" s="1"/>
  <c r="N211" i="30"/>
  <c r="N267" i="30"/>
  <c r="N323" i="30"/>
  <c r="N295" i="30"/>
  <c r="K49" i="38"/>
  <c r="K50" i="38" s="1"/>
  <c r="I58" i="38"/>
  <c r="P58" i="38" s="1"/>
  <c r="L76" i="38"/>
  <c r="L78" i="38" s="1"/>
  <c r="F77" i="38"/>
  <c r="I114" i="38"/>
  <c r="P114" i="38" s="1"/>
  <c r="L132" i="38"/>
  <c r="L134" i="38" s="1"/>
  <c r="F133" i="38"/>
  <c r="I201" i="38"/>
  <c r="P201" i="38" s="1"/>
  <c r="L219" i="38"/>
  <c r="L221" i="38" s="1"/>
  <c r="F220" i="38"/>
  <c r="K248" i="38"/>
  <c r="K249" i="38" s="1"/>
  <c r="I257" i="38"/>
  <c r="P257" i="38" s="1"/>
  <c r="L275" i="38"/>
  <c r="L277" i="38" s="1"/>
  <c r="K304" i="38"/>
  <c r="K305" i="38" s="1"/>
  <c r="F304" i="38"/>
  <c r="K30" i="38"/>
  <c r="J21" i="38"/>
  <c r="H30" i="38"/>
  <c r="L201" i="39"/>
  <c r="P201" i="39" s="1"/>
  <c r="H192" i="39"/>
  <c r="L257" i="39"/>
  <c r="P257" i="39" s="1"/>
  <c r="H248" i="39"/>
  <c r="L313" i="39"/>
  <c r="P313" i="39" s="1"/>
  <c r="H304" i="39"/>
  <c r="M86" i="39"/>
  <c r="H86" i="39"/>
  <c r="M105" i="39"/>
  <c r="M106" i="39" s="1"/>
  <c r="K105" i="39"/>
  <c r="M21" i="39"/>
  <c r="J21" i="39"/>
  <c r="H30" i="39"/>
  <c r="F20" i="39"/>
  <c r="L293" i="29"/>
  <c r="L150" i="29"/>
  <c r="L94" i="29"/>
  <c r="L237" i="29"/>
  <c r="L321" i="29"/>
  <c r="L265" i="29"/>
  <c r="L38" i="29"/>
  <c r="L209" i="29"/>
  <c r="L122" i="29"/>
  <c r="E249" i="30"/>
  <c r="K94" i="28"/>
  <c r="K265" i="28"/>
  <c r="P265" i="28" s="1"/>
  <c r="K122" i="28"/>
  <c r="K209" i="28"/>
  <c r="P209" i="28" s="1"/>
  <c r="K150" i="28"/>
  <c r="P150" i="28" s="1"/>
  <c r="K293" i="28"/>
  <c r="P293" i="28" s="1"/>
  <c r="K237" i="28"/>
  <c r="P237" i="28" s="1"/>
  <c r="K66" i="28"/>
  <c r="P66" i="28" s="1"/>
  <c r="K321" i="28"/>
  <c r="P321" i="28" s="1"/>
  <c r="N49" i="38"/>
  <c r="E48" i="38"/>
  <c r="H105" i="38"/>
  <c r="E104" i="38"/>
  <c r="H192" i="38"/>
  <c r="P192" i="38" s="1"/>
  <c r="E191" i="38"/>
  <c r="N248" i="38"/>
  <c r="E247" i="38"/>
  <c r="J132" i="39"/>
  <c r="K192" i="39"/>
  <c r="K193" i="39" s="1"/>
  <c r="J219" i="39"/>
  <c r="K248" i="39"/>
  <c r="K249" i="39" s="1"/>
  <c r="J275" i="39"/>
  <c r="K304" i="39"/>
  <c r="K305" i="39" s="1"/>
  <c r="M48" i="39"/>
  <c r="P48" i="39" s="1"/>
  <c r="L114" i="39"/>
  <c r="K122" i="29"/>
  <c r="P122" i="28"/>
  <c r="N48" i="38"/>
  <c r="N50" i="38" s="1"/>
  <c r="F49" i="38"/>
  <c r="N104" i="38"/>
  <c r="K105" i="38"/>
  <c r="K106" i="38" s="1"/>
  <c r="N191" i="38"/>
  <c r="K192" i="38"/>
  <c r="K193" i="38" s="1"/>
  <c r="K229" i="38"/>
  <c r="N247" i="38"/>
  <c r="N249" i="38" s="1"/>
  <c r="F248" i="38"/>
  <c r="H313" i="38"/>
  <c r="P313" i="38" s="1"/>
  <c r="N19" i="38"/>
  <c r="N22" i="38" s="1"/>
  <c r="M132" i="39"/>
  <c r="M134" i="39" s="1"/>
  <c r="F142" i="39"/>
  <c r="N192" i="39"/>
  <c r="N193" i="39" s="1"/>
  <c r="M219" i="39"/>
  <c r="M221" i="39" s="1"/>
  <c r="H220" i="39"/>
  <c r="F229" i="39"/>
  <c r="P229" i="39" s="1"/>
  <c r="N248" i="39"/>
  <c r="N249" i="39" s="1"/>
  <c r="F247" i="39"/>
  <c r="P247" i="39" s="1"/>
  <c r="M275" i="39"/>
  <c r="M277" i="39" s="1"/>
  <c r="J276" i="39"/>
  <c r="F285" i="39"/>
  <c r="N304" i="39"/>
  <c r="N305" i="39" s="1"/>
  <c r="F303" i="39"/>
  <c r="M49" i="39"/>
  <c r="M50" i="39" s="1"/>
  <c r="K49" i="39"/>
  <c r="K86" i="39"/>
  <c r="H77" i="39"/>
  <c r="H114" i="39"/>
  <c r="M30" i="39"/>
  <c r="L295" i="29"/>
  <c r="L152" i="29"/>
  <c r="L40" i="29"/>
  <c r="L267" i="29"/>
  <c r="L124" i="29"/>
  <c r="P124" i="29" s="1"/>
  <c r="L323" i="29"/>
  <c r="L239" i="29"/>
  <c r="L211" i="29"/>
  <c r="P211" i="29" s="1"/>
  <c r="G285" i="29"/>
  <c r="G257" i="29"/>
  <c r="P257" i="29" s="1"/>
  <c r="G229" i="29"/>
  <c r="P229" i="29" s="1"/>
  <c r="G201" i="29"/>
  <c r="G142" i="29"/>
  <c r="G114" i="29"/>
  <c r="G86" i="29"/>
  <c r="P86" i="29" s="1"/>
  <c r="G58" i="29"/>
  <c r="P58" i="29" s="1"/>
  <c r="G30" i="29"/>
  <c r="P30" i="29" s="1"/>
  <c r="G313" i="29"/>
  <c r="F86" i="38"/>
  <c r="N105" i="38"/>
  <c r="F142" i="38"/>
  <c r="P142" i="38" s="1"/>
  <c r="N192" i="38"/>
  <c r="N193" i="38" s="1"/>
  <c r="F229" i="38"/>
  <c r="P229" i="38" s="1"/>
  <c r="H276" i="38"/>
  <c r="F285" i="38"/>
  <c r="N304" i="38"/>
  <c r="N305" i="38" s="1"/>
  <c r="L303" i="38"/>
  <c r="L305" i="38" s="1"/>
  <c r="I142" i="39"/>
  <c r="K220" i="39"/>
  <c r="K221" i="39" s="1"/>
  <c r="I229" i="39"/>
  <c r="I285" i="39"/>
  <c r="L58" i="39"/>
  <c r="P58" i="39" s="1"/>
  <c r="M76" i="39"/>
  <c r="M78" i="39" s="1"/>
  <c r="I86" i="39"/>
  <c r="N105" i="39"/>
  <c r="N106" i="39" s="1"/>
  <c r="J104" i="39"/>
  <c r="J76" i="39"/>
  <c r="M209" i="29"/>
  <c r="M122" i="29"/>
  <c r="M293" i="29"/>
  <c r="M150" i="29"/>
  <c r="M94" i="29"/>
  <c r="M237" i="29"/>
  <c r="M321" i="29"/>
  <c r="M66" i="29"/>
  <c r="D116" i="39"/>
  <c r="D259" i="39"/>
  <c r="L48" i="38"/>
  <c r="L50" i="38" s="1"/>
  <c r="I86" i="38"/>
  <c r="L104" i="38"/>
  <c r="F105" i="38"/>
  <c r="I142" i="38"/>
  <c r="L191" i="38"/>
  <c r="L193" i="38" s="1"/>
  <c r="I229" i="38"/>
  <c r="I285" i="38"/>
  <c r="L142" i="39"/>
  <c r="H133" i="39"/>
  <c r="N220" i="39"/>
  <c r="N221" i="39" s="1"/>
  <c r="L229" i="39"/>
  <c r="L285" i="39"/>
  <c r="H276" i="39"/>
  <c r="K77" i="39"/>
  <c r="K78" i="39" s="1"/>
  <c r="N105" i="29"/>
  <c r="N106" i="29" s="1"/>
  <c r="N77" i="29"/>
  <c r="N78" i="29" s="1"/>
  <c r="N49" i="29"/>
  <c r="N50" i="29" s="1"/>
  <c r="N21" i="29"/>
  <c r="N22" i="29" s="1"/>
  <c r="N276" i="29"/>
  <c r="N277" i="29" s="1"/>
  <c r="N304" i="29"/>
  <c r="N305" i="29" s="1"/>
  <c r="N192" i="29"/>
  <c r="N193" i="29" s="1"/>
  <c r="N133" i="29"/>
  <c r="N134" i="29" s="1"/>
  <c r="J150" i="29"/>
  <c r="J94" i="29"/>
  <c r="J237" i="29"/>
  <c r="J321" i="29"/>
  <c r="J265" i="29"/>
  <c r="J38" i="29"/>
  <c r="J66" i="29"/>
  <c r="J209" i="29"/>
  <c r="J122" i="29"/>
  <c r="N86" i="30"/>
  <c r="N313" i="30"/>
  <c r="N229" i="30"/>
  <c r="N285" i="30"/>
  <c r="P38" i="28"/>
  <c r="D136" i="28"/>
  <c r="H77" i="38"/>
  <c r="E76" i="38"/>
  <c r="P76" i="38" s="1"/>
  <c r="H133" i="38"/>
  <c r="E132" i="38"/>
  <c r="P132" i="38" s="1"/>
  <c r="N218" i="38"/>
  <c r="N221" i="38" s="1"/>
  <c r="K219" i="38"/>
  <c r="E219" i="38"/>
  <c r="P219" i="38" s="1"/>
  <c r="J248" i="38"/>
  <c r="N276" i="38"/>
  <c r="N277" i="38" s="1"/>
  <c r="E275" i="38"/>
  <c r="P275" i="38" s="1"/>
  <c r="K133" i="39"/>
  <c r="K134" i="39" s="1"/>
  <c r="J191" i="39"/>
  <c r="P191" i="39" s="1"/>
  <c r="J247" i="39"/>
  <c r="K276" i="39"/>
  <c r="K277" i="39" s="1"/>
  <c r="J303" i="39"/>
  <c r="L86" i="39"/>
  <c r="G86" i="39"/>
  <c r="P86" i="39" s="1"/>
  <c r="I114" i="39"/>
  <c r="F104" i="39"/>
  <c r="E22" i="39"/>
  <c r="P114" i="29"/>
  <c r="I276" i="29"/>
  <c r="I77" i="29"/>
  <c r="I248" i="29"/>
  <c r="I49" i="29"/>
  <c r="I21" i="29"/>
  <c r="I220" i="29"/>
  <c r="I192" i="29"/>
  <c r="I133" i="29"/>
  <c r="I304" i="29"/>
  <c r="N276" i="30"/>
  <c r="N277" i="30" s="1"/>
  <c r="L162" i="30"/>
  <c r="L49" i="30"/>
  <c r="L50" i="30" s="1"/>
  <c r="L220" i="30"/>
  <c r="L221" i="30" s="1"/>
  <c r="L105" i="30"/>
  <c r="L106" i="30" s="1"/>
  <c r="L77" i="30"/>
  <c r="L78" i="30" s="1"/>
  <c r="L248" i="30"/>
  <c r="L249" i="30" s="1"/>
  <c r="L21" i="30"/>
  <c r="P21" i="30" s="1"/>
  <c r="L304" i="30"/>
  <c r="L305" i="30" s="1"/>
  <c r="L276" i="30"/>
  <c r="L277" i="30" s="1"/>
  <c r="D81" i="28"/>
  <c r="D53" i="28"/>
  <c r="N77" i="28"/>
  <c r="N162" i="28"/>
  <c r="F111" i="25"/>
  <c r="F113" i="25"/>
  <c r="F119" i="25"/>
  <c r="F148" i="25"/>
  <c r="F116" i="25"/>
  <c r="F112" i="25"/>
  <c r="F114" i="25"/>
  <c r="F118" i="25"/>
  <c r="F117" i="25"/>
  <c r="H219" i="29"/>
  <c r="F132" i="29"/>
  <c r="P132" i="29" s="1"/>
  <c r="E75" i="29"/>
  <c r="D95" i="29"/>
  <c r="D151" i="29"/>
  <c r="D322" i="29"/>
  <c r="J133" i="29"/>
  <c r="J192" i="29"/>
  <c r="H248" i="30"/>
  <c r="P248" i="30" s="1"/>
  <c r="I303" i="30"/>
  <c r="I48" i="30"/>
  <c r="P48" i="30" s="1"/>
  <c r="M47" i="30"/>
  <c r="M50" i="30" s="1"/>
  <c r="M131" i="30"/>
  <c r="M134" i="30" s="1"/>
  <c r="L150" i="30"/>
  <c r="P150" i="30" s="1"/>
  <c r="D210" i="30"/>
  <c r="M218" i="30"/>
  <c r="M221" i="30" s="1"/>
  <c r="M274" i="30"/>
  <c r="M277" i="30" s="1"/>
  <c r="D322" i="30"/>
  <c r="M313" i="30"/>
  <c r="M257" i="30"/>
  <c r="P257" i="30" s="1"/>
  <c r="D149" i="28"/>
  <c r="D30" i="28"/>
  <c r="E304" i="28"/>
  <c r="F20" i="28"/>
  <c r="P20" i="28" s="1"/>
  <c r="F247" i="28"/>
  <c r="E190" i="28"/>
  <c r="D224" i="28"/>
  <c r="D225" i="28" s="1"/>
  <c r="D227" i="28" s="1"/>
  <c r="D194" i="28"/>
  <c r="D195" i="28" s="1"/>
  <c r="D197" i="28" s="1"/>
  <c r="D199" i="28" s="1"/>
  <c r="F114" i="28"/>
  <c r="D51" i="28"/>
  <c r="D52" i="28" s="1"/>
  <c r="D54" i="28" s="1"/>
  <c r="D56" i="28" s="1"/>
  <c r="K249" i="28"/>
  <c r="G94" i="28"/>
  <c r="P94" i="28" s="1"/>
  <c r="P21" i="34"/>
  <c r="D264" i="29"/>
  <c r="H239" i="29"/>
  <c r="H77" i="29"/>
  <c r="F133" i="29"/>
  <c r="E105" i="29"/>
  <c r="I247" i="29"/>
  <c r="H247" i="29"/>
  <c r="P247" i="29" s="1"/>
  <c r="F191" i="29"/>
  <c r="E131" i="29"/>
  <c r="E134" i="29" s="1"/>
  <c r="J220" i="29"/>
  <c r="J248" i="29"/>
  <c r="E267" i="30"/>
  <c r="E323" i="30"/>
  <c r="M239" i="30"/>
  <c r="M323" i="30"/>
  <c r="H276" i="30"/>
  <c r="I275" i="30"/>
  <c r="I142" i="30"/>
  <c r="P142" i="30" s="1"/>
  <c r="M302" i="30"/>
  <c r="M305" i="30" s="1"/>
  <c r="I313" i="30"/>
  <c r="P313" i="30" s="1"/>
  <c r="I323" i="30"/>
  <c r="G38" i="30"/>
  <c r="P38" i="30" s="1"/>
  <c r="D121" i="28"/>
  <c r="F21" i="28"/>
  <c r="E276" i="28"/>
  <c r="E47" i="28"/>
  <c r="E246" i="28"/>
  <c r="D280" i="28"/>
  <c r="D281" i="28" s="1"/>
  <c r="D283" i="28" s="1"/>
  <c r="N276" i="28"/>
  <c r="N277" i="28" s="1"/>
  <c r="E58" i="28"/>
  <c r="P58" i="28" s="1"/>
  <c r="E86" i="28"/>
  <c r="P86" i="28" s="1"/>
  <c r="E114" i="28"/>
  <c r="D292" i="29"/>
  <c r="G239" i="29"/>
  <c r="N267" i="29"/>
  <c r="N295" i="29"/>
  <c r="F220" i="29"/>
  <c r="F219" i="29"/>
  <c r="P219" i="29" s="1"/>
  <c r="E218" i="29"/>
  <c r="L21" i="29"/>
  <c r="L22" i="29" s="1"/>
  <c r="L49" i="29"/>
  <c r="L50" i="29" s="1"/>
  <c r="L77" i="29"/>
  <c r="L78" i="29" s="1"/>
  <c r="L105" i="29"/>
  <c r="L106" i="29" s="1"/>
  <c r="J276" i="29"/>
  <c r="M152" i="30"/>
  <c r="P152" i="30" s="1"/>
  <c r="M267" i="30"/>
  <c r="H49" i="30"/>
  <c r="P49" i="30" s="1"/>
  <c r="H304" i="30"/>
  <c r="I247" i="30"/>
  <c r="P247" i="30" s="1"/>
  <c r="M86" i="30"/>
  <c r="P86" i="30" s="1"/>
  <c r="L94" i="30"/>
  <c r="P94" i="30" s="1"/>
  <c r="L122" i="30"/>
  <c r="P122" i="30" s="1"/>
  <c r="D151" i="30"/>
  <c r="M201" i="30"/>
  <c r="P201" i="30" s="1"/>
  <c r="L209" i="30"/>
  <c r="P209" i="30" s="1"/>
  <c r="I38" i="30"/>
  <c r="D37" i="28"/>
  <c r="D93" i="28"/>
  <c r="E220" i="28"/>
  <c r="D25" i="28"/>
  <c r="D26" i="28" s="1"/>
  <c r="D28" i="28" s="1"/>
  <c r="D29" i="28" s="1"/>
  <c r="F285" i="28"/>
  <c r="P285" i="28" s="1"/>
  <c r="D137" i="28"/>
  <c r="N133" i="28"/>
  <c r="K22" i="34"/>
  <c r="M295" i="29"/>
  <c r="H133" i="29"/>
  <c r="F275" i="29"/>
  <c r="P275" i="29" s="1"/>
  <c r="E274" i="29"/>
  <c r="D123" i="29"/>
  <c r="D210" i="29"/>
  <c r="L133" i="29"/>
  <c r="L134" i="29" s="1"/>
  <c r="L192" i="29"/>
  <c r="L193" i="29" s="1"/>
  <c r="M96" i="30"/>
  <c r="P96" i="30" s="1"/>
  <c r="M211" i="30"/>
  <c r="I219" i="30"/>
  <c r="P219" i="30" s="1"/>
  <c r="H220" i="30"/>
  <c r="P220" i="30" s="1"/>
  <c r="D95" i="30"/>
  <c r="M75" i="30"/>
  <c r="M78" i="30" s="1"/>
  <c r="M103" i="30"/>
  <c r="M106" i="30" s="1"/>
  <c r="L265" i="30"/>
  <c r="P265" i="30" s="1"/>
  <c r="D294" i="30"/>
  <c r="D320" i="28"/>
  <c r="D65" i="28"/>
  <c r="F276" i="28"/>
  <c r="F304" i="28"/>
  <c r="E75" i="28"/>
  <c r="N304" i="28"/>
  <c r="F313" i="28"/>
  <c r="P313" i="28" s="1"/>
  <c r="F257" i="28"/>
  <c r="P257" i="28" s="1"/>
  <c r="N192" i="28"/>
  <c r="D109" i="28"/>
  <c r="D110" i="28" s="1"/>
  <c r="D112" i="28" s="1"/>
  <c r="D79" i="28"/>
  <c r="D80" i="28" s="1"/>
  <c r="D82" i="28" s="1"/>
  <c r="D84" i="28" s="1"/>
  <c r="D172" i="28"/>
  <c r="N105" i="28"/>
  <c r="F120" i="25"/>
  <c r="F303" i="29"/>
  <c r="D67" i="29"/>
  <c r="L220" i="29"/>
  <c r="L221" i="29" s="1"/>
  <c r="L248" i="29"/>
  <c r="L249" i="29" s="1"/>
  <c r="H77" i="30"/>
  <c r="I191" i="30"/>
  <c r="P191" i="30" s="1"/>
  <c r="M58" i="30"/>
  <c r="M190" i="30"/>
  <c r="M193" i="30" s="1"/>
  <c r="L237" i="30"/>
  <c r="P237" i="30" s="1"/>
  <c r="N21" i="28"/>
  <c r="N22" i="28" s="1"/>
  <c r="N248" i="28"/>
  <c r="L48" i="28"/>
  <c r="L104" i="28"/>
  <c r="L106" i="28" s="1"/>
  <c r="L76" i="28"/>
  <c r="M15" i="25"/>
  <c r="M37" i="25" s="1"/>
  <c r="M21" i="25"/>
  <c r="M43" i="25" s="1"/>
  <c r="M20" i="25"/>
  <c r="M42" i="25" s="1"/>
  <c r="M22" i="25"/>
  <c r="M44" i="25" s="1"/>
  <c r="M23" i="25"/>
  <c r="M45" i="25" s="1"/>
  <c r="M18" i="25"/>
  <c r="M40" i="25" s="1"/>
  <c r="P40" i="34"/>
  <c r="F20" i="29"/>
  <c r="L276" i="29"/>
  <c r="M68" i="30"/>
  <c r="I239" i="30"/>
  <c r="H105" i="30"/>
  <c r="I132" i="30"/>
  <c r="P132" i="30" s="1"/>
  <c r="D123" i="30"/>
  <c r="E295" i="30"/>
  <c r="D196" i="28"/>
  <c r="F201" i="28"/>
  <c r="P201" i="28" s="1"/>
  <c r="L150" i="28"/>
  <c r="F142" i="28"/>
  <c r="P142" i="28" s="1"/>
  <c r="I114" i="28"/>
  <c r="N49" i="28"/>
  <c r="I149" i="25"/>
  <c r="N112" i="25"/>
  <c r="L162" i="28"/>
  <c r="J146" i="25"/>
  <c r="G112" i="25"/>
  <c r="G14" i="25"/>
  <c r="G36" i="25" s="1"/>
  <c r="N221" i="35"/>
  <c r="N277" i="35"/>
  <c r="N134" i="35"/>
  <c r="N22" i="35"/>
  <c r="L40" i="35"/>
  <c r="H40" i="35"/>
  <c r="L313" i="35"/>
  <c r="L58" i="35"/>
  <c r="L257" i="35"/>
  <c r="L114" i="35"/>
  <c r="K257" i="35"/>
  <c r="P257" i="35" s="1"/>
  <c r="K114" i="35"/>
  <c r="K201" i="35"/>
  <c r="D292" i="35"/>
  <c r="H68" i="35"/>
  <c r="H124" i="35"/>
  <c r="L239" i="35"/>
  <c r="I304" i="35"/>
  <c r="G105" i="35"/>
  <c r="I219" i="35"/>
  <c r="H247" i="35"/>
  <c r="P247" i="35" s="1"/>
  <c r="G132" i="35"/>
  <c r="P132" i="35" s="1"/>
  <c r="G275" i="35"/>
  <c r="P275" i="35" s="1"/>
  <c r="E219" i="35"/>
  <c r="D267" i="35"/>
  <c r="D320" i="35"/>
  <c r="L96" i="35"/>
  <c r="H303" i="35"/>
  <c r="P303" i="35" s="1"/>
  <c r="G201" i="35"/>
  <c r="P201" i="35" s="1"/>
  <c r="E321" i="35"/>
  <c r="E150" i="35"/>
  <c r="P150" i="35" s="1"/>
  <c r="E66" i="35"/>
  <c r="P66" i="35" s="1"/>
  <c r="E265" i="35"/>
  <c r="E209" i="35"/>
  <c r="P209" i="35" s="1"/>
  <c r="E38" i="35"/>
  <c r="E293" i="35"/>
  <c r="H304" i="35"/>
  <c r="P304" i="35" s="1"/>
  <c r="E105" i="35"/>
  <c r="P105" i="35" s="1"/>
  <c r="H20" i="35"/>
  <c r="P20" i="35" s="1"/>
  <c r="K58" i="35"/>
  <c r="D287" i="35"/>
  <c r="D231" i="35"/>
  <c r="D144" i="35"/>
  <c r="D88" i="35"/>
  <c r="D32" i="35"/>
  <c r="D315" i="35"/>
  <c r="N220" i="35"/>
  <c r="P220" i="35" s="1"/>
  <c r="N304" i="35"/>
  <c r="N248" i="35"/>
  <c r="N133" i="35"/>
  <c r="P133" i="35" s="1"/>
  <c r="N105" i="35"/>
  <c r="N21" i="35"/>
  <c r="P21" i="35" s="1"/>
  <c r="N192" i="35"/>
  <c r="N77" i="35"/>
  <c r="P77" i="35" s="1"/>
  <c r="E95" i="11"/>
  <c r="F91" i="11" s="1"/>
  <c r="P180" i="35"/>
  <c r="H239" i="35"/>
  <c r="M267" i="35"/>
  <c r="L323" i="35"/>
  <c r="H192" i="35"/>
  <c r="H48" i="35"/>
  <c r="P48" i="35" s="1"/>
  <c r="E76" i="35"/>
  <c r="N49" i="35"/>
  <c r="N276" i="35"/>
  <c r="P276" i="35" s="1"/>
  <c r="J122" i="35"/>
  <c r="P122" i="35" s="1"/>
  <c r="J94" i="35"/>
  <c r="J66" i="35"/>
  <c r="H96" i="35"/>
  <c r="L211" i="35"/>
  <c r="L267" i="35"/>
  <c r="M295" i="35"/>
  <c r="H49" i="35"/>
  <c r="P49" i="35" s="1"/>
  <c r="E248" i="35"/>
  <c r="P248" i="35" s="1"/>
  <c r="H76" i="35"/>
  <c r="D114" i="35"/>
  <c r="D58" i="35"/>
  <c r="D285" i="35"/>
  <c r="D30" i="35"/>
  <c r="D229" i="35"/>
  <c r="D142" i="35"/>
  <c r="D86" i="35"/>
  <c r="K38" i="35"/>
  <c r="K293" i="35"/>
  <c r="K237" i="35"/>
  <c r="P237" i="35" s="1"/>
  <c r="K321" i="35"/>
  <c r="K122" i="35"/>
  <c r="K94" i="35"/>
  <c r="P94" i="35" s="1"/>
  <c r="K265" i="35"/>
  <c r="K150" i="35"/>
  <c r="L68" i="35"/>
  <c r="N246" i="35"/>
  <c r="K247" i="35"/>
  <c r="J304" i="35"/>
  <c r="L19" i="35"/>
  <c r="I58" i="35"/>
  <c r="P58" i="35" s="1"/>
  <c r="L162" i="35"/>
  <c r="K277" i="35"/>
  <c r="I313" i="35"/>
  <c r="O65" i="11"/>
  <c r="L81" i="18"/>
  <c r="F81" i="18"/>
  <c r="O52" i="24"/>
  <c r="N52" i="24"/>
  <c r="I80" i="18"/>
  <c r="J80" i="18"/>
  <c r="F80" i="18"/>
  <c r="C191" i="16"/>
  <c r="I201" i="35"/>
  <c r="J167" i="46"/>
  <c r="O57" i="11"/>
  <c r="L52" i="24"/>
  <c r="K52" i="24"/>
  <c r="J52" i="24"/>
  <c r="K80" i="18"/>
  <c r="C171" i="16"/>
  <c r="H209" i="46"/>
  <c r="H86" i="35"/>
  <c r="P86" i="35" s="1"/>
  <c r="H114" i="35"/>
  <c r="P114" i="35" s="1"/>
  <c r="E87" i="11"/>
  <c r="J81" i="18"/>
  <c r="H80" i="18"/>
  <c r="C131" i="16"/>
  <c r="J125" i="46"/>
  <c r="J83" i="46"/>
  <c r="H104" i="46"/>
  <c r="E5" i="48"/>
  <c r="E14" i="48"/>
  <c r="J92" i="18"/>
  <c r="K8" i="10"/>
  <c r="H84" i="9"/>
  <c r="F200" i="42"/>
  <c r="D92" i="18"/>
  <c r="G83" i="9"/>
  <c r="H83" i="9" s="1"/>
  <c r="I83" i="9" s="1"/>
  <c r="G89" i="9"/>
  <c r="H89" i="9" s="1"/>
  <c r="I89" i="9" s="1"/>
  <c r="J41" i="46"/>
  <c r="L8" i="10"/>
  <c r="K92" i="18"/>
  <c r="G49" i="9"/>
  <c r="H43" i="9"/>
  <c r="G44" i="9"/>
  <c r="G49" i="24"/>
  <c r="F55" i="24"/>
  <c r="F14" i="9"/>
  <c r="F9" i="8"/>
  <c r="F19" i="41"/>
  <c r="J110" i="42"/>
  <c r="F182" i="42"/>
  <c r="E20" i="11"/>
  <c r="G92" i="9"/>
  <c r="H92" i="9" s="1"/>
  <c r="I92" i="9" s="1"/>
  <c r="J20" i="46"/>
  <c r="O45" i="24"/>
  <c r="F49" i="9"/>
  <c r="I37" i="9"/>
  <c r="N78" i="9"/>
  <c r="L8" i="24"/>
  <c r="F58" i="11"/>
  <c r="F59" i="11" s="1"/>
  <c r="F7" i="24"/>
  <c r="F91" i="9"/>
  <c r="G91" i="9" s="1"/>
  <c r="H91" i="9" s="1"/>
  <c r="I91" i="9" s="1"/>
  <c r="G90" i="9"/>
  <c r="H90" i="9" s="1"/>
  <c r="I90" i="9" s="1"/>
  <c r="E30" i="9"/>
  <c r="H8" i="24"/>
  <c r="O16" i="7"/>
  <c r="L11" i="7"/>
  <c r="G11" i="7"/>
  <c r="N80" i="9"/>
  <c r="N88" i="9"/>
  <c r="E42" i="11"/>
  <c r="E43" i="11" s="1"/>
  <c r="K6" i="24"/>
  <c r="H7" i="24"/>
  <c r="I6" i="24"/>
  <c r="F8" i="24"/>
  <c r="M47" i="9"/>
  <c r="I47" i="9"/>
  <c r="N8" i="24"/>
  <c r="M7" i="24"/>
  <c r="O19" i="24"/>
  <c r="N7" i="24"/>
  <c r="K8" i="24"/>
  <c r="I8" i="24"/>
  <c r="G8" i="24"/>
  <c r="N11" i="7"/>
  <c r="M16" i="7"/>
  <c r="K16" i="7"/>
  <c r="K7" i="24"/>
  <c r="I7" i="24"/>
  <c r="G7" i="24"/>
  <c r="N6" i="24"/>
  <c r="P295" i="39" l="1"/>
  <c r="P96" i="28"/>
  <c r="P323" i="38"/>
  <c r="K69" i="24"/>
  <c r="O34" i="24"/>
  <c r="P14" i="24"/>
  <c r="O30" i="25"/>
  <c r="O28" i="25"/>
  <c r="E68" i="11"/>
  <c r="F74" i="11"/>
  <c r="O12" i="24"/>
  <c r="E60" i="11"/>
  <c r="G117" i="11"/>
  <c r="N49" i="11"/>
  <c r="K49" i="11"/>
  <c r="K53" i="11"/>
  <c r="L49" i="11"/>
  <c r="L53" i="11"/>
  <c r="M53" i="11"/>
  <c r="N12" i="24" s="1"/>
  <c r="Q183" i="30"/>
  <c r="Q183" i="38"/>
  <c r="Q183" i="28"/>
  <c r="Q183" i="39"/>
  <c r="L18" i="9"/>
  <c r="N249" i="35"/>
  <c r="N78" i="35"/>
  <c r="N305" i="35"/>
  <c r="N50" i="35"/>
  <c r="N106" i="35"/>
  <c r="N193" i="35"/>
  <c r="M190" i="35"/>
  <c r="M47" i="35"/>
  <c r="M19" i="35"/>
  <c r="M131" i="35"/>
  <c r="M162" i="35"/>
  <c r="M75" i="35"/>
  <c r="M246" i="35"/>
  <c r="M218" i="35"/>
  <c r="M103" i="35"/>
  <c r="M302" i="35"/>
  <c r="M274" i="35"/>
  <c r="N305" i="28"/>
  <c r="L277" i="29"/>
  <c r="N249" i="30"/>
  <c r="M158" i="29"/>
  <c r="M158" i="39"/>
  <c r="M158" i="30"/>
  <c r="L18" i="43"/>
  <c r="L19" i="47"/>
  <c r="M161" i="37"/>
  <c r="L19" i="45"/>
  <c r="L19" i="15"/>
  <c r="M155" i="25"/>
  <c r="M158" i="38"/>
  <c r="M158" i="35"/>
  <c r="M18" i="34"/>
  <c r="M158" i="28"/>
  <c r="J195" i="41"/>
  <c r="J107" i="15" s="1"/>
  <c r="J213" i="41"/>
  <c r="J108" i="15" s="1"/>
  <c r="K213" i="41"/>
  <c r="K108" i="15" s="1"/>
  <c r="J50" i="41"/>
  <c r="J26" i="15" s="1"/>
  <c r="K212" i="41"/>
  <c r="K35" i="15" s="1"/>
  <c r="L194" i="41"/>
  <c r="L34" i="15" s="1"/>
  <c r="J194" i="41"/>
  <c r="J34" i="15" s="1"/>
  <c r="J122" i="41"/>
  <c r="P285" i="30"/>
  <c r="P313" i="29"/>
  <c r="P170" i="35"/>
  <c r="E285" i="35"/>
  <c r="P285" i="35" s="1"/>
  <c r="E313" i="35"/>
  <c r="P313" i="35" s="1"/>
  <c r="E30" i="35"/>
  <c r="P30" i="35" s="1"/>
  <c r="E142" i="35"/>
  <c r="P142" i="35" s="1"/>
  <c r="P142" i="29"/>
  <c r="O61" i="45"/>
  <c r="D62" i="45"/>
  <c r="P170" i="28"/>
  <c r="D114" i="28"/>
  <c r="D142" i="28"/>
  <c r="D201" i="28"/>
  <c r="D257" i="28"/>
  <c r="D258" i="28" s="1"/>
  <c r="D285" i="28"/>
  <c r="D313" i="28"/>
  <c r="D314" i="28" s="1"/>
  <c r="D58" i="28"/>
  <c r="D86" i="28"/>
  <c r="D62" i="47"/>
  <c r="O61" i="47"/>
  <c r="P58" i="30"/>
  <c r="P201" i="29"/>
  <c r="O170" i="28"/>
  <c r="Q170" i="38"/>
  <c r="Q170" i="30"/>
  <c r="P30" i="39"/>
  <c r="Q170" i="28"/>
  <c r="Q170" i="39"/>
  <c r="P229" i="30"/>
  <c r="D61" i="43"/>
  <c r="O60" i="43"/>
  <c r="P285" i="29"/>
  <c r="L85" i="25"/>
  <c r="L136" i="25" s="1"/>
  <c r="L176" i="25" s="1"/>
  <c r="P239" i="30"/>
  <c r="P239" i="38"/>
  <c r="P68" i="39"/>
  <c r="P40" i="29"/>
  <c r="P211" i="38"/>
  <c r="P239" i="39"/>
  <c r="O136" i="15"/>
  <c r="M40" i="35"/>
  <c r="M68" i="35"/>
  <c r="M211" i="35"/>
  <c r="M124" i="35"/>
  <c r="M323" i="35"/>
  <c r="L242" i="37"/>
  <c r="L68" i="37"/>
  <c r="L298" i="37"/>
  <c r="L155" i="37"/>
  <c r="L40" i="37"/>
  <c r="L214" i="37"/>
  <c r="L326" i="37"/>
  <c r="L96" i="37"/>
  <c r="L270" i="37"/>
  <c r="L127" i="37"/>
  <c r="P323" i="28"/>
  <c r="N40" i="35"/>
  <c r="N152" i="35"/>
  <c r="N96" i="35"/>
  <c r="N267" i="35"/>
  <c r="N211" i="35"/>
  <c r="N239" i="35"/>
  <c r="N124" i="35"/>
  <c r="P295" i="30"/>
  <c r="I40" i="35"/>
  <c r="I295" i="35"/>
  <c r="I96" i="35"/>
  <c r="I68" i="35"/>
  <c r="I267" i="35"/>
  <c r="I124" i="35"/>
  <c r="I211" i="35"/>
  <c r="I323" i="35"/>
  <c r="I239" i="35"/>
  <c r="I152" i="35"/>
  <c r="M152" i="35"/>
  <c r="P295" i="28"/>
  <c r="P68" i="38"/>
  <c r="P152" i="39"/>
  <c r="D68" i="37"/>
  <c r="D326" i="37"/>
  <c r="D298" i="37"/>
  <c r="D155" i="37"/>
  <c r="D270" i="37"/>
  <c r="D242" i="37"/>
  <c r="D96" i="37"/>
  <c r="D214" i="37"/>
  <c r="P183" i="37"/>
  <c r="D127" i="37"/>
  <c r="M127" i="37"/>
  <c r="M242" i="37"/>
  <c r="M68" i="37"/>
  <c r="M298" i="37"/>
  <c r="M155" i="37"/>
  <c r="M40" i="37"/>
  <c r="M214" i="37"/>
  <c r="M326" i="37"/>
  <c r="M96" i="37"/>
  <c r="M270" i="37"/>
  <c r="P323" i="29"/>
  <c r="I214" i="37"/>
  <c r="I326" i="37"/>
  <c r="I96" i="37"/>
  <c r="I270" i="37"/>
  <c r="I127" i="37"/>
  <c r="I242" i="37"/>
  <c r="I68" i="37"/>
  <c r="I298" i="37"/>
  <c r="I155" i="37"/>
  <c r="I40" i="37"/>
  <c r="L70" i="24"/>
  <c r="L71" i="24" s="1"/>
  <c r="K23" i="10" s="1"/>
  <c r="L21" i="24"/>
  <c r="K84" i="25" s="1"/>
  <c r="K85" i="25" s="1"/>
  <c r="K136" i="25" s="1"/>
  <c r="K176" i="25" s="1"/>
  <c r="K134" i="25"/>
  <c r="K174" i="25" s="1"/>
  <c r="O70" i="24"/>
  <c r="O71" i="24" s="1"/>
  <c r="O21" i="24"/>
  <c r="N84" i="25" s="1"/>
  <c r="N85" i="25" s="1"/>
  <c r="O140" i="25"/>
  <c r="O180" i="25" s="1"/>
  <c r="K71" i="24"/>
  <c r="J23" i="10" s="1"/>
  <c r="N70" i="24"/>
  <c r="N71" i="24" s="1"/>
  <c r="M23" i="10" s="1"/>
  <c r="N21" i="24"/>
  <c r="M84" i="25" s="1"/>
  <c r="M85" i="25" s="1"/>
  <c r="O137" i="25"/>
  <c r="O177" i="25" s="1"/>
  <c r="O138" i="25"/>
  <c r="O178" i="25" s="1"/>
  <c r="O141" i="25"/>
  <c r="O181" i="25" s="1"/>
  <c r="O135" i="25"/>
  <c r="O175" i="25" s="1"/>
  <c r="M35" i="24"/>
  <c r="N35" i="24" s="1"/>
  <c r="O35" i="24" s="1"/>
  <c r="P35" i="24" s="1"/>
  <c r="L34" i="24"/>
  <c r="N34" i="24"/>
  <c r="M69" i="24"/>
  <c r="M71" i="24" s="1"/>
  <c r="L23" i="10" s="1"/>
  <c r="M34" i="24"/>
  <c r="G20" i="24"/>
  <c r="F83" i="25" s="1"/>
  <c r="F85" i="25" s="1"/>
  <c r="F137" i="25" s="1"/>
  <c r="F177" i="25" s="1"/>
  <c r="G43" i="24"/>
  <c r="G16" i="24"/>
  <c r="F102" i="11"/>
  <c r="G102" i="11" s="1"/>
  <c r="M43" i="24"/>
  <c r="M28" i="25"/>
  <c r="F87" i="11"/>
  <c r="G83" i="11" s="1"/>
  <c r="M16" i="24"/>
  <c r="J150" i="25"/>
  <c r="J169" i="25" s="1"/>
  <c r="H30" i="24"/>
  <c r="F36" i="24"/>
  <c r="H10" i="22" s="1"/>
  <c r="N57" i="11"/>
  <c r="N61" i="11"/>
  <c r="O27" i="24"/>
  <c r="J27" i="24"/>
  <c r="K33" i="24"/>
  <c r="I125" i="25"/>
  <c r="I128" i="25"/>
  <c r="I129" i="25"/>
  <c r="I127" i="25"/>
  <c r="I123" i="25"/>
  <c r="I124" i="25"/>
  <c r="I122" i="25"/>
  <c r="I126" i="25"/>
  <c r="I130" i="25"/>
  <c r="I131" i="25"/>
  <c r="N58" i="24"/>
  <c r="M19" i="24"/>
  <c r="M46" i="24"/>
  <c r="H46" i="24"/>
  <c r="I58" i="24"/>
  <c r="H19" i="24"/>
  <c r="N14" i="24"/>
  <c r="M30" i="25"/>
  <c r="M33" i="24"/>
  <c r="N33" i="24"/>
  <c r="M52" i="24"/>
  <c r="O18" i="24"/>
  <c r="P57" i="24"/>
  <c r="J46" i="24"/>
  <c r="J19" i="24"/>
  <c r="K58" i="24"/>
  <c r="K59" i="24" s="1"/>
  <c r="N27" i="24"/>
  <c r="O33" i="24"/>
  <c r="P33" i="24"/>
  <c r="P27" i="24" s="1"/>
  <c r="L33" i="24"/>
  <c r="M27" i="24"/>
  <c r="I27" i="24"/>
  <c r="D176" i="38"/>
  <c r="D148" i="38" s="1"/>
  <c r="E73" i="11"/>
  <c r="M61" i="11"/>
  <c r="M57" i="11"/>
  <c r="L27" i="24"/>
  <c r="I52" i="24"/>
  <c r="J33" i="24"/>
  <c r="E118" i="11"/>
  <c r="D179" i="37"/>
  <c r="D123" i="37" s="1"/>
  <c r="K150" i="25"/>
  <c r="K169" i="25" s="1"/>
  <c r="F94" i="11"/>
  <c r="G94" i="11" s="1"/>
  <c r="K57" i="11"/>
  <c r="K61" i="11"/>
  <c r="H27" i="24"/>
  <c r="I33" i="24"/>
  <c r="N49" i="24"/>
  <c r="C121" i="15"/>
  <c r="E116" i="11"/>
  <c r="J74" i="11"/>
  <c r="I74" i="11"/>
  <c r="F111" i="11"/>
  <c r="G107" i="11" s="1"/>
  <c r="G110" i="11"/>
  <c r="O17" i="9"/>
  <c r="K18" i="9"/>
  <c r="J18" i="9"/>
  <c r="F159" i="29"/>
  <c r="E27" i="8"/>
  <c r="F159" i="28"/>
  <c r="F159" i="30"/>
  <c r="F159" i="38"/>
  <c r="F159" i="39"/>
  <c r="F162" i="39" s="1"/>
  <c r="F162" i="37"/>
  <c r="F19" i="34"/>
  <c r="F22" i="34" s="1"/>
  <c r="F159" i="35"/>
  <c r="P40" i="39"/>
  <c r="P211" i="30"/>
  <c r="P267" i="28"/>
  <c r="P96" i="29"/>
  <c r="P68" i="29"/>
  <c r="Q180" i="39"/>
  <c r="D232" i="29"/>
  <c r="D145" i="29"/>
  <c r="D316" i="29"/>
  <c r="D89" i="29"/>
  <c r="D260" i="29"/>
  <c r="D204" i="29"/>
  <c r="D117" i="29"/>
  <c r="D61" i="29"/>
  <c r="D288" i="29"/>
  <c r="D31" i="38"/>
  <c r="D143" i="38"/>
  <c r="D115" i="38"/>
  <c r="D286" i="38"/>
  <c r="D173" i="38"/>
  <c r="D204" i="38" s="1"/>
  <c r="D230" i="38"/>
  <c r="L140" i="25"/>
  <c r="L180" i="25" s="1"/>
  <c r="L141" i="25"/>
  <c r="L181" i="25" s="1"/>
  <c r="L142" i="25"/>
  <c r="L182" i="25" s="1"/>
  <c r="L133" i="25"/>
  <c r="L173" i="25" s="1"/>
  <c r="L134" i="25"/>
  <c r="L174" i="25" s="1"/>
  <c r="L135" i="25"/>
  <c r="L175" i="25" s="1"/>
  <c r="G134" i="25"/>
  <c r="G174" i="25" s="1"/>
  <c r="L137" i="25"/>
  <c r="L177" i="25" s="1"/>
  <c r="L138" i="25"/>
  <c r="L178" i="25" s="1"/>
  <c r="L139" i="25"/>
  <c r="L179" i="25" s="1"/>
  <c r="I121" i="43"/>
  <c r="J177" i="39"/>
  <c r="J177" i="38"/>
  <c r="J37" i="34"/>
  <c r="J177" i="28"/>
  <c r="I122" i="47"/>
  <c r="I122" i="45"/>
  <c r="J170" i="25"/>
  <c r="J180" i="37"/>
  <c r="I122" i="15"/>
  <c r="J177" i="29"/>
  <c r="J177" i="35"/>
  <c r="J177" i="30"/>
  <c r="F177" i="28"/>
  <c r="E122" i="47"/>
  <c r="E122" i="45"/>
  <c r="F170" i="25"/>
  <c r="E122" i="15"/>
  <c r="F177" i="30"/>
  <c r="F177" i="35"/>
  <c r="F177" i="29"/>
  <c r="F180" i="37"/>
  <c r="F177" i="38"/>
  <c r="F37" i="34"/>
  <c r="E121" i="43"/>
  <c r="F177" i="39"/>
  <c r="N142" i="25"/>
  <c r="N182" i="25" s="1"/>
  <c r="M18" i="24"/>
  <c r="M45" i="24"/>
  <c r="N57" i="24"/>
  <c r="F50" i="24"/>
  <c r="O16" i="24"/>
  <c r="P55" i="24"/>
  <c r="P59" i="24" s="1"/>
  <c r="O43" i="24"/>
  <c r="L43" i="24"/>
  <c r="M55" i="24"/>
  <c r="L16" i="24"/>
  <c r="H43" i="24"/>
  <c r="H16" i="24"/>
  <c r="I55" i="24"/>
  <c r="I49" i="24"/>
  <c r="O47" i="24"/>
  <c r="N22" i="10" s="1"/>
  <c r="I30" i="24"/>
  <c r="J105" i="41"/>
  <c r="J102" i="15" s="1"/>
  <c r="K141" i="41"/>
  <c r="K104" i="15" s="1"/>
  <c r="K86" i="41"/>
  <c r="K28" i="15" s="1"/>
  <c r="K51" i="41"/>
  <c r="K99" i="15" s="1"/>
  <c r="K69" i="41"/>
  <c r="K100" i="15" s="1"/>
  <c r="L105" i="41"/>
  <c r="L102" i="15" s="1"/>
  <c r="M50" i="41"/>
  <c r="M26" i="15" s="1"/>
  <c r="M177" i="41"/>
  <c r="M106" i="15" s="1"/>
  <c r="M86" i="41"/>
  <c r="M28" i="15" s="1"/>
  <c r="K194" i="41"/>
  <c r="K34" i="15" s="1"/>
  <c r="K123" i="41"/>
  <c r="L158" i="41"/>
  <c r="L32" i="15" s="1"/>
  <c r="M195" i="41"/>
  <c r="M107" i="15" s="1"/>
  <c r="M212" i="41"/>
  <c r="M35" i="15" s="1"/>
  <c r="L141" i="41"/>
  <c r="L104" i="15" s="1"/>
  <c r="L50" i="41"/>
  <c r="L26" i="15" s="1"/>
  <c r="M158" i="41"/>
  <c r="M32" i="15" s="1"/>
  <c r="M176" i="41"/>
  <c r="M33" i="15" s="1"/>
  <c r="L213" i="41"/>
  <c r="L108" i="15" s="1"/>
  <c r="L140" i="41"/>
  <c r="L31" i="15" s="1"/>
  <c r="K122" i="41"/>
  <c r="L159" i="41"/>
  <c r="L105" i="15" s="1"/>
  <c r="K104" i="41"/>
  <c r="K29" i="15" s="1"/>
  <c r="M194" i="41"/>
  <c r="M34" i="15" s="1"/>
  <c r="M213" i="41"/>
  <c r="M108" i="15" s="1"/>
  <c r="L122" i="41"/>
  <c r="L69" i="41"/>
  <c r="L100" i="15" s="1"/>
  <c r="L86" i="41"/>
  <c r="L28" i="15" s="1"/>
  <c r="L51" i="41"/>
  <c r="L99" i="15" s="1"/>
  <c r="M159" i="41"/>
  <c r="M105" i="15" s="1"/>
  <c r="K140" i="41"/>
  <c r="K31" i="15" s="1"/>
  <c r="K50" i="41"/>
  <c r="K26" i="15" s="1"/>
  <c r="L104" i="41"/>
  <c r="L29" i="15" s="1"/>
  <c r="M51" i="41"/>
  <c r="M99" i="15" s="1"/>
  <c r="M140" i="41"/>
  <c r="M31" i="15" s="1"/>
  <c r="M87" i="41"/>
  <c r="M101" i="15" s="1"/>
  <c r="J86" i="41"/>
  <c r="J28" i="15" s="1"/>
  <c r="K158" i="41"/>
  <c r="K32" i="15" s="1"/>
  <c r="K105" i="41"/>
  <c r="K102" i="15" s="1"/>
  <c r="L123" i="41"/>
  <c r="J104" i="41"/>
  <c r="J29" i="15" s="1"/>
  <c r="J140" i="41"/>
  <c r="J31" i="15" s="1"/>
  <c r="J68" i="41"/>
  <c r="J27" i="15" s="1"/>
  <c r="J87" i="41"/>
  <c r="J101" i="15" s="1"/>
  <c r="K176" i="41"/>
  <c r="K33" i="15" s="1"/>
  <c r="L176" i="41"/>
  <c r="L33" i="15" s="1"/>
  <c r="L87" i="41"/>
  <c r="L101" i="15" s="1"/>
  <c r="J141" i="41"/>
  <c r="J104" i="15" s="1"/>
  <c r="J69" i="41"/>
  <c r="J100" i="15" s="1"/>
  <c r="J176" i="41"/>
  <c r="J33" i="15" s="1"/>
  <c r="K159" i="41"/>
  <c r="K105" i="15" s="1"/>
  <c r="K177" i="41"/>
  <c r="K106" i="15" s="1"/>
  <c r="M122" i="41"/>
  <c r="L177" i="41"/>
  <c r="L106" i="15" s="1"/>
  <c r="M105" i="41"/>
  <c r="M102" i="15" s="1"/>
  <c r="J177" i="41"/>
  <c r="J106" i="15" s="1"/>
  <c r="L212" i="41"/>
  <c r="L35" i="15" s="1"/>
  <c r="M123" i="41"/>
  <c r="M141" i="41"/>
  <c r="M104" i="15" s="1"/>
  <c r="M104" i="41"/>
  <c r="M29" i="15" s="1"/>
  <c r="K87" i="41"/>
  <c r="K101" i="15" s="1"/>
  <c r="K68" i="41"/>
  <c r="K27" i="15" s="1"/>
  <c r="G30" i="9"/>
  <c r="G32" i="9" s="1"/>
  <c r="E117" i="11"/>
  <c r="D176" i="35"/>
  <c r="D263" i="35" s="1"/>
  <c r="D176" i="30"/>
  <c r="D235" i="30" s="1"/>
  <c r="E10" i="22"/>
  <c r="E12" i="22" s="1"/>
  <c r="E14" i="22" s="1"/>
  <c r="E16" i="22" s="1"/>
  <c r="D36" i="37"/>
  <c r="C121" i="45"/>
  <c r="D176" i="28"/>
  <c r="D120" i="28" s="1"/>
  <c r="D176" i="29"/>
  <c r="D319" i="29" s="1"/>
  <c r="D169" i="25"/>
  <c r="D36" i="34"/>
  <c r="C5" i="7"/>
  <c r="C120" i="43"/>
  <c r="G74" i="11"/>
  <c r="I123" i="41"/>
  <c r="J20" i="10" s="1"/>
  <c r="I122" i="41"/>
  <c r="H21" i="16" s="1"/>
  <c r="O8" i="8"/>
  <c r="E8" i="10"/>
  <c r="E158" i="35" s="1"/>
  <c r="P239" i="28"/>
  <c r="P152" i="28"/>
  <c r="O136" i="45"/>
  <c r="Q180" i="30"/>
  <c r="P96" i="38"/>
  <c r="F117" i="11"/>
  <c r="I9" i="8"/>
  <c r="J246" i="39"/>
  <c r="J249" i="39" s="1"/>
  <c r="J19" i="39"/>
  <c r="J22" i="39" s="1"/>
  <c r="J103" i="39"/>
  <c r="J106" i="39" s="1"/>
  <c r="J274" i="39"/>
  <c r="J277" i="39" s="1"/>
  <c r="J75" i="39"/>
  <c r="J78" i="39" s="1"/>
  <c r="J47" i="39"/>
  <c r="J50" i="39" s="1"/>
  <c r="J302" i="39"/>
  <c r="J305" i="39" s="1"/>
  <c r="J131" i="39"/>
  <c r="J134" i="39" s="1"/>
  <c r="J218" i="39"/>
  <c r="J190" i="39"/>
  <c r="J193" i="39" s="1"/>
  <c r="D260" i="38"/>
  <c r="D232" i="38"/>
  <c r="D89" i="38"/>
  <c r="D288" i="38"/>
  <c r="D61" i="38"/>
  <c r="Q180" i="28"/>
  <c r="P68" i="30"/>
  <c r="N141" i="25"/>
  <c r="N181" i="25" s="1"/>
  <c r="D39" i="9"/>
  <c r="D54" i="9"/>
  <c r="P152" i="29"/>
  <c r="J295" i="35"/>
  <c r="P295" i="35" s="1"/>
  <c r="J40" i="35"/>
  <c r="J68" i="35"/>
  <c r="J96" i="35"/>
  <c r="P96" i="35" s="1"/>
  <c r="J323" i="35"/>
  <c r="J211" i="35"/>
  <c r="P211" i="35" s="1"/>
  <c r="J152" i="35"/>
  <c r="P152" i="35" s="1"/>
  <c r="J124" i="35"/>
  <c r="P124" i="35" s="1"/>
  <c r="J239" i="35"/>
  <c r="P239" i="35" s="1"/>
  <c r="J267" i="35"/>
  <c r="N135" i="25"/>
  <c r="N175" i="25" s="1"/>
  <c r="N137" i="25"/>
  <c r="N177" i="25" s="1"/>
  <c r="G136" i="25"/>
  <c r="G176" i="25" s="1"/>
  <c r="N139" i="25"/>
  <c r="N179" i="25" s="1"/>
  <c r="D61" i="10"/>
  <c r="D62" i="10" s="1"/>
  <c r="F20" i="24" s="1"/>
  <c r="E83" i="25" s="1"/>
  <c r="E85" i="25" s="1"/>
  <c r="F150" i="25"/>
  <c r="F169" i="25" s="1"/>
  <c r="J30" i="15"/>
  <c r="K13" i="10"/>
  <c r="I21" i="16"/>
  <c r="J103" i="15"/>
  <c r="J102" i="43"/>
  <c r="K20" i="10"/>
  <c r="D61" i="35"/>
  <c r="D232" i="35"/>
  <c r="D89" i="35"/>
  <c r="D33" i="35"/>
  <c r="D288" i="35"/>
  <c r="D260" i="35"/>
  <c r="D145" i="35"/>
  <c r="D117" i="35"/>
  <c r="D316" i="35"/>
  <c r="D204" i="35"/>
  <c r="G320" i="39"/>
  <c r="G292" i="39"/>
  <c r="G264" i="39"/>
  <c r="G236" i="39"/>
  <c r="G149" i="39"/>
  <c r="G208" i="39"/>
  <c r="G37" i="39"/>
  <c r="G93" i="39"/>
  <c r="G121" i="39"/>
  <c r="G65" i="39"/>
  <c r="H122" i="47"/>
  <c r="I177" i="29"/>
  <c r="I177" i="28"/>
  <c r="I177" i="35"/>
  <c r="I170" i="25"/>
  <c r="H122" i="15"/>
  <c r="I37" i="34"/>
  <c r="H122" i="45"/>
  <c r="I177" i="30"/>
  <c r="I180" i="37"/>
  <c r="H121" i="43"/>
  <c r="I177" i="38"/>
  <c r="I177" i="39"/>
  <c r="G292" i="29"/>
  <c r="G236" i="29"/>
  <c r="G149" i="29"/>
  <c r="G320" i="29"/>
  <c r="G93" i="29"/>
  <c r="G37" i="29"/>
  <c r="G264" i="29"/>
  <c r="G121" i="29"/>
  <c r="G208" i="29"/>
  <c r="G65" i="29"/>
  <c r="G211" i="37"/>
  <c r="G152" i="37"/>
  <c r="G124" i="37"/>
  <c r="G93" i="37"/>
  <c r="G37" i="37"/>
  <c r="G65" i="37"/>
  <c r="G295" i="37"/>
  <c r="G267" i="37"/>
  <c r="G239" i="37"/>
  <c r="G323" i="37"/>
  <c r="G139" i="25"/>
  <c r="G179" i="25" s="1"/>
  <c r="G140" i="25"/>
  <c r="G180" i="25" s="1"/>
  <c r="G141" i="25"/>
  <c r="G181" i="25" s="1"/>
  <c r="G133" i="25"/>
  <c r="G173" i="25" s="1"/>
  <c r="G138" i="25"/>
  <c r="G178" i="25" s="1"/>
  <c r="G142" i="25"/>
  <c r="G182" i="25" s="1"/>
  <c r="G37" i="38"/>
  <c r="G65" i="38"/>
  <c r="G320" i="38"/>
  <c r="G93" i="38"/>
  <c r="G208" i="38"/>
  <c r="G149" i="38"/>
  <c r="G264" i="38"/>
  <c r="G236" i="38"/>
  <c r="G292" i="38"/>
  <c r="G121" i="38"/>
  <c r="L37" i="34"/>
  <c r="L177" i="28"/>
  <c r="L177" i="35"/>
  <c r="K122" i="47"/>
  <c r="L177" i="30"/>
  <c r="K122" i="45"/>
  <c r="L170" i="25"/>
  <c r="K122" i="15"/>
  <c r="L177" i="29"/>
  <c r="L180" i="37"/>
  <c r="K121" i="43"/>
  <c r="L177" i="39"/>
  <c r="L177" i="38"/>
  <c r="G93" i="28"/>
  <c r="G149" i="28"/>
  <c r="G236" i="28"/>
  <c r="G264" i="28"/>
  <c r="G121" i="28"/>
  <c r="G292" i="28"/>
  <c r="G208" i="28"/>
  <c r="G37" i="28"/>
  <c r="G65" i="28"/>
  <c r="G320" i="28"/>
  <c r="G65" i="35"/>
  <c r="G292" i="35"/>
  <c r="G149" i="35"/>
  <c r="G37" i="35"/>
  <c r="G121" i="35"/>
  <c r="G264" i="35"/>
  <c r="G93" i="35"/>
  <c r="G320" i="35"/>
  <c r="G208" i="35"/>
  <c r="G236" i="35"/>
  <c r="G236" i="30"/>
  <c r="G149" i="30"/>
  <c r="G93" i="30"/>
  <c r="G320" i="30"/>
  <c r="G264" i="30"/>
  <c r="G65" i="30"/>
  <c r="G292" i="30"/>
  <c r="G121" i="30"/>
  <c r="G37" i="30"/>
  <c r="G208" i="30"/>
  <c r="G137" i="25"/>
  <c r="G177" i="25" s="1"/>
  <c r="H177" i="35"/>
  <c r="H177" i="30"/>
  <c r="H180" i="37"/>
  <c r="H177" i="39"/>
  <c r="H170" i="25"/>
  <c r="G121" i="43"/>
  <c r="H177" i="38"/>
  <c r="H37" i="34"/>
  <c r="H177" i="28"/>
  <c r="H177" i="29"/>
  <c r="G122" i="45"/>
  <c r="G122" i="15"/>
  <c r="G122" i="47"/>
  <c r="G150" i="25"/>
  <c r="G169" i="25" s="1"/>
  <c r="D291" i="35"/>
  <c r="D235" i="35"/>
  <c r="D120" i="35"/>
  <c r="D92" i="35"/>
  <c r="D207" i="35"/>
  <c r="D148" i="35"/>
  <c r="D36" i="35"/>
  <c r="D207" i="30"/>
  <c r="D92" i="30"/>
  <c r="D148" i="30"/>
  <c r="D319" i="30"/>
  <c r="D64" i="30"/>
  <c r="D120" i="30"/>
  <c r="D291" i="30"/>
  <c r="D263" i="30"/>
  <c r="D291" i="39"/>
  <c r="D36" i="39"/>
  <c r="D263" i="39"/>
  <c r="D235" i="39"/>
  <c r="D207" i="39"/>
  <c r="D148" i="39"/>
  <c r="D120" i="39"/>
  <c r="D92" i="39"/>
  <c r="D319" i="39"/>
  <c r="D64" i="39"/>
  <c r="O25" i="10"/>
  <c r="O179" i="28"/>
  <c r="D263" i="38"/>
  <c r="D235" i="38"/>
  <c r="D207" i="38"/>
  <c r="D92" i="38"/>
  <c r="D319" i="38"/>
  <c r="D64" i="38"/>
  <c r="D291" i="38"/>
  <c r="D36" i="38"/>
  <c r="D151" i="37"/>
  <c r="D322" i="37"/>
  <c r="D64" i="37"/>
  <c r="D294" i="37"/>
  <c r="D266" i="37"/>
  <c r="D238" i="37"/>
  <c r="D210" i="37"/>
  <c r="H85" i="11"/>
  <c r="H86" i="11" s="1"/>
  <c r="G87" i="11"/>
  <c r="H83" i="11" s="1"/>
  <c r="H84" i="11"/>
  <c r="N71" i="9"/>
  <c r="H23" i="9"/>
  <c r="I22" i="9"/>
  <c r="I23" i="9" s="1"/>
  <c r="I25" i="9" s="1"/>
  <c r="H30" i="9"/>
  <c r="I29" i="9"/>
  <c r="I30" i="9" s="1"/>
  <c r="I32" i="9" s="1"/>
  <c r="I15" i="9"/>
  <c r="I16" i="9" s="1"/>
  <c r="I18" i="9" s="1"/>
  <c r="I84" i="9"/>
  <c r="N84" i="9" s="1"/>
  <c r="O55" i="9"/>
  <c r="L48" i="9"/>
  <c r="K49" i="9"/>
  <c r="H25" i="9"/>
  <c r="N89" i="9"/>
  <c r="J31" i="9"/>
  <c r="J32" i="9" s="1"/>
  <c r="N92" i="9"/>
  <c r="L24" i="9"/>
  <c r="K25" i="9"/>
  <c r="J25" i="9"/>
  <c r="F25" i="9"/>
  <c r="G23" i="9"/>
  <c r="G25" i="9" s="1"/>
  <c r="E56" i="9"/>
  <c r="E59" i="9"/>
  <c r="E90" i="18" s="1"/>
  <c r="E198" i="17"/>
  <c r="M19" i="17"/>
  <c r="D284" i="28"/>
  <c r="D286" i="28" s="1"/>
  <c r="D113" i="28"/>
  <c r="D115" i="28" s="1"/>
  <c r="D117" i="28" s="1"/>
  <c r="O22" i="10"/>
  <c r="D85" i="28"/>
  <c r="D87" i="28" s="1"/>
  <c r="D200" i="28"/>
  <c r="D202" i="28" s="1"/>
  <c r="D57" i="28"/>
  <c r="C4" i="7"/>
  <c r="F10" i="7" s="1"/>
  <c r="N12" i="7" s="1"/>
  <c r="N20" i="7" s="1"/>
  <c r="L16" i="11"/>
  <c r="L18" i="11" s="1"/>
  <c r="AA32" i="22" s="1"/>
  <c r="J124" i="42"/>
  <c r="K110" i="42"/>
  <c r="J123" i="42"/>
  <c r="J29" i="43" s="1"/>
  <c r="H44" i="9"/>
  <c r="I43" i="9"/>
  <c r="P105" i="30"/>
  <c r="P303" i="29"/>
  <c r="N106" i="28"/>
  <c r="P105" i="28"/>
  <c r="E78" i="28"/>
  <c r="P114" i="28"/>
  <c r="P21" i="28"/>
  <c r="P276" i="30"/>
  <c r="N78" i="28"/>
  <c r="P77" i="28"/>
  <c r="P49" i="29"/>
  <c r="P267" i="29"/>
  <c r="K50" i="39"/>
  <c r="P49" i="39"/>
  <c r="P49" i="38"/>
  <c r="P132" i="39"/>
  <c r="L22" i="30"/>
  <c r="M22" i="39"/>
  <c r="L32" i="24"/>
  <c r="G32" i="24"/>
  <c r="L26" i="24"/>
  <c r="K32" i="24"/>
  <c r="J51" i="24"/>
  <c r="K51" i="24"/>
  <c r="L51" i="24"/>
  <c r="J32" i="24"/>
  <c r="M32" i="24"/>
  <c r="G57" i="24"/>
  <c r="O32" i="24"/>
  <c r="N32" i="24"/>
  <c r="H32" i="24"/>
  <c r="N51" i="24"/>
  <c r="O51" i="24"/>
  <c r="O26" i="24"/>
  <c r="M26" i="24"/>
  <c r="H51" i="24"/>
  <c r="P32" i="24"/>
  <c r="P26" i="24" s="1"/>
  <c r="I51" i="24"/>
  <c r="M51" i="24"/>
  <c r="N26" i="24"/>
  <c r="G51" i="24"/>
  <c r="I32" i="24"/>
  <c r="F57" i="24"/>
  <c r="D259" i="28"/>
  <c r="D287" i="28"/>
  <c r="D116" i="28"/>
  <c r="D60" i="28"/>
  <c r="D144" i="28"/>
  <c r="D203" i="28"/>
  <c r="D231" i="28"/>
  <c r="D315" i="28"/>
  <c r="D316" i="28" s="1"/>
  <c r="D88" i="28"/>
  <c r="D32" i="28"/>
  <c r="P220" i="29"/>
  <c r="P191" i="29"/>
  <c r="P304" i="28"/>
  <c r="E305" i="28"/>
  <c r="D258" i="30"/>
  <c r="D59" i="30"/>
  <c r="D286" i="30"/>
  <c r="D314" i="30"/>
  <c r="D87" i="30"/>
  <c r="D115" i="30"/>
  <c r="D173" i="30"/>
  <c r="D230" i="30"/>
  <c r="D143" i="30"/>
  <c r="D202" i="30"/>
  <c r="P248" i="29"/>
  <c r="P248" i="38"/>
  <c r="E249" i="38"/>
  <c r="P247" i="38"/>
  <c r="K106" i="39"/>
  <c r="P105" i="39"/>
  <c r="P192" i="39"/>
  <c r="P77" i="38"/>
  <c r="D200" i="30"/>
  <c r="D141" i="30"/>
  <c r="D29" i="30"/>
  <c r="D31" i="30" s="1"/>
  <c r="D33" i="30" s="1"/>
  <c r="D228" i="30"/>
  <c r="D256" i="30"/>
  <c r="D57" i="30"/>
  <c r="D284" i="30"/>
  <c r="D312" i="30"/>
  <c r="D85" i="30"/>
  <c r="D113" i="30"/>
  <c r="P31" i="24"/>
  <c r="P25" i="24" s="1"/>
  <c r="L25" i="24"/>
  <c r="O31" i="24"/>
  <c r="H31" i="24"/>
  <c r="J31" i="24"/>
  <c r="N31" i="24"/>
  <c r="M31" i="24"/>
  <c r="N50" i="24"/>
  <c r="O50" i="24"/>
  <c r="M25" i="24"/>
  <c r="H50" i="24"/>
  <c r="G56" i="24"/>
  <c r="I50" i="24"/>
  <c r="M50" i="24"/>
  <c r="N25" i="24"/>
  <c r="K31" i="24"/>
  <c r="G50" i="24"/>
  <c r="O25" i="24"/>
  <c r="I31" i="24"/>
  <c r="L31" i="24"/>
  <c r="G31" i="24"/>
  <c r="J50" i="24"/>
  <c r="K50" i="24"/>
  <c r="L50" i="24"/>
  <c r="F56" i="24"/>
  <c r="I44" i="24"/>
  <c r="I17" i="24"/>
  <c r="J56" i="24"/>
  <c r="N44" i="24"/>
  <c r="N17" i="24"/>
  <c r="O56" i="24"/>
  <c r="I43" i="24"/>
  <c r="I16" i="24"/>
  <c r="O30" i="24"/>
  <c r="M30" i="24"/>
  <c r="N24" i="24"/>
  <c r="J30" i="24"/>
  <c r="L24" i="24"/>
  <c r="M24" i="24"/>
  <c r="N30" i="24"/>
  <c r="P30" i="24"/>
  <c r="M49" i="24"/>
  <c r="K30" i="24"/>
  <c r="O24" i="24"/>
  <c r="L30" i="24"/>
  <c r="L49" i="24"/>
  <c r="J55" i="24"/>
  <c r="L29" i="7"/>
  <c r="G182" i="42"/>
  <c r="F16" i="9"/>
  <c r="F37" i="9"/>
  <c r="N91" i="9"/>
  <c r="J49" i="24"/>
  <c r="P76" i="35"/>
  <c r="P321" i="35"/>
  <c r="P76" i="28"/>
  <c r="L78" i="28"/>
  <c r="P220" i="28"/>
  <c r="E221" i="28"/>
  <c r="P276" i="39"/>
  <c r="P303" i="39"/>
  <c r="P220" i="39"/>
  <c r="E50" i="38"/>
  <c r="P48" i="38"/>
  <c r="F249" i="39"/>
  <c r="P247" i="28"/>
  <c r="G29" i="7"/>
  <c r="L56" i="24"/>
  <c r="H17" i="24"/>
  <c r="H44" i="24"/>
  <c r="I56" i="24"/>
  <c r="L18" i="24"/>
  <c r="L45" i="24"/>
  <c r="L47" i="24" s="1"/>
  <c r="K22" i="10" s="1"/>
  <c r="M57" i="24"/>
  <c r="M59" i="24" s="1"/>
  <c r="L20" i="46"/>
  <c r="G35" i="46"/>
  <c r="G9" i="8"/>
  <c r="N7" i="8"/>
  <c r="O7" i="8" s="1"/>
  <c r="G14" i="9"/>
  <c r="H47" i="39"/>
  <c r="H75" i="39"/>
  <c r="H218" i="39"/>
  <c r="H19" i="39"/>
  <c r="H22" i="39" s="1"/>
  <c r="H103" i="39"/>
  <c r="H274" i="39"/>
  <c r="H277" i="39" s="1"/>
  <c r="H131" i="39"/>
  <c r="H134" i="39" s="1"/>
  <c r="H302" i="39"/>
  <c r="H305" i="39" s="1"/>
  <c r="H246" i="39"/>
  <c r="H249" i="39" s="1"/>
  <c r="H190" i="39"/>
  <c r="E61" i="11"/>
  <c r="F60" i="11"/>
  <c r="G26" i="24" s="1"/>
  <c r="F26" i="24"/>
  <c r="K19" i="15"/>
  <c r="K19" i="45"/>
  <c r="L158" i="35"/>
  <c r="K19" i="47"/>
  <c r="L18" i="34"/>
  <c r="L155" i="25"/>
  <c r="K18" i="43"/>
  <c r="L158" i="29"/>
  <c r="L158" i="30"/>
  <c r="L158" i="28"/>
  <c r="L158" i="39"/>
  <c r="L158" i="38"/>
  <c r="L161" i="37"/>
  <c r="N83" i="9"/>
  <c r="J104" i="46"/>
  <c r="F119" i="46"/>
  <c r="P77" i="30"/>
  <c r="E277" i="29"/>
  <c r="P323" i="30"/>
  <c r="P304" i="29"/>
  <c r="P276" i="29"/>
  <c r="N106" i="38"/>
  <c r="P295" i="29"/>
  <c r="P220" i="38"/>
  <c r="P21" i="38"/>
  <c r="N43" i="24"/>
  <c r="N16" i="24"/>
  <c r="O55" i="24"/>
  <c r="L57" i="24"/>
  <c r="F27" i="8"/>
  <c r="G159" i="35"/>
  <c r="G162" i="37"/>
  <c r="G19" i="34"/>
  <c r="G159" i="28"/>
  <c r="G159" i="29"/>
  <c r="G159" i="39"/>
  <c r="G159" i="30"/>
  <c r="G159" i="38"/>
  <c r="M17" i="24"/>
  <c r="M44" i="24"/>
  <c r="N56" i="24"/>
  <c r="N59" i="24" s="1"/>
  <c r="L55" i="24"/>
  <c r="H45" i="24"/>
  <c r="H18" i="24"/>
  <c r="I57" i="24"/>
  <c r="K49" i="24"/>
  <c r="N90" i="9"/>
  <c r="J209" i="46"/>
  <c r="F224" i="46"/>
  <c r="L167" i="46"/>
  <c r="G182" i="46"/>
  <c r="P192" i="35"/>
  <c r="P293" i="35"/>
  <c r="P20" i="29"/>
  <c r="L50" i="28"/>
  <c r="P48" i="28"/>
  <c r="N193" i="28"/>
  <c r="P192" i="28"/>
  <c r="P239" i="29"/>
  <c r="P267" i="30"/>
  <c r="P105" i="29"/>
  <c r="E106" i="29"/>
  <c r="D138" i="28"/>
  <c r="D140" i="28" s="1"/>
  <c r="P86" i="38"/>
  <c r="P285" i="39"/>
  <c r="P275" i="39"/>
  <c r="P191" i="38"/>
  <c r="E193" i="38"/>
  <c r="N134" i="30"/>
  <c r="P133" i="30"/>
  <c r="P30" i="38"/>
  <c r="E277" i="38"/>
  <c r="E78" i="38"/>
  <c r="M69" i="41"/>
  <c r="M100" i="15" s="1"/>
  <c r="M68" i="41"/>
  <c r="M27" i="15" s="1"/>
  <c r="I45" i="24"/>
  <c r="I18" i="24"/>
  <c r="J57" i="24"/>
  <c r="G44" i="24"/>
  <c r="H56" i="24"/>
  <c r="G17" i="24"/>
  <c r="N45" i="24"/>
  <c r="N18" i="24"/>
  <c r="O57" i="24"/>
  <c r="E44" i="11"/>
  <c r="F49" i="24"/>
  <c r="E74" i="11"/>
  <c r="E32" i="9"/>
  <c r="I39" i="9"/>
  <c r="I54" i="9"/>
  <c r="F68" i="11"/>
  <c r="E69" i="11"/>
  <c r="F27" i="24"/>
  <c r="L41" i="46"/>
  <c r="G56" i="46"/>
  <c r="L83" i="46"/>
  <c r="G98" i="46"/>
  <c r="P38" i="35"/>
  <c r="N249" i="28"/>
  <c r="P248" i="28"/>
  <c r="P304" i="30"/>
  <c r="E249" i="28"/>
  <c r="P133" i="29"/>
  <c r="D228" i="28"/>
  <c r="D229" i="28" s="1"/>
  <c r="E78" i="29"/>
  <c r="P192" i="29"/>
  <c r="P105" i="38"/>
  <c r="P285" i="38"/>
  <c r="P114" i="39"/>
  <c r="P142" i="39"/>
  <c r="P20" i="39"/>
  <c r="F22" i="39"/>
  <c r="P304" i="39"/>
  <c r="F305" i="39"/>
  <c r="P76" i="39"/>
  <c r="P104" i="28"/>
  <c r="N29" i="7"/>
  <c r="I49" i="9"/>
  <c r="N47" i="9"/>
  <c r="G19" i="41"/>
  <c r="O49" i="24"/>
  <c r="D19" i="15"/>
  <c r="E158" i="28"/>
  <c r="G200" i="42"/>
  <c r="J19" i="15"/>
  <c r="J19" i="45"/>
  <c r="K158" i="35"/>
  <c r="K18" i="34"/>
  <c r="K155" i="25"/>
  <c r="J18" i="43"/>
  <c r="K158" i="30"/>
  <c r="K158" i="28"/>
  <c r="J19" i="47"/>
  <c r="K158" i="29"/>
  <c r="K158" i="39"/>
  <c r="K161" i="37"/>
  <c r="K158" i="38"/>
  <c r="P219" i="35"/>
  <c r="N134" i="28"/>
  <c r="P133" i="28"/>
  <c r="E221" i="29"/>
  <c r="E50" i="28"/>
  <c r="P77" i="29"/>
  <c r="E193" i="28"/>
  <c r="P303" i="30"/>
  <c r="P104" i="39"/>
  <c r="P133" i="39"/>
  <c r="P276" i="38"/>
  <c r="P77" i="39"/>
  <c r="P219" i="39"/>
  <c r="J221" i="39"/>
  <c r="P304" i="38"/>
  <c r="P133" i="38"/>
  <c r="N193" i="30"/>
  <c r="P192" i="30"/>
  <c r="E221" i="38"/>
  <c r="E177" i="35"/>
  <c r="E177" i="29"/>
  <c r="E180" i="37"/>
  <c r="E177" i="38"/>
  <c r="D121" i="43"/>
  <c r="E177" i="39"/>
  <c r="D122" i="47"/>
  <c r="E170" i="25"/>
  <c r="E37" i="34"/>
  <c r="D122" i="45"/>
  <c r="E177" i="28"/>
  <c r="D122" i="15"/>
  <c r="E177" i="30"/>
  <c r="G45" i="24"/>
  <c r="H57" i="24"/>
  <c r="G18" i="24"/>
  <c r="M54" i="9"/>
  <c r="F52" i="11"/>
  <c r="G25" i="24" s="1"/>
  <c r="E53" i="11"/>
  <c r="F25" i="24"/>
  <c r="D93" i="18"/>
  <c r="L125" i="46"/>
  <c r="G140" i="46"/>
  <c r="F83" i="11"/>
  <c r="F116" i="11" s="1"/>
  <c r="E119" i="11"/>
  <c r="L277" i="35"/>
  <c r="L134" i="35"/>
  <c r="L22" i="35"/>
  <c r="L221" i="35"/>
  <c r="L50" i="35"/>
  <c r="L305" i="35"/>
  <c r="L249" i="35"/>
  <c r="L78" i="35"/>
  <c r="L193" i="35"/>
  <c r="L106" i="35"/>
  <c r="P265" i="35"/>
  <c r="P40" i="35"/>
  <c r="N50" i="28"/>
  <c r="P49" i="28"/>
  <c r="P276" i="28"/>
  <c r="E277" i="28"/>
  <c r="P275" i="30"/>
  <c r="P21" i="29"/>
  <c r="P104" i="38"/>
  <c r="E106" i="38"/>
  <c r="P248" i="39"/>
  <c r="P21" i="39"/>
  <c r="P303" i="38"/>
  <c r="E305" i="38"/>
  <c r="F106" i="39"/>
  <c r="E134" i="38"/>
  <c r="P68" i="37" l="1"/>
  <c r="F95" i="11"/>
  <c r="F103" i="11"/>
  <c r="G99" i="11" s="1"/>
  <c r="M47" i="24"/>
  <c r="L22" i="10" s="1"/>
  <c r="L176" i="30" s="1"/>
  <c r="F118" i="11"/>
  <c r="M12" i="24"/>
  <c r="L28" i="25"/>
  <c r="L12" i="24"/>
  <c r="K28" i="25"/>
  <c r="M18" i="35"/>
  <c r="M130" i="35"/>
  <c r="M301" i="35"/>
  <c r="M189" i="35"/>
  <c r="M102" i="35"/>
  <c r="M273" i="35"/>
  <c r="M74" i="35"/>
  <c r="M46" i="35"/>
  <c r="M245" i="35"/>
  <c r="M217" i="35"/>
  <c r="M273" i="30"/>
  <c r="M18" i="30"/>
  <c r="M130" i="30"/>
  <c r="M189" i="30"/>
  <c r="M301" i="30"/>
  <c r="M102" i="30"/>
  <c r="M245" i="30"/>
  <c r="M74" i="30"/>
  <c r="M217" i="30"/>
  <c r="M46" i="30"/>
  <c r="M273" i="38"/>
  <c r="M18" i="38"/>
  <c r="M46" i="38"/>
  <c r="M245" i="38"/>
  <c r="M301" i="38"/>
  <c r="M102" i="38"/>
  <c r="M189" i="38"/>
  <c r="M130" i="38"/>
  <c r="M74" i="38"/>
  <c r="M217" i="38"/>
  <c r="M74" i="39"/>
  <c r="M273" i="39"/>
  <c r="M18" i="39"/>
  <c r="M189" i="39"/>
  <c r="M130" i="39"/>
  <c r="M102" i="39"/>
  <c r="M217" i="39"/>
  <c r="M245" i="39"/>
  <c r="M301" i="39"/>
  <c r="M46" i="39"/>
  <c r="M217" i="29"/>
  <c r="M74" i="29"/>
  <c r="M301" i="29"/>
  <c r="M273" i="29"/>
  <c r="M130" i="29"/>
  <c r="M18" i="29"/>
  <c r="M189" i="29"/>
  <c r="M245" i="29"/>
  <c r="M102" i="29"/>
  <c r="M46" i="29"/>
  <c r="M277" i="35"/>
  <c r="M50" i="35"/>
  <c r="M106" i="35"/>
  <c r="M134" i="35"/>
  <c r="M305" i="35"/>
  <c r="M193" i="35"/>
  <c r="M249" i="35"/>
  <c r="M22" i="35"/>
  <c r="M221" i="35"/>
  <c r="M78" i="35"/>
  <c r="M304" i="37"/>
  <c r="M220" i="37"/>
  <c r="M133" i="37"/>
  <c r="M105" i="37"/>
  <c r="M248" i="37"/>
  <c r="M276" i="37"/>
  <c r="M74" i="37"/>
  <c r="M18" i="37"/>
  <c r="M46" i="37"/>
  <c r="M192" i="37"/>
  <c r="M189" i="28"/>
  <c r="M217" i="28"/>
  <c r="M273" i="28"/>
  <c r="M245" i="28"/>
  <c r="M301" i="28"/>
  <c r="M130" i="28"/>
  <c r="M102" i="28"/>
  <c r="M74" i="28"/>
  <c r="M18" i="28"/>
  <c r="M46" i="28"/>
  <c r="O61" i="43"/>
  <c r="D62" i="43"/>
  <c r="D260" i="28"/>
  <c r="D63" i="47"/>
  <c r="O62" i="47"/>
  <c r="D63" i="45"/>
  <c r="O62" i="45"/>
  <c r="D59" i="28"/>
  <c r="D61" i="28" s="1"/>
  <c r="K141" i="25"/>
  <c r="K181" i="25" s="1"/>
  <c r="D117" i="38"/>
  <c r="D145" i="38"/>
  <c r="D316" i="38"/>
  <c r="D33" i="38"/>
  <c r="P214" i="37"/>
  <c r="P96" i="37"/>
  <c r="P68" i="35"/>
  <c r="P127" i="37"/>
  <c r="P326" i="37"/>
  <c r="P40" i="37"/>
  <c r="P323" i="35"/>
  <c r="P242" i="37"/>
  <c r="P270" i="37"/>
  <c r="P155" i="37"/>
  <c r="P267" i="35"/>
  <c r="P298" i="37"/>
  <c r="M133" i="25"/>
  <c r="M173" i="25" s="1"/>
  <c r="M141" i="25"/>
  <c r="M181" i="25" s="1"/>
  <c r="M135" i="25"/>
  <c r="M175" i="25" s="1"/>
  <c r="M134" i="25"/>
  <c r="M174" i="25" s="1"/>
  <c r="M137" i="25"/>
  <c r="M177" i="25" s="1"/>
  <c r="M140" i="25"/>
  <c r="M180" i="25" s="1"/>
  <c r="M138" i="25"/>
  <c r="M178" i="25" s="1"/>
  <c r="M139" i="25"/>
  <c r="M179" i="25" s="1"/>
  <c r="M136" i="25"/>
  <c r="M176" i="25" s="1"/>
  <c r="M142" i="25"/>
  <c r="M182" i="25" s="1"/>
  <c r="N138" i="25"/>
  <c r="N178" i="25" s="1"/>
  <c r="N133" i="25"/>
  <c r="N173" i="25" s="1"/>
  <c r="N23" i="10"/>
  <c r="O23" i="10"/>
  <c r="N136" i="25"/>
  <c r="N176" i="25" s="1"/>
  <c r="N134" i="25"/>
  <c r="N174" i="25" s="1"/>
  <c r="N140" i="25"/>
  <c r="N180" i="25" s="1"/>
  <c r="F38" i="24"/>
  <c r="O22" i="24"/>
  <c r="N25" i="10" s="1"/>
  <c r="N179" i="29" s="1"/>
  <c r="L122" i="45"/>
  <c r="M177" i="39"/>
  <c r="M177" i="30"/>
  <c r="L122" i="47"/>
  <c r="M177" i="35"/>
  <c r="M170" i="25"/>
  <c r="M177" i="29"/>
  <c r="M37" i="34"/>
  <c r="M180" i="37"/>
  <c r="M177" i="28"/>
  <c r="M177" i="38"/>
  <c r="L122" i="15"/>
  <c r="L121" i="43"/>
  <c r="K133" i="25"/>
  <c r="K173" i="25" s="1"/>
  <c r="K142" i="25"/>
  <c r="K182" i="25" s="1"/>
  <c r="K135" i="25"/>
  <c r="K175" i="25" s="1"/>
  <c r="K138" i="25"/>
  <c r="K178" i="25" s="1"/>
  <c r="K139" i="25"/>
  <c r="K179" i="25" s="1"/>
  <c r="K140" i="25"/>
  <c r="K180" i="25" s="1"/>
  <c r="K137" i="25"/>
  <c r="K177" i="25" s="1"/>
  <c r="J122" i="45"/>
  <c r="J122" i="15"/>
  <c r="K177" i="28"/>
  <c r="K177" i="30"/>
  <c r="K177" i="38"/>
  <c r="K177" i="39"/>
  <c r="K177" i="35"/>
  <c r="K170" i="25"/>
  <c r="K37" i="34"/>
  <c r="J122" i="47"/>
  <c r="K177" i="29"/>
  <c r="J121" i="43"/>
  <c r="K180" i="37"/>
  <c r="F139" i="25"/>
  <c r="F179" i="25" s="1"/>
  <c r="F136" i="25"/>
  <c r="F176" i="25" s="1"/>
  <c r="F135" i="25"/>
  <c r="F175" i="25" s="1"/>
  <c r="F140" i="25"/>
  <c r="F180" i="25" s="1"/>
  <c r="F141" i="25"/>
  <c r="F181" i="25" s="1"/>
  <c r="F142" i="25"/>
  <c r="F182" i="25" s="1"/>
  <c r="F134" i="25"/>
  <c r="F174" i="25" s="1"/>
  <c r="F133" i="25"/>
  <c r="F173" i="25" s="1"/>
  <c r="F138" i="25"/>
  <c r="F178" i="25" s="1"/>
  <c r="M22" i="24"/>
  <c r="L25" i="10" s="1"/>
  <c r="L179" i="28" s="1"/>
  <c r="N53" i="24"/>
  <c r="L77" i="9" s="1"/>
  <c r="L95" i="9" s="1"/>
  <c r="D92" i="28"/>
  <c r="D235" i="28"/>
  <c r="L13" i="24"/>
  <c r="K29" i="25"/>
  <c r="O13" i="24"/>
  <c r="N29" i="25"/>
  <c r="D92" i="37"/>
  <c r="D120" i="38"/>
  <c r="N13" i="24"/>
  <c r="M29" i="25"/>
  <c r="G59" i="24"/>
  <c r="F59" i="24"/>
  <c r="D148" i="28"/>
  <c r="L22" i="24"/>
  <c r="K25" i="10" s="1"/>
  <c r="J134" i="43" s="1"/>
  <c r="H109" i="11"/>
  <c r="H110" i="11" s="1"/>
  <c r="H108" i="11"/>
  <c r="G111" i="11"/>
  <c r="H107" i="11" s="1"/>
  <c r="D64" i="28"/>
  <c r="D263" i="28"/>
  <c r="H36" i="24"/>
  <c r="H38" i="24" s="1"/>
  <c r="D36" i="28"/>
  <c r="H53" i="24"/>
  <c r="F77" i="9" s="1"/>
  <c r="F95" i="9" s="1"/>
  <c r="D319" i="28"/>
  <c r="F53" i="24"/>
  <c r="D77" i="9" s="1"/>
  <c r="D291" i="28"/>
  <c r="D207" i="28"/>
  <c r="D36" i="30"/>
  <c r="D64" i="35"/>
  <c r="D319" i="35"/>
  <c r="D5" i="2"/>
  <c r="F26" i="22"/>
  <c r="F28" i="22" s="1"/>
  <c r="F29" i="22" s="1"/>
  <c r="C40" i="26" s="1"/>
  <c r="H4" i="46"/>
  <c r="H18" i="11"/>
  <c r="H20" i="11" s="1"/>
  <c r="H4" i="41"/>
  <c r="I4" i="42"/>
  <c r="L4" i="48"/>
  <c r="O32" i="22"/>
  <c r="AD32" i="22"/>
  <c r="R32" i="22"/>
  <c r="I32" i="22"/>
  <c r="F32" i="22"/>
  <c r="F34" i="22" s="1"/>
  <c r="U32" i="22"/>
  <c r="L32" i="22"/>
  <c r="AG32" i="22"/>
  <c r="AJ32" i="22"/>
  <c r="X32" i="22"/>
  <c r="I102" i="43"/>
  <c r="I30" i="15"/>
  <c r="J13" i="10"/>
  <c r="W15" i="19" s="1"/>
  <c r="I103" i="15"/>
  <c r="F165" i="37"/>
  <c r="F221" i="37"/>
  <c r="F224" i="37" s="1"/>
  <c r="F47" i="37"/>
  <c r="F50" i="37" s="1"/>
  <c r="F75" i="37"/>
  <c r="F78" i="37" s="1"/>
  <c r="F19" i="37"/>
  <c r="F22" i="37" s="1"/>
  <c r="F134" i="37"/>
  <c r="F137" i="37" s="1"/>
  <c r="F106" i="37"/>
  <c r="F109" i="37" s="1"/>
  <c r="F249" i="37"/>
  <c r="F252" i="37" s="1"/>
  <c r="F193" i="37"/>
  <c r="F196" i="37" s="1"/>
  <c r="F305" i="37"/>
  <c r="F308" i="37" s="1"/>
  <c r="F277" i="37"/>
  <c r="F280" i="37" s="1"/>
  <c r="F19" i="38"/>
  <c r="F22" i="38" s="1"/>
  <c r="F190" i="38"/>
  <c r="F193" i="38" s="1"/>
  <c r="F47" i="38"/>
  <c r="F50" i="38" s="1"/>
  <c r="F103" i="38"/>
  <c r="F106" i="38" s="1"/>
  <c r="F75" i="38"/>
  <c r="F78" i="38" s="1"/>
  <c r="F246" i="38"/>
  <c r="F249" i="38" s="1"/>
  <c r="F274" i="38"/>
  <c r="F277" i="38" s="1"/>
  <c r="F218" i="38"/>
  <c r="F221" i="38" s="1"/>
  <c r="F302" i="38"/>
  <c r="F305" i="38" s="1"/>
  <c r="F162" i="38"/>
  <c r="F131" i="38"/>
  <c r="F134" i="38" s="1"/>
  <c r="F190" i="30"/>
  <c r="F193" i="30" s="1"/>
  <c r="F47" i="30"/>
  <c r="F50" i="30" s="1"/>
  <c r="F162" i="30"/>
  <c r="F19" i="30"/>
  <c r="F22" i="30" s="1"/>
  <c r="F246" i="30"/>
  <c r="F249" i="30" s="1"/>
  <c r="F274" i="30"/>
  <c r="F277" i="30" s="1"/>
  <c r="F103" i="30"/>
  <c r="F106" i="30" s="1"/>
  <c r="F302" i="30"/>
  <c r="F305" i="30" s="1"/>
  <c r="F75" i="30"/>
  <c r="F78" i="30" s="1"/>
  <c r="F218" i="30"/>
  <c r="F221" i="30" s="1"/>
  <c r="F131" i="30"/>
  <c r="F134" i="30" s="1"/>
  <c r="F103" i="28"/>
  <c r="F106" i="28" s="1"/>
  <c r="F162" i="28"/>
  <c r="F218" i="28"/>
  <c r="F221" i="28" s="1"/>
  <c r="F131" i="28"/>
  <c r="F134" i="28" s="1"/>
  <c r="F19" i="28"/>
  <c r="F22" i="28" s="1"/>
  <c r="F190" i="28"/>
  <c r="F193" i="28" s="1"/>
  <c r="F302" i="28"/>
  <c r="F305" i="28" s="1"/>
  <c r="F75" i="28"/>
  <c r="F78" i="28" s="1"/>
  <c r="F274" i="28"/>
  <c r="F277" i="28" s="1"/>
  <c r="F246" i="28"/>
  <c r="F249" i="28" s="1"/>
  <c r="F47" i="28"/>
  <c r="F50" i="28" s="1"/>
  <c r="E92" i="18"/>
  <c r="E93" i="18" s="1"/>
  <c r="F8" i="10"/>
  <c r="K5" i="19"/>
  <c r="F302" i="35"/>
  <c r="F162" i="35"/>
  <c r="F190" i="35"/>
  <c r="F274" i="35"/>
  <c r="F47" i="35"/>
  <c r="F218" i="35"/>
  <c r="F131" i="35"/>
  <c r="F75" i="35"/>
  <c r="F246" i="35"/>
  <c r="F19" i="35"/>
  <c r="F103" i="35"/>
  <c r="F47" i="29"/>
  <c r="F50" i="29" s="1"/>
  <c r="F302" i="29"/>
  <c r="F305" i="29" s="1"/>
  <c r="F190" i="29"/>
  <c r="F193" i="29" s="1"/>
  <c r="F162" i="29"/>
  <c r="F131" i="29"/>
  <c r="F134" i="29" s="1"/>
  <c r="F19" i="29"/>
  <c r="F22" i="29" s="1"/>
  <c r="F246" i="29"/>
  <c r="F249" i="29" s="1"/>
  <c r="F218" i="29"/>
  <c r="F221" i="29" s="1"/>
  <c r="F274" i="29"/>
  <c r="F277" i="29" s="1"/>
  <c r="F103" i="29"/>
  <c r="F106" i="29" s="1"/>
  <c r="F75" i="29"/>
  <c r="F78" i="29" s="1"/>
  <c r="E18" i="34"/>
  <c r="D19" i="45"/>
  <c r="E158" i="29"/>
  <c r="E158" i="30"/>
  <c r="E102" i="30" s="1"/>
  <c r="D18" i="43"/>
  <c r="E161" i="37"/>
  <c r="E276" i="37" s="1"/>
  <c r="D19" i="47"/>
  <c r="E158" i="38"/>
  <c r="E273" i="38" s="1"/>
  <c r="E155" i="25"/>
  <c r="E158" i="39"/>
  <c r="K20" i="24"/>
  <c r="J83" i="25" s="1"/>
  <c r="J85" i="25" s="1"/>
  <c r="J133" i="25" s="1"/>
  <c r="J173" i="25" s="1"/>
  <c r="J20" i="24"/>
  <c r="I83" i="25" s="1"/>
  <c r="I85" i="25" s="1"/>
  <c r="F93" i="38"/>
  <c r="F292" i="38"/>
  <c r="F121" i="38"/>
  <c r="F264" i="38"/>
  <c r="F65" i="38"/>
  <c r="F37" i="38"/>
  <c r="F320" i="38"/>
  <c r="F208" i="38"/>
  <c r="F149" i="38"/>
  <c r="F236" i="38"/>
  <c r="F295" i="37"/>
  <c r="F267" i="37"/>
  <c r="F37" i="37"/>
  <c r="F152" i="37"/>
  <c r="F239" i="37"/>
  <c r="F124" i="37"/>
  <c r="F211" i="37"/>
  <c r="F323" i="37"/>
  <c r="F93" i="37"/>
  <c r="F65" i="37"/>
  <c r="F236" i="28"/>
  <c r="F292" i="28"/>
  <c r="F37" i="28"/>
  <c r="F65" i="28"/>
  <c r="F121" i="28"/>
  <c r="F208" i="28"/>
  <c r="F149" i="28"/>
  <c r="F93" i="28"/>
  <c r="F264" i="28"/>
  <c r="F320" i="28"/>
  <c r="F121" i="29"/>
  <c r="F264" i="29"/>
  <c r="F236" i="29"/>
  <c r="F93" i="29"/>
  <c r="F208" i="29"/>
  <c r="F37" i="29"/>
  <c r="F292" i="29"/>
  <c r="F65" i="29"/>
  <c r="F149" i="29"/>
  <c r="F320" i="29"/>
  <c r="J65" i="30"/>
  <c r="J37" i="30"/>
  <c r="J292" i="30"/>
  <c r="J236" i="30"/>
  <c r="J320" i="30"/>
  <c r="J149" i="30"/>
  <c r="J264" i="30"/>
  <c r="J93" i="30"/>
  <c r="J208" i="30"/>
  <c r="J121" i="30"/>
  <c r="J236" i="28"/>
  <c r="J37" i="28"/>
  <c r="J292" i="28"/>
  <c r="J121" i="28"/>
  <c r="J208" i="28"/>
  <c r="J93" i="28"/>
  <c r="J264" i="28"/>
  <c r="J149" i="28"/>
  <c r="J65" i="28"/>
  <c r="J320" i="28"/>
  <c r="F236" i="35"/>
  <c r="F149" i="35"/>
  <c r="F264" i="35"/>
  <c r="F121" i="35"/>
  <c r="F320" i="35"/>
  <c r="F208" i="35"/>
  <c r="F37" i="35"/>
  <c r="F93" i="35"/>
  <c r="F65" i="35"/>
  <c r="F292" i="35"/>
  <c r="J149" i="35"/>
  <c r="J264" i="35"/>
  <c r="J121" i="35"/>
  <c r="J292" i="35"/>
  <c r="J236" i="35"/>
  <c r="J93" i="35"/>
  <c r="J320" i="35"/>
  <c r="J65" i="35"/>
  <c r="J37" i="35"/>
  <c r="J208" i="35"/>
  <c r="F264" i="30"/>
  <c r="F93" i="30"/>
  <c r="F37" i="30"/>
  <c r="F320" i="30"/>
  <c r="F292" i="30"/>
  <c r="F149" i="30"/>
  <c r="F236" i="30"/>
  <c r="F121" i="30"/>
  <c r="F65" i="30"/>
  <c r="F208" i="30"/>
  <c r="J292" i="29"/>
  <c r="J149" i="29"/>
  <c r="J37" i="29"/>
  <c r="J320" i="29"/>
  <c r="J236" i="29"/>
  <c r="J93" i="29"/>
  <c r="J264" i="29"/>
  <c r="J65" i="29"/>
  <c r="J121" i="29"/>
  <c r="J208" i="29"/>
  <c r="J320" i="38"/>
  <c r="J37" i="38"/>
  <c r="J208" i="38"/>
  <c r="J149" i="38"/>
  <c r="J236" i="38"/>
  <c r="J65" i="38"/>
  <c r="J292" i="38"/>
  <c r="J264" i="38"/>
  <c r="J121" i="38"/>
  <c r="J93" i="38"/>
  <c r="F292" i="39"/>
  <c r="F65" i="39"/>
  <c r="F320" i="39"/>
  <c r="F149" i="39"/>
  <c r="F264" i="39"/>
  <c r="F93" i="39"/>
  <c r="F236" i="39"/>
  <c r="F121" i="39"/>
  <c r="F208" i="39"/>
  <c r="F37" i="39"/>
  <c r="J149" i="39"/>
  <c r="J236" i="39"/>
  <c r="J208" i="39"/>
  <c r="J37" i="39"/>
  <c r="J93" i="39"/>
  <c r="J264" i="39"/>
  <c r="J65" i="39"/>
  <c r="J320" i="39"/>
  <c r="J292" i="39"/>
  <c r="J121" i="39"/>
  <c r="J124" i="37"/>
  <c r="J211" i="37"/>
  <c r="J93" i="37"/>
  <c r="J239" i="37"/>
  <c r="J65" i="37"/>
  <c r="J152" i="37"/>
  <c r="J37" i="37"/>
  <c r="J323" i="37"/>
  <c r="J295" i="37"/>
  <c r="J267" i="37"/>
  <c r="M30" i="15"/>
  <c r="N13" i="10"/>
  <c r="L21" i="16"/>
  <c r="L13" i="10"/>
  <c r="J21" i="16"/>
  <c r="K30" i="15"/>
  <c r="K103" i="15"/>
  <c r="L20" i="10"/>
  <c r="K102" i="43"/>
  <c r="N20" i="10"/>
  <c r="M103" i="15"/>
  <c r="M102" i="43"/>
  <c r="L30" i="15"/>
  <c r="K21" i="16"/>
  <c r="M13" i="10"/>
  <c r="N30" i="9"/>
  <c r="M20" i="10"/>
  <c r="L102" i="43"/>
  <c r="L103" i="15"/>
  <c r="D207" i="29"/>
  <c r="D235" i="29"/>
  <c r="D263" i="29"/>
  <c r="D291" i="29"/>
  <c r="D64" i="29"/>
  <c r="D120" i="29"/>
  <c r="D92" i="29"/>
  <c r="D148" i="29"/>
  <c r="G12" i="7"/>
  <c r="G20" i="7" s="1"/>
  <c r="I50" i="41"/>
  <c r="I26" i="15" s="1"/>
  <c r="I51" i="41"/>
  <c r="I99" i="15" s="1"/>
  <c r="G36" i="24"/>
  <c r="G38" i="24" s="1"/>
  <c r="I53" i="24"/>
  <c r="G77" i="9" s="1"/>
  <c r="G95" i="9" s="1"/>
  <c r="I27" i="8"/>
  <c r="J159" i="35"/>
  <c r="J159" i="28"/>
  <c r="J159" i="29"/>
  <c r="J159" i="39"/>
  <c r="J162" i="39" s="1"/>
  <c r="J159" i="38"/>
  <c r="J162" i="37"/>
  <c r="J159" i="30"/>
  <c r="J19" i="34"/>
  <c r="J22" i="34" s="1"/>
  <c r="M53" i="24"/>
  <c r="L11" i="10" s="1"/>
  <c r="N36" i="24"/>
  <c r="N38" i="24" s="1"/>
  <c r="L53" i="24"/>
  <c r="J77" i="9" s="1"/>
  <c r="J95" i="9" s="1"/>
  <c r="L12" i="7"/>
  <c r="L20" i="7" s="1"/>
  <c r="D59" i="9"/>
  <c r="D90" i="18" s="1"/>
  <c r="D56" i="9"/>
  <c r="D60" i="9" s="1"/>
  <c r="H32" i="9"/>
  <c r="O22" i="9"/>
  <c r="J135" i="25"/>
  <c r="J175" i="25" s="1"/>
  <c r="J136" i="25"/>
  <c r="J176" i="25" s="1"/>
  <c r="J141" i="25"/>
  <c r="J181" i="25" s="1"/>
  <c r="J137" i="25"/>
  <c r="J177" i="25" s="1"/>
  <c r="O36" i="24"/>
  <c r="O38" i="24" s="1"/>
  <c r="I36" i="24"/>
  <c r="I38" i="24" s="1"/>
  <c r="M28" i="24"/>
  <c r="AC11" i="22" s="1"/>
  <c r="G53" i="24"/>
  <c r="E77" i="9" s="1"/>
  <c r="E95" i="9" s="1"/>
  <c r="F309" i="37" s="1"/>
  <c r="F310" i="37" s="1"/>
  <c r="J134" i="25"/>
  <c r="J174" i="25" s="1"/>
  <c r="K53" i="24"/>
  <c r="I77" i="9" s="1"/>
  <c r="I95" i="9" s="1"/>
  <c r="K36" i="24"/>
  <c r="K38" i="24" s="1"/>
  <c r="M36" i="24"/>
  <c r="M38" i="24" s="1"/>
  <c r="O53" i="24"/>
  <c r="N11" i="10" s="1"/>
  <c r="K167" i="25"/>
  <c r="K174" i="30"/>
  <c r="K174" i="29"/>
  <c r="K174" i="39"/>
  <c r="K174" i="35"/>
  <c r="K174" i="38"/>
  <c r="K177" i="37"/>
  <c r="K34" i="34"/>
  <c r="K174" i="28"/>
  <c r="K27" i="34"/>
  <c r="K160" i="25"/>
  <c r="K167" i="28"/>
  <c r="K167" i="29"/>
  <c r="K167" i="30"/>
  <c r="Z15" i="19"/>
  <c r="K167" i="39"/>
  <c r="K167" i="35"/>
  <c r="K167" i="38"/>
  <c r="K170" i="37"/>
  <c r="J174" i="35"/>
  <c r="J174" i="38"/>
  <c r="J167" i="25"/>
  <c r="J174" i="39"/>
  <c r="J177" i="37"/>
  <c r="J174" i="28"/>
  <c r="J34" i="34"/>
  <c r="J174" i="30"/>
  <c r="J174" i="29"/>
  <c r="H320" i="29"/>
  <c r="H37" i="29"/>
  <c r="H236" i="29"/>
  <c r="H93" i="29"/>
  <c r="H292" i="29"/>
  <c r="H149" i="29"/>
  <c r="H65" i="29"/>
  <c r="H208" i="29"/>
  <c r="H264" i="29"/>
  <c r="H121" i="29"/>
  <c r="H37" i="30"/>
  <c r="H208" i="30"/>
  <c r="H292" i="30"/>
  <c r="H236" i="30"/>
  <c r="H320" i="30"/>
  <c r="H149" i="30"/>
  <c r="H264" i="30"/>
  <c r="H93" i="30"/>
  <c r="H121" i="30"/>
  <c r="H65" i="30"/>
  <c r="L65" i="39"/>
  <c r="L93" i="39"/>
  <c r="L320" i="39"/>
  <c r="L292" i="39"/>
  <c r="L264" i="39"/>
  <c r="L121" i="39"/>
  <c r="L236" i="39"/>
  <c r="L149" i="39"/>
  <c r="L208" i="39"/>
  <c r="L37" i="39"/>
  <c r="I208" i="28"/>
  <c r="I37" i="28"/>
  <c r="I264" i="28"/>
  <c r="I320" i="28"/>
  <c r="I149" i="28"/>
  <c r="I65" i="28"/>
  <c r="I93" i="28"/>
  <c r="I121" i="28"/>
  <c r="I236" i="28"/>
  <c r="I292" i="28"/>
  <c r="H292" i="28"/>
  <c r="H37" i="28"/>
  <c r="H264" i="28"/>
  <c r="H65" i="28"/>
  <c r="H121" i="28"/>
  <c r="H93" i="28"/>
  <c r="H208" i="28"/>
  <c r="H149" i="28"/>
  <c r="H236" i="28"/>
  <c r="H320" i="28"/>
  <c r="H236" i="35"/>
  <c r="H121" i="35"/>
  <c r="H93" i="35"/>
  <c r="H320" i="35"/>
  <c r="H292" i="35"/>
  <c r="H208" i="35"/>
  <c r="H65" i="35"/>
  <c r="H149" i="35"/>
  <c r="H264" i="35"/>
  <c r="H37" i="35"/>
  <c r="L208" i="35"/>
  <c r="L65" i="35"/>
  <c r="L292" i="35"/>
  <c r="L236" i="35"/>
  <c r="L149" i="35"/>
  <c r="L121" i="35"/>
  <c r="L37" i="35"/>
  <c r="L264" i="35"/>
  <c r="L93" i="35"/>
  <c r="L320" i="35"/>
  <c r="I295" i="37"/>
  <c r="I37" i="37"/>
  <c r="I267" i="37"/>
  <c r="I124" i="37"/>
  <c r="I239" i="37"/>
  <c r="I211" i="37"/>
  <c r="I152" i="37"/>
  <c r="I323" i="37"/>
  <c r="I93" i="37"/>
  <c r="I65" i="37"/>
  <c r="I208" i="29"/>
  <c r="I292" i="29"/>
  <c r="I65" i="29"/>
  <c r="I320" i="29"/>
  <c r="I264" i="29"/>
  <c r="I121" i="29"/>
  <c r="I93" i="29"/>
  <c r="I149" i="29"/>
  <c r="I37" i="29"/>
  <c r="I236" i="29"/>
  <c r="L295" i="37"/>
  <c r="L37" i="37"/>
  <c r="L267" i="37"/>
  <c r="L323" i="37"/>
  <c r="L239" i="37"/>
  <c r="L211" i="37"/>
  <c r="L152" i="37"/>
  <c r="L124" i="37"/>
  <c r="L93" i="37"/>
  <c r="L65" i="37"/>
  <c r="L121" i="28"/>
  <c r="L208" i="28"/>
  <c r="L292" i="28"/>
  <c r="L93" i="28"/>
  <c r="L264" i="28"/>
  <c r="L149" i="28"/>
  <c r="L320" i="28"/>
  <c r="L236" i="28"/>
  <c r="L37" i="28"/>
  <c r="L65" i="28"/>
  <c r="I149" i="30"/>
  <c r="I93" i="30"/>
  <c r="I320" i="30"/>
  <c r="I264" i="30"/>
  <c r="I37" i="30"/>
  <c r="I208" i="30"/>
  <c r="I292" i="30"/>
  <c r="I236" i="30"/>
  <c r="I121" i="30"/>
  <c r="I65" i="30"/>
  <c r="H93" i="38"/>
  <c r="H292" i="38"/>
  <c r="H121" i="38"/>
  <c r="H37" i="38"/>
  <c r="H320" i="38"/>
  <c r="H236" i="38"/>
  <c r="H65" i="38"/>
  <c r="H264" i="38"/>
  <c r="H208" i="38"/>
  <c r="H149" i="38"/>
  <c r="L320" i="29"/>
  <c r="L236" i="29"/>
  <c r="L37" i="29"/>
  <c r="L93" i="29"/>
  <c r="L292" i="29"/>
  <c r="L149" i="29"/>
  <c r="L208" i="29"/>
  <c r="L65" i="29"/>
  <c r="L264" i="29"/>
  <c r="L121" i="29"/>
  <c r="H149" i="39"/>
  <c r="H208" i="39"/>
  <c r="H121" i="39"/>
  <c r="H37" i="39"/>
  <c r="H292" i="39"/>
  <c r="H65" i="39"/>
  <c r="H93" i="39"/>
  <c r="H320" i="39"/>
  <c r="H236" i="39"/>
  <c r="H264" i="39"/>
  <c r="I236" i="39"/>
  <c r="I208" i="39"/>
  <c r="I149" i="39"/>
  <c r="I320" i="39"/>
  <c r="I121" i="39"/>
  <c r="I37" i="39"/>
  <c r="I93" i="39"/>
  <c r="I65" i="39"/>
  <c r="I292" i="39"/>
  <c r="I264" i="39"/>
  <c r="H93" i="37"/>
  <c r="H65" i="37"/>
  <c r="H295" i="37"/>
  <c r="H37" i="37"/>
  <c r="H267" i="37"/>
  <c r="H323" i="37"/>
  <c r="H239" i="37"/>
  <c r="H211" i="37"/>
  <c r="H152" i="37"/>
  <c r="H124" i="37"/>
  <c r="L65" i="38"/>
  <c r="L149" i="38"/>
  <c r="L264" i="38"/>
  <c r="L93" i="38"/>
  <c r="L37" i="38"/>
  <c r="L292" i="38"/>
  <c r="L121" i="38"/>
  <c r="L320" i="38"/>
  <c r="L236" i="38"/>
  <c r="L208" i="38"/>
  <c r="L320" i="30"/>
  <c r="L149" i="30"/>
  <c r="L37" i="30"/>
  <c r="L264" i="30"/>
  <c r="L93" i="30"/>
  <c r="L208" i="30"/>
  <c r="L121" i="30"/>
  <c r="L65" i="30"/>
  <c r="L236" i="30"/>
  <c r="L292" i="30"/>
  <c r="I149" i="38"/>
  <c r="I37" i="38"/>
  <c r="I236" i="38"/>
  <c r="I65" i="38"/>
  <c r="I264" i="38"/>
  <c r="I292" i="38"/>
  <c r="I93" i="38"/>
  <c r="I320" i="38"/>
  <c r="I208" i="38"/>
  <c r="I121" i="38"/>
  <c r="I65" i="35"/>
  <c r="I264" i="35"/>
  <c r="I292" i="35"/>
  <c r="I37" i="35"/>
  <c r="I121" i="35"/>
  <c r="I149" i="35"/>
  <c r="I236" i="35"/>
  <c r="I93" i="35"/>
  <c r="I208" i="35"/>
  <c r="I320" i="35"/>
  <c r="I22" i="24"/>
  <c r="H25" i="10" s="1"/>
  <c r="H179" i="35" s="1"/>
  <c r="N135" i="47"/>
  <c r="N135" i="45"/>
  <c r="O39" i="35"/>
  <c r="O39" i="28"/>
  <c r="O39" i="39"/>
  <c r="N134" i="43"/>
  <c r="O39" i="30"/>
  <c r="O39" i="38"/>
  <c r="N135" i="15"/>
  <c r="O39" i="29"/>
  <c r="O39" i="37"/>
  <c r="H87" i="11"/>
  <c r="I83" i="11" s="1"/>
  <c r="I85" i="11"/>
  <c r="I86" i="11" s="1"/>
  <c r="I84" i="11"/>
  <c r="O15" i="9"/>
  <c r="O29" i="9"/>
  <c r="M48" i="9"/>
  <c r="L49" i="9"/>
  <c r="M24" i="9"/>
  <c r="M25" i="9" s="1"/>
  <c r="L25" i="9"/>
  <c r="K31" i="9"/>
  <c r="N23" i="9"/>
  <c r="E102" i="18"/>
  <c r="O30" i="8"/>
  <c r="P7" i="8" s="1"/>
  <c r="P49" i="18" s="1"/>
  <c r="N167" i="46"/>
  <c r="H182" i="46"/>
  <c r="K176" i="35"/>
  <c r="K176" i="39"/>
  <c r="K179" i="37"/>
  <c r="K176" i="38"/>
  <c r="J120" i="43"/>
  <c r="J121" i="47"/>
  <c r="K176" i="28"/>
  <c r="K36" i="34"/>
  <c r="K35" i="34" s="1"/>
  <c r="J121" i="15"/>
  <c r="K176" i="30"/>
  <c r="J121" i="45"/>
  <c r="K176" i="29"/>
  <c r="K21" i="10"/>
  <c r="E320" i="29"/>
  <c r="E264" i="29"/>
  <c r="E121" i="29"/>
  <c r="E292" i="29"/>
  <c r="E93" i="29"/>
  <c r="E149" i="29"/>
  <c r="E236" i="29"/>
  <c r="E37" i="29"/>
  <c r="E208" i="29"/>
  <c r="E65" i="29"/>
  <c r="N41" i="46"/>
  <c r="H56" i="46"/>
  <c r="G218" i="29"/>
  <c r="G19" i="29"/>
  <c r="G190" i="29"/>
  <c r="G246" i="29"/>
  <c r="G47" i="29"/>
  <c r="G274" i="29"/>
  <c r="G103" i="29"/>
  <c r="G75" i="29"/>
  <c r="G131" i="29"/>
  <c r="G302" i="29"/>
  <c r="G162" i="29"/>
  <c r="L130" i="30"/>
  <c r="L46" i="30"/>
  <c r="L273" i="30"/>
  <c r="L189" i="30"/>
  <c r="L74" i="30"/>
  <c r="L301" i="30"/>
  <c r="L217" i="30"/>
  <c r="L102" i="30"/>
  <c r="L18" i="30"/>
  <c r="L245" i="30"/>
  <c r="K179" i="39"/>
  <c r="G103" i="11"/>
  <c r="H99" i="11" s="1"/>
  <c r="H100" i="11"/>
  <c r="H101" i="11"/>
  <c r="H102" i="11" s="1"/>
  <c r="J59" i="24"/>
  <c r="I47" i="24"/>
  <c r="H22" i="10" s="1"/>
  <c r="L110" i="42"/>
  <c r="K124" i="42"/>
  <c r="K123" i="42"/>
  <c r="K29" i="43" s="1"/>
  <c r="N121" i="45"/>
  <c r="O36" i="39"/>
  <c r="N121" i="15"/>
  <c r="O36" i="37"/>
  <c r="O36" i="35"/>
  <c r="O36" i="38"/>
  <c r="N120" i="43"/>
  <c r="O36" i="28"/>
  <c r="N121" i="47"/>
  <c r="O36" i="29"/>
  <c r="O27" i="10"/>
  <c r="O36" i="30"/>
  <c r="D288" i="28"/>
  <c r="F18" i="9"/>
  <c r="E292" i="35"/>
  <c r="E149" i="35"/>
  <c r="E37" i="35"/>
  <c r="E264" i="35"/>
  <c r="E121" i="35"/>
  <c r="E320" i="35"/>
  <c r="E236" i="35"/>
  <c r="E208" i="35"/>
  <c r="E93" i="35"/>
  <c r="E65" i="35"/>
  <c r="K18" i="38"/>
  <c r="K273" i="38"/>
  <c r="K102" i="38"/>
  <c r="K245" i="38"/>
  <c r="K130" i="38"/>
  <c r="K46" i="38"/>
  <c r="K301" i="38"/>
  <c r="K189" i="38"/>
  <c r="K74" i="38"/>
  <c r="K217" i="38"/>
  <c r="H200" i="42"/>
  <c r="E102" i="29"/>
  <c r="E130" i="29"/>
  <c r="E189" i="29"/>
  <c r="E217" i="29"/>
  <c r="E18" i="29"/>
  <c r="E245" i="29"/>
  <c r="E46" i="29"/>
  <c r="E273" i="29"/>
  <c r="E74" i="29"/>
  <c r="E301" i="29"/>
  <c r="G91" i="11"/>
  <c r="G116" i="11" s="1"/>
  <c r="F119" i="11"/>
  <c r="E60" i="9"/>
  <c r="L209" i="46"/>
  <c r="G224" i="46"/>
  <c r="G75" i="28"/>
  <c r="G218" i="28"/>
  <c r="G274" i="28"/>
  <c r="G246" i="28"/>
  <c r="G162" i="28"/>
  <c r="G47" i="28"/>
  <c r="G19" i="28"/>
  <c r="G302" i="28"/>
  <c r="G131" i="28"/>
  <c r="G103" i="28"/>
  <c r="G190" i="28"/>
  <c r="L74" i="29"/>
  <c r="L301" i="29"/>
  <c r="L217" i="29"/>
  <c r="L189" i="29"/>
  <c r="L46" i="29"/>
  <c r="L18" i="29"/>
  <c r="L130" i="29"/>
  <c r="L245" i="29"/>
  <c r="L102" i="29"/>
  <c r="L273" i="29"/>
  <c r="H221" i="39"/>
  <c r="J53" i="24"/>
  <c r="L28" i="24"/>
  <c r="Z11" i="22" s="1"/>
  <c r="D89" i="28"/>
  <c r="N176" i="35"/>
  <c r="N176" i="38"/>
  <c r="N179" i="37"/>
  <c r="N176" i="39"/>
  <c r="M120" i="43"/>
  <c r="M121" i="47"/>
  <c r="N176" i="28"/>
  <c r="N21" i="10"/>
  <c r="N36" i="34"/>
  <c r="M121" i="15"/>
  <c r="N176" i="29"/>
  <c r="M121" i="45"/>
  <c r="N176" i="30"/>
  <c r="H162" i="37"/>
  <c r="H159" i="35"/>
  <c r="H19" i="34"/>
  <c r="H22" i="34" s="1"/>
  <c r="H159" i="28"/>
  <c r="H159" i="30"/>
  <c r="H159" i="29"/>
  <c r="H159" i="39"/>
  <c r="H162" i="39" s="1"/>
  <c r="H159" i="38"/>
  <c r="G27" i="8"/>
  <c r="H35" i="46"/>
  <c r="N20" i="46"/>
  <c r="D232" i="30"/>
  <c r="D288" i="30"/>
  <c r="D145" i="30"/>
  <c r="D316" i="30"/>
  <c r="D204" i="30"/>
  <c r="D117" i="30"/>
  <c r="D89" i="30"/>
  <c r="D260" i="30"/>
  <c r="D61" i="30"/>
  <c r="K18" i="37"/>
  <c r="K304" i="37"/>
  <c r="K74" i="37"/>
  <c r="K276" i="37"/>
  <c r="K248" i="37"/>
  <c r="K220" i="37"/>
  <c r="K192" i="37"/>
  <c r="K133" i="37"/>
  <c r="K105" i="37"/>
  <c r="K46" i="37"/>
  <c r="E18" i="30"/>
  <c r="E46" i="30"/>
  <c r="E273" i="30"/>
  <c r="H93" i="11"/>
  <c r="H92" i="11"/>
  <c r="G95" i="11"/>
  <c r="G118" i="11"/>
  <c r="N83" i="46"/>
  <c r="H98" i="46"/>
  <c r="F14" i="24"/>
  <c r="F46" i="24" s="1"/>
  <c r="F65" i="11"/>
  <c r="E30" i="25"/>
  <c r="H59" i="24"/>
  <c r="K120" i="43"/>
  <c r="K121" i="47"/>
  <c r="L176" i="28"/>
  <c r="L21" i="10"/>
  <c r="L36" i="34"/>
  <c r="L35" i="34" s="1"/>
  <c r="K121" i="15"/>
  <c r="L176" i="29"/>
  <c r="L176" i="35"/>
  <c r="L176" i="38"/>
  <c r="L179" i="37"/>
  <c r="L176" i="39"/>
  <c r="G22" i="34"/>
  <c r="O59" i="24"/>
  <c r="H78" i="39"/>
  <c r="I59" i="24"/>
  <c r="L36" i="24"/>
  <c r="J36" i="24"/>
  <c r="L301" i="28"/>
  <c r="L189" i="28"/>
  <c r="L102" i="28"/>
  <c r="L46" i="28"/>
  <c r="L217" i="28"/>
  <c r="L245" i="28"/>
  <c r="L130" i="28"/>
  <c r="L74" i="28"/>
  <c r="L18" i="28"/>
  <c r="L273" i="28"/>
  <c r="F12" i="24"/>
  <c r="F44" i="24" s="1"/>
  <c r="F49" i="11"/>
  <c r="E28" i="25"/>
  <c r="K189" i="39"/>
  <c r="K245" i="39"/>
  <c r="K301" i="39"/>
  <c r="K18" i="39"/>
  <c r="K130" i="39"/>
  <c r="K102" i="39"/>
  <c r="K217" i="39"/>
  <c r="K74" i="39"/>
  <c r="K46" i="39"/>
  <c r="K273" i="39"/>
  <c r="K74" i="35"/>
  <c r="K217" i="35"/>
  <c r="K18" i="35"/>
  <c r="K130" i="35"/>
  <c r="K46" i="35"/>
  <c r="K189" i="35"/>
  <c r="K102" i="35"/>
  <c r="K245" i="35"/>
  <c r="K301" i="35"/>
  <c r="K273" i="35"/>
  <c r="H19" i="41"/>
  <c r="F69" i="11"/>
  <c r="G68" i="11"/>
  <c r="G27" i="24"/>
  <c r="L179" i="38"/>
  <c r="L179" i="39"/>
  <c r="G165" i="37"/>
  <c r="G221" i="37"/>
  <c r="G47" i="37"/>
  <c r="G305" i="37"/>
  <c r="G134" i="37"/>
  <c r="G249" i="37"/>
  <c r="G75" i="37"/>
  <c r="G193" i="37"/>
  <c r="G19" i="37"/>
  <c r="G277" i="37"/>
  <c r="G106" i="37"/>
  <c r="N22" i="24"/>
  <c r="M25" i="10" s="1"/>
  <c r="L104" i="46"/>
  <c r="G119" i="46"/>
  <c r="H50" i="39"/>
  <c r="H47" i="24"/>
  <c r="G22" i="10" s="1"/>
  <c r="H182" i="42"/>
  <c r="O28" i="24"/>
  <c r="N28" i="24"/>
  <c r="AF11" i="22" s="1"/>
  <c r="H193" i="39"/>
  <c r="P12" i="7"/>
  <c r="P20" i="7" s="1"/>
  <c r="K12" i="7"/>
  <c r="K20" i="7" s="1"/>
  <c r="I12" i="7"/>
  <c r="I20" i="7" s="1"/>
  <c r="O12" i="7"/>
  <c r="O20" i="7" s="1"/>
  <c r="M12" i="7"/>
  <c r="M20" i="7" s="1"/>
  <c r="J12" i="7"/>
  <c r="J20" i="7" s="1"/>
  <c r="H12" i="7"/>
  <c r="H20" i="7" s="1"/>
  <c r="H106" i="39"/>
  <c r="D204" i="28"/>
  <c r="N125" i="46"/>
  <c r="H140" i="46"/>
  <c r="G52" i="11"/>
  <c r="F53" i="11"/>
  <c r="M56" i="9"/>
  <c r="M59" i="9"/>
  <c r="M90" i="18" s="1"/>
  <c r="M102" i="18" s="1"/>
  <c r="E65" i="30"/>
  <c r="E149" i="30"/>
  <c r="E37" i="30"/>
  <c r="E236" i="30"/>
  <c r="E93" i="30"/>
  <c r="E264" i="30"/>
  <c r="E121" i="30"/>
  <c r="E292" i="30"/>
  <c r="E208" i="30"/>
  <c r="E320" i="30"/>
  <c r="E264" i="39"/>
  <c r="E236" i="39"/>
  <c r="E208" i="39"/>
  <c r="E149" i="39"/>
  <c r="E121" i="39"/>
  <c r="E93" i="39"/>
  <c r="E65" i="39"/>
  <c r="E320" i="39"/>
  <c r="E37" i="39"/>
  <c r="E292" i="39"/>
  <c r="K189" i="29"/>
  <c r="K46" i="29"/>
  <c r="K18" i="29"/>
  <c r="K301" i="29"/>
  <c r="K217" i="29"/>
  <c r="K74" i="29"/>
  <c r="K245" i="29"/>
  <c r="K102" i="29"/>
  <c r="K273" i="29"/>
  <c r="K130" i="29"/>
  <c r="E74" i="37"/>
  <c r="E46" i="37"/>
  <c r="E248" i="37"/>
  <c r="E18" i="37"/>
  <c r="E105" i="37"/>
  <c r="E304" i="37"/>
  <c r="E192" i="37"/>
  <c r="E133" i="37"/>
  <c r="F44" i="11"/>
  <c r="F24" i="24"/>
  <c r="F28" i="24" s="1"/>
  <c r="H11" i="22" s="1"/>
  <c r="H12" i="22" s="1"/>
  <c r="H14" i="22" s="1"/>
  <c r="E45" i="11"/>
  <c r="E75" i="11"/>
  <c r="G190" i="38"/>
  <c r="G103" i="38"/>
  <c r="G274" i="38"/>
  <c r="G162" i="38"/>
  <c r="G302" i="38"/>
  <c r="G218" i="38"/>
  <c r="G131" i="38"/>
  <c r="G75" i="38"/>
  <c r="G19" i="38"/>
  <c r="G246" i="38"/>
  <c r="G47" i="38"/>
  <c r="N47" i="24"/>
  <c r="M22" i="10" s="1"/>
  <c r="L304" i="37"/>
  <c r="L105" i="37"/>
  <c r="L46" i="37"/>
  <c r="L74" i="37"/>
  <c r="L276" i="37"/>
  <c r="L248" i="37"/>
  <c r="L220" i="37"/>
  <c r="L192" i="37"/>
  <c r="L133" i="37"/>
  <c r="L18" i="37"/>
  <c r="H22" i="24"/>
  <c r="G25" i="10" s="1"/>
  <c r="J43" i="9"/>
  <c r="I44" i="9"/>
  <c r="F13" i="24"/>
  <c r="F45" i="24" s="1"/>
  <c r="F57" i="11"/>
  <c r="E29" i="25"/>
  <c r="G274" i="30"/>
  <c r="G103" i="30"/>
  <c r="G246" i="30"/>
  <c r="G75" i="30"/>
  <c r="G218" i="30"/>
  <c r="G47" i="30"/>
  <c r="G162" i="30"/>
  <c r="G190" i="30"/>
  <c r="G19" i="30"/>
  <c r="G302" i="30"/>
  <c r="G131" i="30"/>
  <c r="G103" i="35"/>
  <c r="G274" i="35"/>
  <c r="G302" i="35"/>
  <c r="G246" i="35"/>
  <c r="G190" i="35"/>
  <c r="G47" i="35"/>
  <c r="G75" i="35"/>
  <c r="G218" i="35"/>
  <c r="G19" i="35"/>
  <c r="G131" i="35"/>
  <c r="G162" i="35"/>
  <c r="L217" i="38"/>
  <c r="L18" i="38"/>
  <c r="L245" i="38"/>
  <c r="L130" i="38"/>
  <c r="L46" i="38"/>
  <c r="L301" i="38"/>
  <c r="L189" i="38"/>
  <c r="L273" i="38"/>
  <c r="L74" i="38"/>
  <c r="L102" i="38"/>
  <c r="G37" i="9"/>
  <c r="G16" i="9"/>
  <c r="G18" i="9" s="1"/>
  <c r="E211" i="37"/>
  <c r="E152" i="37"/>
  <c r="E124" i="37"/>
  <c r="E93" i="37"/>
  <c r="E323" i="37"/>
  <c r="E65" i="37"/>
  <c r="E295" i="37"/>
  <c r="E37" i="37"/>
  <c r="E267" i="37"/>
  <c r="E239" i="37"/>
  <c r="K46" i="30"/>
  <c r="K245" i="30"/>
  <c r="K273" i="30"/>
  <c r="K301" i="30"/>
  <c r="K189" i="30"/>
  <c r="K74" i="30"/>
  <c r="K217" i="30"/>
  <c r="K18" i="30"/>
  <c r="K130" i="30"/>
  <c r="K102" i="30"/>
  <c r="E74" i="28"/>
  <c r="E301" i="28"/>
  <c r="E189" i="28"/>
  <c r="E46" i="28"/>
  <c r="E217" i="28"/>
  <c r="E102" i="28"/>
  <c r="E130" i="28"/>
  <c r="E245" i="28"/>
  <c r="E273" i="28"/>
  <c r="E65" i="28"/>
  <c r="E93" i="28"/>
  <c r="E320" i="28"/>
  <c r="E37" i="28"/>
  <c r="E292" i="28"/>
  <c r="E264" i="28"/>
  <c r="E236" i="28"/>
  <c r="E208" i="28"/>
  <c r="E149" i="28"/>
  <c r="E121" i="28"/>
  <c r="E264" i="38"/>
  <c r="E93" i="38"/>
  <c r="E37" i="38"/>
  <c r="E292" i="38"/>
  <c r="E320" i="38"/>
  <c r="E121" i="38"/>
  <c r="E208" i="38"/>
  <c r="E149" i="38"/>
  <c r="E236" i="38"/>
  <c r="E65" i="38"/>
  <c r="K102" i="28"/>
  <c r="K46" i="28"/>
  <c r="K273" i="28"/>
  <c r="K301" i="28"/>
  <c r="K74" i="28"/>
  <c r="K18" i="28"/>
  <c r="K245" i="28"/>
  <c r="K189" i="28"/>
  <c r="K130" i="28"/>
  <c r="K217" i="28"/>
  <c r="E273" i="39"/>
  <c r="E217" i="39"/>
  <c r="E74" i="39"/>
  <c r="E301" i="39"/>
  <c r="E130" i="39"/>
  <c r="E102" i="39"/>
  <c r="E245" i="39"/>
  <c r="E46" i="39"/>
  <c r="E189" i="39"/>
  <c r="E18" i="39"/>
  <c r="E74" i="35"/>
  <c r="E217" i="35"/>
  <c r="E273" i="35"/>
  <c r="E130" i="35"/>
  <c r="E18" i="35"/>
  <c r="E189" i="35"/>
  <c r="E245" i="35"/>
  <c r="E46" i="35"/>
  <c r="E102" i="35"/>
  <c r="E301" i="35"/>
  <c r="D230" i="28"/>
  <c r="D232" i="28" s="1"/>
  <c r="I56" i="9"/>
  <c r="I59" i="9"/>
  <c r="I90" i="18" s="1"/>
  <c r="I102" i="18" s="1"/>
  <c r="D141" i="28"/>
  <c r="D143" i="28" s="1"/>
  <c r="D145" i="28" s="1"/>
  <c r="L59" i="24"/>
  <c r="G162" i="39"/>
  <c r="F92" i="18"/>
  <c r="G8" i="10"/>
  <c r="N5" i="19"/>
  <c r="L74" i="39"/>
  <c r="L46" i="39"/>
  <c r="L273" i="39"/>
  <c r="L189" i="39"/>
  <c r="L245" i="39"/>
  <c r="L18" i="39"/>
  <c r="L130" i="39"/>
  <c r="L102" i="39"/>
  <c r="L301" i="39"/>
  <c r="L217" i="39"/>
  <c r="L189" i="35"/>
  <c r="L74" i="35"/>
  <c r="L217" i="35"/>
  <c r="L18" i="35"/>
  <c r="L301" i="35"/>
  <c r="L102" i="35"/>
  <c r="L46" i="35"/>
  <c r="L245" i="35"/>
  <c r="L273" i="35"/>
  <c r="L130" i="35"/>
  <c r="G60" i="11"/>
  <c r="F61" i="11"/>
  <c r="H9" i="8"/>
  <c r="O9" i="8" s="1"/>
  <c r="H14" i="9"/>
  <c r="I274" i="39"/>
  <c r="I277" i="39" s="1"/>
  <c r="I131" i="39"/>
  <c r="I134" i="39" s="1"/>
  <c r="P134" i="39" s="1"/>
  <c r="I47" i="39"/>
  <c r="I50" i="39" s="1"/>
  <c r="I302" i="39"/>
  <c r="I305" i="39" s="1"/>
  <c r="I246" i="39"/>
  <c r="I249" i="39" s="1"/>
  <c r="P249" i="39" s="1"/>
  <c r="I190" i="39"/>
  <c r="I193" i="39" s="1"/>
  <c r="I19" i="39"/>
  <c r="I22" i="39" s="1"/>
  <c r="P22" i="39" s="1"/>
  <c r="I103" i="39"/>
  <c r="I106" i="39" s="1"/>
  <c r="I75" i="39"/>
  <c r="I78" i="39" s="1"/>
  <c r="I218" i="39"/>
  <c r="I221" i="39" s="1"/>
  <c r="F54" i="9"/>
  <c r="F39" i="9"/>
  <c r="P24" i="24"/>
  <c r="P28" i="24" s="1"/>
  <c r="AI11" i="22" s="1"/>
  <c r="P36" i="24"/>
  <c r="P38" i="24" s="1"/>
  <c r="N179" i="28" l="1"/>
  <c r="N238" i="28" s="1"/>
  <c r="L182" i="37"/>
  <c r="L179" i="29"/>
  <c r="K77" i="9"/>
  <c r="K95" i="9" s="1"/>
  <c r="K121" i="45"/>
  <c r="M135" i="47"/>
  <c r="M11" i="10"/>
  <c r="N179" i="39"/>
  <c r="N123" i="39" s="1"/>
  <c r="M134" i="43"/>
  <c r="N179" i="38"/>
  <c r="N95" i="38" s="1"/>
  <c r="E11" i="10"/>
  <c r="M135" i="15"/>
  <c r="N179" i="35"/>
  <c r="N322" i="35" s="1"/>
  <c r="N210" i="29"/>
  <c r="N266" i="29"/>
  <c r="N39" i="29"/>
  <c r="N322" i="29"/>
  <c r="N238" i="29"/>
  <c r="M135" i="45"/>
  <c r="N39" i="34"/>
  <c r="N182" i="37"/>
  <c r="N67" i="37" s="1"/>
  <c r="N179" i="30"/>
  <c r="N322" i="30" s="1"/>
  <c r="E301" i="30"/>
  <c r="E130" i="30"/>
  <c r="E74" i="30"/>
  <c r="E18" i="38"/>
  <c r="E217" i="30"/>
  <c r="E301" i="38"/>
  <c r="E245" i="30"/>
  <c r="E220" i="37"/>
  <c r="E189" i="30"/>
  <c r="O24" i="9"/>
  <c r="D64" i="45"/>
  <c r="O63" i="45"/>
  <c r="D64" i="47"/>
  <c r="O63" i="47"/>
  <c r="O62" i="43"/>
  <c r="D63" i="43"/>
  <c r="K135" i="15"/>
  <c r="K27" i="10"/>
  <c r="K181" i="28" s="1"/>
  <c r="J142" i="25"/>
  <c r="J182" i="25" s="1"/>
  <c r="J194" i="25" s="1"/>
  <c r="N294" i="38"/>
  <c r="L39" i="34"/>
  <c r="J135" i="15"/>
  <c r="J147" i="15" s="1"/>
  <c r="J138" i="25"/>
  <c r="J178" i="25" s="1"/>
  <c r="J190" i="25" s="1"/>
  <c r="K135" i="47"/>
  <c r="J135" i="47"/>
  <c r="J140" i="25"/>
  <c r="J180" i="25" s="1"/>
  <c r="J192" i="25" s="1"/>
  <c r="K182" i="37"/>
  <c r="K213" i="37" s="1"/>
  <c r="J139" i="25"/>
  <c r="J179" i="25" s="1"/>
  <c r="J191" i="25" s="1"/>
  <c r="J167" i="35"/>
  <c r="J198" i="35" s="1"/>
  <c r="J167" i="29"/>
  <c r="J83" i="29" s="1"/>
  <c r="K236" i="35"/>
  <c r="K65" i="35"/>
  <c r="K208" i="35"/>
  <c r="K292" i="35"/>
  <c r="K93" i="35"/>
  <c r="K264" i="35"/>
  <c r="K149" i="35"/>
  <c r="K121" i="35"/>
  <c r="K37" i="35"/>
  <c r="K320" i="35"/>
  <c r="M208" i="38"/>
  <c r="M149" i="38"/>
  <c r="M93" i="38"/>
  <c r="M236" i="38"/>
  <c r="M37" i="38"/>
  <c r="M65" i="38"/>
  <c r="M292" i="38"/>
  <c r="M264" i="38"/>
  <c r="M320" i="38"/>
  <c r="M121" i="38"/>
  <c r="M65" i="30"/>
  <c r="M37" i="30"/>
  <c r="M320" i="30"/>
  <c r="M149" i="30"/>
  <c r="M264" i="30"/>
  <c r="M93" i="30"/>
  <c r="M208" i="30"/>
  <c r="M292" i="30"/>
  <c r="M121" i="30"/>
  <c r="M236" i="30"/>
  <c r="K93" i="39"/>
  <c r="K65" i="39"/>
  <c r="K37" i="39"/>
  <c r="K320" i="39"/>
  <c r="K236" i="39"/>
  <c r="K149" i="39"/>
  <c r="K292" i="39"/>
  <c r="K208" i="39"/>
  <c r="K264" i="39"/>
  <c r="K121" i="39"/>
  <c r="M264" i="28"/>
  <c r="M65" i="28"/>
  <c r="M208" i="28"/>
  <c r="M320" i="28"/>
  <c r="M37" i="28"/>
  <c r="M93" i="28"/>
  <c r="M149" i="28"/>
  <c r="M236" i="28"/>
  <c r="M121" i="28"/>
  <c r="M292" i="28"/>
  <c r="M149" i="39"/>
  <c r="M121" i="39"/>
  <c r="M93" i="39"/>
  <c r="M65" i="39"/>
  <c r="M264" i="39"/>
  <c r="M320" i="39"/>
  <c r="M37" i="39"/>
  <c r="M236" i="39"/>
  <c r="M292" i="39"/>
  <c r="M208" i="39"/>
  <c r="N122" i="47"/>
  <c r="O37" i="39"/>
  <c r="O37" i="38"/>
  <c r="O37" i="37"/>
  <c r="N122" i="45"/>
  <c r="O37" i="35"/>
  <c r="N121" i="43"/>
  <c r="O37" i="30"/>
  <c r="O37" i="29"/>
  <c r="N122" i="15"/>
  <c r="O37" i="28"/>
  <c r="O170" i="25"/>
  <c r="K65" i="37"/>
  <c r="K267" i="37"/>
  <c r="K295" i="37"/>
  <c r="K124" i="37"/>
  <c r="K323" i="37"/>
  <c r="K37" i="37"/>
  <c r="K239" i="37"/>
  <c r="K93" i="37"/>
  <c r="K152" i="37"/>
  <c r="K211" i="37"/>
  <c r="K65" i="38"/>
  <c r="K37" i="38"/>
  <c r="K292" i="38"/>
  <c r="K320" i="38"/>
  <c r="K121" i="38"/>
  <c r="K208" i="38"/>
  <c r="K149" i="38"/>
  <c r="K264" i="38"/>
  <c r="K236" i="38"/>
  <c r="K93" i="38"/>
  <c r="M65" i="37"/>
  <c r="M295" i="37"/>
  <c r="M37" i="37"/>
  <c r="M211" i="37"/>
  <c r="M152" i="37"/>
  <c r="M267" i="37"/>
  <c r="M124" i="37"/>
  <c r="M239" i="37"/>
  <c r="M93" i="37"/>
  <c r="M323" i="37"/>
  <c r="M122" i="15"/>
  <c r="O122" i="15" s="1"/>
  <c r="M122" i="45"/>
  <c r="O122" i="45" s="1"/>
  <c r="N37" i="34"/>
  <c r="P37" i="34" s="1"/>
  <c r="N177" i="28"/>
  <c r="M122" i="47"/>
  <c r="O122" i="47" s="1"/>
  <c r="N170" i="25"/>
  <c r="N177" i="29"/>
  <c r="N177" i="30"/>
  <c r="N177" i="38"/>
  <c r="N177" i="35"/>
  <c r="N177" i="39"/>
  <c r="N180" i="37"/>
  <c r="M121" i="43"/>
  <c r="O121" i="43" s="1"/>
  <c r="P23" i="10"/>
  <c r="K320" i="30"/>
  <c r="K236" i="30"/>
  <c r="K149" i="30"/>
  <c r="K93" i="30"/>
  <c r="K292" i="30"/>
  <c r="K121" i="30"/>
  <c r="K208" i="30"/>
  <c r="K264" i="30"/>
  <c r="K37" i="30"/>
  <c r="K65" i="30"/>
  <c r="K65" i="29"/>
  <c r="K37" i="29"/>
  <c r="K236" i="29"/>
  <c r="K121" i="29"/>
  <c r="K93" i="29"/>
  <c r="K264" i="29"/>
  <c r="K292" i="29"/>
  <c r="K149" i="29"/>
  <c r="K320" i="29"/>
  <c r="K208" i="29"/>
  <c r="K236" i="28"/>
  <c r="K320" i="28"/>
  <c r="K37" i="28"/>
  <c r="K121" i="28"/>
  <c r="K65" i="28"/>
  <c r="K264" i="28"/>
  <c r="K208" i="28"/>
  <c r="K149" i="28"/>
  <c r="K93" i="28"/>
  <c r="K292" i="28"/>
  <c r="M37" i="29"/>
  <c r="M236" i="29"/>
  <c r="M208" i="29"/>
  <c r="M65" i="29"/>
  <c r="M320" i="29"/>
  <c r="M264" i="29"/>
  <c r="M149" i="29"/>
  <c r="M292" i="29"/>
  <c r="M93" i="29"/>
  <c r="M121" i="29"/>
  <c r="N35" i="34"/>
  <c r="M65" i="35"/>
  <c r="M37" i="35"/>
  <c r="M208" i="35"/>
  <c r="M320" i="35"/>
  <c r="M264" i="35"/>
  <c r="M292" i="35"/>
  <c r="M121" i="35"/>
  <c r="M149" i="35"/>
  <c r="M236" i="35"/>
  <c r="M93" i="35"/>
  <c r="L179" i="35"/>
  <c r="K134" i="43"/>
  <c r="K141" i="43" s="1"/>
  <c r="K179" i="29"/>
  <c r="K294" i="29" s="1"/>
  <c r="K179" i="30"/>
  <c r="K210" i="30" s="1"/>
  <c r="L179" i="30"/>
  <c r="L123" i="30" s="1"/>
  <c r="K179" i="28"/>
  <c r="K179" i="35"/>
  <c r="N294" i="28"/>
  <c r="K135" i="45"/>
  <c r="J135" i="45"/>
  <c r="N151" i="28"/>
  <c r="K39" i="34"/>
  <c r="K41" i="34" s="1"/>
  <c r="L27" i="10"/>
  <c r="L181" i="28" s="1"/>
  <c r="G11" i="10"/>
  <c r="K179" i="38"/>
  <c r="J167" i="30"/>
  <c r="J310" i="30" s="1"/>
  <c r="J27" i="34"/>
  <c r="J160" i="25"/>
  <c r="J167" i="28"/>
  <c r="J111" i="28" s="1"/>
  <c r="M77" i="9"/>
  <c r="M95" i="9" s="1"/>
  <c r="M97" i="18" s="1"/>
  <c r="N95" i="28"/>
  <c r="J170" i="37"/>
  <c r="J114" i="37" s="1"/>
  <c r="N266" i="28"/>
  <c r="J167" i="38"/>
  <c r="J83" i="38" s="1"/>
  <c r="N238" i="35"/>
  <c r="N39" i="28"/>
  <c r="N67" i="28"/>
  <c r="M140" i="15"/>
  <c r="N123" i="28"/>
  <c r="N210" i="28"/>
  <c r="N95" i="29"/>
  <c r="N151" i="29"/>
  <c r="N95" i="35"/>
  <c r="N123" i="35"/>
  <c r="N67" i="29"/>
  <c r="I109" i="11"/>
  <c r="I110" i="11" s="1"/>
  <c r="I108" i="11"/>
  <c r="H111" i="11"/>
  <c r="I107" i="11" s="1"/>
  <c r="J11" i="10"/>
  <c r="J165" i="35" s="1"/>
  <c r="N123" i="29"/>
  <c r="N39" i="38"/>
  <c r="F11" i="10"/>
  <c r="E21" i="43" s="1"/>
  <c r="E83" i="43" s="1"/>
  <c r="N294" i="29"/>
  <c r="N322" i="28"/>
  <c r="J167" i="39"/>
  <c r="J139" i="39" s="1"/>
  <c r="N27" i="10"/>
  <c r="N181" i="28" s="1"/>
  <c r="F35" i="22"/>
  <c r="D4" i="15"/>
  <c r="D4" i="43"/>
  <c r="D4" i="47"/>
  <c r="D21" i="2"/>
  <c r="D23" i="2" s="1"/>
  <c r="D4" i="45"/>
  <c r="D14" i="2"/>
  <c r="D15" i="2" s="1"/>
  <c r="D24" i="10"/>
  <c r="F158" i="28"/>
  <c r="F18" i="34"/>
  <c r="F155" i="25"/>
  <c r="E19" i="45"/>
  <c r="F158" i="30"/>
  <c r="E19" i="15"/>
  <c r="F158" i="29"/>
  <c r="E18" i="43"/>
  <c r="F158" i="35"/>
  <c r="F158" i="39"/>
  <c r="F158" i="38"/>
  <c r="E19" i="47"/>
  <c r="F161" i="37"/>
  <c r="F50" i="35"/>
  <c r="F193" i="35"/>
  <c r="F78" i="35"/>
  <c r="F249" i="35"/>
  <c r="F22" i="35"/>
  <c r="F277" i="35"/>
  <c r="F106" i="35"/>
  <c r="F305" i="35"/>
  <c r="F221" i="35"/>
  <c r="F134" i="35"/>
  <c r="E245" i="38"/>
  <c r="E46" i="38"/>
  <c r="E74" i="38"/>
  <c r="E130" i="38"/>
  <c r="E189" i="38"/>
  <c r="E217" i="38"/>
  <c r="E102" i="38"/>
  <c r="H11" i="10"/>
  <c r="N177" i="37"/>
  <c r="N174" i="29"/>
  <c r="N174" i="38"/>
  <c r="N174" i="35"/>
  <c r="N34" i="34"/>
  <c r="N174" i="30"/>
  <c r="N174" i="39"/>
  <c r="N174" i="28"/>
  <c r="N167" i="25"/>
  <c r="M167" i="39"/>
  <c r="AF15" i="19"/>
  <c r="M167" i="35"/>
  <c r="M170" i="37"/>
  <c r="M167" i="38"/>
  <c r="M167" i="30"/>
  <c r="M160" i="25"/>
  <c r="M27" i="34"/>
  <c r="M167" i="28"/>
  <c r="M167" i="29"/>
  <c r="L177" i="37"/>
  <c r="L174" i="35"/>
  <c r="L34" i="34"/>
  <c r="L174" i="28"/>
  <c r="L174" i="30"/>
  <c r="L174" i="29"/>
  <c r="L174" i="38"/>
  <c r="L174" i="39"/>
  <c r="L167" i="25"/>
  <c r="L27" i="34"/>
  <c r="L167" i="39"/>
  <c r="AC15" i="19"/>
  <c r="L167" i="38"/>
  <c r="L167" i="35"/>
  <c r="L170" i="37"/>
  <c r="L160" i="25"/>
  <c r="L167" i="28"/>
  <c r="L167" i="29"/>
  <c r="L167" i="30"/>
  <c r="N167" i="28"/>
  <c r="N167" i="30"/>
  <c r="N167" i="38"/>
  <c r="N167" i="39"/>
  <c r="N27" i="34"/>
  <c r="N167" i="29"/>
  <c r="N170" i="37"/>
  <c r="N167" i="35"/>
  <c r="AI15" i="19"/>
  <c r="N160" i="25"/>
  <c r="M177" i="37"/>
  <c r="M174" i="38"/>
  <c r="M34" i="34"/>
  <c r="M174" i="28"/>
  <c r="M174" i="35"/>
  <c r="M174" i="30"/>
  <c r="M174" i="39"/>
  <c r="M174" i="29"/>
  <c r="M167" i="25"/>
  <c r="I213" i="41"/>
  <c r="I108" i="15" s="1"/>
  <c r="I212" i="41"/>
  <c r="I35" i="15" s="1"/>
  <c r="I105" i="41"/>
  <c r="I102" i="15" s="1"/>
  <c r="I104" i="41"/>
  <c r="I29" i="15" s="1"/>
  <c r="I69" i="41"/>
  <c r="I100" i="15" s="1"/>
  <c r="I68" i="41"/>
  <c r="I27" i="15" s="1"/>
  <c r="I69" i="42"/>
  <c r="I26" i="43" s="1"/>
  <c r="I87" i="42"/>
  <c r="I27" i="43" s="1"/>
  <c r="I51" i="42"/>
  <c r="I25" i="43" s="1"/>
  <c r="I177" i="42"/>
  <c r="I32" i="43" s="1"/>
  <c r="I159" i="42"/>
  <c r="I31" i="43" s="1"/>
  <c r="I106" i="42"/>
  <c r="I101" i="43" s="1"/>
  <c r="I52" i="42"/>
  <c r="I98" i="43" s="1"/>
  <c r="I178" i="42"/>
  <c r="I105" i="43" s="1"/>
  <c r="I142" i="42"/>
  <c r="I103" i="43" s="1"/>
  <c r="I33" i="42"/>
  <c r="I24" i="43" s="1"/>
  <c r="I88" i="42"/>
  <c r="I100" i="43" s="1"/>
  <c r="I70" i="42"/>
  <c r="I99" i="43" s="1"/>
  <c r="I105" i="42"/>
  <c r="I28" i="43" s="1"/>
  <c r="I160" i="42"/>
  <c r="I104" i="43" s="1"/>
  <c r="I141" i="42"/>
  <c r="I30" i="43" s="1"/>
  <c r="I34" i="42"/>
  <c r="I97" i="43" s="1"/>
  <c r="I87" i="41"/>
  <c r="I101" i="15" s="1"/>
  <c r="I86" i="41"/>
  <c r="I28" i="15" s="1"/>
  <c r="I123" i="42"/>
  <c r="I29" i="43" s="1"/>
  <c r="I124" i="42"/>
  <c r="I140" i="41"/>
  <c r="I31" i="15" s="1"/>
  <c r="I141" i="41"/>
  <c r="I104" i="15" s="1"/>
  <c r="I195" i="41"/>
  <c r="I107" i="15" s="1"/>
  <c r="I194" i="41"/>
  <c r="I34" i="15" s="1"/>
  <c r="I159" i="41"/>
  <c r="I105" i="15" s="1"/>
  <c r="I158" i="41"/>
  <c r="I32" i="15" s="1"/>
  <c r="I176" i="41"/>
  <c r="I33" i="15" s="1"/>
  <c r="I177" i="41"/>
  <c r="I106" i="15" s="1"/>
  <c r="J250" i="38"/>
  <c r="K11" i="10"/>
  <c r="K25" i="34" s="1"/>
  <c r="J103" i="30"/>
  <c r="J106" i="30" s="1"/>
  <c r="J75" i="30"/>
  <c r="J78" i="30" s="1"/>
  <c r="J218" i="30"/>
  <c r="J221" i="30" s="1"/>
  <c r="J131" i="30"/>
  <c r="J134" i="30" s="1"/>
  <c r="J47" i="30"/>
  <c r="J50" i="30" s="1"/>
  <c r="J302" i="30"/>
  <c r="J305" i="30" s="1"/>
  <c r="J246" i="30"/>
  <c r="J249" i="30" s="1"/>
  <c r="J19" i="30"/>
  <c r="J22" i="30" s="1"/>
  <c r="J162" i="30"/>
  <c r="J274" i="30"/>
  <c r="J277" i="30" s="1"/>
  <c r="J190" i="30"/>
  <c r="J193" i="30" s="1"/>
  <c r="J165" i="37"/>
  <c r="J193" i="37"/>
  <c r="J196" i="37" s="1"/>
  <c r="J106" i="37"/>
  <c r="J109" i="37" s="1"/>
  <c r="J75" i="37"/>
  <c r="J78" i="37" s="1"/>
  <c r="J221" i="37"/>
  <c r="J224" i="37" s="1"/>
  <c r="J47" i="37"/>
  <c r="J50" i="37" s="1"/>
  <c r="J305" i="37"/>
  <c r="J308" i="37" s="1"/>
  <c r="J249" i="37"/>
  <c r="J252" i="37" s="1"/>
  <c r="J19" i="37"/>
  <c r="J22" i="37" s="1"/>
  <c r="J277" i="37"/>
  <c r="J280" i="37" s="1"/>
  <c r="J134" i="37"/>
  <c r="J137" i="37" s="1"/>
  <c r="J19" i="38"/>
  <c r="J22" i="38" s="1"/>
  <c r="J47" i="38"/>
  <c r="J50" i="38" s="1"/>
  <c r="J246" i="38"/>
  <c r="J249" i="38" s="1"/>
  <c r="J75" i="38"/>
  <c r="J78" i="38" s="1"/>
  <c r="J274" i="38"/>
  <c r="J277" i="38" s="1"/>
  <c r="J190" i="38"/>
  <c r="J193" i="38" s="1"/>
  <c r="J131" i="38"/>
  <c r="J134" i="38" s="1"/>
  <c r="J162" i="38"/>
  <c r="J302" i="38"/>
  <c r="J305" i="38" s="1"/>
  <c r="J218" i="38"/>
  <c r="J221" i="38" s="1"/>
  <c r="J103" i="38"/>
  <c r="J106" i="38" s="1"/>
  <c r="J75" i="29"/>
  <c r="J78" i="29" s="1"/>
  <c r="J274" i="29"/>
  <c r="J277" i="29" s="1"/>
  <c r="J190" i="29"/>
  <c r="J193" i="29" s="1"/>
  <c r="J162" i="29"/>
  <c r="J19" i="29"/>
  <c r="J22" i="29" s="1"/>
  <c r="J218" i="29"/>
  <c r="J221" i="29" s="1"/>
  <c r="J103" i="29"/>
  <c r="J106" i="29" s="1"/>
  <c r="J302" i="29"/>
  <c r="J305" i="29" s="1"/>
  <c r="J131" i="29"/>
  <c r="J134" i="29" s="1"/>
  <c r="J47" i="29"/>
  <c r="J50" i="29" s="1"/>
  <c r="J246" i="29"/>
  <c r="J249" i="29" s="1"/>
  <c r="J19" i="28"/>
  <c r="J22" i="28" s="1"/>
  <c r="J162" i="28"/>
  <c r="J75" i="28"/>
  <c r="J78" i="28" s="1"/>
  <c r="J103" i="28"/>
  <c r="J106" i="28" s="1"/>
  <c r="J47" i="28"/>
  <c r="J50" i="28" s="1"/>
  <c r="J190" i="28"/>
  <c r="J193" i="28" s="1"/>
  <c r="J218" i="28"/>
  <c r="J221" i="28" s="1"/>
  <c r="J246" i="28"/>
  <c r="J249" i="28" s="1"/>
  <c r="J302" i="28"/>
  <c r="J305" i="28" s="1"/>
  <c r="J131" i="28"/>
  <c r="J134" i="28" s="1"/>
  <c r="J274" i="28"/>
  <c r="J277" i="28" s="1"/>
  <c r="J131" i="35"/>
  <c r="J103" i="35"/>
  <c r="J75" i="35"/>
  <c r="J246" i="35"/>
  <c r="J162" i="35"/>
  <c r="J190" i="35"/>
  <c r="J218" i="35"/>
  <c r="J274" i="35"/>
  <c r="J19" i="35"/>
  <c r="J302" i="35"/>
  <c r="J47" i="35"/>
  <c r="W5" i="19"/>
  <c r="I92" i="18"/>
  <c r="J8" i="10"/>
  <c r="H179" i="28"/>
  <c r="H39" i="28" s="1"/>
  <c r="G135" i="15"/>
  <c r="J306" i="38"/>
  <c r="D103" i="18"/>
  <c r="G8" i="19"/>
  <c r="D91" i="18"/>
  <c r="E91" i="18" s="1"/>
  <c r="D102" i="18"/>
  <c r="G134" i="43"/>
  <c r="H182" i="37"/>
  <c r="H154" i="37" s="1"/>
  <c r="G135" i="45"/>
  <c r="G135" i="47"/>
  <c r="H179" i="39"/>
  <c r="H210" i="39" s="1"/>
  <c r="H117" i="11"/>
  <c r="H179" i="30"/>
  <c r="H322" i="30" s="1"/>
  <c r="H179" i="38"/>
  <c r="H238" i="38" s="1"/>
  <c r="H94" i="11"/>
  <c r="J289" i="38"/>
  <c r="J205" i="38"/>
  <c r="J146" i="38"/>
  <c r="J62" i="38"/>
  <c r="J261" i="38"/>
  <c r="J118" i="38"/>
  <c r="J34" i="38"/>
  <c r="J233" i="38"/>
  <c r="J90" i="38"/>
  <c r="J317" i="38"/>
  <c r="K27" i="29"/>
  <c r="K226" i="29"/>
  <c r="K55" i="29"/>
  <c r="K198" i="29"/>
  <c r="K254" i="29"/>
  <c r="K111" i="29"/>
  <c r="K310" i="29"/>
  <c r="K83" i="29"/>
  <c r="K139" i="29"/>
  <c r="K282" i="29"/>
  <c r="J261" i="29"/>
  <c r="J118" i="29"/>
  <c r="J317" i="29"/>
  <c r="J205" i="29"/>
  <c r="J62" i="29"/>
  <c r="J289" i="29"/>
  <c r="J233" i="29"/>
  <c r="J146" i="29"/>
  <c r="J90" i="29"/>
  <c r="J34" i="29"/>
  <c r="J289" i="35"/>
  <c r="J62" i="35"/>
  <c r="J90" i="35"/>
  <c r="J205" i="35"/>
  <c r="J233" i="35"/>
  <c r="J317" i="35"/>
  <c r="J34" i="35"/>
  <c r="J118" i="35"/>
  <c r="J261" i="35"/>
  <c r="J146" i="35"/>
  <c r="K55" i="28"/>
  <c r="K226" i="28"/>
  <c r="K139" i="28"/>
  <c r="K27" i="28"/>
  <c r="K282" i="28"/>
  <c r="K198" i="28"/>
  <c r="K310" i="28"/>
  <c r="K83" i="28"/>
  <c r="K111" i="28"/>
  <c r="K254" i="28"/>
  <c r="K34" i="37"/>
  <c r="K121" i="37"/>
  <c r="K320" i="37"/>
  <c r="K236" i="37"/>
  <c r="K208" i="37"/>
  <c r="K90" i="37"/>
  <c r="K62" i="37"/>
  <c r="K264" i="37"/>
  <c r="K292" i="37"/>
  <c r="K149" i="37"/>
  <c r="J289" i="30"/>
  <c r="J233" i="30"/>
  <c r="J146" i="30"/>
  <c r="J90" i="30"/>
  <c r="J261" i="30"/>
  <c r="J118" i="30"/>
  <c r="J34" i="30"/>
  <c r="J317" i="30"/>
  <c r="J205" i="30"/>
  <c r="J62" i="30"/>
  <c r="K114" i="37"/>
  <c r="K27" i="37"/>
  <c r="K83" i="37"/>
  <c r="K313" i="37"/>
  <c r="K55" i="37"/>
  <c r="K285" i="37"/>
  <c r="K257" i="37"/>
  <c r="K229" i="37"/>
  <c r="K201" i="37"/>
  <c r="K142" i="37"/>
  <c r="K90" i="38"/>
  <c r="K317" i="38"/>
  <c r="K205" i="38"/>
  <c r="K62" i="38"/>
  <c r="K261" i="38"/>
  <c r="K289" i="38"/>
  <c r="K118" i="38"/>
  <c r="K146" i="38"/>
  <c r="K34" i="38"/>
  <c r="K233" i="38"/>
  <c r="J139" i="29"/>
  <c r="J55" i="29"/>
  <c r="J111" i="29"/>
  <c r="J198" i="29"/>
  <c r="J310" i="29"/>
  <c r="J254" i="29"/>
  <c r="J282" i="29"/>
  <c r="J27" i="29"/>
  <c r="K254" i="38"/>
  <c r="K226" i="38"/>
  <c r="K198" i="38"/>
  <c r="K139" i="38"/>
  <c r="K111" i="38"/>
  <c r="K83" i="38"/>
  <c r="K310" i="38"/>
  <c r="K55" i="38"/>
  <c r="K282" i="38"/>
  <c r="K27" i="38"/>
  <c r="K62" i="35"/>
  <c r="K146" i="35"/>
  <c r="K289" i="35"/>
  <c r="K205" i="35"/>
  <c r="K317" i="35"/>
  <c r="K90" i="35"/>
  <c r="K118" i="35"/>
  <c r="K233" i="35"/>
  <c r="K261" i="35"/>
  <c r="K34" i="35"/>
  <c r="J198" i="30"/>
  <c r="J111" i="30"/>
  <c r="J282" i="30"/>
  <c r="J83" i="30"/>
  <c r="J27" i="30"/>
  <c r="J146" i="28"/>
  <c r="J289" i="28"/>
  <c r="J62" i="28"/>
  <c r="J205" i="28"/>
  <c r="J317" i="28"/>
  <c r="J90" i="28"/>
  <c r="J118" i="28"/>
  <c r="J233" i="28"/>
  <c r="J261" i="28"/>
  <c r="J34" i="28"/>
  <c r="K226" i="35"/>
  <c r="K111" i="35"/>
  <c r="K83" i="35"/>
  <c r="K254" i="35"/>
  <c r="K55" i="35"/>
  <c r="K27" i="35"/>
  <c r="K198" i="35"/>
  <c r="K310" i="35"/>
  <c r="K139" i="35"/>
  <c r="K282" i="35"/>
  <c r="K205" i="39"/>
  <c r="K317" i="39"/>
  <c r="K34" i="39"/>
  <c r="K62" i="39"/>
  <c r="K118" i="39"/>
  <c r="K233" i="39"/>
  <c r="K261" i="39"/>
  <c r="K90" i="39"/>
  <c r="K146" i="39"/>
  <c r="K289" i="39"/>
  <c r="J254" i="28"/>
  <c r="J282" i="28"/>
  <c r="J226" i="28"/>
  <c r="J83" i="28"/>
  <c r="J27" i="28"/>
  <c r="J34" i="37"/>
  <c r="J264" i="37"/>
  <c r="J236" i="37"/>
  <c r="J121" i="37"/>
  <c r="J90" i="37"/>
  <c r="J292" i="37"/>
  <c r="J149" i="37"/>
  <c r="J320" i="37"/>
  <c r="J208" i="37"/>
  <c r="J62" i="37"/>
  <c r="K254" i="39"/>
  <c r="K27" i="39"/>
  <c r="K198" i="39"/>
  <c r="K111" i="39"/>
  <c r="K139" i="39"/>
  <c r="K55" i="39"/>
  <c r="K282" i="39"/>
  <c r="K226" i="39"/>
  <c r="K83" i="39"/>
  <c r="K310" i="39"/>
  <c r="K146" i="29"/>
  <c r="K34" i="29"/>
  <c r="K261" i="29"/>
  <c r="K205" i="29"/>
  <c r="K118" i="29"/>
  <c r="K62" i="29"/>
  <c r="K317" i="29"/>
  <c r="K233" i="29"/>
  <c r="K90" i="29"/>
  <c r="K289" i="29"/>
  <c r="J261" i="39"/>
  <c r="J34" i="39"/>
  <c r="J146" i="39"/>
  <c r="J289" i="39"/>
  <c r="J62" i="39"/>
  <c r="J205" i="39"/>
  <c r="J233" i="39"/>
  <c r="J317" i="39"/>
  <c r="J90" i="39"/>
  <c r="J118" i="39"/>
  <c r="K317" i="30"/>
  <c r="K118" i="30"/>
  <c r="K205" i="30"/>
  <c r="K261" i="30"/>
  <c r="K62" i="30"/>
  <c r="K34" i="30"/>
  <c r="K289" i="30"/>
  <c r="K146" i="30"/>
  <c r="K233" i="30"/>
  <c r="K90" i="30"/>
  <c r="J139" i="38"/>
  <c r="J198" i="38"/>
  <c r="J111" i="38"/>
  <c r="J55" i="38"/>
  <c r="J27" i="38"/>
  <c r="J226" i="38"/>
  <c r="J187" i="25"/>
  <c r="J188" i="25"/>
  <c r="J189" i="25"/>
  <c r="J193" i="25"/>
  <c r="J185" i="25"/>
  <c r="J186" i="25"/>
  <c r="K139" i="30"/>
  <c r="K282" i="30"/>
  <c r="K83" i="30"/>
  <c r="K226" i="30"/>
  <c r="K198" i="30"/>
  <c r="K27" i="30"/>
  <c r="K310" i="30"/>
  <c r="K111" i="30"/>
  <c r="K55" i="30"/>
  <c r="K254" i="30"/>
  <c r="K90" i="28"/>
  <c r="K233" i="28"/>
  <c r="K34" i="28"/>
  <c r="K118" i="28"/>
  <c r="K261" i="28"/>
  <c r="K62" i="28"/>
  <c r="K205" i="28"/>
  <c r="K146" i="28"/>
  <c r="K317" i="28"/>
  <c r="K289" i="28"/>
  <c r="K190" i="25"/>
  <c r="K187" i="25"/>
  <c r="K185" i="25"/>
  <c r="K194" i="25"/>
  <c r="K188" i="25"/>
  <c r="K191" i="25"/>
  <c r="K192" i="25"/>
  <c r="K189" i="25"/>
  <c r="K193" i="25"/>
  <c r="K186" i="25"/>
  <c r="J27" i="35"/>
  <c r="H39" i="34"/>
  <c r="H179" i="29"/>
  <c r="H266" i="29" s="1"/>
  <c r="J84" i="11"/>
  <c r="J85" i="11"/>
  <c r="J86" i="11" s="1"/>
  <c r="I87" i="11"/>
  <c r="J83" i="11" s="1"/>
  <c r="N25" i="9"/>
  <c r="O25" i="9"/>
  <c r="O48" i="9"/>
  <c r="M49" i="9"/>
  <c r="J23" i="38"/>
  <c r="J24" i="38" s="1"/>
  <c r="F222" i="38"/>
  <c r="F223" i="38" s="1"/>
  <c r="J79" i="37"/>
  <c r="J80" i="37" s="1"/>
  <c r="J222" i="39"/>
  <c r="J223" i="39" s="1"/>
  <c r="J197" i="37"/>
  <c r="L31" i="9"/>
  <c r="K32" i="9"/>
  <c r="F51" i="37"/>
  <c r="F52" i="37" s="1"/>
  <c r="F253" i="37"/>
  <c r="F254" i="37" s="1"/>
  <c r="J253" i="37"/>
  <c r="J254" i="37" s="1"/>
  <c r="F194" i="38"/>
  <c r="F195" i="38" s="1"/>
  <c r="P131" i="39"/>
  <c r="O31" i="8"/>
  <c r="P9" i="8" s="1"/>
  <c r="O49" i="18" s="1"/>
  <c r="L168" i="37"/>
  <c r="L18" i="10"/>
  <c r="L165" i="38"/>
  <c r="L165" i="39"/>
  <c r="L165" i="35"/>
  <c r="L165" i="30"/>
  <c r="K21" i="43"/>
  <c r="K83" i="43" s="1"/>
  <c r="K22" i="47"/>
  <c r="K84" i="47" s="1"/>
  <c r="L165" i="29"/>
  <c r="K22" i="45"/>
  <c r="K84" i="45" s="1"/>
  <c r="L165" i="28"/>
  <c r="K22" i="15"/>
  <c r="K84" i="15" s="1"/>
  <c r="L158" i="25"/>
  <c r="L165" i="25" s="1"/>
  <c r="L25" i="34"/>
  <c r="G221" i="30"/>
  <c r="J51" i="39"/>
  <c r="J52" i="39" s="1"/>
  <c r="L121" i="45"/>
  <c r="L121" i="15"/>
  <c r="M176" i="35"/>
  <c r="M179" i="37"/>
  <c r="L120" i="43"/>
  <c r="L121" i="47"/>
  <c r="M176" i="29"/>
  <c r="M176" i="30"/>
  <c r="M36" i="34"/>
  <c r="M35" i="34" s="1"/>
  <c r="M176" i="28"/>
  <c r="M176" i="39"/>
  <c r="M176" i="38"/>
  <c r="M21" i="10"/>
  <c r="M27" i="10" s="1"/>
  <c r="G221" i="38"/>
  <c r="J278" i="38"/>
  <c r="J279" i="38" s="1"/>
  <c r="P246" i="39"/>
  <c r="G78" i="37"/>
  <c r="L213" i="37"/>
  <c r="L126" i="37"/>
  <c r="L67" i="37"/>
  <c r="L39" i="37"/>
  <c r="L297" i="37"/>
  <c r="L241" i="37"/>
  <c r="L325" i="37"/>
  <c r="L154" i="37"/>
  <c r="L269" i="37"/>
  <c r="L95" i="37"/>
  <c r="H68" i="11"/>
  <c r="G69" i="11"/>
  <c r="L319" i="29"/>
  <c r="L148" i="29"/>
  <c r="L263" i="29"/>
  <c r="L92" i="29"/>
  <c r="L207" i="29"/>
  <c r="L36" i="29"/>
  <c r="L120" i="29"/>
  <c r="L64" i="29"/>
  <c r="L175" i="29"/>
  <c r="L291" i="29"/>
  <c r="L235" i="29"/>
  <c r="K139" i="43"/>
  <c r="K138" i="43"/>
  <c r="I98" i="46"/>
  <c r="P83" i="46"/>
  <c r="J225" i="37"/>
  <c r="J226" i="37" s="1"/>
  <c r="H246" i="35"/>
  <c r="H131" i="35"/>
  <c r="H190" i="35"/>
  <c r="H103" i="35"/>
  <c r="H274" i="35"/>
  <c r="H302" i="35"/>
  <c r="H75" i="35"/>
  <c r="H47" i="35"/>
  <c r="H218" i="35"/>
  <c r="H19" i="35"/>
  <c r="H162" i="35"/>
  <c r="N319" i="30"/>
  <c r="N120" i="30"/>
  <c r="N291" i="30"/>
  <c r="N64" i="30"/>
  <c r="N235" i="30"/>
  <c r="N148" i="30"/>
  <c r="N92" i="30"/>
  <c r="N36" i="30"/>
  <c r="N263" i="30"/>
  <c r="N207" i="30"/>
  <c r="N175" i="30"/>
  <c r="M141" i="43"/>
  <c r="M139" i="43"/>
  <c r="M145" i="43"/>
  <c r="M143" i="43"/>
  <c r="M140" i="43"/>
  <c r="M144" i="43"/>
  <c r="M138" i="43"/>
  <c r="M137" i="43"/>
  <c r="G78" i="28"/>
  <c r="N209" i="46"/>
  <c r="H224" i="46"/>
  <c r="F250" i="39"/>
  <c r="F251" i="39" s="1"/>
  <c r="F107" i="38"/>
  <c r="F108" i="38" s="1"/>
  <c r="F135" i="38"/>
  <c r="F136" i="38" s="1"/>
  <c r="F222" i="39"/>
  <c r="F223" i="39" s="1"/>
  <c r="O41" i="35"/>
  <c r="O41" i="28"/>
  <c r="O41" i="30"/>
  <c r="O41" i="29"/>
  <c r="O41" i="38"/>
  <c r="O41" i="39"/>
  <c r="O41" i="37"/>
  <c r="N148" i="15"/>
  <c r="N146" i="15"/>
  <c r="N138" i="15"/>
  <c r="N142" i="15"/>
  <c r="N141" i="15"/>
  <c r="N144" i="15"/>
  <c r="N147" i="15"/>
  <c r="N140" i="15"/>
  <c r="N145" i="15"/>
  <c r="N139" i="15"/>
  <c r="G121" i="45"/>
  <c r="G121" i="15"/>
  <c r="H176" i="35"/>
  <c r="H179" i="37"/>
  <c r="H36" i="34"/>
  <c r="H35" i="34" s="1"/>
  <c r="G120" i="43"/>
  <c r="G121" i="47"/>
  <c r="H176" i="29"/>
  <c r="H176" i="28"/>
  <c r="H176" i="30"/>
  <c r="H176" i="39"/>
  <c r="H176" i="38"/>
  <c r="H21" i="10"/>
  <c r="K67" i="29"/>
  <c r="K322" i="29"/>
  <c r="K151" i="29"/>
  <c r="K123" i="29"/>
  <c r="K238" i="29"/>
  <c r="K95" i="39"/>
  <c r="K322" i="39"/>
  <c r="K67" i="39"/>
  <c r="K210" i="39"/>
  <c r="K294" i="39"/>
  <c r="K123" i="39"/>
  <c r="K39" i="39"/>
  <c r="K238" i="39"/>
  <c r="K266" i="39"/>
  <c r="K151" i="39"/>
  <c r="G305" i="29"/>
  <c r="G22" i="29"/>
  <c r="P41" i="46"/>
  <c r="I56" i="46"/>
  <c r="H294" i="35"/>
  <c r="H95" i="35"/>
  <c r="H67" i="35"/>
  <c r="H238" i="35"/>
  <c r="H123" i="35"/>
  <c r="H39" i="35"/>
  <c r="H210" i="35"/>
  <c r="H322" i="35"/>
  <c r="H266" i="35"/>
  <c r="H151" i="35"/>
  <c r="J148" i="15"/>
  <c r="J144" i="15"/>
  <c r="J139" i="15"/>
  <c r="J141" i="15"/>
  <c r="J140" i="15"/>
  <c r="K291" i="35"/>
  <c r="K207" i="35"/>
  <c r="K235" i="35"/>
  <c r="K120" i="35"/>
  <c r="K148" i="35"/>
  <c r="K64" i="35"/>
  <c r="K92" i="35"/>
  <c r="K36" i="35"/>
  <c r="K175" i="35"/>
  <c r="K319" i="35"/>
  <c r="K263" i="35"/>
  <c r="G13" i="24"/>
  <c r="G57" i="11"/>
  <c r="F29" i="25"/>
  <c r="D95" i="9"/>
  <c r="F56" i="9"/>
  <c r="G222" i="39" s="1"/>
  <c r="G223" i="39" s="1"/>
  <c r="F59" i="9"/>
  <c r="H37" i="9"/>
  <c r="H16" i="9"/>
  <c r="H18" i="9" s="1"/>
  <c r="O18" i="9" s="1"/>
  <c r="F19" i="15"/>
  <c r="F19" i="45"/>
  <c r="G158" i="35"/>
  <c r="G155" i="25"/>
  <c r="F19" i="47"/>
  <c r="G18" i="34"/>
  <c r="F18" i="43"/>
  <c r="G158" i="30"/>
  <c r="G158" i="38"/>
  <c r="G158" i="29"/>
  <c r="G158" i="39"/>
  <c r="G158" i="28"/>
  <c r="G161" i="37"/>
  <c r="K97" i="18"/>
  <c r="AB9" i="19"/>
  <c r="G78" i="30"/>
  <c r="J51" i="37"/>
  <c r="J52" i="37" s="1"/>
  <c r="G305" i="38"/>
  <c r="J23" i="39"/>
  <c r="J24" i="39" s="1"/>
  <c r="G252" i="37"/>
  <c r="L266" i="29"/>
  <c r="L95" i="29"/>
  <c r="L294" i="29"/>
  <c r="L210" i="29"/>
  <c r="L123" i="29"/>
  <c r="L67" i="29"/>
  <c r="L322" i="29"/>
  <c r="L238" i="29"/>
  <c r="L151" i="29"/>
  <c r="L39" i="29"/>
  <c r="L266" i="38"/>
  <c r="L210" i="38"/>
  <c r="L39" i="38"/>
  <c r="L123" i="38"/>
  <c r="L294" i="38"/>
  <c r="L67" i="38"/>
  <c r="L238" i="38"/>
  <c r="L151" i="38"/>
  <c r="L95" i="38"/>
  <c r="L322" i="38"/>
  <c r="G14" i="24"/>
  <c r="G65" i="11"/>
  <c r="F30" i="25"/>
  <c r="J165" i="29"/>
  <c r="I22" i="47"/>
  <c r="I84" i="47" s="1"/>
  <c r="I22" i="45"/>
  <c r="I84" i="45" s="1"/>
  <c r="J79" i="38"/>
  <c r="J80" i="38" s="1"/>
  <c r="J38" i="24"/>
  <c r="H8" i="10"/>
  <c r="Q5" i="19"/>
  <c r="G92" i="18"/>
  <c r="H165" i="37"/>
  <c r="H249" i="37"/>
  <c r="H252" i="37" s="1"/>
  <c r="H75" i="37"/>
  <c r="H78" i="37" s="1"/>
  <c r="H193" i="37"/>
  <c r="H196" i="37" s="1"/>
  <c r="H19" i="37"/>
  <c r="H22" i="37" s="1"/>
  <c r="H277" i="37"/>
  <c r="H280" i="37" s="1"/>
  <c r="H106" i="37"/>
  <c r="H109" i="37" s="1"/>
  <c r="H221" i="37"/>
  <c r="H224" i="37" s="1"/>
  <c r="H47" i="37"/>
  <c r="H50" i="37" s="1"/>
  <c r="H305" i="37"/>
  <c r="H308" i="37" s="1"/>
  <c r="H134" i="37"/>
  <c r="H137" i="37" s="1"/>
  <c r="N148" i="39"/>
  <c r="N175" i="39"/>
  <c r="N120" i="39"/>
  <c r="N92" i="39"/>
  <c r="N64" i="39"/>
  <c r="N319" i="39"/>
  <c r="N36" i="39"/>
  <c r="N291" i="39"/>
  <c r="N263" i="39"/>
  <c r="N235" i="39"/>
  <c r="N207" i="39"/>
  <c r="G168" i="37"/>
  <c r="G25" i="34"/>
  <c r="F21" i="43"/>
  <c r="F83" i="43" s="1"/>
  <c r="G165" i="29"/>
  <c r="G18" i="10"/>
  <c r="G165" i="30"/>
  <c r="F22" i="15"/>
  <c r="F84" i="15" s="1"/>
  <c r="G158" i="25"/>
  <c r="G165" i="25" s="1"/>
  <c r="G165" i="39"/>
  <c r="G165" i="38"/>
  <c r="F22" i="45"/>
  <c r="F84" i="45" s="1"/>
  <c r="F22" i="47"/>
  <c r="F84" i="47" s="1"/>
  <c r="G165" i="35"/>
  <c r="G165" i="28"/>
  <c r="G305" i="28"/>
  <c r="F79" i="38"/>
  <c r="F80" i="38" s="1"/>
  <c r="F51" i="39"/>
  <c r="F52" i="39" s="1"/>
  <c r="F107" i="39"/>
  <c r="F108" i="39" s="1"/>
  <c r="F23" i="39"/>
  <c r="F24" i="39" s="1"/>
  <c r="I100" i="11"/>
  <c r="H103" i="11"/>
  <c r="I99" i="11" s="1"/>
  <c r="I101" i="11"/>
  <c r="I102" i="11" s="1"/>
  <c r="K210" i="28"/>
  <c r="K123" i="28"/>
  <c r="K67" i="28"/>
  <c r="K238" i="28"/>
  <c r="K294" i="28"/>
  <c r="K151" i="28"/>
  <c r="K39" i="28"/>
  <c r="K95" i="28"/>
  <c r="K322" i="28"/>
  <c r="K266" i="28"/>
  <c r="K325" i="37"/>
  <c r="K269" i="37"/>
  <c r="K154" i="37"/>
  <c r="G134" i="29"/>
  <c r="G221" i="29"/>
  <c r="J79" i="39"/>
  <c r="J80" i="39" s="1"/>
  <c r="G277" i="30"/>
  <c r="G249" i="38"/>
  <c r="H27" i="8"/>
  <c r="I162" i="37"/>
  <c r="I159" i="35"/>
  <c r="I19" i="34"/>
  <c r="I159" i="29"/>
  <c r="P159" i="29" s="1"/>
  <c r="I159" i="28"/>
  <c r="I159" i="30"/>
  <c r="I159" i="39"/>
  <c r="I159" i="38"/>
  <c r="N9" i="8"/>
  <c r="G134" i="30"/>
  <c r="G249" i="30"/>
  <c r="J250" i="39"/>
  <c r="J251" i="39" s="1"/>
  <c r="G15" i="7"/>
  <c r="G17" i="7" s="1"/>
  <c r="G21" i="7" s="1"/>
  <c r="G22" i="7" s="1"/>
  <c r="G33" i="7" s="1"/>
  <c r="F11" i="24"/>
  <c r="F43" i="24" s="1"/>
  <c r="F47" i="24" s="1"/>
  <c r="E22" i="10" s="1"/>
  <c r="D121" i="45" s="1"/>
  <c r="E76" i="11"/>
  <c r="F41" i="11"/>
  <c r="F73" i="11" s="1"/>
  <c r="E27" i="25"/>
  <c r="J194" i="38"/>
  <c r="I182" i="42"/>
  <c r="L135" i="47"/>
  <c r="M39" i="34"/>
  <c r="M179" i="28"/>
  <c r="L135" i="15"/>
  <c r="M179" i="29"/>
  <c r="L135" i="45"/>
  <c r="M179" i="30"/>
  <c r="M179" i="35"/>
  <c r="M179" i="38"/>
  <c r="M182" i="37"/>
  <c r="M179" i="39"/>
  <c r="L134" i="43"/>
  <c r="G137" i="37"/>
  <c r="L294" i="35"/>
  <c r="L123" i="35"/>
  <c r="L238" i="35"/>
  <c r="L67" i="35"/>
  <c r="L151" i="35"/>
  <c r="L95" i="35"/>
  <c r="L39" i="35"/>
  <c r="L322" i="35"/>
  <c r="L266" i="35"/>
  <c r="L210" i="35"/>
  <c r="I97" i="18"/>
  <c r="V9" i="19"/>
  <c r="J135" i="39"/>
  <c r="J136" i="39" s="1"/>
  <c r="L38" i="24"/>
  <c r="L36" i="30"/>
  <c r="L35" i="30" s="1"/>
  <c r="L235" i="30"/>
  <c r="L234" i="30" s="1"/>
  <c r="L263" i="30"/>
  <c r="L262" i="30" s="1"/>
  <c r="L148" i="30"/>
  <c r="L147" i="30" s="1"/>
  <c r="L207" i="30"/>
  <c r="L206" i="30" s="1"/>
  <c r="L92" i="30"/>
  <c r="L91" i="30" s="1"/>
  <c r="L120" i="30"/>
  <c r="L119" i="30" s="1"/>
  <c r="L64" i="30"/>
  <c r="L63" i="30" s="1"/>
  <c r="L319" i="30"/>
  <c r="L318" i="30" s="1"/>
  <c r="L175" i="30"/>
  <c r="L291" i="30"/>
  <c r="L290" i="30" s="1"/>
  <c r="M47" i="25"/>
  <c r="E149" i="25"/>
  <c r="E150" i="25" s="1"/>
  <c r="E169" i="25" s="1"/>
  <c r="H91" i="11"/>
  <c r="H116" i="11" s="1"/>
  <c r="G119" i="11"/>
  <c r="H274" i="38"/>
  <c r="H277" i="38" s="1"/>
  <c r="H162" i="38"/>
  <c r="H302" i="38"/>
  <c r="H305" i="38" s="1"/>
  <c r="H218" i="38"/>
  <c r="H221" i="38" s="1"/>
  <c r="H131" i="38"/>
  <c r="H134" i="38" s="1"/>
  <c r="H75" i="38"/>
  <c r="H78" i="38" s="1"/>
  <c r="H19" i="38"/>
  <c r="H22" i="38" s="1"/>
  <c r="H246" i="38"/>
  <c r="H249" i="38" s="1"/>
  <c r="H47" i="38"/>
  <c r="H50" i="38" s="1"/>
  <c r="H190" i="38"/>
  <c r="H193" i="38" s="1"/>
  <c r="H103" i="38"/>
  <c r="H106" i="38" s="1"/>
  <c r="N92" i="29"/>
  <c r="N319" i="29"/>
  <c r="N263" i="29"/>
  <c r="N291" i="29"/>
  <c r="N207" i="29"/>
  <c r="N64" i="29"/>
  <c r="N36" i="29"/>
  <c r="N120" i="29"/>
  <c r="N235" i="29"/>
  <c r="N148" i="29"/>
  <c r="N175" i="29"/>
  <c r="N294" i="37"/>
  <c r="N266" i="37"/>
  <c r="N238" i="37"/>
  <c r="N210" i="37"/>
  <c r="N151" i="37"/>
  <c r="N178" i="37"/>
  <c r="N123" i="37"/>
  <c r="N36" i="37"/>
  <c r="N92" i="37"/>
  <c r="N322" i="37"/>
  <c r="N64" i="37"/>
  <c r="F97" i="18"/>
  <c r="M9" i="19"/>
  <c r="G22" i="28"/>
  <c r="F278" i="39"/>
  <c r="F279" i="39" s="1"/>
  <c r="F197" i="37"/>
  <c r="F198" i="37" s="1"/>
  <c r="F225" i="37"/>
  <c r="F226" i="37" s="1"/>
  <c r="I200" i="42"/>
  <c r="N144" i="47"/>
  <c r="N138" i="47"/>
  <c r="N148" i="47"/>
  <c r="N140" i="47"/>
  <c r="N146" i="47"/>
  <c r="N147" i="47"/>
  <c r="N139" i="47"/>
  <c r="N141" i="47"/>
  <c r="N142" i="47"/>
  <c r="N145" i="47"/>
  <c r="N139" i="45"/>
  <c r="N147" i="45"/>
  <c r="N140" i="45"/>
  <c r="N146" i="45"/>
  <c r="N142" i="45"/>
  <c r="N144" i="45"/>
  <c r="N138" i="45"/>
  <c r="N141" i="45"/>
  <c r="N145" i="45"/>
  <c r="N148" i="45"/>
  <c r="K151" i="30"/>
  <c r="G78" i="29"/>
  <c r="L22" i="15"/>
  <c r="L84" i="15" s="1"/>
  <c r="M158" i="25"/>
  <c r="M165" i="25" s="1"/>
  <c r="M168" i="37"/>
  <c r="L22" i="45"/>
  <c r="L84" i="45" s="1"/>
  <c r="M25" i="34"/>
  <c r="M18" i="10"/>
  <c r="M165" i="35"/>
  <c r="M165" i="28"/>
  <c r="M165" i="38"/>
  <c r="L21" i="43"/>
  <c r="L83" i="43" s="1"/>
  <c r="M165" i="30"/>
  <c r="M165" i="39"/>
  <c r="M165" i="29"/>
  <c r="L22" i="47"/>
  <c r="L84" i="47" s="1"/>
  <c r="H67" i="30"/>
  <c r="H266" i="30"/>
  <c r="K120" i="28"/>
  <c r="K119" i="28" s="1"/>
  <c r="K175" i="28"/>
  <c r="K36" i="28"/>
  <c r="K35" i="28" s="1"/>
  <c r="K291" i="28"/>
  <c r="K290" i="28" s="1"/>
  <c r="K235" i="28"/>
  <c r="K234" i="28" s="1"/>
  <c r="K319" i="28"/>
  <c r="K318" i="28" s="1"/>
  <c r="K148" i="28"/>
  <c r="K147" i="28" s="1"/>
  <c r="K263" i="28"/>
  <c r="K262" i="28" s="1"/>
  <c r="K92" i="28"/>
  <c r="K91" i="28" s="1"/>
  <c r="K207" i="28"/>
  <c r="K206" i="28" s="1"/>
  <c r="K64" i="28"/>
  <c r="K63" i="28" s="1"/>
  <c r="P277" i="39"/>
  <c r="G44" i="11"/>
  <c r="F45" i="11"/>
  <c r="F75" i="11"/>
  <c r="G24" i="24"/>
  <c r="G28" i="24" s="1"/>
  <c r="K11" i="22" s="1"/>
  <c r="P274" i="39"/>
  <c r="I60" i="9"/>
  <c r="I98" i="9" s="1"/>
  <c r="J9" i="10" s="1"/>
  <c r="N14" i="9"/>
  <c r="G39" i="9"/>
  <c r="G54" i="9"/>
  <c r="G305" i="30"/>
  <c r="G106" i="30"/>
  <c r="J135" i="38"/>
  <c r="P302" i="39"/>
  <c r="G50" i="38"/>
  <c r="G277" i="38"/>
  <c r="G12" i="24"/>
  <c r="G49" i="11"/>
  <c r="F28" i="25"/>
  <c r="J309" i="37"/>
  <c r="J310" i="37" s="1"/>
  <c r="N104" i="46"/>
  <c r="H119" i="46"/>
  <c r="G308" i="37"/>
  <c r="L210" i="30"/>
  <c r="L322" i="30"/>
  <c r="D22" i="45"/>
  <c r="E158" i="25"/>
  <c r="D22" i="15"/>
  <c r="E165" i="28"/>
  <c r="E165" i="30"/>
  <c r="E165" i="35"/>
  <c r="E165" i="29"/>
  <c r="E168" i="37"/>
  <c r="E165" i="38"/>
  <c r="D21" i="43"/>
  <c r="E165" i="39"/>
  <c r="D22" i="47"/>
  <c r="E18" i="10"/>
  <c r="E25" i="34"/>
  <c r="I19" i="41"/>
  <c r="J110" i="37"/>
  <c r="J111" i="37" s="1"/>
  <c r="J306" i="39"/>
  <c r="J307" i="39" s="1"/>
  <c r="P75" i="39"/>
  <c r="K147" i="15"/>
  <c r="K139" i="15"/>
  <c r="K144" i="15"/>
  <c r="K145" i="15"/>
  <c r="K140" i="15"/>
  <c r="K141" i="15"/>
  <c r="K146" i="15"/>
  <c r="K148" i="15"/>
  <c r="K142" i="15"/>
  <c r="M144" i="15"/>
  <c r="M141" i="15"/>
  <c r="M147" i="15"/>
  <c r="M145" i="15"/>
  <c r="M139" i="15"/>
  <c r="M146" i="15"/>
  <c r="M148" i="15"/>
  <c r="M142" i="15"/>
  <c r="N291" i="38"/>
  <c r="N36" i="38"/>
  <c r="N263" i="38"/>
  <c r="N235" i="38"/>
  <c r="N207" i="38"/>
  <c r="N148" i="38"/>
  <c r="N120" i="38"/>
  <c r="N319" i="38"/>
  <c r="N92" i="38"/>
  <c r="N64" i="38"/>
  <c r="N175" i="38"/>
  <c r="G50" i="28"/>
  <c r="E103" i="18"/>
  <c r="J8" i="19"/>
  <c r="F79" i="37"/>
  <c r="F80" i="37" s="1"/>
  <c r="F110" i="37"/>
  <c r="F111" i="37" s="1"/>
  <c r="F138" i="37"/>
  <c r="F139" i="37" s="1"/>
  <c r="J107" i="39"/>
  <c r="J108" i="39" s="1"/>
  <c r="M110" i="42"/>
  <c r="L123" i="42"/>
  <c r="L124" i="42"/>
  <c r="K39" i="35"/>
  <c r="K151" i="35"/>
  <c r="K294" i="35"/>
  <c r="K95" i="35"/>
  <c r="K67" i="35"/>
  <c r="K322" i="35"/>
  <c r="K238" i="35"/>
  <c r="K123" i="35"/>
  <c r="K266" i="35"/>
  <c r="K210" i="35"/>
  <c r="G106" i="29"/>
  <c r="L97" i="18"/>
  <c r="AE9" i="19"/>
  <c r="H67" i="38"/>
  <c r="H266" i="38"/>
  <c r="H123" i="38"/>
  <c r="G22" i="30"/>
  <c r="G50" i="37"/>
  <c r="P78" i="39"/>
  <c r="L263" i="39"/>
  <c r="L235" i="39"/>
  <c r="L207" i="39"/>
  <c r="L148" i="39"/>
  <c r="L120" i="39"/>
  <c r="L92" i="39"/>
  <c r="L64" i="39"/>
  <c r="L319" i="39"/>
  <c r="L36" i="39"/>
  <c r="L291" i="39"/>
  <c r="L175" i="39"/>
  <c r="I92" i="11"/>
  <c r="I93" i="11"/>
  <c r="H95" i="11"/>
  <c r="H118" i="11"/>
  <c r="N96" i="46"/>
  <c r="I99" i="46" s="1"/>
  <c r="I101" i="45" s="1"/>
  <c r="N54" i="46"/>
  <c r="N43" i="46"/>
  <c r="O43" i="46" s="1"/>
  <c r="N67" i="46"/>
  <c r="O67" i="46" s="1"/>
  <c r="N92" i="46"/>
  <c r="N105" i="46"/>
  <c r="N152" i="46"/>
  <c r="O152" i="46" s="1"/>
  <c r="N176" i="46"/>
  <c r="O176" i="46" s="1"/>
  <c r="N210" i="46"/>
  <c r="O210" i="46" s="1"/>
  <c r="N235" i="46"/>
  <c r="N30" i="46"/>
  <c r="O30" i="46" s="1"/>
  <c r="N68" i="46"/>
  <c r="O68" i="46" s="1"/>
  <c r="N74" i="46"/>
  <c r="O74" i="46" s="1"/>
  <c r="N147" i="46"/>
  <c r="O147" i="46" s="1"/>
  <c r="N173" i="46"/>
  <c r="N197" i="46"/>
  <c r="N232" i="46"/>
  <c r="O232" i="46" s="1"/>
  <c r="N25" i="46"/>
  <c r="O25" i="46" s="1"/>
  <c r="N135" i="46"/>
  <c r="O135" i="46" s="1"/>
  <c r="N138" i="46"/>
  <c r="O118" i="46"/>
  <c r="I121" i="46" s="1"/>
  <c r="I29" i="45" s="1"/>
  <c r="O97" i="46"/>
  <c r="N45" i="46"/>
  <c r="N69" i="46"/>
  <c r="O69" i="46" s="1"/>
  <c r="N94" i="46"/>
  <c r="O94" i="46" s="1"/>
  <c r="N107" i="46"/>
  <c r="O107" i="46" s="1"/>
  <c r="N154" i="46"/>
  <c r="O154" i="46" s="1"/>
  <c r="N178" i="46"/>
  <c r="N212" i="46"/>
  <c r="O212" i="46" s="1"/>
  <c r="N237" i="46"/>
  <c r="N32" i="46"/>
  <c r="N85" i="46"/>
  <c r="O85" i="46" s="1"/>
  <c r="N91" i="46"/>
  <c r="N149" i="46"/>
  <c r="O149" i="46" s="1"/>
  <c r="N175" i="46"/>
  <c r="O175" i="46" s="1"/>
  <c r="N199" i="46"/>
  <c r="O199" i="46" s="1"/>
  <c r="N234" i="46"/>
  <c r="N27" i="46"/>
  <c r="O27" i="46" s="1"/>
  <c r="N137" i="46"/>
  <c r="O137" i="46" s="1"/>
  <c r="P20" i="46"/>
  <c r="N33" i="46"/>
  <c r="I36" i="46" s="1"/>
  <c r="I98" i="45" s="1"/>
  <c r="N159" i="46"/>
  <c r="I162" i="46" s="1"/>
  <c r="I104" i="45" s="1"/>
  <c r="N47" i="46"/>
  <c r="N71" i="46"/>
  <c r="O71" i="46" s="1"/>
  <c r="N44" i="46"/>
  <c r="N109" i="46"/>
  <c r="O109" i="46" s="1"/>
  <c r="N156" i="46"/>
  <c r="O156" i="46" s="1"/>
  <c r="N190" i="46"/>
  <c r="N214" i="46"/>
  <c r="N239" i="46"/>
  <c r="O239" i="46" s="1"/>
  <c r="N126" i="46"/>
  <c r="N93" i="46"/>
  <c r="O93" i="46" s="1"/>
  <c r="N106" i="46"/>
  <c r="O106" i="46" s="1"/>
  <c r="N151" i="46"/>
  <c r="O151" i="46" s="1"/>
  <c r="N177" i="46"/>
  <c r="O177" i="46" s="1"/>
  <c r="N211" i="46"/>
  <c r="O211" i="46" s="1"/>
  <c r="N236" i="46"/>
  <c r="O236" i="46" s="1"/>
  <c r="N29" i="46"/>
  <c r="O29" i="46" s="1"/>
  <c r="N64" i="46"/>
  <c r="O64" i="46" s="1"/>
  <c r="O55" i="46"/>
  <c r="O34" i="46"/>
  <c r="I37" i="46" s="1"/>
  <c r="I25" i="45" s="1"/>
  <c r="N222" i="46"/>
  <c r="I225" i="46" s="1"/>
  <c r="I107" i="45" s="1"/>
  <c r="N49" i="46"/>
  <c r="O49" i="46" s="1"/>
  <c r="N73" i="46"/>
  <c r="O73" i="46" s="1"/>
  <c r="N48" i="46"/>
  <c r="N111" i="46"/>
  <c r="O111" i="46" s="1"/>
  <c r="N158" i="46"/>
  <c r="O158" i="46" s="1"/>
  <c r="N192" i="46"/>
  <c r="N216" i="46"/>
  <c r="N241" i="46"/>
  <c r="N128" i="46"/>
  <c r="O128" i="46" s="1"/>
  <c r="I35" i="46"/>
  <c r="N108" i="46"/>
  <c r="N153" i="46"/>
  <c r="O153" i="46" s="1"/>
  <c r="N179" i="46"/>
  <c r="O179" i="46" s="1"/>
  <c r="N213" i="46"/>
  <c r="N238" i="46"/>
  <c r="N31" i="46"/>
  <c r="O31" i="46" s="1"/>
  <c r="N72" i="46"/>
  <c r="O76" i="46"/>
  <c r="I79" i="46" s="1"/>
  <c r="I27" i="45" s="1"/>
  <c r="N117" i="46"/>
  <c r="O202" i="46"/>
  <c r="N51" i="46"/>
  <c r="O51" i="46" s="1"/>
  <c r="N84" i="46"/>
  <c r="O84" i="46" s="1"/>
  <c r="N52" i="46"/>
  <c r="N113" i="46"/>
  <c r="O113" i="46" s="1"/>
  <c r="N168" i="46"/>
  <c r="O168" i="46" s="1"/>
  <c r="N194" i="46"/>
  <c r="O194" i="46" s="1"/>
  <c r="N218" i="46"/>
  <c r="O218" i="46" s="1"/>
  <c r="N22" i="46"/>
  <c r="O22" i="46" s="1"/>
  <c r="N130" i="46"/>
  <c r="O130" i="46" s="1"/>
  <c r="N42" i="46"/>
  <c r="N110" i="46"/>
  <c r="N155" i="46"/>
  <c r="O155" i="46" s="1"/>
  <c r="N189" i="46"/>
  <c r="O189" i="46" s="1"/>
  <c r="N215" i="46"/>
  <c r="N240" i="46"/>
  <c r="O240" i="46" s="1"/>
  <c r="N127" i="46"/>
  <c r="O127" i="46" s="1"/>
  <c r="N89" i="46"/>
  <c r="O89" i="46" s="1"/>
  <c r="N75" i="46"/>
  <c r="I78" i="46" s="1"/>
  <c r="I100" i="45" s="1"/>
  <c r="O139" i="46"/>
  <c r="I142" i="46" s="1"/>
  <c r="I30" i="45" s="1"/>
  <c r="O244" i="46"/>
  <c r="I247" i="46" s="1"/>
  <c r="I35" i="45" s="1"/>
  <c r="N53" i="46"/>
  <c r="N86" i="46"/>
  <c r="O86" i="46" s="1"/>
  <c r="N70" i="46"/>
  <c r="O70" i="46" s="1"/>
  <c r="N115" i="46"/>
  <c r="N170" i="46"/>
  <c r="N196" i="46"/>
  <c r="N220" i="46"/>
  <c r="N24" i="46"/>
  <c r="N132" i="46"/>
  <c r="O132" i="46" s="1"/>
  <c r="N46" i="46"/>
  <c r="O46" i="46" s="1"/>
  <c r="N112" i="46"/>
  <c r="N157" i="46"/>
  <c r="O157" i="46" s="1"/>
  <c r="N191" i="46"/>
  <c r="O191" i="46" s="1"/>
  <c r="N217" i="46"/>
  <c r="N242" i="46"/>
  <c r="N129" i="46"/>
  <c r="O129" i="46" s="1"/>
  <c r="O160" i="46"/>
  <c r="I163" i="46" s="1"/>
  <c r="I31" i="45" s="1"/>
  <c r="O181" i="46"/>
  <c r="I184" i="46" s="1"/>
  <c r="I32" i="45" s="1"/>
  <c r="N201" i="46"/>
  <c r="N63" i="46"/>
  <c r="O63" i="46" s="1"/>
  <c r="N88" i="46"/>
  <c r="N87" i="46"/>
  <c r="O87" i="46" s="1"/>
  <c r="N148" i="46"/>
  <c r="O148" i="46" s="1"/>
  <c r="N172" i="46"/>
  <c r="O172" i="46" s="1"/>
  <c r="N198" i="46"/>
  <c r="O198" i="46" s="1"/>
  <c r="N231" i="46"/>
  <c r="N26" i="46"/>
  <c r="N134" i="46"/>
  <c r="O134" i="46" s="1"/>
  <c r="N50" i="46"/>
  <c r="O50" i="46" s="1"/>
  <c r="N114" i="46"/>
  <c r="N169" i="46"/>
  <c r="O169" i="46" s="1"/>
  <c r="N193" i="46"/>
  <c r="N219" i="46"/>
  <c r="N21" i="46"/>
  <c r="N131" i="46"/>
  <c r="O131" i="46" s="1"/>
  <c r="N180" i="46"/>
  <c r="O223" i="46"/>
  <c r="I226" i="46" s="1"/>
  <c r="I34" i="45" s="1"/>
  <c r="N243" i="46"/>
  <c r="N65" i="46"/>
  <c r="O65" i="46" s="1"/>
  <c r="N90" i="46"/>
  <c r="O90" i="46" s="1"/>
  <c r="N95" i="46"/>
  <c r="O95" i="46" s="1"/>
  <c r="N150" i="46"/>
  <c r="O150" i="46" s="1"/>
  <c r="N174" i="46"/>
  <c r="O174" i="46" s="1"/>
  <c r="N200" i="46"/>
  <c r="N233" i="46"/>
  <c r="N28" i="46"/>
  <c r="O28" i="46" s="1"/>
  <c r="N136" i="46"/>
  <c r="O136" i="46" s="1"/>
  <c r="N66" i="46"/>
  <c r="O66" i="46" s="1"/>
  <c r="N116" i="46"/>
  <c r="O116" i="46" s="1"/>
  <c r="N171" i="46"/>
  <c r="N195" i="46"/>
  <c r="N221" i="46"/>
  <c r="N23" i="46"/>
  <c r="O23" i="46" s="1"/>
  <c r="N133" i="46"/>
  <c r="O133" i="46" s="1"/>
  <c r="H19" i="29"/>
  <c r="H22" i="29" s="1"/>
  <c r="H274" i="29"/>
  <c r="H277" i="29" s="1"/>
  <c r="H47" i="29"/>
  <c r="H50" i="29" s="1"/>
  <c r="H302" i="29"/>
  <c r="H305" i="29" s="1"/>
  <c r="H75" i="29"/>
  <c r="H78" i="29" s="1"/>
  <c r="H103" i="29"/>
  <c r="H106" i="29" s="1"/>
  <c r="H131" i="29"/>
  <c r="H134" i="29" s="1"/>
  <c r="H190" i="29"/>
  <c r="H193" i="29" s="1"/>
  <c r="H246" i="29"/>
  <c r="H249" i="29" s="1"/>
  <c r="H218" i="29"/>
  <c r="H221" i="29" s="1"/>
  <c r="H162" i="29"/>
  <c r="N36" i="35"/>
  <c r="N291" i="35"/>
  <c r="N235" i="35"/>
  <c r="N319" i="35"/>
  <c r="N148" i="35"/>
  <c r="N263" i="35"/>
  <c r="N92" i="35"/>
  <c r="N207" i="35"/>
  <c r="N120" i="35"/>
  <c r="N64" i="35"/>
  <c r="N175" i="35"/>
  <c r="J138" i="37"/>
  <c r="J139" i="37" s="1"/>
  <c r="P221" i="39"/>
  <c r="N140" i="43"/>
  <c r="N141" i="43"/>
  <c r="N137" i="43"/>
  <c r="N143" i="43"/>
  <c r="N144" i="43"/>
  <c r="N145" i="43"/>
  <c r="N138" i="43"/>
  <c r="N146" i="43"/>
  <c r="N139" i="43"/>
  <c r="N147" i="43"/>
  <c r="J51" i="38"/>
  <c r="J52" i="38" s="1"/>
  <c r="G277" i="29"/>
  <c r="J143" i="43"/>
  <c r="J140" i="43"/>
  <c r="J139" i="43"/>
  <c r="J145" i="43"/>
  <c r="J144" i="43"/>
  <c r="J138" i="43"/>
  <c r="J141" i="43"/>
  <c r="J137" i="43"/>
  <c r="G106" i="38"/>
  <c r="H52" i="11"/>
  <c r="G53" i="11"/>
  <c r="H25" i="24"/>
  <c r="H60" i="11"/>
  <c r="G61" i="11"/>
  <c r="H26" i="24"/>
  <c r="J107" i="38"/>
  <c r="J108" i="38" s="1"/>
  <c r="G22" i="35"/>
  <c r="G249" i="35"/>
  <c r="G106" i="35"/>
  <c r="G305" i="35"/>
  <c r="G221" i="35"/>
  <c r="G193" i="35"/>
  <c r="G78" i="35"/>
  <c r="G50" i="35"/>
  <c r="G277" i="35"/>
  <c r="G134" i="35"/>
  <c r="G193" i="30"/>
  <c r="G22" i="38"/>
  <c r="G193" i="38"/>
  <c r="P193" i="39"/>
  <c r="F121" i="45"/>
  <c r="F121" i="15"/>
  <c r="G176" i="35"/>
  <c r="G179" i="37"/>
  <c r="G36" i="34"/>
  <c r="G35" i="34" s="1"/>
  <c r="F120" i="43"/>
  <c r="F121" i="47"/>
  <c r="G176" i="30"/>
  <c r="G176" i="28"/>
  <c r="G176" i="29"/>
  <c r="G176" i="39"/>
  <c r="G176" i="38"/>
  <c r="G21" i="10"/>
  <c r="G280" i="37"/>
  <c r="G224" i="37"/>
  <c r="L39" i="28"/>
  <c r="L322" i="28"/>
  <c r="L266" i="28"/>
  <c r="L210" i="28"/>
  <c r="L294" i="28"/>
  <c r="L123" i="28"/>
  <c r="L238" i="28"/>
  <c r="L67" i="28"/>
  <c r="L151" i="28"/>
  <c r="L95" i="28"/>
  <c r="F168" i="37"/>
  <c r="F93" i="18"/>
  <c r="H165" i="38"/>
  <c r="H165" i="39"/>
  <c r="H168" i="37"/>
  <c r="H18" i="10"/>
  <c r="H165" i="35"/>
  <c r="H158" i="25"/>
  <c r="H165" i="25" s="1"/>
  <c r="G21" i="43"/>
  <c r="G83" i="43" s="1"/>
  <c r="H165" i="28"/>
  <c r="G22" i="47"/>
  <c r="G84" i="47" s="1"/>
  <c r="H165" i="29"/>
  <c r="G22" i="45"/>
  <c r="G84" i="45" s="1"/>
  <c r="H25" i="34"/>
  <c r="H165" i="30"/>
  <c r="G22" i="15"/>
  <c r="G84" i="15" s="1"/>
  <c r="P190" i="39"/>
  <c r="L294" i="37"/>
  <c r="L36" i="37"/>
  <c r="L266" i="37"/>
  <c r="L238" i="37"/>
  <c r="L210" i="37"/>
  <c r="L151" i="37"/>
  <c r="L123" i="37"/>
  <c r="L92" i="37"/>
  <c r="L322" i="37"/>
  <c r="L64" i="37"/>
  <c r="L178" i="37"/>
  <c r="H103" i="30"/>
  <c r="H106" i="30" s="1"/>
  <c r="H131" i="30"/>
  <c r="H134" i="30" s="1"/>
  <c r="H190" i="30"/>
  <c r="H193" i="30" s="1"/>
  <c r="H218" i="30"/>
  <c r="H221" i="30" s="1"/>
  <c r="H19" i="30"/>
  <c r="H22" i="30" s="1"/>
  <c r="H246" i="30"/>
  <c r="H249" i="30" s="1"/>
  <c r="H274" i="30"/>
  <c r="H277" i="30" s="1"/>
  <c r="H75" i="30"/>
  <c r="H78" i="30" s="1"/>
  <c r="H47" i="30"/>
  <c r="H50" i="30" s="1"/>
  <c r="H302" i="30"/>
  <c r="H305" i="30" s="1"/>
  <c r="H162" i="30"/>
  <c r="J278" i="39"/>
  <c r="J279" i="39" s="1"/>
  <c r="J97" i="18"/>
  <c r="Y9" i="19"/>
  <c r="P218" i="39"/>
  <c r="G193" i="28"/>
  <c r="G249" i="28"/>
  <c r="F281" i="37"/>
  <c r="F282" i="37" s="1"/>
  <c r="F278" i="38"/>
  <c r="F279" i="38" s="1"/>
  <c r="F306" i="38"/>
  <c r="F307" i="38" s="1"/>
  <c r="P19" i="39"/>
  <c r="G50" i="29"/>
  <c r="K263" i="29"/>
  <c r="K36" i="29"/>
  <c r="K207" i="29"/>
  <c r="K120" i="29"/>
  <c r="K64" i="29"/>
  <c r="K92" i="29"/>
  <c r="K148" i="29"/>
  <c r="K235" i="29"/>
  <c r="K319" i="29"/>
  <c r="K291" i="29"/>
  <c r="K175" i="29"/>
  <c r="K291" i="38"/>
  <c r="K36" i="38"/>
  <c r="K263" i="38"/>
  <c r="K235" i="38"/>
  <c r="K207" i="38"/>
  <c r="K148" i="38"/>
  <c r="K120" i="38"/>
  <c r="K92" i="38"/>
  <c r="K319" i="38"/>
  <c r="K64" i="38"/>
  <c r="K175" i="38"/>
  <c r="G109" i="37"/>
  <c r="P305" i="39"/>
  <c r="M22" i="45"/>
  <c r="M84" i="45" s="1"/>
  <c r="N25" i="34"/>
  <c r="M22" i="15"/>
  <c r="M84" i="15" s="1"/>
  <c r="N165" i="28"/>
  <c r="N168" i="37"/>
  <c r="N158" i="25"/>
  <c r="N165" i="25" s="1"/>
  <c r="N165" i="35"/>
  <c r="N18" i="10"/>
  <c r="M21" i="43"/>
  <c r="M83" i="43" s="1"/>
  <c r="N165" i="30"/>
  <c r="N165" i="38"/>
  <c r="N165" i="29"/>
  <c r="N165" i="39"/>
  <c r="M22" i="47"/>
  <c r="M84" i="47" s="1"/>
  <c r="G182" i="37"/>
  <c r="G179" i="39"/>
  <c r="F134" i="43"/>
  <c r="G179" i="38"/>
  <c r="F135" i="47"/>
  <c r="F135" i="15"/>
  <c r="G39" i="34"/>
  <c r="G179" i="28"/>
  <c r="F135" i="45"/>
  <c r="G179" i="35"/>
  <c r="G179" i="30"/>
  <c r="G179" i="29"/>
  <c r="G78" i="38"/>
  <c r="P125" i="46"/>
  <c r="I140" i="46"/>
  <c r="P103" i="39"/>
  <c r="P50" i="39"/>
  <c r="G22" i="37"/>
  <c r="E97" i="18"/>
  <c r="J9" i="19"/>
  <c r="E98" i="9"/>
  <c r="F9" i="10" s="1"/>
  <c r="G97" i="18"/>
  <c r="P9" i="19"/>
  <c r="L148" i="38"/>
  <c r="L175" i="38"/>
  <c r="L120" i="38"/>
  <c r="L36" i="38"/>
  <c r="L92" i="38"/>
  <c r="L319" i="38"/>
  <c r="L64" i="38"/>
  <c r="L291" i="38"/>
  <c r="L263" i="38"/>
  <c r="L235" i="38"/>
  <c r="L207" i="38"/>
  <c r="L92" i="28"/>
  <c r="L91" i="28" s="1"/>
  <c r="L64" i="28"/>
  <c r="L63" i="28" s="1"/>
  <c r="L319" i="28"/>
  <c r="L318" i="28" s="1"/>
  <c r="L263" i="28"/>
  <c r="L262" i="28" s="1"/>
  <c r="L36" i="28"/>
  <c r="L35" i="28" s="1"/>
  <c r="L207" i="28"/>
  <c r="L206" i="28" s="1"/>
  <c r="L291" i="28"/>
  <c r="L290" i="28" s="1"/>
  <c r="L120" i="28"/>
  <c r="L119" i="28" s="1"/>
  <c r="L235" i="28"/>
  <c r="L234" i="28" s="1"/>
  <c r="L175" i="28"/>
  <c r="L148" i="28"/>
  <c r="L147" i="28" s="1"/>
  <c r="H103" i="28"/>
  <c r="H106" i="28" s="1"/>
  <c r="H47" i="28"/>
  <c r="H50" i="28" s="1"/>
  <c r="H131" i="28"/>
  <c r="H134" i="28" s="1"/>
  <c r="H190" i="28"/>
  <c r="H193" i="28" s="1"/>
  <c r="H302" i="28"/>
  <c r="H305" i="28" s="1"/>
  <c r="H274" i="28"/>
  <c r="H277" i="28" s="1"/>
  <c r="H218" i="28"/>
  <c r="H221" i="28" s="1"/>
  <c r="H246" i="28"/>
  <c r="H249" i="28" s="1"/>
  <c r="H75" i="28"/>
  <c r="H78" i="28" s="1"/>
  <c r="H19" i="28"/>
  <c r="H22" i="28" s="1"/>
  <c r="H162" i="28"/>
  <c r="N263" i="28"/>
  <c r="N36" i="28"/>
  <c r="N207" i="28"/>
  <c r="N291" i="28"/>
  <c r="N120" i="28"/>
  <c r="N235" i="28"/>
  <c r="N148" i="28"/>
  <c r="N92" i="28"/>
  <c r="N319" i="28"/>
  <c r="N175" i="28"/>
  <c r="N64" i="28"/>
  <c r="J23" i="37"/>
  <c r="J24" i="37" s="1"/>
  <c r="H77" i="9"/>
  <c r="H95" i="9" s="1"/>
  <c r="I11" i="10"/>
  <c r="G106" i="28"/>
  <c r="G277" i="28"/>
  <c r="F250" i="38"/>
  <c r="F251" i="38" s="1"/>
  <c r="F23" i="38"/>
  <c r="F24" i="38" s="1"/>
  <c r="F135" i="39"/>
  <c r="F136" i="39" s="1"/>
  <c r="F194" i="39"/>
  <c r="F195" i="39" s="1"/>
  <c r="J194" i="39"/>
  <c r="J195" i="39" s="1"/>
  <c r="K322" i="38"/>
  <c r="K266" i="38"/>
  <c r="K210" i="38"/>
  <c r="K39" i="38"/>
  <c r="K123" i="38"/>
  <c r="K294" i="38"/>
  <c r="K67" i="38"/>
  <c r="K238" i="38"/>
  <c r="K151" i="38"/>
  <c r="K95" i="38"/>
  <c r="G249" i="29"/>
  <c r="K151" i="37"/>
  <c r="K123" i="37"/>
  <c r="K92" i="37"/>
  <c r="K322" i="37"/>
  <c r="K64" i="37"/>
  <c r="K294" i="37"/>
  <c r="K36" i="37"/>
  <c r="K266" i="37"/>
  <c r="K238" i="37"/>
  <c r="K210" i="37"/>
  <c r="K178" i="37"/>
  <c r="P21" i="8"/>
  <c r="P51" i="18" s="1"/>
  <c r="P14" i="8"/>
  <c r="P50" i="18" s="1"/>
  <c r="P106" i="39"/>
  <c r="G50" i="30"/>
  <c r="K43" i="9"/>
  <c r="J44" i="9"/>
  <c r="G134" i="38"/>
  <c r="P47" i="39"/>
  <c r="G196" i="37"/>
  <c r="L95" i="39"/>
  <c r="L67" i="39"/>
  <c r="L238" i="39"/>
  <c r="L210" i="39"/>
  <c r="L294" i="39"/>
  <c r="L151" i="39"/>
  <c r="L39" i="39"/>
  <c r="L322" i="39"/>
  <c r="L266" i="39"/>
  <c r="L123" i="39"/>
  <c r="L291" i="35"/>
  <c r="L120" i="35"/>
  <c r="L235" i="35"/>
  <c r="L64" i="35"/>
  <c r="L148" i="35"/>
  <c r="L92" i="35"/>
  <c r="L36" i="35"/>
  <c r="L319" i="35"/>
  <c r="L263" i="35"/>
  <c r="L175" i="35"/>
  <c r="L207" i="35"/>
  <c r="J281" i="37"/>
  <c r="G134" i="28"/>
  <c r="G221" i="28"/>
  <c r="F23" i="37"/>
  <c r="F24" i="37" s="1"/>
  <c r="F306" i="39"/>
  <c r="F307" i="39" s="1"/>
  <c r="F79" i="39"/>
  <c r="F80" i="39" s="1"/>
  <c r="F51" i="38"/>
  <c r="F52" i="38" s="1"/>
  <c r="J222" i="38"/>
  <c r="J223" i="38" s="1"/>
  <c r="G193" i="29"/>
  <c r="K92" i="30"/>
  <c r="K91" i="30" s="1"/>
  <c r="K36" i="30"/>
  <c r="K35" i="30" s="1"/>
  <c r="K64" i="30"/>
  <c r="K63" i="30" s="1"/>
  <c r="K263" i="30"/>
  <c r="K262" i="30" s="1"/>
  <c r="K319" i="30"/>
  <c r="K318" i="30" s="1"/>
  <c r="K207" i="30"/>
  <c r="K206" i="30" s="1"/>
  <c r="K291" i="30"/>
  <c r="K290" i="30" s="1"/>
  <c r="K120" i="30"/>
  <c r="K119" i="30" s="1"/>
  <c r="K235" i="30"/>
  <c r="K234" i="30" s="1"/>
  <c r="K148" i="30"/>
  <c r="K147" i="30" s="1"/>
  <c r="K175" i="30"/>
  <c r="K235" i="39"/>
  <c r="K207" i="39"/>
  <c r="K175" i="39"/>
  <c r="K148" i="39"/>
  <c r="K36" i="39"/>
  <c r="K120" i="39"/>
  <c r="K92" i="39"/>
  <c r="K64" i="39"/>
  <c r="K319" i="39"/>
  <c r="K291" i="39"/>
  <c r="K263" i="39"/>
  <c r="P167" i="46"/>
  <c r="I182" i="46"/>
  <c r="O14" i="9"/>
  <c r="AH9" i="19" l="1"/>
  <c r="F165" i="38"/>
  <c r="F158" i="25"/>
  <c r="F165" i="25" s="1"/>
  <c r="K238" i="30"/>
  <c r="E22" i="47"/>
  <c r="E84" i="47" s="1"/>
  <c r="F165" i="35"/>
  <c r="E22" i="45"/>
  <c r="E84" i="45" s="1"/>
  <c r="F25" i="34"/>
  <c r="F165" i="29"/>
  <c r="F137" i="29" s="1"/>
  <c r="F165" i="28"/>
  <c r="K165" i="29"/>
  <c r="N151" i="35"/>
  <c r="K181" i="30"/>
  <c r="F18" i="10"/>
  <c r="E22" i="15"/>
  <c r="E84" i="15" s="1"/>
  <c r="K18" i="10"/>
  <c r="F165" i="30"/>
  <c r="F109" i="30" s="1"/>
  <c r="F165" i="39"/>
  <c r="N266" i="38"/>
  <c r="N241" i="37"/>
  <c r="N266" i="39"/>
  <c r="N151" i="39"/>
  <c r="J165" i="39"/>
  <c r="K95" i="29"/>
  <c r="K144" i="43"/>
  <c r="J18" i="10"/>
  <c r="K210" i="29"/>
  <c r="K140" i="43"/>
  <c r="J158" i="25"/>
  <c r="J165" i="25" s="1"/>
  <c r="K39" i="29"/>
  <c r="H210" i="30"/>
  <c r="K266" i="29"/>
  <c r="H95" i="30"/>
  <c r="N210" i="39"/>
  <c r="N322" i="39"/>
  <c r="N95" i="39"/>
  <c r="N238" i="39"/>
  <c r="N123" i="38"/>
  <c r="N238" i="38"/>
  <c r="N210" i="38"/>
  <c r="N151" i="38"/>
  <c r="N294" i="39"/>
  <c r="N67" i="39"/>
  <c r="N39" i="39"/>
  <c r="N67" i="35"/>
  <c r="J165" i="28"/>
  <c r="J165" i="30"/>
  <c r="J146" i="15"/>
  <c r="K137" i="43"/>
  <c r="I22" i="15"/>
  <c r="I84" i="15" s="1"/>
  <c r="I21" i="43"/>
  <c r="I83" i="43" s="1"/>
  <c r="J142" i="15"/>
  <c r="K145" i="43"/>
  <c r="N210" i="35"/>
  <c r="N294" i="35"/>
  <c r="J168" i="37"/>
  <c r="J165" i="38"/>
  <c r="J308" i="38" s="1"/>
  <c r="J145" i="15"/>
  <c r="K143" i="43"/>
  <c r="N266" i="35"/>
  <c r="N39" i="35"/>
  <c r="N39" i="30"/>
  <c r="N67" i="38"/>
  <c r="N322" i="38"/>
  <c r="J25" i="34"/>
  <c r="N294" i="30"/>
  <c r="N266" i="30"/>
  <c r="N238" i="30"/>
  <c r="N95" i="30"/>
  <c r="N210" i="30"/>
  <c r="L39" i="30"/>
  <c r="L95" i="30"/>
  <c r="K322" i="30"/>
  <c r="K324" i="30" s="1"/>
  <c r="K241" i="37"/>
  <c r="L151" i="30"/>
  <c r="K39" i="30"/>
  <c r="K41" i="30" s="1"/>
  <c r="K95" i="37"/>
  <c r="L238" i="30"/>
  <c r="K67" i="30"/>
  <c r="K297" i="37"/>
  <c r="L67" i="30"/>
  <c r="K123" i="30"/>
  <c r="K125" i="30" s="1"/>
  <c r="K67" i="37"/>
  <c r="L294" i="30"/>
  <c r="K95" i="30"/>
  <c r="K97" i="30" s="1"/>
  <c r="K294" i="30"/>
  <c r="K296" i="30" s="1"/>
  <c r="K126" i="37"/>
  <c r="L266" i="30"/>
  <c r="K266" i="30"/>
  <c r="K268" i="30" s="1"/>
  <c r="K39" i="37"/>
  <c r="N95" i="37"/>
  <c r="N126" i="37"/>
  <c r="L41" i="34"/>
  <c r="N39" i="37"/>
  <c r="N325" i="37"/>
  <c r="N297" i="37"/>
  <c r="N269" i="37"/>
  <c r="N154" i="37"/>
  <c r="N213" i="37"/>
  <c r="N151" i="30"/>
  <c r="N123" i="30"/>
  <c r="N67" i="30"/>
  <c r="J254" i="35"/>
  <c r="J142" i="37"/>
  <c r="J83" i="35"/>
  <c r="J139" i="35"/>
  <c r="J111" i="35"/>
  <c r="J282" i="35"/>
  <c r="J226" i="35"/>
  <c r="J310" i="35"/>
  <c r="J55" i="35"/>
  <c r="J226" i="29"/>
  <c r="D64" i="43"/>
  <c r="O63" i="43"/>
  <c r="O64" i="47"/>
  <c r="D65" i="47"/>
  <c r="D65" i="45"/>
  <c r="O64" i="45"/>
  <c r="J313" i="37"/>
  <c r="J229" i="37"/>
  <c r="J27" i="37"/>
  <c r="J285" i="37"/>
  <c r="N181" i="30"/>
  <c r="J257" i="37"/>
  <c r="J55" i="37"/>
  <c r="J83" i="37"/>
  <c r="J201" i="37"/>
  <c r="N320" i="30"/>
  <c r="N208" i="30"/>
  <c r="P208" i="30" s="1"/>
  <c r="N121" i="30"/>
  <c r="P121" i="30" s="1"/>
  <c r="N149" i="30"/>
  <c r="N147" i="30" s="1"/>
  <c r="N292" i="30"/>
  <c r="P292" i="30" s="1"/>
  <c r="N264" i="30"/>
  <c r="P264" i="30" s="1"/>
  <c r="N236" i="30"/>
  <c r="P236" i="30" s="1"/>
  <c r="N65" i="30"/>
  <c r="P65" i="30" s="1"/>
  <c r="N37" i="30"/>
  <c r="P37" i="30" s="1"/>
  <c r="N93" i="30"/>
  <c r="P93" i="30" s="1"/>
  <c r="P177" i="30"/>
  <c r="N35" i="30"/>
  <c r="N264" i="29"/>
  <c r="P264" i="29" s="1"/>
  <c r="N65" i="29"/>
  <c r="P65" i="29" s="1"/>
  <c r="N121" i="29"/>
  <c r="P121" i="29" s="1"/>
  <c r="N37" i="29"/>
  <c r="P37" i="29" s="1"/>
  <c r="N208" i="29"/>
  <c r="P208" i="29" s="1"/>
  <c r="N320" i="29"/>
  <c r="P320" i="29" s="1"/>
  <c r="N292" i="29"/>
  <c r="P292" i="29" s="1"/>
  <c r="N236" i="29"/>
  <c r="P236" i="29" s="1"/>
  <c r="N149" i="29"/>
  <c r="P149" i="29" s="1"/>
  <c r="N93" i="29"/>
  <c r="P93" i="29" s="1"/>
  <c r="N91" i="30"/>
  <c r="P37" i="39"/>
  <c r="Q177" i="28"/>
  <c r="P170" i="25"/>
  <c r="Q177" i="30"/>
  <c r="Q177" i="39"/>
  <c r="Q177" i="38"/>
  <c r="J254" i="38"/>
  <c r="J310" i="28"/>
  <c r="J226" i="30"/>
  <c r="N234" i="30"/>
  <c r="J282" i="38"/>
  <c r="J55" i="28"/>
  <c r="J139" i="30"/>
  <c r="N41" i="34"/>
  <c r="N267" i="37"/>
  <c r="P267" i="37" s="1"/>
  <c r="N323" i="37"/>
  <c r="P323" i="37" s="1"/>
  <c r="N152" i="37"/>
  <c r="P152" i="37" s="1"/>
  <c r="N239" i="37"/>
  <c r="P239" i="37" s="1"/>
  <c r="N93" i="37"/>
  <c r="P93" i="37" s="1"/>
  <c r="N124" i="37"/>
  <c r="P124" i="37" s="1"/>
  <c r="N211" i="37"/>
  <c r="P211" i="37" s="1"/>
  <c r="N37" i="37"/>
  <c r="P37" i="37" s="1"/>
  <c r="N295" i="37"/>
  <c r="P295" i="37" s="1"/>
  <c r="N65" i="37"/>
  <c r="P65" i="37" s="1"/>
  <c r="P180" i="37"/>
  <c r="N37" i="28"/>
  <c r="P37" i="28" s="1"/>
  <c r="N149" i="28"/>
  <c r="P149" i="28" s="1"/>
  <c r="N320" i="28"/>
  <c r="P320" i="28" s="1"/>
  <c r="N292" i="28"/>
  <c r="N65" i="28"/>
  <c r="N236" i="28"/>
  <c r="N208" i="28"/>
  <c r="P208" i="28" s="1"/>
  <c r="N121" i="28"/>
  <c r="P121" i="28" s="1"/>
  <c r="N264" i="28"/>
  <c r="P264" i="28" s="1"/>
  <c r="N93" i="28"/>
  <c r="P93" i="28" s="1"/>
  <c r="P177" i="28"/>
  <c r="N318" i="28"/>
  <c r="N63" i="30"/>
  <c r="J310" i="38"/>
  <c r="J198" i="28"/>
  <c r="J254" i="30"/>
  <c r="N264" i="39"/>
  <c r="P264" i="39" s="1"/>
  <c r="N236" i="39"/>
  <c r="P236" i="39" s="1"/>
  <c r="N208" i="39"/>
  <c r="P208" i="39" s="1"/>
  <c r="N149" i="39"/>
  <c r="P149" i="39" s="1"/>
  <c r="N93" i="39"/>
  <c r="P93" i="39" s="1"/>
  <c r="N37" i="39"/>
  <c r="N320" i="39"/>
  <c r="P320" i="39" s="1"/>
  <c r="N65" i="39"/>
  <c r="P65" i="39" s="1"/>
  <c r="N292" i="39"/>
  <c r="P292" i="39" s="1"/>
  <c r="N121" i="39"/>
  <c r="P121" i="39" s="1"/>
  <c r="P177" i="39"/>
  <c r="P177" i="29"/>
  <c r="N290" i="30"/>
  <c r="N264" i="35"/>
  <c r="P264" i="35" s="1"/>
  <c r="N65" i="35"/>
  <c r="P65" i="35" s="1"/>
  <c r="N121" i="35"/>
  <c r="P121" i="35" s="1"/>
  <c r="N236" i="35"/>
  <c r="P236" i="35" s="1"/>
  <c r="N292" i="35"/>
  <c r="P292" i="35" s="1"/>
  <c r="N93" i="35"/>
  <c r="P93" i="35" s="1"/>
  <c r="N37" i="35"/>
  <c r="P37" i="35" s="1"/>
  <c r="N320" i="35"/>
  <c r="P320" i="35" s="1"/>
  <c r="N149" i="35"/>
  <c r="P149" i="35" s="1"/>
  <c r="N208" i="35"/>
  <c r="P208" i="35" s="1"/>
  <c r="P177" i="35"/>
  <c r="O193" i="25"/>
  <c r="O194" i="25"/>
  <c r="O187" i="25"/>
  <c r="O185" i="25"/>
  <c r="O189" i="25"/>
  <c r="O191" i="25"/>
  <c r="O188" i="25"/>
  <c r="O192" i="25"/>
  <c r="O190" i="25"/>
  <c r="O186" i="25"/>
  <c r="N206" i="30"/>
  <c r="N119" i="30"/>
  <c r="J139" i="28"/>
  <c r="J55" i="30"/>
  <c r="N121" i="38"/>
  <c r="P121" i="38" s="1"/>
  <c r="N93" i="38"/>
  <c r="P93" i="38" s="1"/>
  <c r="N37" i="38"/>
  <c r="P37" i="38" s="1"/>
  <c r="N320" i="38"/>
  <c r="P320" i="38" s="1"/>
  <c r="N208" i="38"/>
  <c r="P208" i="38" s="1"/>
  <c r="N149" i="38"/>
  <c r="P149" i="38" s="1"/>
  <c r="N292" i="38"/>
  <c r="P292" i="38" s="1"/>
  <c r="N236" i="38"/>
  <c r="P236" i="38" s="1"/>
  <c r="N264" i="38"/>
  <c r="P264" i="38" s="1"/>
  <c r="N65" i="38"/>
  <c r="P65" i="38" s="1"/>
  <c r="P177" i="38"/>
  <c r="J198" i="39"/>
  <c r="I117" i="11"/>
  <c r="J55" i="39"/>
  <c r="E176" i="39"/>
  <c r="E21" i="10"/>
  <c r="E36" i="34"/>
  <c r="E35" i="34" s="1"/>
  <c r="E176" i="29"/>
  <c r="D120" i="43"/>
  <c r="E176" i="28"/>
  <c r="E291" i="28" s="1"/>
  <c r="E290" i="28" s="1"/>
  <c r="D121" i="15"/>
  <c r="E176" i="35"/>
  <c r="E120" i="35" s="1"/>
  <c r="E179" i="37"/>
  <c r="D121" i="47"/>
  <c r="E176" i="38"/>
  <c r="E319" i="38" s="1"/>
  <c r="K10" i="22"/>
  <c r="K12" i="22" s="1"/>
  <c r="K14" i="22" s="1"/>
  <c r="E176" i="30"/>
  <c r="E64" i="28"/>
  <c r="H67" i="39"/>
  <c r="J109" i="11"/>
  <c r="J110" i="11" s="1"/>
  <c r="I111" i="11"/>
  <c r="J107" i="11" s="1"/>
  <c r="J108" i="11"/>
  <c r="J111" i="39"/>
  <c r="J254" i="39"/>
  <c r="J27" i="39"/>
  <c r="J310" i="39"/>
  <c r="J226" i="39"/>
  <c r="J83" i="39"/>
  <c r="J282" i="39"/>
  <c r="G135" i="38"/>
  <c r="G136" i="38" s="1"/>
  <c r="G107" i="38"/>
  <c r="G23" i="39"/>
  <c r="G24" i="39" s="1"/>
  <c r="D178" i="30"/>
  <c r="D178" i="29"/>
  <c r="D21" i="10"/>
  <c r="P24" i="10"/>
  <c r="D38" i="29"/>
  <c r="P38" i="29" s="1"/>
  <c r="D181" i="37"/>
  <c r="D38" i="34"/>
  <c r="D178" i="38"/>
  <c r="D171" i="25"/>
  <c r="D168" i="25" s="1"/>
  <c r="D178" i="28"/>
  <c r="D38" i="37"/>
  <c r="P38" i="37" s="1"/>
  <c r="D178" i="39"/>
  <c r="D178" i="35"/>
  <c r="D22" i="2"/>
  <c r="D24" i="2" s="1"/>
  <c r="D25" i="2" s="1"/>
  <c r="E22" i="2"/>
  <c r="D16" i="2"/>
  <c r="D6" i="45"/>
  <c r="D9" i="45"/>
  <c r="D10" i="45"/>
  <c r="E10" i="45" s="1"/>
  <c r="D165" i="17" s="1"/>
  <c r="D13" i="45"/>
  <c r="D5" i="45"/>
  <c r="D15" i="45"/>
  <c r="D14" i="45"/>
  <c r="D12" i="45"/>
  <c r="D8" i="45"/>
  <c r="D7" i="45"/>
  <c r="D11" i="45"/>
  <c r="D6" i="47"/>
  <c r="D11" i="47"/>
  <c r="D13" i="47"/>
  <c r="D5" i="47"/>
  <c r="D9" i="47"/>
  <c r="D14" i="47"/>
  <c r="D8" i="47"/>
  <c r="D15" i="47"/>
  <c r="D12" i="47"/>
  <c r="D7" i="47"/>
  <c r="D10" i="43"/>
  <c r="D12" i="43"/>
  <c r="D5" i="43"/>
  <c r="D8" i="43"/>
  <c r="D14" i="43"/>
  <c r="D11" i="43"/>
  <c r="D13" i="43"/>
  <c r="D6" i="43"/>
  <c r="D9" i="43"/>
  <c r="D7" i="43"/>
  <c r="D10" i="15"/>
  <c r="D14" i="15"/>
  <c r="D12" i="15"/>
  <c r="D9" i="15"/>
  <c r="D7" i="15"/>
  <c r="C4" i="46"/>
  <c r="C5" i="16"/>
  <c r="D5" i="15"/>
  <c r="C4" i="41"/>
  <c r="C4" i="42"/>
  <c r="C4" i="48"/>
  <c r="D15" i="15"/>
  <c r="D13" i="15"/>
  <c r="D11" i="15"/>
  <c r="D8" i="15"/>
  <c r="D6" i="15"/>
  <c r="G110" i="37"/>
  <c r="G111" i="37" s="1"/>
  <c r="G197" i="37"/>
  <c r="G198" i="37" s="1"/>
  <c r="G278" i="38"/>
  <c r="G279" i="38" s="1"/>
  <c r="G79" i="39"/>
  <c r="G80" i="39" s="1"/>
  <c r="G194" i="39"/>
  <c r="G195" i="39" s="1"/>
  <c r="G194" i="38"/>
  <c r="G195" i="38" s="1"/>
  <c r="G138" i="37"/>
  <c r="G139" i="37" s="1"/>
  <c r="G107" i="39"/>
  <c r="G108" i="39" s="1"/>
  <c r="G23" i="37"/>
  <c r="G24" i="37" s="1"/>
  <c r="G51" i="37"/>
  <c r="G52" i="37" s="1"/>
  <c r="G250" i="39"/>
  <c r="G251" i="39" s="1"/>
  <c r="G225" i="37"/>
  <c r="G226" i="37" s="1"/>
  <c r="G51" i="38"/>
  <c r="G52" i="38" s="1"/>
  <c r="G250" i="38"/>
  <c r="G251" i="38" s="1"/>
  <c r="G79" i="38"/>
  <c r="G80" i="38" s="1"/>
  <c r="G253" i="37"/>
  <c r="G254" i="37" s="1"/>
  <c r="G306" i="39"/>
  <c r="G307" i="39" s="1"/>
  <c r="G79" i="37"/>
  <c r="G80" i="37" s="1"/>
  <c r="G281" i="37"/>
  <c r="G282" i="37" s="1"/>
  <c r="G135" i="39"/>
  <c r="G136" i="39" s="1"/>
  <c r="G306" i="38"/>
  <c r="G307" i="38" s="1"/>
  <c r="F130" i="29"/>
  <c r="F245" i="29"/>
  <c r="F301" i="29"/>
  <c r="F46" i="29"/>
  <c r="F189" i="29"/>
  <c r="F74" i="29"/>
  <c r="F102" i="29"/>
  <c r="F18" i="29"/>
  <c r="F217" i="29"/>
  <c r="F273" i="29"/>
  <c r="F248" i="37"/>
  <c r="F105" i="37"/>
  <c r="F304" i="37"/>
  <c r="F220" i="37"/>
  <c r="F192" i="37"/>
  <c r="F74" i="37"/>
  <c r="F46" i="37"/>
  <c r="F133" i="37"/>
  <c r="F276" i="37"/>
  <c r="F18" i="37"/>
  <c r="F301" i="30"/>
  <c r="F189" i="30"/>
  <c r="F46" i="30"/>
  <c r="F273" i="30"/>
  <c r="F245" i="30"/>
  <c r="F130" i="30"/>
  <c r="F102" i="30"/>
  <c r="F18" i="30"/>
  <c r="F217" i="30"/>
  <c r="F74" i="30"/>
  <c r="F46" i="38"/>
  <c r="F273" i="38"/>
  <c r="F130" i="38"/>
  <c r="F18" i="38"/>
  <c r="F245" i="38"/>
  <c r="F217" i="38"/>
  <c r="F102" i="38"/>
  <c r="F301" i="38"/>
  <c r="F189" i="38"/>
  <c r="F74" i="38"/>
  <c r="F74" i="39"/>
  <c r="F217" i="39"/>
  <c r="F46" i="39"/>
  <c r="F301" i="39"/>
  <c r="F18" i="39"/>
  <c r="F273" i="39"/>
  <c r="F102" i="39"/>
  <c r="F130" i="39"/>
  <c r="F189" i="39"/>
  <c r="F245" i="39"/>
  <c r="F217" i="35"/>
  <c r="F18" i="35"/>
  <c r="F245" i="35"/>
  <c r="F74" i="35"/>
  <c r="F130" i="35"/>
  <c r="F46" i="35"/>
  <c r="F102" i="35"/>
  <c r="F273" i="35"/>
  <c r="F301" i="35"/>
  <c r="F189" i="35"/>
  <c r="F189" i="28"/>
  <c r="F301" i="28"/>
  <c r="F130" i="28"/>
  <c r="F102" i="28"/>
  <c r="F18" i="28"/>
  <c r="F74" i="28"/>
  <c r="F46" i="28"/>
  <c r="F245" i="28"/>
  <c r="F217" i="28"/>
  <c r="F273" i="28"/>
  <c r="J307" i="38"/>
  <c r="J195" i="38"/>
  <c r="J282" i="37"/>
  <c r="J136" i="38"/>
  <c r="K240" i="30"/>
  <c r="H39" i="29"/>
  <c r="H95" i="29"/>
  <c r="H123" i="28"/>
  <c r="H297" i="37"/>
  <c r="H325" i="37"/>
  <c r="H126" i="37"/>
  <c r="H210" i="28"/>
  <c r="H67" i="37"/>
  <c r="H213" i="37"/>
  <c r="H266" i="28"/>
  <c r="H67" i="28"/>
  <c r="H269" i="37"/>
  <c r="H95" i="28"/>
  <c r="H322" i="28"/>
  <c r="H241" i="37"/>
  <c r="H151" i="28"/>
  <c r="H95" i="37"/>
  <c r="H238" i="28"/>
  <c r="H39" i="37"/>
  <c r="H294" i="28"/>
  <c r="K165" i="30"/>
  <c r="K53" i="30" s="1"/>
  <c r="J22" i="45"/>
  <c r="J84" i="45" s="1"/>
  <c r="J21" i="43"/>
  <c r="J83" i="43" s="1"/>
  <c r="K158" i="25"/>
  <c r="K165" i="25" s="1"/>
  <c r="K165" i="39"/>
  <c r="K280" i="39" s="1"/>
  <c r="K168" i="37"/>
  <c r="K140" i="37" s="1"/>
  <c r="K165" i="28"/>
  <c r="K252" i="28" s="1"/>
  <c r="P11" i="10"/>
  <c r="Q165" i="39" s="1"/>
  <c r="K165" i="35"/>
  <c r="K137" i="35" s="1"/>
  <c r="J22" i="47"/>
  <c r="J84" i="47" s="1"/>
  <c r="K165" i="38"/>
  <c r="K308" i="38" s="1"/>
  <c r="J22" i="15"/>
  <c r="J84" i="15" s="1"/>
  <c r="M62" i="39"/>
  <c r="M233" i="39"/>
  <c r="M90" i="39"/>
  <c r="M118" i="39"/>
  <c r="M261" i="39"/>
  <c r="M317" i="39"/>
  <c r="M146" i="39"/>
  <c r="M289" i="39"/>
  <c r="M205" i="39"/>
  <c r="M34" i="39"/>
  <c r="N198" i="28"/>
  <c r="N111" i="28"/>
  <c r="N139" i="28"/>
  <c r="N254" i="28"/>
  <c r="N83" i="28"/>
  <c r="N310" i="28"/>
  <c r="N226" i="28"/>
  <c r="N27" i="28"/>
  <c r="N282" i="28"/>
  <c r="N55" i="28"/>
  <c r="L310" i="38"/>
  <c r="L282" i="38"/>
  <c r="L55" i="38"/>
  <c r="L111" i="38"/>
  <c r="L83" i="38"/>
  <c r="L139" i="38"/>
  <c r="L254" i="38"/>
  <c r="L226" i="38"/>
  <c r="L198" i="38"/>
  <c r="L27" i="38"/>
  <c r="L205" i="30"/>
  <c r="L212" i="30" s="1"/>
  <c r="L62" i="30"/>
  <c r="L317" i="30"/>
  <c r="L118" i="30"/>
  <c r="L125" i="30" s="1"/>
  <c r="L146" i="30"/>
  <c r="L289" i="30"/>
  <c r="L261" i="30"/>
  <c r="L233" i="30"/>
  <c r="L90" i="30"/>
  <c r="L34" i="30"/>
  <c r="N205" i="28"/>
  <c r="N233" i="28"/>
  <c r="N34" i="28"/>
  <c r="N146" i="28"/>
  <c r="N118" i="28"/>
  <c r="N261" i="28"/>
  <c r="N289" i="28"/>
  <c r="N317" i="28"/>
  <c r="N62" i="28"/>
  <c r="N90" i="28"/>
  <c r="L181" i="30"/>
  <c r="M261" i="30"/>
  <c r="M118" i="30"/>
  <c r="M317" i="30"/>
  <c r="M233" i="30"/>
  <c r="M90" i="30"/>
  <c r="M34" i="30"/>
  <c r="M289" i="30"/>
  <c r="M146" i="30"/>
  <c r="M62" i="30"/>
  <c r="M205" i="30"/>
  <c r="N254" i="35"/>
  <c r="N310" i="35"/>
  <c r="N27" i="35"/>
  <c r="N83" i="35"/>
  <c r="N282" i="35"/>
  <c r="N139" i="35"/>
  <c r="N111" i="35"/>
  <c r="N226" i="35"/>
  <c r="N55" i="35"/>
  <c r="N198" i="35"/>
  <c r="L62" i="28"/>
  <c r="L69" i="28" s="1"/>
  <c r="L118" i="28"/>
  <c r="L125" i="28" s="1"/>
  <c r="L146" i="28"/>
  <c r="L153" i="28" s="1"/>
  <c r="L34" i="28"/>
  <c r="L41" i="28" s="1"/>
  <c r="L205" i="28"/>
  <c r="L212" i="28" s="1"/>
  <c r="L317" i="28"/>
  <c r="L324" i="28" s="1"/>
  <c r="L289" i="28"/>
  <c r="L296" i="28" s="1"/>
  <c r="L90" i="28"/>
  <c r="L97" i="28" s="1"/>
  <c r="L233" i="28"/>
  <c r="L240" i="28" s="1"/>
  <c r="L261" i="28"/>
  <c r="L268" i="28" s="1"/>
  <c r="M27" i="30"/>
  <c r="M55" i="30"/>
  <c r="M282" i="30"/>
  <c r="M139" i="30"/>
  <c r="M254" i="30"/>
  <c r="M198" i="30"/>
  <c r="M310" i="30"/>
  <c r="M83" i="30"/>
  <c r="M226" i="30"/>
  <c r="M111" i="30"/>
  <c r="N34" i="39"/>
  <c r="N146" i="39"/>
  <c r="N261" i="39"/>
  <c r="N205" i="39"/>
  <c r="N62" i="39"/>
  <c r="N233" i="39"/>
  <c r="N118" i="39"/>
  <c r="N317" i="39"/>
  <c r="N289" i="39"/>
  <c r="N90" i="39"/>
  <c r="M233" i="35"/>
  <c r="M90" i="35"/>
  <c r="M261" i="35"/>
  <c r="M34" i="35"/>
  <c r="M146" i="35"/>
  <c r="M118" i="35"/>
  <c r="M62" i="35"/>
  <c r="M205" i="35"/>
  <c r="M317" i="35"/>
  <c r="M289" i="35"/>
  <c r="N27" i="37"/>
  <c r="N142" i="37"/>
  <c r="N257" i="37"/>
  <c r="N114" i="37"/>
  <c r="N83" i="37"/>
  <c r="N55" i="37"/>
  <c r="N229" i="37"/>
  <c r="N201" i="37"/>
  <c r="N313" i="37"/>
  <c r="N285" i="37"/>
  <c r="L139" i="30"/>
  <c r="L226" i="30"/>
  <c r="L27" i="30"/>
  <c r="L111" i="30"/>
  <c r="L198" i="30"/>
  <c r="L254" i="30"/>
  <c r="L310" i="30"/>
  <c r="L55" i="30"/>
  <c r="L282" i="30"/>
  <c r="L83" i="30"/>
  <c r="L55" i="39"/>
  <c r="L27" i="39"/>
  <c r="L282" i="39"/>
  <c r="L83" i="39"/>
  <c r="L226" i="39"/>
  <c r="L310" i="39"/>
  <c r="L254" i="39"/>
  <c r="L111" i="39"/>
  <c r="L198" i="39"/>
  <c r="L139" i="39"/>
  <c r="M27" i="38"/>
  <c r="M139" i="38"/>
  <c r="M111" i="38"/>
  <c r="M83" i="38"/>
  <c r="M198" i="38"/>
  <c r="M55" i="38"/>
  <c r="M254" i="38"/>
  <c r="M226" i="38"/>
  <c r="M282" i="38"/>
  <c r="M310" i="38"/>
  <c r="N146" i="30"/>
  <c r="N34" i="30"/>
  <c r="N41" i="30" s="1"/>
  <c r="N90" i="30"/>
  <c r="N289" i="30"/>
  <c r="N205" i="30"/>
  <c r="N261" i="30"/>
  <c r="N317" i="30"/>
  <c r="N62" i="30"/>
  <c r="N118" i="30"/>
  <c r="N233" i="30"/>
  <c r="M205" i="28"/>
  <c r="M233" i="28"/>
  <c r="M146" i="28"/>
  <c r="M34" i="28"/>
  <c r="M289" i="28"/>
  <c r="M317" i="28"/>
  <c r="M90" i="28"/>
  <c r="M62" i="28"/>
  <c r="M118" i="28"/>
  <c r="M261" i="28"/>
  <c r="N198" i="29"/>
  <c r="N83" i="29"/>
  <c r="N282" i="29"/>
  <c r="N139" i="29"/>
  <c r="N27" i="29"/>
  <c r="N310" i="29"/>
  <c r="N111" i="29"/>
  <c r="N55" i="29"/>
  <c r="N226" i="29"/>
  <c r="N254" i="29"/>
  <c r="L55" i="29"/>
  <c r="L254" i="29"/>
  <c r="L198" i="29"/>
  <c r="L282" i="29"/>
  <c r="L27" i="29"/>
  <c r="L83" i="29"/>
  <c r="L139" i="29"/>
  <c r="L226" i="29"/>
  <c r="L310" i="29"/>
  <c r="L111" i="29"/>
  <c r="L34" i="35"/>
  <c r="L261" i="35"/>
  <c r="L62" i="35"/>
  <c r="L289" i="35"/>
  <c r="L205" i="35"/>
  <c r="L317" i="35"/>
  <c r="L90" i="35"/>
  <c r="L233" i="35"/>
  <c r="L118" i="35"/>
  <c r="L146" i="35"/>
  <c r="M201" i="37"/>
  <c r="M55" i="37"/>
  <c r="M27" i="37"/>
  <c r="M257" i="37"/>
  <c r="M142" i="37"/>
  <c r="M313" i="37"/>
  <c r="M114" i="37"/>
  <c r="M83" i="37"/>
  <c r="M229" i="37"/>
  <c r="M285" i="37"/>
  <c r="L27" i="28"/>
  <c r="L55" i="28"/>
  <c r="L83" i="28"/>
  <c r="L282" i="28"/>
  <c r="L111" i="28"/>
  <c r="L226" i="28"/>
  <c r="L310" i="28"/>
  <c r="L254" i="28"/>
  <c r="L198" i="28"/>
  <c r="L139" i="28"/>
  <c r="L186" i="25"/>
  <c r="L190" i="25"/>
  <c r="L185" i="25"/>
  <c r="L188" i="25"/>
  <c r="L193" i="25"/>
  <c r="L192" i="25"/>
  <c r="L194" i="25"/>
  <c r="L187" i="25"/>
  <c r="L189" i="25"/>
  <c r="L191" i="25"/>
  <c r="L320" i="37"/>
  <c r="L264" i="37"/>
  <c r="L236" i="37"/>
  <c r="L34" i="37"/>
  <c r="L208" i="37"/>
  <c r="L149" i="37"/>
  <c r="L90" i="37"/>
  <c r="L121" i="37"/>
  <c r="L62" i="37"/>
  <c r="L292" i="37"/>
  <c r="M55" i="35"/>
  <c r="M198" i="35"/>
  <c r="M282" i="35"/>
  <c r="M254" i="35"/>
  <c r="M83" i="35"/>
  <c r="M27" i="35"/>
  <c r="M111" i="35"/>
  <c r="M310" i="35"/>
  <c r="M226" i="35"/>
  <c r="M139" i="35"/>
  <c r="N233" i="35"/>
  <c r="N90" i="35"/>
  <c r="N261" i="35"/>
  <c r="N289" i="35"/>
  <c r="N146" i="35"/>
  <c r="N205" i="35"/>
  <c r="N317" i="35"/>
  <c r="N62" i="35"/>
  <c r="N118" i="35"/>
  <c r="N34" i="35"/>
  <c r="M34" i="38"/>
  <c r="M118" i="38"/>
  <c r="M205" i="38"/>
  <c r="M90" i="38"/>
  <c r="M62" i="38"/>
  <c r="M289" i="38"/>
  <c r="M317" i="38"/>
  <c r="M261" i="38"/>
  <c r="M233" i="38"/>
  <c r="M146" i="38"/>
  <c r="N27" i="39"/>
  <c r="N254" i="39"/>
  <c r="N226" i="39"/>
  <c r="N139" i="39"/>
  <c r="N83" i="39"/>
  <c r="N111" i="39"/>
  <c r="N310" i="39"/>
  <c r="N282" i="39"/>
  <c r="N55" i="39"/>
  <c r="N198" i="39"/>
  <c r="L261" i="39"/>
  <c r="L146" i="39"/>
  <c r="L289" i="39"/>
  <c r="L118" i="39"/>
  <c r="L34" i="39"/>
  <c r="L205" i="39"/>
  <c r="L317" i="39"/>
  <c r="L62" i="39"/>
  <c r="L90" i="39"/>
  <c r="L233" i="39"/>
  <c r="M111" i="29"/>
  <c r="M226" i="29"/>
  <c r="M310" i="29"/>
  <c r="M282" i="29"/>
  <c r="M198" i="29"/>
  <c r="M55" i="29"/>
  <c r="M83" i="29"/>
  <c r="M254" i="29"/>
  <c r="M27" i="29"/>
  <c r="M139" i="29"/>
  <c r="N118" i="38"/>
  <c r="N34" i="38"/>
  <c r="N62" i="38"/>
  <c r="N205" i="38"/>
  <c r="N146" i="38"/>
  <c r="N317" i="38"/>
  <c r="N289" i="38"/>
  <c r="N261" i="38"/>
  <c r="N233" i="38"/>
  <c r="N90" i="38"/>
  <c r="M186" i="25"/>
  <c r="M193" i="25"/>
  <c r="M189" i="25"/>
  <c r="M188" i="25"/>
  <c r="M191" i="25"/>
  <c r="M190" i="25"/>
  <c r="M185" i="25"/>
  <c r="M192" i="25"/>
  <c r="M187" i="25"/>
  <c r="M194" i="25"/>
  <c r="M34" i="37"/>
  <c r="M208" i="37"/>
  <c r="M236" i="37"/>
  <c r="M90" i="37"/>
  <c r="M264" i="37"/>
  <c r="M292" i="37"/>
  <c r="M320" i="37"/>
  <c r="M121" i="37"/>
  <c r="M149" i="37"/>
  <c r="M62" i="37"/>
  <c r="N139" i="38"/>
  <c r="N111" i="38"/>
  <c r="N310" i="38"/>
  <c r="N282" i="38"/>
  <c r="N27" i="38"/>
  <c r="N83" i="38"/>
  <c r="N198" i="38"/>
  <c r="N55" i="38"/>
  <c r="N254" i="38"/>
  <c r="N226" i="38"/>
  <c r="L229" i="37"/>
  <c r="L285" i="37"/>
  <c r="L257" i="37"/>
  <c r="L114" i="37"/>
  <c r="L83" i="37"/>
  <c r="L313" i="37"/>
  <c r="L55" i="37"/>
  <c r="L27" i="37"/>
  <c r="L201" i="37"/>
  <c r="L142" i="37"/>
  <c r="L146" i="38"/>
  <c r="L205" i="38"/>
  <c r="L62" i="38"/>
  <c r="L289" i="38"/>
  <c r="L261" i="38"/>
  <c r="L317" i="38"/>
  <c r="L34" i="38"/>
  <c r="L90" i="38"/>
  <c r="L118" i="38"/>
  <c r="L233" i="38"/>
  <c r="M83" i="28"/>
  <c r="M226" i="28"/>
  <c r="M254" i="28"/>
  <c r="M27" i="28"/>
  <c r="M139" i="28"/>
  <c r="M111" i="28"/>
  <c r="M198" i="28"/>
  <c r="M310" i="28"/>
  <c r="M55" i="28"/>
  <c r="M282" i="28"/>
  <c r="M55" i="39"/>
  <c r="M254" i="39"/>
  <c r="M198" i="39"/>
  <c r="M139" i="39"/>
  <c r="M27" i="39"/>
  <c r="M111" i="39"/>
  <c r="M226" i="39"/>
  <c r="M310" i="39"/>
  <c r="M282" i="39"/>
  <c r="M83" i="39"/>
  <c r="N34" i="29"/>
  <c r="N146" i="29"/>
  <c r="N261" i="29"/>
  <c r="N289" i="29"/>
  <c r="N205" i="29"/>
  <c r="N317" i="29"/>
  <c r="N118" i="29"/>
  <c r="N62" i="29"/>
  <c r="N233" i="29"/>
  <c r="N90" i="29"/>
  <c r="M317" i="29"/>
  <c r="M118" i="29"/>
  <c r="M62" i="29"/>
  <c r="M261" i="29"/>
  <c r="M205" i="29"/>
  <c r="M289" i="29"/>
  <c r="M146" i="29"/>
  <c r="M34" i="29"/>
  <c r="M233" i="29"/>
  <c r="M90" i="29"/>
  <c r="N226" i="30"/>
  <c r="N27" i="30"/>
  <c r="N139" i="30"/>
  <c r="N111" i="30"/>
  <c r="N282" i="30"/>
  <c r="N254" i="30"/>
  <c r="N55" i="30"/>
  <c r="N198" i="30"/>
  <c r="N310" i="30"/>
  <c r="N83" i="30"/>
  <c r="L282" i="35"/>
  <c r="L139" i="35"/>
  <c r="L111" i="35"/>
  <c r="L226" i="35"/>
  <c r="L198" i="35"/>
  <c r="L55" i="35"/>
  <c r="L27" i="35"/>
  <c r="L310" i="35"/>
  <c r="L254" i="35"/>
  <c r="L83" i="35"/>
  <c r="L62" i="29"/>
  <c r="L261" i="29"/>
  <c r="L289" i="29"/>
  <c r="L146" i="29"/>
  <c r="L233" i="29"/>
  <c r="L118" i="29"/>
  <c r="L34" i="29"/>
  <c r="L205" i="29"/>
  <c r="L90" i="29"/>
  <c r="L317" i="29"/>
  <c r="N186" i="25"/>
  <c r="N194" i="25"/>
  <c r="N185" i="25"/>
  <c r="N190" i="25"/>
  <c r="N187" i="25"/>
  <c r="N192" i="25"/>
  <c r="N191" i="25"/>
  <c r="N193" i="25"/>
  <c r="N189" i="25"/>
  <c r="N188" i="25"/>
  <c r="N292" i="37"/>
  <c r="N34" i="37"/>
  <c r="N208" i="37"/>
  <c r="N62" i="37"/>
  <c r="N121" i="37"/>
  <c r="N320" i="37"/>
  <c r="N90" i="37"/>
  <c r="N149" i="37"/>
  <c r="N264" i="37"/>
  <c r="N236" i="37"/>
  <c r="K153" i="30"/>
  <c r="J251" i="38"/>
  <c r="G222" i="38"/>
  <c r="G223" i="38" s="1"/>
  <c r="G278" i="39"/>
  <c r="G279" i="39" s="1"/>
  <c r="G51" i="39"/>
  <c r="G52" i="39" s="1"/>
  <c r="N18" i="9"/>
  <c r="F60" i="9"/>
  <c r="F98" i="9" s="1"/>
  <c r="G9" i="10" s="1"/>
  <c r="G309" i="37"/>
  <c r="G310" i="37" s="1"/>
  <c r="G23" i="38"/>
  <c r="G24" i="38" s="1"/>
  <c r="N16" i="9"/>
  <c r="J198" i="37"/>
  <c r="G93" i="18"/>
  <c r="K212" i="30"/>
  <c r="H238" i="29"/>
  <c r="H322" i="29"/>
  <c r="H210" i="38"/>
  <c r="H151" i="38"/>
  <c r="H151" i="30"/>
  <c r="H322" i="38"/>
  <c r="H39" i="30"/>
  <c r="H95" i="38"/>
  <c r="H39" i="38"/>
  <c r="H238" i="30"/>
  <c r="H294" i="38"/>
  <c r="H294" i="30"/>
  <c r="H123" i="30"/>
  <c r="J158" i="28"/>
  <c r="I19" i="45"/>
  <c r="I19" i="15"/>
  <c r="J158" i="29"/>
  <c r="J158" i="39"/>
  <c r="J158" i="35"/>
  <c r="J158" i="30"/>
  <c r="J18" i="34"/>
  <c r="J158" i="38"/>
  <c r="I18" i="43"/>
  <c r="J161" i="37"/>
  <c r="J155" i="25"/>
  <c r="I19" i="47"/>
  <c r="J221" i="35"/>
  <c r="J22" i="35"/>
  <c r="J277" i="35"/>
  <c r="J134" i="35"/>
  <c r="J50" i="35"/>
  <c r="J305" i="35"/>
  <c r="J106" i="35"/>
  <c r="J193" i="35"/>
  <c r="J249" i="35"/>
  <c r="J78" i="35"/>
  <c r="P52" i="18"/>
  <c r="K41" i="28"/>
  <c r="K97" i="28"/>
  <c r="H322" i="39"/>
  <c r="H151" i="39"/>
  <c r="K69" i="30"/>
  <c r="H266" i="39"/>
  <c r="H39" i="39"/>
  <c r="H294" i="39"/>
  <c r="H238" i="39"/>
  <c r="H95" i="39"/>
  <c r="H123" i="39"/>
  <c r="H151" i="29"/>
  <c r="K324" i="28"/>
  <c r="H67" i="29"/>
  <c r="D104" i="18"/>
  <c r="D109" i="18"/>
  <c r="D110" i="18" s="1"/>
  <c r="H123" i="29"/>
  <c r="K212" i="28"/>
  <c r="H294" i="29"/>
  <c r="H210" i="29"/>
  <c r="K240" i="28"/>
  <c r="K153" i="28"/>
  <c r="K296" i="28"/>
  <c r="K125" i="28"/>
  <c r="K268" i="28"/>
  <c r="K69" i="28"/>
  <c r="I94" i="11"/>
  <c r="K85" i="11"/>
  <c r="K86" i="11" s="1"/>
  <c r="K84" i="11"/>
  <c r="J87" i="11"/>
  <c r="K83" i="11" s="1"/>
  <c r="O49" i="9"/>
  <c r="N49" i="9"/>
  <c r="M31" i="9"/>
  <c r="M32" i="9" s="1"/>
  <c r="L32" i="9"/>
  <c r="I20" i="15"/>
  <c r="J23" i="34"/>
  <c r="J24" i="34" s="1"/>
  <c r="J163" i="39"/>
  <c r="J164" i="39" s="1"/>
  <c r="J166" i="39" s="1"/>
  <c r="J168" i="39" s="1"/>
  <c r="J156" i="25"/>
  <c r="L25" i="7"/>
  <c r="L27" i="7" s="1"/>
  <c r="J163" i="35"/>
  <c r="J163" i="28"/>
  <c r="J166" i="37"/>
  <c r="J167" i="37" s="1"/>
  <c r="J163" i="29"/>
  <c r="I20" i="45"/>
  <c r="I20" i="47"/>
  <c r="J163" i="30"/>
  <c r="I19" i="43"/>
  <c r="J163" i="38"/>
  <c r="J164" i="38" s="1"/>
  <c r="J10" i="10"/>
  <c r="J12" i="10" s="1"/>
  <c r="Q49" i="18"/>
  <c r="J182" i="46"/>
  <c r="R167" i="46"/>
  <c r="L35" i="35"/>
  <c r="L318" i="35"/>
  <c r="L262" i="35"/>
  <c r="L206" i="35"/>
  <c r="L290" i="35"/>
  <c r="L119" i="35"/>
  <c r="L234" i="35"/>
  <c r="L63" i="35"/>
  <c r="L147" i="35"/>
  <c r="L91" i="35"/>
  <c r="L181" i="35"/>
  <c r="J140" i="46"/>
  <c r="R125" i="46"/>
  <c r="G322" i="35"/>
  <c r="G95" i="35"/>
  <c r="G266" i="35"/>
  <c r="G210" i="35"/>
  <c r="G123" i="35"/>
  <c r="G67" i="35"/>
  <c r="G39" i="35"/>
  <c r="G294" i="35"/>
  <c r="G238" i="35"/>
  <c r="G151" i="35"/>
  <c r="G123" i="39"/>
  <c r="G238" i="39"/>
  <c r="G322" i="39"/>
  <c r="G67" i="39"/>
  <c r="G266" i="39"/>
  <c r="G39" i="39"/>
  <c r="G210" i="39"/>
  <c r="G294" i="39"/>
  <c r="G95" i="39"/>
  <c r="G151" i="39"/>
  <c r="N252" i="35"/>
  <c r="N109" i="35"/>
  <c r="N308" i="35"/>
  <c r="N25" i="35"/>
  <c r="N280" i="35"/>
  <c r="N224" i="35"/>
  <c r="N137" i="35"/>
  <c r="N53" i="35"/>
  <c r="N196" i="35"/>
  <c r="N81" i="35"/>
  <c r="H81" i="29"/>
  <c r="H308" i="29"/>
  <c r="H53" i="29"/>
  <c r="H280" i="29"/>
  <c r="H109" i="29"/>
  <c r="H137" i="29"/>
  <c r="H25" i="29"/>
  <c r="H252" i="29"/>
  <c r="H224" i="29"/>
  <c r="H196" i="29"/>
  <c r="H109" i="39"/>
  <c r="H252" i="39"/>
  <c r="H53" i="39"/>
  <c r="H196" i="39"/>
  <c r="H280" i="39"/>
  <c r="H137" i="39"/>
  <c r="H25" i="39"/>
  <c r="H172" i="39"/>
  <c r="H81" i="39"/>
  <c r="H224" i="39"/>
  <c r="H308" i="39"/>
  <c r="F196" i="29"/>
  <c r="F308" i="29"/>
  <c r="F172" i="28"/>
  <c r="F224" i="28"/>
  <c r="F308" i="28"/>
  <c r="F137" i="28"/>
  <c r="F252" i="28"/>
  <c r="F81" i="28"/>
  <c r="F196" i="28"/>
  <c r="F109" i="28"/>
  <c r="F53" i="28"/>
  <c r="F25" i="28"/>
  <c r="F280" i="28"/>
  <c r="O219" i="46"/>
  <c r="O53" i="46"/>
  <c r="O72" i="46"/>
  <c r="O32" i="46"/>
  <c r="O45" i="46"/>
  <c r="O173" i="46"/>
  <c r="E308" i="29"/>
  <c r="E224" i="29"/>
  <c r="E280" i="29"/>
  <c r="E196" i="29"/>
  <c r="E252" i="29"/>
  <c r="E137" i="29"/>
  <c r="E109" i="29"/>
  <c r="E81" i="29"/>
  <c r="E53" i="29"/>
  <c r="E25" i="29"/>
  <c r="M109" i="39"/>
  <c r="M308" i="39"/>
  <c r="M280" i="39"/>
  <c r="M252" i="39"/>
  <c r="M53" i="39"/>
  <c r="M224" i="39"/>
  <c r="M196" i="39"/>
  <c r="M25" i="39"/>
  <c r="M172" i="39"/>
  <c r="M81" i="39"/>
  <c r="M137" i="39"/>
  <c r="M266" i="38"/>
  <c r="M238" i="38"/>
  <c r="M294" i="38"/>
  <c r="M95" i="38"/>
  <c r="M67" i="38"/>
  <c r="M322" i="38"/>
  <c r="M39" i="38"/>
  <c r="M123" i="38"/>
  <c r="M151" i="38"/>
  <c r="M210" i="38"/>
  <c r="I246" i="28"/>
  <c r="I249" i="28" s="1"/>
  <c r="P249" i="28" s="1"/>
  <c r="I274" i="28"/>
  <c r="I277" i="28" s="1"/>
  <c r="P277" i="28" s="1"/>
  <c r="I302" i="28"/>
  <c r="I305" i="28" s="1"/>
  <c r="P305" i="28" s="1"/>
  <c r="I131" i="28"/>
  <c r="I103" i="28"/>
  <c r="I75" i="28"/>
  <c r="I78" i="28" s="1"/>
  <c r="P78" i="28" s="1"/>
  <c r="I218" i="28"/>
  <c r="I221" i="28" s="1"/>
  <c r="P221" i="28" s="1"/>
  <c r="I47" i="28"/>
  <c r="I50" i="28" s="1"/>
  <c r="P50" i="28" s="1"/>
  <c r="I190" i="28"/>
  <c r="I19" i="28"/>
  <c r="I22" i="28" s="1"/>
  <c r="P22" i="28" s="1"/>
  <c r="I162" i="28"/>
  <c r="P162" i="28" s="1"/>
  <c r="P159" i="28"/>
  <c r="G109" i="28"/>
  <c r="G53" i="28"/>
  <c r="G196" i="28"/>
  <c r="G137" i="28"/>
  <c r="G252" i="28"/>
  <c r="G224" i="28"/>
  <c r="G308" i="28"/>
  <c r="G280" i="28"/>
  <c r="G172" i="28"/>
  <c r="G25" i="28"/>
  <c r="G81" i="28"/>
  <c r="G280" i="30"/>
  <c r="G252" i="30"/>
  <c r="G224" i="30"/>
  <c r="G196" i="30"/>
  <c r="G137" i="30"/>
  <c r="G109" i="30"/>
  <c r="G25" i="30"/>
  <c r="G81" i="30"/>
  <c r="G308" i="30"/>
  <c r="G53" i="30"/>
  <c r="J172" i="35"/>
  <c r="J175" i="37"/>
  <c r="J32" i="34"/>
  <c r="J172" i="29"/>
  <c r="J172" i="30"/>
  <c r="J172" i="38"/>
  <c r="G46" i="24"/>
  <c r="G47" i="24" s="1"/>
  <c r="M49" i="10"/>
  <c r="M50" i="10" s="1"/>
  <c r="G18" i="30"/>
  <c r="G46" i="30"/>
  <c r="G102" i="30"/>
  <c r="G189" i="30"/>
  <c r="G245" i="30"/>
  <c r="G301" i="30"/>
  <c r="G74" i="30"/>
  <c r="G130" i="30"/>
  <c r="G217" i="30"/>
  <c r="G273" i="30"/>
  <c r="N77" i="9"/>
  <c r="M41" i="34"/>
  <c r="L280" i="39"/>
  <c r="L252" i="39"/>
  <c r="L224" i="39"/>
  <c r="L196" i="39"/>
  <c r="L25" i="39"/>
  <c r="L137" i="39"/>
  <c r="L172" i="39"/>
  <c r="L109" i="39"/>
  <c r="L81" i="39"/>
  <c r="L53" i="39"/>
  <c r="L308" i="39"/>
  <c r="G126" i="37"/>
  <c r="G67" i="37"/>
  <c r="G297" i="37"/>
  <c r="G241" i="37"/>
  <c r="G154" i="37"/>
  <c r="G325" i="37"/>
  <c r="G95" i="37"/>
  <c r="G269" i="37"/>
  <c r="G39" i="37"/>
  <c r="G213" i="37"/>
  <c r="H109" i="38"/>
  <c r="H252" i="38"/>
  <c r="H25" i="38"/>
  <c r="H308" i="38"/>
  <c r="H81" i="38"/>
  <c r="H224" i="38"/>
  <c r="H196" i="38"/>
  <c r="H280" i="38"/>
  <c r="H53" i="38"/>
  <c r="H137" i="38"/>
  <c r="F172" i="35"/>
  <c r="F175" i="37"/>
  <c r="F172" i="29"/>
  <c r="F32" i="34"/>
  <c r="F172" i="30"/>
  <c r="F172" i="38"/>
  <c r="N35" i="35"/>
  <c r="N290" i="35"/>
  <c r="N318" i="35"/>
  <c r="N234" i="35"/>
  <c r="N262" i="35"/>
  <c r="N147" i="35"/>
  <c r="N206" i="35"/>
  <c r="N91" i="35"/>
  <c r="N119" i="35"/>
  <c r="N63" i="35"/>
  <c r="N181" i="35"/>
  <c r="O193" i="46"/>
  <c r="O24" i="46"/>
  <c r="O241" i="46"/>
  <c r="O237" i="46"/>
  <c r="I100" i="46"/>
  <c r="I28" i="45" s="1"/>
  <c r="O105" i="46"/>
  <c r="L206" i="39"/>
  <c r="L147" i="39"/>
  <c r="L119" i="39"/>
  <c r="L318" i="39"/>
  <c r="L35" i="39"/>
  <c r="L290" i="39"/>
  <c r="L262" i="39"/>
  <c r="L91" i="39"/>
  <c r="L234" i="39"/>
  <c r="L63" i="39"/>
  <c r="L181" i="39"/>
  <c r="J11" i="19"/>
  <c r="K11" i="19" s="1"/>
  <c r="K13" i="19" s="1"/>
  <c r="E196" i="35"/>
  <c r="E137" i="35"/>
  <c r="E109" i="35"/>
  <c r="E25" i="35"/>
  <c r="E81" i="35"/>
  <c r="E308" i="35"/>
  <c r="E53" i="35"/>
  <c r="E280" i="35"/>
  <c r="E252" i="35"/>
  <c r="E224" i="35"/>
  <c r="G56" i="9"/>
  <c r="G60" i="9" s="1"/>
  <c r="G59" i="9"/>
  <c r="G90" i="18" s="1"/>
  <c r="G102" i="18" s="1"/>
  <c r="M81" i="30"/>
  <c r="M308" i="30"/>
  <c r="M252" i="30"/>
  <c r="M196" i="30"/>
  <c r="M109" i="30"/>
  <c r="M280" i="30"/>
  <c r="M53" i="30"/>
  <c r="M224" i="30"/>
  <c r="M25" i="30"/>
  <c r="M137" i="30"/>
  <c r="M25" i="37"/>
  <c r="M227" i="37"/>
  <c r="M81" i="37"/>
  <c r="M311" i="37"/>
  <c r="M199" i="37"/>
  <c r="M53" i="37"/>
  <c r="M283" i="37"/>
  <c r="M140" i="37"/>
  <c r="M255" i="37"/>
  <c r="M112" i="37"/>
  <c r="N63" i="29"/>
  <c r="N290" i="29"/>
  <c r="N119" i="29"/>
  <c r="N234" i="29"/>
  <c r="N206" i="29"/>
  <c r="N262" i="29"/>
  <c r="N147" i="29"/>
  <c r="N91" i="29"/>
  <c r="N35" i="29"/>
  <c r="N318" i="29"/>
  <c r="N181" i="29"/>
  <c r="L324" i="30"/>
  <c r="M39" i="35"/>
  <c r="M151" i="35"/>
  <c r="M294" i="35"/>
  <c r="M95" i="35"/>
  <c r="M67" i="35"/>
  <c r="M238" i="35"/>
  <c r="M123" i="35"/>
  <c r="M210" i="35"/>
  <c r="M322" i="35"/>
  <c r="M266" i="35"/>
  <c r="I131" i="29"/>
  <c r="I134" i="29" s="1"/>
  <c r="P134" i="29" s="1"/>
  <c r="I103" i="29"/>
  <c r="I106" i="29" s="1"/>
  <c r="P106" i="29" s="1"/>
  <c r="I75" i="29"/>
  <c r="I78" i="29" s="1"/>
  <c r="P78" i="29" s="1"/>
  <c r="I302" i="29"/>
  <c r="I305" i="29" s="1"/>
  <c r="P305" i="29" s="1"/>
  <c r="I47" i="29"/>
  <c r="I274" i="29"/>
  <c r="I19" i="29"/>
  <c r="I22" i="29" s="1"/>
  <c r="P22" i="29" s="1"/>
  <c r="I246" i="29"/>
  <c r="I190" i="29"/>
  <c r="I218" i="29"/>
  <c r="I221" i="29" s="1"/>
  <c r="P221" i="29" s="1"/>
  <c r="I162" i="29"/>
  <c r="I103" i="11"/>
  <c r="J99" i="11" s="1"/>
  <c r="J101" i="11"/>
  <c r="J102" i="11" s="1"/>
  <c r="J100" i="11"/>
  <c r="G25" i="35"/>
  <c r="G53" i="35"/>
  <c r="G280" i="35"/>
  <c r="G252" i="35"/>
  <c r="G224" i="35"/>
  <c r="G308" i="35"/>
  <c r="G196" i="35"/>
  <c r="G137" i="35"/>
  <c r="G109" i="35"/>
  <c r="G81" i="35"/>
  <c r="G172" i="35"/>
  <c r="G32" i="34"/>
  <c r="G172" i="30"/>
  <c r="G175" i="37"/>
  <c r="G172" i="38"/>
  <c r="G172" i="29"/>
  <c r="H39" i="9"/>
  <c r="O39" i="9" s="1"/>
  <c r="S14" i="9" s="1"/>
  <c r="H54" i="9"/>
  <c r="N54" i="9" s="1"/>
  <c r="N37" i="9"/>
  <c r="D97" i="18"/>
  <c r="E51" i="39"/>
  <c r="E107" i="38"/>
  <c r="E250" i="38"/>
  <c r="N95" i="9"/>
  <c r="E23" i="39"/>
  <c r="E135" i="38"/>
  <c r="E79" i="38"/>
  <c r="E51" i="38"/>
  <c r="E79" i="39"/>
  <c r="E250" i="39"/>
  <c r="E194" i="39"/>
  <c r="E309" i="37"/>
  <c r="E281" i="37"/>
  <c r="E253" i="37"/>
  <c r="E306" i="39"/>
  <c r="E23" i="38"/>
  <c r="E306" i="38"/>
  <c r="D98" i="9"/>
  <c r="E222" i="38"/>
  <c r="E194" i="38"/>
  <c r="E107" i="39"/>
  <c r="E23" i="37"/>
  <c r="E79" i="37"/>
  <c r="E222" i="39"/>
  <c r="E51" i="37"/>
  <c r="E135" i="39"/>
  <c r="E278" i="38"/>
  <c r="E110" i="37"/>
  <c r="G9" i="19"/>
  <c r="G11" i="19" s="1"/>
  <c r="H11" i="19" s="1"/>
  <c r="H13" i="19" s="1"/>
  <c r="E138" i="37"/>
  <c r="O95" i="9"/>
  <c r="E197" i="37"/>
  <c r="E225" i="37"/>
  <c r="E278" i="39"/>
  <c r="M92" i="30"/>
  <c r="M91" i="30" s="1"/>
  <c r="M263" i="30"/>
  <c r="M262" i="30" s="1"/>
  <c r="M148" i="30"/>
  <c r="M147" i="30" s="1"/>
  <c r="M36" i="30"/>
  <c r="M35" i="30" s="1"/>
  <c r="M319" i="30"/>
  <c r="M318" i="30" s="1"/>
  <c r="M64" i="30"/>
  <c r="M63" i="30" s="1"/>
  <c r="M235" i="30"/>
  <c r="M234" i="30" s="1"/>
  <c r="M120" i="30"/>
  <c r="M119" i="30" s="1"/>
  <c r="M207" i="30"/>
  <c r="M206" i="30" s="1"/>
  <c r="M291" i="30"/>
  <c r="M290" i="30" s="1"/>
  <c r="M175" i="30"/>
  <c r="M181" i="30" s="1"/>
  <c r="L81" i="28"/>
  <c r="L137" i="28"/>
  <c r="L224" i="28"/>
  <c r="L172" i="28"/>
  <c r="L280" i="28"/>
  <c r="L109" i="28"/>
  <c r="L25" i="28"/>
  <c r="L196" i="28"/>
  <c r="L53" i="28"/>
  <c r="L252" i="28"/>
  <c r="L308" i="28"/>
  <c r="L53" i="38"/>
  <c r="L25" i="38"/>
  <c r="L308" i="38"/>
  <c r="L252" i="38"/>
  <c r="L137" i="38"/>
  <c r="L224" i="38"/>
  <c r="L109" i="38"/>
  <c r="L81" i="38"/>
  <c r="L280" i="38"/>
  <c r="L196" i="38"/>
  <c r="K293" i="37"/>
  <c r="K265" i="37"/>
  <c r="K237" i="37"/>
  <c r="K209" i="37"/>
  <c r="K91" i="37"/>
  <c r="K35" i="37"/>
  <c r="K63" i="37"/>
  <c r="K150" i="37"/>
  <c r="K321" i="37"/>
  <c r="K122" i="37"/>
  <c r="K184" i="37"/>
  <c r="L147" i="38"/>
  <c r="L119" i="38"/>
  <c r="L91" i="38"/>
  <c r="L318" i="38"/>
  <c r="L63" i="38"/>
  <c r="L290" i="38"/>
  <c r="L35" i="38"/>
  <c r="L262" i="38"/>
  <c r="L234" i="38"/>
  <c r="L206" i="38"/>
  <c r="L181" i="38"/>
  <c r="G322" i="28"/>
  <c r="G123" i="28"/>
  <c r="G266" i="28"/>
  <c r="G39" i="28"/>
  <c r="G210" i="28"/>
  <c r="G294" i="28"/>
  <c r="G238" i="28"/>
  <c r="G67" i="28"/>
  <c r="G151" i="28"/>
  <c r="G95" i="28"/>
  <c r="N172" i="39"/>
  <c r="N81" i="39"/>
  <c r="N137" i="39"/>
  <c r="N224" i="39"/>
  <c r="N308" i="39"/>
  <c r="N109" i="39"/>
  <c r="N25" i="39"/>
  <c r="N252" i="39"/>
  <c r="N53" i="39"/>
  <c r="N196" i="39"/>
  <c r="N280" i="39"/>
  <c r="N311" i="37"/>
  <c r="N199" i="37"/>
  <c r="N53" i="37"/>
  <c r="N283" i="37"/>
  <c r="N140" i="37"/>
  <c r="N25" i="37"/>
  <c r="N227" i="37"/>
  <c r="N81" i="37"/>
  <c r="N255" i="37"/>
  <c r="N112" i="37"/>
  <c r="H81" i="28"/>
  <c r="H308" i="28"/>
  <c r="H137" i="28"/>
  <c r="H53" i="28"/>
  <c r="H224" i="28"/>
  <c r="H280" i="28"/>
  <c r="H25" i="28"/>
  <c r="H109" i="28"/>
  <c r="H196" i="28"/>
  <c r="H172" i="28"/>
  <c r="H252" i="28"/>
  <c r="F308" i="30"/>
  <c r="F172" i="39"/>
  <c r="F109" i="39"/>
  <c r="F110" i="39" s="1"/>
  <c r="F81" i="39"/>
  <c r="F82" i="39" s="1"/>
  <c r="F224" i="39"/>
  <c r="F225" i="39" s="1"/>
  <c r="F196" i="39"/>
  <c r="F197" i="39" s="1"/>
  <c r="F53" i="39"/>
  <c r="F54" i="39" s="1"/>
  <c r="F308" i="39"/>
  <c r="F309" i="39" s="1"/>
  <c r="F25" i="39"/>
  <c r="F26" i="39" s="1"/>
  <c r="F137" i="39"/>
  <c r="F138" i="39" s="1"/>
  <c r="F252" i="39"/>
  <c r="F253" i="39" s="1"/>
  <c r="F280" i="39"/>
  <c r="F281" i="39" s="1"/>
  <c r="G120" i="38"/>
  <c r="G291" i="38"/>
  <c r="G207" i="38"/>
  <c r="G36" i="38"/>
  <c r="G92" i="38"/>
  <c r="G263" i="38"/>
  <c r="G148" i="38"/>
  <c r="G319" i="38"/>
  <c r="G64" i="38"/>
  <c r="G235" i="38"/>
  <c r="G175" i="38"/>
  <c r="G151" i="37"/>
  <c r="G322" i="37"/>
  <c r="G64" i="37"/>
  <c r="G238" i="37"/>
  <c r="G123" i="37"/>
  <c r="G294" i="37"/>
  <c r="G36" i="37"/>
  <c r="G210" i="37"/>
  <c r="G92" i="37"/>
  <c r="G266" i="37"/>
  <c r="G178" i="37"/>
  <c r="H57" i="11"/>
  <c r="H13" i="24"/>
  <c r="G29" i="25"/>
  <c r="G108" i="38"/>
  <c r="K196" i="38"/>
  <c r="O242" i="46"/>
  <c r="O220" i="46"/>
  <c r="O110" i="46"/>
  <c r="O52" i="46"/>
  <c r="O238" i="46"/>
  <c r="O216" i="46"/>
  <c r="O44" i="46"/>
  <c r="O234" i="46"/>
  <c r="O92" i="46"/>
  <c r="E105" i="18"/>
  <c r="E104" i="18"/>
  <c r="E109" i="18"/>
  <c r="E172" i="38"/>
  <c r="E172" i="35"/>
  <c r="E175" i="37"/>
  <c r="E32" i="34"/>
  <c r="E172" i="30"/>
  <c r="E172" i="29"/>
  <c r="E25" i="30"/>
  <c r="E81" i="30"/>
  <c r="E308" i="30"/>
  <c r="E53" i="30"/>
  <c r="E280" i="30"/>
  <c r="E252" i="30"/>
  <c r="E224" i="30"/>
  <c r="E196" i="30"/>
  <c r="E137" i="30"/>
  <c r="E109" i="30"/>
  <c r="M294" i="30"/>
  <c r="M238" i="30"/>
  <c r="M151" i="30"/>
  <c r="M266" i="30"/>
  <c r="M210" i="30"/>
  <c r="M39" i="30"/>
  <c r="M123" i="30"/>
  <c r="M322" i="30"/>
  <c r="M95" i="30"/>
  <c r="M67" i="30"/>
  <c r="I22" i="34"/>
  <c r="P19" i="34"/>
  <c r="G308" i="29"/>
  <c r="G280" i="29"/>
  <c r="G252" i="29"/>
  <c r="G224" i="29"/>
  <c r="G81" i="29"/>
  <c r="G196" i="29"/>
  <c r="G109" i="29"/>
  <c r="G137" i="29"/>
  <c r="G25" i="29"/>
  <c r="G53" i="29"/>
  <c r="J308" i="29"/>
  <c r="J109" i="29"/>
  <c r="J137" i="29"/>
  <c r="J25" i="29"/>
  <c r="J280" i="29"/>
  <c r="J224" i="29"/>
  <c r="J252" i="29"/>
  <c r="J196" i="29"/>
  <c r="J81" i="29"/>
  <c r="J53" i="29"/>
  <c r="H235" i="38"/>
  <c r="H120" i="38"/>
  <c r="H291" i="38"/>
  <c r="H207" i="38"/>
  <c r="H36" i="38"/>
  <c r="H92" i="38"/>
  <c r="H263" i="38"/>
  <c r="H148" i="38"/>
  <c r="H319" i="38"/>
  <c r="H64" i="38"/>
  <c r="H175" i="38"/>
  <c r="H266" i="37"/>
  <c r="H151" i="37"/>
  <c r="H322" i="37"/>
  <c r="H64" i="37"/>
  <c r="H238" i="37"/>
  <c r="H123" i="37"/>
  <c r="H294" i="37"/>
  <c r="H36" i="37"/>
  <c r="H210" i="37"/>
  <c r="H92" i="37"/>
  <c r="H178" i="37"/>
  <c r="M207" i="29"/>
  <c r="M92" i="29"/>
  <c r="M263" i="29"/>
  <c r="M148" i="29"/>
  <c r="M319" i="29"/>
  <c r="M64" i="29"/>
  <c r="M235" i="29"/>
  <c r="M291" i="29"/>
  <c r="M36" i="29"/>
  <c r="M120" i="29"/>
  <c r="M175" i="29"/>
  <c r="L172" i="35"/>
  <c r="L175" i="37"/>
  <c r="L32" i="34"/>
  <c r="L172" i="29"/>
  <c r="L172" i="30"/>
  <c r="L172" i="38"/>
  <c r="N252" i="29"/>
  <c r="N196" i="29"/>
  <c r="N109" i="29"/>
  <c r="N53" i="29"/>
  <c r="N280" i="29"/>
  <c r="N224" i="29"/>
  <c r="N137" i="29"/>
  <c r="N308" i="29"/>
  <c r="N81" i="29"/>
  <c r="N25" i="29"/>
  <c r="N81" i="28"/>
  <c r="N137" i="28"/>
  <c r="N224" i="28"/>
  <c r="N252" i="28"/>
  <c r="N53" i="28"/>
  <c r="N172" i="28"/>
  <c r="N109" i="28"/>
  <c r="N196" i="28"/>
  <c r="N308" i="28"/>
  <c r="N280" i="28"/>
  <c r="N25" i="28"/>
  <c r="K119" i="38"/>
  <c r="K35" i="38"/>
  <c r="K91" i="38"/>
  <c r="K318" i="38"/>
  <c r="K63" i="38"/>
  <c r="K290" i="38"/>
  <c r="K262" i="38"/>
  <c r="K234" i="38"/>
  <c r="K206" i="38"/>
  <c r="K147" i="38"/>
  <c r="K181" i="38"/>
  <c r="G291" i="39"/>
  <c r="G207" i="39"/>
  <c r="G92" i="39"/>
  <c r="G64" i="39"/>
  <c r="G263" i="39"/>
  <c r="G148" i="39"/>
  <c r="G319" i="39"/>
  <c r="G235" i="39"/>
  <c r="G120" i="39"/>
  <c r="G36" i="39"/>
  <c r="G175" i="39"/>
  <c r="G148" i="35"/>
  <c r="G36" i="35"/>
  <c r="G263" i="35"/>
  <c r="G120" i="35"/>
  <c r="G235" i="35"/>
  <c r="G319" i="35"/>
  <c r="G207" i="35"/>
  <c r="G92" i="35"/>
  <c r="G291" i="35"/>
  <c r="G64" i="35"/>
  <c r="G175" i="35"/>
  <c r="I60" i="11"/>
  <c r="H61" i="11"/>
  <c r="I26" i="24"/>
  <c r="I246" i="46"/>
  <c r="I108" i="45" s="1"/>
  <c r="O114" i="46"/>
  <c r="O217" i="46"/>
  <c r="O196" i="46"/>
  <c r="O42" i="46"/>
  <c r="O213" i="46"/>
  <c r="O192" i="46"/>
  <c r="I58" i="46"/>
  <c r="I26" i="45" s="1"/>
  <c r="O178" i="46"/>
  <c r="N116" i="48"/>
  <c r="I119" i="48" s="1"/>
  <c r="I102" i="47" s="1"/>
  <c r="N179" i="48"/>
  <c r="I182" i="48" s="1"/>
  <c r="I105" i="47" s="1"/>
  <c r="N53" i="48"/>
  <c r="I141" i="46"/>
  <c r="I103" i="45" s="1"/>
  <c r="N221" i="48"/>
  <c r="I224" i="48" s="1"/>
  <c r="I107" i="47" s="1"/>
  <c r="N95" i="48"/>
  <c r="I98" i="48" s="1"/>
  <c r="I101" i="47" s="1"/>
  <c r="N158" i="48"/>
  <c r="I161" i="48" s="1"/>
  <c r="I104" i="47" s="1"/>
  <c r="N242" i="48"/>
  <c r="I245" i="48" s="1"/>
  <c r="I108" i="47" s="1"/>
  <c r="N137" i="48"/>
  <c r="I140" i="48" s="1"/>
  <c r="I103" i="47" s="1"/>
  <c r="N200" i="48"/>
  <c r="I203" i="48" s="1"/>
  <c r="I106" i="47" s="1"/>
  <c r="N74" i="48"/>
  <c r="I77" i="48" s="1"/>
  <c r="I100" i="47" s="1"/>
  <c r="N32" i="48"/>
  <c r="D84" i="47"/>
  <c r="M252" i="38"/>
  <c r="M137" i="38"/>
  <c r="M224" i="38"/>
  <c r="M109" i="38"/>
  <c r="M308" i="38"/>
  <c r="M196" i="38"/>
  <c r="M81" i="38"/>
  <c r="M280" i="38"/>
  <c r="M25" i="38"/>
  <c r="M53" i="38"/>
  <c r="N293" i="37"/>
  <c r="N35" i="37"/>
  <c r="N265" i="37"/>
  <c r="N237" i="37"/>
  <c r="N209" i="37"/>
  <c r="N150" i="37"/>
  <c r="N122" i="37"/>
  <c r="N91" i="37"/>
  <c r="N321" i="37"/>
  <c r="N63" i="37"/>
  <c r="N184" i="37"/>
  <c r="J182" i="42"/>
  <c r="I196" i="42"/>
  <c r="I106" i="43" s="1"/>
  <c r="I195" i="42"/>
  <c r="I103" i="35"/>
  <c r="P103" i="35" s="1"/>
  <c r="I246" i="35"/>
  <c r="P246" i="35" s="1"/>
  <c r="I19" i="35"/>
  <c r="P19" i="35" s="1"/>
  <c r="I302" i="35"/>
  <c r="P302" i="35" s="1"/>
  <c r="I190" i="35"/>
  <c r="P190" i="35" s="1"/>
  <c r="I47" i="35"/>
  <c r="P47" i="35" s="1"/>
  <c r="I162" i="35"/>
  <c r="I75" i="35"/>
  <c r="P75" i="35" s="1"/>
  <c r="I131" i="35"/>
  <c r="P131" i="35" s="1"/>
  <c r="I218" i="35"/>
  <c r="P218" i="35" s="1"/>
  <c r="I274" i="35"/>
  <c r="P274" i="35" s="1"/>
  <c r="P159" i="35"/>
  <c r="J81" i="39"/>
  <c r="J82" i="39" s="1"/>
  <c r="J109" i="39"/>
  <c r="J110" i="39" s="1"/>
  <c r="J308" i="39"/>
  <c r="J309" i="39" s="1"/>
  <c r="J53" i="39"/>
  <c r="J54" i="39" s="1"/>
  <c r="J56" i="39" s="1"/>
  <c r="J252" i="39"/>
  <c r="J253" i="39" s="1"/>
  <c r="J255" i="39" s="1"/>
  <c r="J280" i="39"/>
  <c r="J281" i="39" s="1"/>
  <c r="J196" i="39"/>
  <c r="J197" i="39" s="1"/>
  <c r="J199" i="39" s="1"/>
  <c r="J224" i="39"/>
  <c r="J225" i="39" s="1"/>
  <c r="J227" i="39" s="1"/>
  <c r="J25" i="39"/>
  <c r="J26" i="39" s="1"/>
  <c r="J172" i="39"/>
  <c r="J137" i="39"/>
  <c r="J138" i="39" s="1"/>
  <c r="J140" i="39" s="1"/>
  <c r="G192" i="37"/>
  <c r="G304" i="37"/>
  <c r="G18" i="37"/>
  <c r="G276" i="37"/>
  <c r="G105" i="37"/>
  <c r="G133" i="37"/>
  <c r="G220" i="37"/>
  <c r="G248" i="37"/>
  <c r="G74" i="37"/>
  <c r="G46" i="37"/>
  <c r="H120" i="39"/>
  <c r="H291" i="39"/>
  <c r="H207" i="39"/>
  <c r="H92" i="39"/>
  <c r="H64" i="39"/>
  <c r="H263" i="39"/>
  <c r="H148" i="39"/>
  <c r="H319" i="39"/>
  <c r="H36" i="39"/>
  <c r="H235" i="39"/>
  <c r="H175" i="39"/>
  <c r="H64" i="35"/>
  <c r="H120" i="35"/>
  <c r="H207" i="35"/>
  <c r="H319" i="35"/>
  <c r="H92" i="35"/>
  <c r="H148" i="35"/>
  <c r="H235" i="35"/>
  <c r="H291" i="35"/>
  <c r="H36" i="35"/>
  <c r="H263" i="35"/>
  <c r="H175" i="35"/>
  <c r="L262" i="29"/>
  <c r="L147" i="29"/>
  <c r="L206" i="29"/>
  <c r="L119" i="29"/>
  <c r="L63" i="29"/>
  <c r="L234" i="29"/>
  <c r="L290" i="29"/>
  <c r="L35" i="29"/>
  <c r="L91" i="29"/>
  <c r="L318" i="29"/>
  <c r="L181" i="29"/>
  <c r="H14" i="24"/>
  <c r="H65" i="11"/>
  <c r="G30" i="25"/>
  <c r="L224" i="29"/>
  <c r="L109" i="29"/>
  <c r="L137" i="29"/>
  <c r="L25" i="29"/>
  <c r="L81" i="29"/>
  <c r="L280" i="29"/>
  <c r="L196" i="29"/>
  <c r="L53" i="29"/>
  <c r="L308" i="29"/>
  <c r="L252" i="29"/>
  <c r="L255" i="37"/>
  <c r="L227" i="37"/>
  <c r="L199" i="37"/>
  <c r="L283" i="37"/>
  <c r="L140" i="37"/>
  <c r="L112" i="37"/>
  <c r="L81" i="37"/>
  <c r="L25" i="37"/>
  <c r="L53" i="37"/>
  <c r="L311" i="37"/>
  <c r="K290" i="39"/>
  <c r="K262" i="39"/>
  <c r="K234" i="39"/>
  <c r="K206" i="39"/>
  <c r="K147" i="39"/>
  <c r="K119" i="39"/>
  <c r="K91" i="39"/>
  <c r="K318" i="39"/>
  <c r="K63" i="39"/>
  <c r="K35" i="39"/>
  <c r="K181" i="39"/>
  <c r="I18" i="10"/>
  <c r="I165" i="35"/>
  <c r="I25" i="34"/>
  <c r="I165" i="38"/>
  <c r="H21" i="43"/>
  <c r="H83" i="43" s="1"/>
  <c r="I165" i="29"/>
  <c r="I165" i="39"/>
  <c r="I165" i="30"/>
  <c r="I158" i="25"/>
  <c r="I165" i="25" s="1"/>
  <c r="H22" i="15"/>
  <c r="H84" i="15" s="1"/>
  <c r="I165" i="28"/>
  <c r="I168" i="37"/>
  <c r="H22" i="45"/>
  <c r="H84" i="45" s="1"/>
  <c r="H22" i="47"/>
  <c r="H84" i="47" s="1"/>
  <c r="F163" i="38"/>
  <c r="F164" i="38" s="1"/>
  <c r="F166" i="38" s="1"/>
  <c r="F10" i="10"/>
  <c r="F12" i="10" s="1"/>
  <c r="F156" i="25"/>
  <c r="F157" i="25" s="1"/>
  <c r="F159" i="25" s="1"/>
  <c r="H25" i="7"/>
  <c r="H27" i="7" s="1"/>
  <c r="F163" i="35"/>
  <c r="E20" i="47"/>
  <c r="E21" i="47" s="1"/>
  <c r="E23" i="47" s="1"/>
  <c r="E20" i="45"/>
  <c r="E21" i="45" s="1"/>
  <c r="E23" i="45" s="1"/>
  <c r="F163" i="39"/>
  <c r="F164" i="39" s="1"/>
  <c r="F166" i="39" s="1"/>
  <c r="F23" i="34"/>
  <c r="F24" i="34" s="1"/>
  <c r="F26" i="34" s="1"/>
  <c r="F163" i="28"/>
  <c r="F163" i="30"/>
  <c r="E20" i="15"/>
  <c r="E21" i="15" s="1"/>
  <c r="E23" i="15" s="1"/>
  <c r="F166" i="37"/>
  <c r="F167" i="37" s="1"/>
  <c r="F169" i="37" s="1"/>
  <c r="E19" i="43"/>
  <c r="E20" i="43" s="1"/>
  <c r="E22" i="43" s="1"/>
  <c r="F163" i="29"/>
  <c r="N308" i="38"/>
  <c r="N196" i="38"/>
  <c r="N53" i="38"/>
  <c r="N109" i="38"/>
  <c r="N25" i="38"/>
  <c r="N81" i="38"/>
  <c r="N280" i="38"/>
  <c r="N252" i="38"/>
  <c r="N224" i="38"/>
  <c r="N137" i="38"/>
  <c r="F112" i="37"/>
  <c r="F113" i="37" s="1"/>
  <c r="F283" i="37"/>
  <c r="F284" i="37" s="1"/>
  <c r="F199" i="37"/>
  <c r="F200" i="37" s="1"/>
  <c r="F25" i="37"/>
  <c r="F26" i="37" s="1"/>
  <c r="F81" i="37"/>
  <c r="F255" i="37"/>
  <c r="F256" i="37" s="1"/>
  <c r="F140" i="37"/>
  <c r="F141" i="37" s="1"/>
  <c r="F311" i="37"/>
  <c r="F312" i="37" s="1"/>
  <c r="F53" i="37"/>
  <c r="F54" i="37" s="1"/>
  <c r="F227" i="37"/>
  <c r="F228" i="37" s="1"/>
  <c r="G263" i="29"/>
  <c r="G148" i="29"/>
  <c r="G319" i="29"/>
  <c r="G64" i="29"/>
  <c r="G235" i="29"/>
  <c r="G120" i="29"/>
  <c r="G291" i="29"/>
  <c r="G36" i="29"/>
  <c r="G92" i="29"/>
  <c r="G207" i="29"/>
  <c r="G175" i="29"/>
  <c r="K109" i="29"/>
  <c r="K137" i="29"/>
  <c r="K25" i="29"/>
  <c r="K308" i="29"/>
  <c r="K224" i="29"/>
  <c r="K81" i="29"/>
  <c r="K252" i="29"/>
  <c r="K280" i="29"/>
  <c r="K53" i="29"/>
  <c r="K196" i="29"/>
  <c r="K172" i="35"/>
  <c r="K175" i="37"/>
  <c r="K32" i="34"/>
  <c r="K172" i="29"/>
  <c r="K172" i="30"/>
  <c r="K172" i="38"/>
  <c r="O233" i="46"/>
  <c r="O88" i="46"/>
  <c r="O170" i="46"/>
  <c r="O126" i="46"/>
  <c r="O47" i="46"/>
  <c r="I91" i="11"/>
  <c r="I116" i="11" s="1"/>
  <c r="H119" i="11"/>
  <c r="L29" i="43"/>
  <c r="E172" i="39"/>
  <c r="E252" i="39"/>
  <c r="E109" i="39"/>
  <c r="E196" i="39"/>
  <c r="E53" i="39"/>
  <c r="E137" i="39"/>
  <c r="E280" i="39"/>
  <c r="E224" i="39"/>
  <c r="E25" i="39"/>
  <c r="E81" i="39"/>
  <c r="E308" i="39"/>
  <c r="E308" i="28"/>
  <c r="E252" i="28"/>
  <c r="E196" i="28"/>
  <c r="E25" i="28"/>
  <c r="E109" i="28"/>
  <c r="E280" i="28"/>
  <c r="E172" i="28"/>
  <c r="E224" i="28"/>
  <c r="E53" i="28"/>
  <c r="E137" i="28"/>
  <c r="E81" i="28"/>
  <c r="I103" i="18"/>
  <c r="V8" i="19"/>
  <c r="V11" i="19" s="1"/>
  <c r="W11" i="19" s="1"/>
  <c r="W13" i="19" s="1"/>
  <c r="W17" i="19" s="1"/>
  <c r="M172" i="28"/>
  <c r="M252" i="28"/>
  <c r="M81" i="28"/>
  <c r="M308" i="28"/>
  <c r="M137" i="28"/>
  <c r="M53" i="28"/>
  <c r="M224" i="28"/>
  <c r="M280" i="28"/>
  <c r="M25" i="28"/>
  <c r="M109" i="28"/>
  <c r="M196" i="28"/>
  <c r="I214" i="42"/>
  <c r="I107" i="43" s="1"/>
  <c r="I213" i="42"/>
  <c r="I34" i="43" s="1"/>
  <c r="J200" i="42"/>
  <c r="M322" i="29"/>
  <c r="M266" i="29"/>
  <c r="M67" i="29"/>
  <c r="M294" i="29"/>
  <c r="M123" i="29"/>
  <c r="M238" i="29"/>
  <c r="M210" i="29"/>
  <c r="M151" i="29"/>
  <c r="M95" i="29"/>
  <c r="M39" i="29"/>
  <c r="I165" i="37"/>
  <c r="I19" i="37"/>
  <c r="I277" i="37"/>
  <c r="I106" i="37"/>
  <c r="I221" i="37"/>
  <c r="I47" i="37"/>
  <c r="I305" i="37"/>
  <c r="I134" i="37"/>
  <c r="I249" i="37"/>
  <c r="I252" i="37" s="1"/>
  <c r="I75" i="37"/>
  <c r="I78" i="37" s="1"/>
  <c r="P78" i="37" s="1"/>
  <c r="I193" i="37"/>
  <c r="P162" i="37"/>
  <c r="G137" i="38"/>
  <c r="G224" i="38"/>
  <c r="G109" i="38"/>
  <c r="G308" i="38"/>
  <c r="G81" i="38"/>
  <c r="G196" i="38"/>
  <c r="G280" i="38"/>
  <c r="G25" i="38"/>
  <c r="G53" i="38"/>
  <c r="G252" i="38"/>
  <c r="J308" i="28"/>
  <c r="J81" i="28"/>
  <c r="J137" i="28"/>
  <c r="J224" i="28"/>
  <c r="J172" i="28"/>
  <c r="J280" i="28"/>
  <c r="J109" i="28"/>
  <c r="J25" i="28"/>
  <c r="J196" i="28"/>
  <c r="J252" i="28"/>
  <c r="J53" i="28"/>
  <c r="J252" i="30"/>
  <c r="J81" i="30"/>
  <c r="J196" i="30"/>
  <c r="J109" i="30"/>
  <c r="J53" i="30"/>
  <c r="J25" i="30"/>
  <c r="J280" i="30"/>
  <c r="J224" i="30"/>
  <c r="J308" i="30"/>
  <c r="J137" i="30"/>
  <c r="G102" i="28"/>
  <c r="G245" i="28"/>
  <c r="G46" i="28"/>
  <c r="G273" i="28"/>
  <c r="G130" i="28"/>
  <c r="G18" i="28"/>
  <c r="G301" i="28"/>
  <c r="G189" i="28"/>
  <c r="G217" i="28"/>
  <c r="G74" i="28"/>
  <c r="H263" i="30"/>
  <c r="H262" i="30" s="1"/>
  <c r="H148" i="30"/>
  <c r="H147" i="30" s="1"/>
  <c r="H319" i="30"/>
  <c r="H318" i="30" s="1"/>
  <c r="H64" i="30"/>
  <c r="H63" i="30" s="1"/>
  <c r="H235" i="30"/>
  <c r="H234" i="30" s="1"/>
  <c r="H120" i="30"/>
  <c r="H119" i="30" s="1"/>
  <c r="H291" i="30"/>
  <c r="H290" i="30" s="1"/>
  <c r="H36" i="30"/>
  <c r="H35" i="30" s="1"/>
  <c r="H92" i="30"/>
  <c r="H91" i="30" s="1"/>
  <c r="H207" i="30"/>
  <c r="H206" i="30" s="1"/>
  <c r="H175" i="30"/>
  <c r="I68" i="11"/>
  <c r="J68" i="11" s="1"/>
  <c r="K68" i="11" s="1"/>
  <c r="L68" i="11" s="1"/>
  <c r="M68" i="11" s="1"/>
  <c r="N68" i="11" s="1"/>
  <c r="O68" i="11" s="1"/>
  <c r="H69" i="11"/>
  <c r="M181" i="28"/>
  <c r="L143" i="43"/>
  <c r="L140" i="43"/>
  <c r="L138" i="43"/>
  <c r="L137" i="43"/>
  <c r="L141" i="43"/>
  <c r="L139" i="43"/>
  <c r="L145" i="43"/>
  <c r="L144" i="43"/>
  <c r="P23" i="8"/>
  <c r="O51" i="18" s="1"/>
  <c r="Q51" i="18" s="1"/>
  <c r="P16" i="8"/>
  <c r="O50" i="18" s="1"/>
  <c r="Q50" i="18" s="1"/>
  <c r="K253" i="37"/>
  <c r="K254" i="37" s="1"/>
  <c r="K222" i="38"/>
  <c r="K223" i="38" s="1"/>
  <c r="K135" i="39"/>
  <c r="K136" i="39" s="1"/>
  <c r="K225" i="37"/>
  <c r="K226" i="37" s="1"/>
  <c r="K79" i="39"/>
  <c r="K80" i="39" s="1"/>
  <c r="K194" i="39"/>
  <c r="K195" i="39" s="1"/>
  <c r="K250" i="38"/>
  <c r="K251" i="38" s="1"/>
  <c r="K51" i="38"/>
  <c r="K52" i="38" s="1"/>
  <c r="K107" i="38"/>
  <c r="K108" i="38" s="1"/>
  <c r="K306" i="39"/>
  <c r="K307" i="39" s="1"/>
  <c r="K23" i="39"/>
  <c r="K24" i="39" s="1"/>
  <c r="K23" i="38"/>
  <c r="K24" i="38" s="1"/>
  <c r="K110" i="37"/>
  <c r="K111" i="37" s="1"/>
  <c r="K138" i="37"/>
  <c r="K139" i="37" s="1"/>
  <c r="K135" i="38"/>
  <c r="K136" i="38" s="1"/>
  <c r="K309" i="37"/>
  <c r="K310" i="37" s="1"/>
  <c r="K107" i="39"/>
  <c r="K108" i="39" s="1"/>
  <c r="K278" i="39"/>
  <c r="K279" i="39" s="1"/>
  <c r="K281" i="37"/>
  <c r="K282" i="37" s="1"/>
  <c r="K51" i="39"/>
  <c r="K52" i="39" s="1"/>
  <c r="K250" i="39"/>
  <c r="K251" i="39" s="1"/>
  <c r="K306" i="38"/>
  <c r="K307" i="38" s="1"/>
  <c r="K194" i="38"/>
  <c r="K195" i="38" s="1"/>
  <c r="K222" i="39"/>
  <c r="K223" i="39" s="1"/>
  <c r="K23" i="37"/>
  <c r="K24" i="37" s="1"/>
  <c r="K278" i="38"/>
  <c r="K279" i="38" s="1"/>
  <c r="K197" i="37"/>
  <c r="K198" i="37" s="1"/>
  <c r="K51" i="37"/>
  <c r="K52" i="37" s="1"/>
  <c r="K79" i="38"/>
  <c r="K80" i="38" s="1"/>
  <c r="K79" i="37"/>
  <c r="K80" i="37" s="1"/>
  <c r="J60" i="9"/>
  <c r="H97" i="18"/>
  <c r="S9" i="19"/>
  <c r="N53" i="30"/>
  <c r="N137" i="30"/>
  <c r="N25" i="30"/>
  <c r="N81" i="30"/>
  <c r="N196" i="30"/>
  <c r="N224" i="30"/>
  <c r="N252" i="30"/>
  <c r="N308" i="30"/>
  <c r="N109" i="30"/>
  <c r="N280" i="30"/>
  <c r="L209" i="37"/>
  <c r="L150" i="37"/>
  <c r="L122" i="37"/>
  <c r="L35" i="37"/>
  <c r="L91" i="37"/>
  <c r="L321" i="37"/>
  <c r="L63" i="37"/>
  <c r="L293" i="37"/>
  <c r="L265" i="37"/>
  <c r="L237" i="37"/>
  <c r="L184" i="37"/>
  <c r="H25" i="30"/>
  <c r="H109" i="30"/>
  <c r="H280" i="30"/>
  <c r="H53" i="30"/>
  <c r="H224" i="30"/>
  <c r="H137" i="30"/>
  <c r="H81" i="30"/>
  <c r="H308" i="30"/>
  <c r="H252" i="30"/>
  <c r="H196" i="30"/>
  <c r="H81" i="35"/>
  <c r="H53" i="35"/>
  <c r="H25" i="35"/>
  <c r="H280" i="35"/>
  <c r="H252" i="35"/>
  <c r="H224" i="35"/>
  <c r="H308" i="35"/>
  <c r="H196" i="35"/>
  <c r="H137" i="35"/>
  <c r="H109" i="35"/>
  <c r="F308" i="38"/>
  <c r="F309" i="38" s="1"/>
  <c r="F53" i="38"/>
  <c r="F54" i="38" s="1"/>
  <c r="F224" i="38"/>
  <c r="F225" i="38" s="1"/>
  <c r="F109" i="38"/>
  <c r="F110" i="38" s="1"/>
  <c r="F280" i="38"/>
  <c r="F281" i="38" s="1"/>
  <c r="F196" i="38"/>
  <c r="F197" i="38" s="1"/>
  <c r="F25" i="38"/>
  <c r="F26" i="38" s="1"/>
  <c r="F81" i="38"/>
  <c r="F82" i="38" s="1"/>
  <c r="F252" i="38"/>
  <c r="F253" i="38" s="1"/>
  <c r="F137" i="38"/>
  <c r="F138" i="38" s="1"/>
  <c r="G36" i="28"/>
  <c r="G35" i="28" s="1"/>
  <c r="G120" i="28"/>
  <c r="G119" i="28" s="1"/>
  <c r="G319" i="28"/>
  <c r="G318" i="28" s="1"/>
  <c r="G235" i="28"/>
  <c r="G234" i="28" s="1"/>
  <c r="G207" i="28"/>
  <c r="G206" i="28" s="1"/>
  <c r="G92" i="28"/>
  <c r="G91" i="28" s="1"/>
  <c r="G291" i="28"/>
  <c r="G290" i="28" s="1"/>
  <c r="G263" i="28"/>
  <c r="G262" i="28" s="1"/>
  <c r="G148" i="28"/>
  <c r="G147" i="28" s="1"/>
  <c r="G64" i="28"/>
  <c r="G63" i="28" s="1"/>
  <c r="G175" i="28"/>
  <c r="O221" i="46"/>
  <c r="O200" i="46"/>
  <c r="I183" i="46"/>
  <c r="I105" i="45" s="1"/>
  <c r="O115" i="46"/>
  <c r="I205" i="46"/>
  <c r="I33" i="45" s="1"/>
  <c r="O235" i="46"/>
  <c r="I57" i="46"/>
  <c r="I99" i="45" s="1"/>
  <c r="J93" i="11"/>
  <c r="I95" i="11"/>
  <c r="J92" i="11"/>
  <c r="I118" i="11"/>
  <c r="M124" i="42"/>
  <c r="M123" i="42"/>
  <c r="M29" i="43" s="1"/>
  <c r="D83" i="43"/>
  <c r="D84" i="15"/>
  <c r="P104" i="46"/>
  <c r="I119" i="46"/>
  <c r="M252" i="35"/>
  <c r="M196" i="35"/>
  <c r="M280" i="35"/>
  <c r="M109" i="35"/>
  <c r="M137" i="35"/>
  <c r="M81" i="35"/>
  <c r="M25" i="35"/>
  <c r="M224" i="35"/>
  <c r="M308" i="35"/>
  <c r="M53" i="35"/>
  <c r="I246" i="38"/>
  <c r="I249" i="38" s="1"/>
  <c r="I47" i="38"/>
  <c r="I190" i="38"/>
  <c r="I103" i="38"/>
  <c r="I19" i="38"/>
  <c r="I302" i="38"/>
  <c r="I305" i="38" s="1"/>
  <c r="I274" i="38"/>
  <c r="I162" i="38"/>
  <c r="I218" i="38"/>
  <c r="I221" i="38" s="1"/>
  <c r="P221" i="38" s="1"/>
  <c r="I131" i="38"/>
  <c r="I75" i="38"/>
  <c r="P159" i="38"/>
  <c r="H92" i="18"/>
  <c r="H93" i="18" s="1"/>
  <c r="I93" i="18" s="1"/>
  <c r="J93" i="18" s="1"/>
  <c r="K93" i="18" s="1"/>
  <c r="L93" i="18" s="1"/>
  <c r="M93" i="18" s="1"/>
  <c r="I8" i="10"/>
  <c r="T5" i="19"/>
  <c r="N27" i="8"/>
  <c r="E63" i="28"/>
  <c r="G81" i="39"/>
  <c r="G280" i="39"/>
  <c r="G196" i="39"/>
  <c r="G172" i="39"/>
  <c r="G308" i="39"/>
  <c r="G309" i="39" s="1"/>
  <c r="G109" i="39"/>
  <c r="G224" i="39"/>
  <c r="G225" i="39" s="1"/>
  <c r="G137" i="39"/>
  <c r="G252" i="39"/>
  <c r="G53" i="39"/>
  <c r="G25" i="39"/>
  <c r="G283" i="37"/>
  <c r="G140" i="37"/>
  <c r="G25" i="37"/>
  <c r="G53" i="37"/>
  <c r="G255" i="37"/>
  <c r="G112" i="37"/>
  <c r="G311" i="37"/>
  <c r="G199" i="37"/>
  <c r="G227" i="37"/>
  <c r="G81" i="37"/>
  <c r="G273" i="39"/>
  <c r="G217" i="39"/>
  <c r="G189" i="39"/>
  <c r="G130" i="39"/>
  <c r="G74" i="39"/>
  <c r="G46" i="39"/>
  <c r="G245" i="39"/>
  <c r="G18" i="39"/>
  <c r="G301" i="39"/>
  <c r="G102" i="39"/>
  <c r="G74" i="35"/>
  <c r="G130" i="35"/>
  <c r="G273" i="35"/>
  <c r="G18" i="35"/>
  <c r="G217" i="35"/>
  <c r="G301" i="35"/>
  <c r="G189" i="35"/>
  <c r="G245" i="35"/>
  <c r="G102" i="35"/>
  <c r="G46" i="35"/>
  <c r="K63" i="35"/>
  <c r="K35" i="35"/>
  <c r="K290" i="35"/>
  <c r="K234" i="35"/>
  <c r="K318" i="35"/>
  <c r="K147" i="35"/>
  <c r="K262" i="35"/>
  <c r="K91" i="35"/>
  <c r="K206" i="35"/>
  <c r="K119" i="35"/>
  <c r="K181" i="35"/>
  <c r="H263" i="28"/>
  <c r="H262" i="28" s="1"/>
  <c r="H120" i="28"/>
  <c r="H119" i="28" s="1"/>
  <c r="H319" i="28"/>
  <c r="H318" i="28" s="1"/>
  <c r="H207" i="28"/>
  <c r="H206" i="28" s="1"/>
  <c r="H36" i="28"/>
  <c r="H35" i="28" s="1"/>
  <c r="H148" i="28"/>
  <c r="H147" i="28" s="1"/>
  <c r="H235" i="28"/>
  <c r="H234" i="28" s="1"/>
  <c r="H291" i="28"/>
  <c r="H290" i="28" s="1"/>
  <c r="H64" i="28"/>
  <c r="H63" i="28" s="1"/>
  <c r="H92" i="28"/>
  <c r="H91" i="28" s="1"/>
  <c r="H175" i="28"/>
  <c r="J98" i="46"/>
  <c r="R83" i="46"/>
  <c r="M319" i="38"/>
  <c r="M64" i="38"/>
  <c r="M235" i="38"/>
  <c r="M120" i="38"/>
  <c r="M291" i="38"/>
  <c r="M207" i="38"/>
  <c r="M36" i="38"/>
  <c r="M92" i="38"/>
  <c r="M263" i="38"/>
  <c r="M148" i="38"/>
  <c r="M175" i="38"/>
  <c r="M92" i="37"/>
  <c r="M266" i="37"/>
  <c r="M151" i="37"/>
  <c r="M322" i="37"/>
  <c r="M64" i="37"/>
  <c r="M238" i="37"/>
  <c r="M123" i="37"/>
  <c r="M294" i="37"/>
  <c r="M36" i="37"/>
  <c r="M210" i="37"/>
  <c r="M178" i="37"/>
  <c r="L43" i="9"/>
  <c r="K44" i="9"/>
  <c r="G151" i="29"/>
  <c r="G95" i="29"/>
  <c r="G39" i="29"/>
  <c r="G322" i="29"/>
  <c r="G67" i="29"/>
  <c r="G123" i="29"/>
  <c r="G294" i="29"/>
  <c r="G210" i="29"/>
  <c r="G238" i="29"/>
  <c r="G266" i="29"/>
  <c r="G322" i="38"/>
  <c r="G151" i="38"/>
  <c r="G266" i="38"/>
  <c r="G95" i="38"/>
  <c r="G210" i="38"/>
  <c r="G123" i="38"/>
  <c r="G67" i="38"/>
  <c r="G39" i="38"/>
  <c r="G294" i="38"/>
  <c r="G238" i="38"/>
  <c r="K147" i="29"/>
  <c r="K91" i="29"/>
  <c r="K35" i="29"/>
  <c r="K262" i="29"/>
  <c r="K206" i="29"/>
  <c r="K318" i="29"/>
  <c r="K119" i="29"/>
  <c r="K290" i="29"/>
  <c r="K63" i="29"/>
  <c r="K234" i="29"/>
  <c r="K181" i="29"/>
  <c r="H172" i="30"/>
  <c r="H172" i="29"/>
  <c r="H172" i="38"/>
  <c r="H172" i="35"/>
  <c r="H175" i="37"/>
  <c r="H32" i="34"/>
  <c r="F137" i="35"/>
  <c r="F109" i="35"/>
  <c r="F81" i="35"/>
  <c r="F308" i="35"/>
  <c r="F53" i="35"/>
  <c r="F280" i="35"/>
  <c r="F25" i="35"/>
  <c r="F252" i="35"/>
  <c r="F224" i="35"/>
  <c r="F196" i="35"/>
  <c r="G148" i="30"/>
  <c r="G147" i="30" s="1"/>
  <c r="G36" i="30"/>
  <c r="G35" i="30" s="1"/>
  <c r="G319" i="30"/>
  <c r="G318" i="30" s="1"/>
  <c r="G64" i="30"/>
  <c r="G63" i="30" s="1"/>
  <c r="G235" i="30"/>
  <c r="G234" i="30" s="1"/>
  <c r="G120" i="30"/>
  <c r="G119" i="30" s="1"/>
  <c r="G291" i="30"/>
  <c r="G290" i="30" s="1"/>
  <c r="G207" i="30"/>
  <c r="G206" i="30" s="1"/>
  <c r="G263" i="30"/>
  <c r="G262" i="30" s="1"/>
  <c r="G92" i="30"/>
  <c r="G91" i="30" s="1"/>
  <c r="G175" i="30"/>
  <c r="H12" i="24"/>
  <c r="H49" i="11"/>
  <c r="G28" i="25"/>
  <c r="O195" i="46"/>
  <c r="O26" i="46"/>
  <c r="I204" i="46"/>
  <c r="I106" i="45" s="1"/>
  <c r="O112" i="46"/>
  <c r="I120" i="46"/>
  <c r="I102" i="45" s="1"/>
  <c r="O108" i="46"/>
  <c r="O48" i="46"/>
  <c r="O214" i="46"/>
  <c r="O91" i="46"/>
  <c r="J19" i="41"/>
  <c r="I112" i="41"/>
  <c r="I111" i="41"/>
  <c r="I33" i="41"/>
  <c r="I114" i="41"/>
  <c r="I113" i="41"/>
  <c r="I116" i="41"/>
  <c r="I115" i="41"/>
  <c r="I32" i="41"/>
  <c r="I25" i="15" s="1"/>
  <c r="I118" i="41"/>
  <c r="I117" i="41"/>
  <c r="I120" i="41"/>
  <c r="I119" i="41"/>
  <c r="I121" i="41"/>
  <c r="I110" i="41"/>
  <c r="E308" i="38"/>
  <c r="E81" i="38"/>
  <c r="E280" i="38"/>
  <c r="E53" i="38"/>
  <c r="E252" i="38"/>
  <c r="E224" i="38"/>
  <c r="E196" i="38"/>
  <c r="E25" i="38"/>
  <c r="E109" i="38"/>
  <c r="E137" i="38"/>
  <c r="E165" i="25"/>
  <c r="H15" i="7"/>
  <c r="H17" i="7" s="1"/>
  <c r="H21" i="7" s="1"/>
  <c r="H22" i="7" s="1"/>
  <c r="H33" i="7" s="1"/>
  <c r="G11" i="24"/>
  <c r="F76" i="11"/>
  <c r="G41" i="11"/>
  <c r="G73" i="11" s="1"/>
  <c r="F27" i="25"/>
  <c r="M172" i="30"/>
  <c r="M172" i="29"/>
  <c r="M172" i="38"/>
  <c r="M172" i="35"/>
  <c r="M175" i="37"/>
  <c r="M32" i="34"/>
  <c r="M54" i="25"/>
  <c r="M52" i="25"/>
  <c r="M51" i="25"/>
  <c r="M49" i="25"/>
  <c r="M57" i="25"/>
  <c r="M50" i="25"/>
  <c r="M53" i="25"/>
  <c r="M56" i="25"/>
  <c r="M55" i="25"/>
  <c r="M58" i="25"/>
  <c r="L153" i="30"/>
  <c r="M266" i="39"/>
  <c r="M151" i="39"/>
  <c r="M95" i="39"/>
  <c r="M322" i="39"/>
  <c r="M67" i="39"/>
  <c r="M210" i="39"/>
  <c r="M294" i="39"/>
  <c r="M123" i="39"/>
  <c r="M238" i="39"/>
  <c r="M39" i="39"/>
  <c r="M95" i="28"/>
  <c r="M67" i="28"/>
  <c r="M39" i="28"/>
  <c r="M238" i="28"/>
  <c r="M151" i="28"/>
  <c r="M322" i="28"/>
  <c r="M294" i="28"/>
  <c r="M123" i="28"/>
  <c r="M266" i="28"/>
  <c r="M210" i="28"/>
  <c r="I162" i="39"/>
  <c r="P159" i="39"/>
  <c r="J311" i="37"/>
  <c r="J312" i="37" s="1"/>
  <c r="J314" i="37" s="1"/>
  <c r="J283" i="37"/>
  <c r="J140" i="37"/>
  <c r="J141" i="37" s="1"/>
  <c r="J143" i="37" s="1"/>
  <c r="J255" i="37"/>
  <c r="J256" i="37" s="1"/>
  <c r="J258" i="37" s="1"/>
  <c r="J112" i="37"/>
  <c r="J113" i="37" s="1"/>
  <c r="J115" i="37" s="1"/>
  <c r="J227" i="37"/>
  <c r="J228" i="37" s="1"/>
  <c r="J230" i="37" s="1"/>
  <c r="J81" i="37"/>
  <c r="J82" i="37" s="1"/>
  <c r="J84" i="37" s="1"/>
  <c r="J25" i="37"/>
  <c r="J26" i="37" s="1"/>
  <c r="J28" i="37" s="1"/>
  <c r="J199" i="37"/>
  <c r="J53" i="37"/>
  <c r="J54" i="37" s="1"/>
  <c r="J53" i="38"/>
  <c r="J54" i="38" s="1"/>
  <c r="J56" i="38" s="1"/>
  <c r="G46" i="29"/>
  <c r="G301" i="29"/>
  <c r="G74" i="29"/>
  <c r="G102" i="29"/>
  <c r="G130" i="29"/>
  <c r="G189" i="29"/>
  <c r="G217" i="29"/>
  <c r="G18" i="29"/>
  <c r="G273" i="29"/>
  <c r="G245" i="29"/>
  <c r="F90" i="18"/>
  <c r="R41" i="46"/>
  <c r="J56" i="46"/>
  <c r="H92" i="29"/>
  <c r="H263" i="29"/>
  <c r="H148" i="29"/>
  <c r="H319" i="29"/>
  <c r="H64" i="29"/>
  <c r="H235" i="29"/>
  <c r="H120" i="29"/>
  <c r="H207" i="29"/>
  <c r="H291" i="29"/>
  <c r="H36" i="29"/>
  <c r="H175" i="29"/>
  <c r="H22" i="35"/>
  <c r="H249" i="35"/>
  <c r="H221" i="35"/>
  <c r="H106" i="35"/>
  <c r="H78" i="35"/>
  <c r="H193" i="35"/>
  <c r="H50" i="35"/>
  <c r="H277" i="35"/>
  <c r="H305" i="35"/>
  <c r="H134" i="35"/>
  <c r="M235" i="39"/>
  <c r="M120" i="39"/>
  <c r="M291" i="39"/>
  <c r="M207" i="39"/>
  <c r="M92" i="39"/>
  <c r="M64" i="39"/>
  <c r="M263" i="39"/>
  <c r="M36" i="39"/>
  <c r="M148" i="39"/>
  <c r="M319" i="39"/>
  <c r="M175" i="39"/>
  <c r="M291" i="35"/>
  <c r="M148" i="35"/>
  <c r="M64" i="35"/>
  <c r="M263" i="35"/>
  <c r="M36" i="35"/>
  <c r="M235" i="35"/>
  <c r="M120" i="35"/>
  <c r="M319" i="35"/>
  <c r="M92" i="35"/>
  <c r="M207" i="35"/>
  <c r="M175" i="35"/>
  <c r="L25" i="30"/>
  <c r="L81" i="30"/>
  <c r="L196" i="30"/>
  <c r="L224" i="30"/>
  <c r="L308" i="30"/>
  <c r="L53" i="30"/>
  <c r="L252" i="30"/>
  <c r="L109" i="30"/>
  <c r="L280" i="30"/>
  <c r="L137" i="30"/>
  <c r="P218" i="28"/>
  <c r="P274" i="28"/>
  <c r="G322" i="30"/>
  <c r="G151" i="30"/>
  <c r="G123" i="30"/>
  <c r="G95" i="30"/>
  <c r="G67" i="30"/>
  <c r="G294" i="30"/>
  <c r="G39" i="30"/>
  <c r="G266" i="30"/>
  <c r="G238" i="30"/>
  <c r="G210" i="30"/>
  <c r="N172" i="35"/>
  <c r="N175" i="37"/>
  <c r="N32" i="34"/>
  <c r="N172" i="30"/>
  <c r="N172" i="29"/>
  <c r="N172" i="38"/>
  <c r="H81" i="37"/>
  <c r="H53" i="37"/>
  <c r="H255" i="37"/>
  <c r="H311" i="37"/>
  <c r="H199" i="37"/>
  <c r="H283" i="37"/>
  <c r="H140" i="37"/>
  <c r="H25" i="37"/>
  <c r="H112" i="37"/>
  <c r="H227" i="37"/>
  <c r="I52" i="11"/>
  <c r="H53" i="11"/>
  <c r="I25" i="24"/>
  <c r="K81" i="39"/>
  <c r="K196" i="39"/>
  <c r="K25" i="37"/>
  <c r="O171" i="46"/>
  <c r="O21" i="46"/>
  <c r="O231" i="46"/>
  <c r="O215" i="46"/>
  <c r="O190" i="46"/>
  <c r="P138" i="46"/>
  <c r="Q55" i="46"/>
  <c r="J58" i="46" s="1"/>
  <c r="J26" i="45" s="1"/>
  <c r="P54" i="46"/>
  <c r="J57" i="46" s="1"/>
  <c r="J99" i="45" s="1"/>
  <c r="J139" i="45" s="1"/>
  <c r="P96" i="46"/>
  <c r="J99" i="46" s="1"/>
  <c r="J101" i="45" s="1"/>
  <c r="J141" i="45" s="1"/>
  <c r="P51" i="46"/>
  <c r="Q51" i="46" s="1"/>
  <c r="P70" i="46"/>
  <c r="Q70" i="46" s="1"/>
  <c r="P91" i="46"/>
  <c r="Q91" i="46" s="1"/>
  <c r="P107" i="46"/>
  <c r="Q107" i="46" s="1"/>
  <c r="P115" i="46"/>
  <c r="Q115" i="46" s="1"/>
  <c r="P154" i="46"/>
  <c r="Q154" i="46" s="1"/>
  <c r="P170" i="46"/>
  <c r="Q170" i="46" s="1"/>
  <c r="P178" i="46"/>
  <c r="Q178" i="46" s="1"/>
  <c r="P196" i="46"/>
  <c r="Q196" i="46" s="1"/>
  <c r="P213" i="46"/>
  <c r="Q213" i="46" s="1"/>
  <c r="P221" i="46"/>
  <c r="Q221" i="46" s="1"/>
  <c r="P237" i="46"/>
  <c r="Q237" i="46" s="1"/>
  <c r="P24" i="46"/>
  <c r="Q24" i="46" s="1"/>
  <c r="P32" i="46"/>
  <c r="Q32" i="46" s="1"/>
  <c r="P133" i="46"/>
  <c r="Q133" i="46" s="1"/>
  <c r="P68" i="46"/>
  <c r="Q68" i="46" s="1"/>
  <c r="R20" i="46"/>
  <c r="Q160" i="46"/>
  <c r="J163" i="46" s="1"/>
  <c r="J31" i="45" s="1"/>
  <c r="P222" i="46"/>
  <c r="J225" i="46" s="1"/>
  <c r="J107" i="45" s="1"/>
  <c r="J147" i="45" s="1"/>
  <c r="P42" i="46"/>
  <c r="Q42" i="46" s="1"/>
  <c r="P50" i="46"/>
  <c r="Q50" i="46" s="1"/>
  <c r="P67" i="46"/>
  <c r="Q67" i="46" s="1"/>
  <c r="P45" i="46"/>
  <c r="Q45" i="46" s="1"/>
  <c r="P84" i="46"/>
  <c r="Q84" i="46" s="1"/>
  <c r="P92" i="46"/>
  <c r="Q92" i="46" s="1"/>
  <c r="P110" i="46"/>
  <c r="Q110" i="46" s="1"/>
  <c r="P147" i="46"/>
  <c r="Q147" i="46" s="1"/>
  <c r="P155" i="46"/>
  <c r="Q155" i="46" s="1"/>
  <c r="P173" i="46"/>
  <c r="Q173" i="46" s="1"/>
  <c r="P189" i="46"/>
  <c r="Q189" i="46" s="1"/>
  <c r="P197" i="46"/>
  <c r="Q197" i="46" s="1"/>
  <c r="P214" i="46"/>
  <c r="Q214" i="46" s="1"/>
  <c r="P232" i="46"/>
  <c r="Q232" i="46" s="1"/>
  <c r="P240" i="46"/>
  <c r="Q240" i="46" s="1"/>
  <c r="P25" i="46"/>
  <c r="Q25" i="46" s="1"/>
  <c r="P126" i="46"/>
  <c r="Q126" i="46" s="1"/>
  <c r="P134" i="46"/>
  <c r="Q134" i="46" s="1"/>
  <c r="Q139" i="46"/>
  <c r="P180" i="46"/>
  <c r="J183" i="46" s="1"/>
  <c r="J105" i="45" s="1"/>
  <c r="J145" i="45" s="1"/>
  <c r="Q244" i="46"/>
  <c r="J247" i="46" s="1"/>
  <c r="J35" i="45" s="1"/>
  <c r="P64" i="46"/>
  <c r="Q64" i="46" s="1"/>
  <c r="P85" i="46"/>
  <c r="Q85" i="46" s="1"/>
  <c r="P93" i="46"/>
  <c r="Q93" i="46" s="1"/>
  <c r="P109" i="46"/>
  <c r="Q109" i="46" s="1"/>
  <c r="P148" i="46"/>
  <c r="P156" i="46"/>
  <c r="Q156" i="46" s="1"/>
  <c r="P172" i="46"/>
  <c r="Q172" i="46" s="1"/>
  <c r="P190" i="46"/>
  <c r="Q190" i="46" s="1"/>
  <c r="P198" i="46"/>
  <c r="P215" i="46"/>
  <c r="Q215" i="46" s="1"/>
  <c r="P231" i="46"/>
  <c r="Q231" i="46" s="1"/>
  <c r="P239" i="46"/>
  <c r="Q239" i="46" s="1"/>
  <c r="P26" i="46"/>
  <c r="Q26" i="46" s="1"/>
  <c r="P127" i="46"/>
  <c r="Q127" i="46" s="1"/>
  <c r="P135" i="46"/>
  <c r="Q135" i="46" s="1"/>
  <c r="P75" i="46"/>
  <c r="Q97" i="46"/>
  <c r="J100" i="46" s="1"/>
  <c r="J28" i="45" s="1"/>
  <c r="Q118" i="46"/>
  <c r="J121" i="46" s="1"/>
  <c r="J29" i="45" s="1"/>
  <c r="P44" i="46"/>
  <c r="Q44" i="46" s="1"/>
  <c r="P52" i="46"/>
  <c r="Q52" i="46" s="1"/>
  <c r="P69" i="46"/>
  <c r="Q69" i="46" s="1"/>
  <c r="P53" i="46"/>
  <c r="Q53" i="46" s="1"/>
  <c r="P86" i="46"/>
  <c r="Q86" i="46" s="1"/>
  <c r="P94" i="46"/>
  <c r="Q94" i="46" s="1"/>
  <c r="P112" i="46"/>
  <c r="Q112" i="46" s="1"/>
  <c r="P149" i="46"/>
  <c r="Q149" i="46" s="1"/>
  <c r="P157" i="46"/>
  <c r="P175" i="46"/>
  <c r="Q175" i="46" s="1"/>
  <c r="P191" i="46"/>
  <c r="Q191" i="46" s="1"/>
  <c r="P199" i="46"/>
  <c r="Q199" i="46" s="1"/>
  <c r="P216" i="46"/>
  <c r="Q216" i="46" s="1"/>
  <c r="P234" i="46"/>
  <c r="Q234" i="46" s="1"/>
  <c r="P242" i="46"/>
  <c r="Q242" i="46" s="1"/>
  <c r="P27" i="46"/>
  <c r="Q27" i="46" s="1"/>
  <c r="P128" i="46"/>
  <c r="Q128" i="46" s="1"/>
  <c r="P136" i="46"/>
  <c r="Q136" i="46" s="1"/>
  <c r="Q181" i="46"/>
  <c r="Q76" i="46"/>
  <c r="P72" i="46"/>
  <c r="Q72" i="46" s="1"/>
  <c r="P87" i="46"/>
  <c r="Q87" i="46" s="1"/>
  <c r="P95" i="46"/>
  <c r="Q95" i="46" s="1"/>
  <c r="P111" i="46"/>
  <c r="Q111" i="46" s="1"/>
  <c r="P150" i="46"/>
  <c r="P158" i="46"/>
  <c r="Q158" i="46" s="1"/>
  <c r="P174" i="46"/>
  <c r="Q174" i="46" s="1"/>
  <c r="P192" i="46"/>
  <c r="Q192" i="46" s="1"/>
  <c r="P200" i="46"/>
  <c r="Q200" i="46" s="1"/>
  <c r="P217" i="46"/>
  <c r="Q217" i="46" s="1"/>
  <c r="P233" i="46"/>
  <c r="Q233" i="46" s="1"/>
  <c r="P241" i="46"/>
  <c r="Q241" i="46" s="1"/>
  <c r="P28" i="46"/>
  <c r="Q28" i="46" s="1"/>
  <c r="P129" i="46"/>
  <c r="Q129" i="46" s="1"/>
  <c r="P137" i="46"/>
  <c r="Q137" i="46" s="1"/>
  <c r="Q34" i="46"/>
  <c r="P243" i="46"/>
  <c r="J246" i="46" s="1"/>
  <c r="J108" i="45" s="1"/>
  <c r="J148" i="45" s="1"/>
  <c r="P201" i="46"/>
  <c r="J204" i="46" s="1"/>
  <c r="J106" i="45" s="1"/>
  <c r="J146" i="45" s="1"/>
  <c r="P46" i="46"/>
  <c r="Q46" i="46" s="1"/>
  <c r="P63" i="46"/>
  <c r="Q63" i="46" s="1"/>
  <c r="P71" i="46"/>
  <c r="Q71" i="46" s="1"/>
  <c r="P66" i="46"/>
  <c r="Q66" i="46" s="1"/>
  <c r="P88" i="46"/>
  <c r="Q88" i="46" s="1"/>
  <c r="P106" i="46"/>
  <c r="Q106" i="46" s="1"/>
  <c r="P114" i="46"/>
  <c r="Q114" i="46" s="1"/>
  <c r="P151" i="46"/>
  <c r="Q151" i="46" s="1"/>
  <c r="P169" i="46"/>
  <c r="Q169" i="46" s="1"/>
  <c r="P177" i="46"/>
  <c r="P193" i="46"/>
  <c r="Q193" i="46" s="1"/>
  <c r="P210" i="46"/>
  <c r="Q210" i="46" s="1"/>
  <c r="P218" i="46"/>
  <c r="Q218" i="46" s="1"/>
  <c r="P236" i="46"/>
  <c r="Q236" i="46" s="1"/>
  <c r="P21" i="46"/>
  <c r="Q21" i="46" s="1"/>
  <c r="P29" i="46"/>
  <c r="P130" i="46"/>
  <c r="Q130" i="46" s="1"/>
  <c r="J35" i="46"/>
  <c r="P117" i="46"/>
  <c r="J120" i="46" s="1"/>
  <c r="J102" i="45" s="1"/>
  <c r="J142" i="45" s="1"/>
  <c r="P159" i="46"/>
  <c r="J162" i="46" s="1"/>
  <c r="J104" i="45" s="1"/>
  <c r="J144" i="45" s="1"/>
  <c r="P33" i="46"/>
  <c r="P43" i="46"/>
  <c r="Q43" i="46" s="1"/>
  <c r="P49" i="46"/>
  <c r="Q49" i="46" s="1"/>
  <c r="P89" i="46"/>
  <c r="P105" i="46"/>
  <c r="Q105" i="46" s="1"/>
  <c r="P113" i="46"/>
  <c r="Q113" i="46" s="1"/>
  <c r="P152" i="46"/>
  <c r="Q152" i="46" s="1"/>
  <c r="P168" i="46"/>
  <c r="Q168" i="46" s="1"/>
  <c r="P176" i="46"/>
  <c r="Q176" i="46" s="1"/>
  <c r="P194" i="46"/>
  <c r="Q194" i="46" s="1"/>
  <c r="P211" i="46"/>
  <c r="Q211" i="46" s="1"/>
  <c r="P219" i="46"/>
  <c r="Q219" i="46" s="1"/>
  <c r="P235" i="46"/>
  <c r="Q235" i="46" s="1"/>
  <c r="P22" i="46"/>
  <c r="Q22" i="46" s="1"/>
  <c r="P30" i="46"/>
  <c r="Q30" i="46" s="1"/>
  <c r="P131" i="46"/>
  <c r="Q131" i="46" s="1"/>
  <c r="P47" i="46"/>
  <c r="Q47" i="46" s="1"/>
  <c r="Q223" i="46"/>
  <c r="J226" i="46" s="1"/>
  <c r="J34" i="45" s="1"/>
  <c r="Q202" i="46"/>
  <c r="J205" i="46" s="1"/>
  <c r="J33" i="45" s="1"/>
  <c r="P48" i="46"/>
  <c r="Q48" i="46" s="1"/>
  <c r="P65" i="46"/>
  <c r="Q65" i="46" s="1"/>
  <c r="P73" i="46"/>
  <c r="Q73" i="46" s="1"/>
  <c r="P74" i="46"/>
  <c r="P90" i="46"/>
  <c r="Q90" i="46" s="1"/>
  <c r="P108" i="46"/>
  <c r="Q108" i="46" s="1"/>
  <c r="P116" i="46"/>
  <c r="Q116" i="46" s="1"/>
  <c r="P153" i="46"/>
  <c r="Q153" i="46" s="1"/>
  <c r="P171" i="46"/>
  <c r="Q171" i="46" s="1"/>
  <c r="P179" i="46"/>
  <c r="Q179" i="46" s="1"/>
  <c r="P195" i="46"/>
  <c r="Q195" i="46" s="1"/>
  <c r="P212" i="46"/>
  <c r="Q212" i="46" s="1"/>
  <c r="P220" i="46"/>
  <c r="Q220" i="46" s="1"/>
  <c r="P238" i="46"/>
  <c r="Q238" i="46" s="1"/>
  <c r="P23" i="46"/>
  <c r="Q23" i="46" s="1"/>
  <c r="P31" i="46"/>
  <c r="Q31" i="46" s="1"/>
  <c r="P132" i="46"/>
  <c r="Q132" i="46" s="1"/>
  <c r="O197" i="46"/>
  <c r="F82" i="37"/>
  <c r="N318" i="38"/>
  <c r="N63" i="38"/>
  <c r="N290" i="38"/>
  <c r="N262" i="38"/>
  <c r="N234" i="38"/>
  <c r="N206" i="38"/>
  <c r="N147" i="38"/>
  <c r="N119" i="38"/>
  <c r="N35" i="38"/>
  <c r="N91" i="38"/>
  <c r="N181" i="38"/>
  <c r="E199" i="37"/>
  <c r="E140" i="37"/>
  <c r="E112" i="37"/>
  <c r="E25" i="37"/>
  <c r="E81" i="37"/>
  <c r="E311" i="37"/>
  <c r="E53" i="37"/>
  <c r="E283" i="37"/>
  <c r="E255" i="37"/>
  <c r="E227" i="37"/>
  <c r="D84" i="45"/>
  <c r="G45" i="11"/>
  <c r="H44" i="11"/>
  <c r="H24" i="24"/>
  <c r="H28" i="24" s="1"/>
  <c r="N11" i="22" s="1"/>
  <c r="G75" i="11"/>
  <c r="M308" i="29"/>
  <c r="M81" i="29"/>
  <c r="M196" i="29"/>
  <c r="M25" i="29"/>
  <c r="M109" i="29"/>
  <c r="M280" i="29"/>
  <c r="M252" i="29"/>
  <c r="M224" i="29"/>
  <c r="M53" i="29"/>
  <c r="M137" i="29"/>
  <c r="M126" i="37"/>
  <c r="M67" i="37"/>
  <c r="M154" i="37"/>
  <c r="M39" i="37"/>
  <c r="M297" i="37"/>
  <c r="M95" i="37"/>
  <c r="M241" i="37"/>
  <c r="M269" i="37"/>
  <c r="M213" i="37"/>
  <c r="M325" i="37"/>
  <c r="H250" i="38"/>
  <c r="H251" i="38" s="1"/>
  <c r="I274" i="30"/>
  <c r="I277" i="30" s="1"/>
  <c r="P277" i="30" s="1"/>
  <c r="I246" i="30"/>
  <c r="I249" i="30" s="1"/>
  <c r="I218" i="30"/>
  <c r="I221" i="30" s="1"/>
  <c r="I190" i="30"/>
  <c r="I193" i="30" s="1"/>
  <c r="I131" i="30"/>
  <c r="I134" i="30" s="1"/>
  <c r="P134" i="30" s="1"/>
  <c r="I103" i="30"/>
  <c r="I106" i="30" s="1"/>
  <c r="I302" i="30"/>
  <c r="I305" i="30" s="1"/>
  <c r="P305" i="30" s="1"/>
  <c r="I47" i="30"/>
  <c r="I162" i="30"/>
  <c r="I75" i="30"/>
  <c r="I78" i="30" s="1"/>
  <c r="P78" i="30" s="1"/>
  <c r="I19" i="30"/>
  <c r="I22" i="30" s="1"/>
  <c r="P22" i="30" s="1"/>
  <c r="P159" i="30"/>
  <c r="N119" i="39"/>
  <c r="N91" i="39"/>
  <c r="N63" i="39"/>
  <c r="N318" i="39"/>
  <c r="N35" i="39"/>
  <c r="N290" i="39"/>
  <c r="N262" i="39"/>
  <c r="N234" i="39"/>
  <c r="N206" i="39"/>
  <c r="N147" i="39"/>
  <c r="N181" i="39"/>
  <c r="H158" i="28"/>
  <c r="H18" i="34"/>
  <c r="H155" i="25"/>
  <c r="G19" i="45"/>
  <c r="H158" i="30"/>
  <c r="G19" i="15"/>
  <c r="H158" i="29"/>
  <c r="H158" i="35"/>
  <c r="H158" i="38"/>
  <c r="G18" i="43"/>
  <c r="H161" i="37"/>
  <c r="G19" i="47"/>
  <c r="H158" i="39"/>
  <c r="J53" i="35"/>
  <c r="J196" i="35"/>
  <c r="J308" i="35"/>
  <c r="J137" i="35"/>
  <c r="J109" i="35"/>
  <c r="J81" i="35"/>
  <c r="J25" i="35"/>
  <c r="J280" i="35"/>
  <c r="J224" i="35"/>
  <c r="J252" i="35"/>
  <c r="G273" i="38"/>
  <c r="G217" i="38"/>
  <c r="G74" i="38"/>
  <c r="G46" i="38"/>
  <c r="G18" i="38"/>
  <c r="G189" i="38"/>
  <c r="G102" i="38"/>
  <c r="G130" i="38"/>
  <c r="G301" i="38"/>
  <c r="G245" i="38"/>
  <c r="P209" i="46"/>
  <c r="I224" i="46"/>
  <c r="M148" i="28"/>
  <c r="M147" i="28" s="1"/>
  <c r="M36" i="28"/>
  <c r="M35" i="28" s="1"/>
  <c r="M263" i="28"/>
  <c r="M262" i="28" s="1"/>
  <c r="M235" i="28"/>
  <c r="M234" i="28" s="1"/>
  <c r="M120" i="28"/>
  <c r="M119" i="28" s="1"/>
  <c r="M319" i="28"/>
  <c r="M318" i="28" s="1"/>
  <c r="M92" i="28"/>
  <c r="M91" i="28" s="1"/>
  <c r="M64" i="28"/>
  <c r="M63" i="28" s="1"/>
  <c r="M291" i="28"/>
  <c r="M290" i="28" s="1"/>
  <c r="M207" i="28"/>
  <c r="M206" i="28" s="1"/>
  <c r="M175" i="28"/>
  <c r="L148" i="15"/>
  <c r="L141" i="15"/>
  <c r="L142" i="15"/>
  <c r="L146" i="15"/>
  <c r="L144" i="15"/>
  <c r="L139" i="15"/>
  <c r="L140" i="15"/>
  <c r="L145" i="15"/>
  <c r="L147" i="15"/>
  <c r="L280" i="35"/>
  <c r="L308" i="35"/>
  <c r="L224" i="35"/>
  <c r="L137" i="35"/>
  <c r="L81" i="35"/>
  <c r="L53" i="35"/>
  <c r="L196" i="35"/>
  <c r="L252" i="35"/>
  <c r="L109" i="35"/>
  <c r="L25" i="35"/>
  <c r="P236" i="28" l="1"/>
  <c r="N234" i="28"/>
  <c r="P65" i="28"/>
  <c r="N63" i="28"/>
  <c r="P292" i="28"/>
  <c r="N290" i="28"/>
  <c r="P320" i="30"/>
  <c r="N318" i="30"/>
  <c r="L296" i="30"/>
  <c r="G26" i="39"/>
  <c r="G253" i="39"/>
  <c r="F224" i="30"/>
  <c r="F252" i="29"/>
  <c r="F224" i="29"/>
  <c r="F280" i="30"/>
  <c r="F25" i="29"/>
  <c r="J26" i="34"/>
  <c r="J28" i="34" s="1"/>
  <c r="J29" i="34" s="1"/>
  <c r="J31" i="34" s="1"/>
  <c r="J33" i="34" s="1"/>
  <c r="J196" i="38"/>
  <c r="J25" i="38"/>
  <c r="J26" i="38" s="1"/>
  <c r="J28" i="38" s="1"/>
  <c r="J109" i="38"/>
  <c r="J110" i="38" s="1"/>
  <c r="J112" i="38" s="1"/>
  <c r="J81" i="38"/>
  <c r="J82" i="38" s="1"/>
  <c r="J84" i="38" s="1"/>
  <c r="J85" i="38" s="1"/>
  <c r="J87" i="38" s="1"/>
  <c r="F196" i="30"/>
  <c r="F280" i="29"/>
  <c r="J252" i="38"/>
  <c r="J224" i="38"/>
  <c r="J225" i="38" s="1"/>
  <c r="J227" i="38" s="1"/>
  <c r="J228" i="38" s="1"/>
  <c r="J230" i="38" s="1"/>
  <c r="F81" i="30"/>
  <c r="F53" i="29"/>
  <c r="J137" i="38"/>
  <c r="J138" i="38" s="1"/>
  <c r="J140" i="38" s="1"/>
  <c r="J141" i="38" s="1"/>
  <c r="J143" i="38" s="1"/>
  <c r="F137" i="30"/>
  <c r="F252" i="30"/>
  <c r="F81" i="29"/>
  <c r="J280" i="38"/>
  <c r="J281" i="38" s="1"/>
  <c r="J283" i="38" s="1"/>
  <c r="P25" i="34"/>
  <c r="F53" i="30"/>
  <c r="F25" i="30"/>
  <c r="F109" i="29"/>
  <c r="J166" i="38"/>
  <c r="J168" i="38" s="1"/>
  <c r="K25" i="38"/>
  <c r="N296" i="30"/>
  <c r="N324" i="28"/>
  <c r="L41" i="30"/>
  <c r="L69" i="30"/>
  <c r="E92" i="35"/>
  <c r="N240" i="28"/>
  <c r="K53" i="35"/>
  <c r="Q165" i="30"/>
  <c r="N240" i="30"/>
  <c r="N69" i="28"/>
  <c r="K137" i="39"/>
  <c r="E64" i="38"/>
  <c r="E291" i="38"/>
  <c r="E235" i="38"/>
  <c r="K109" i="39"/>
  <c r="K172" i="39"/>
  <c r="K81" i="30"/>
  <c r="E36" i="38"/>
  <c r="E263" i="38"/>
  <c r="K196" i="30"/>
  <c r="K252" i="39"/>
  <c r="K224" i="30"/>
  <c r="K224" i="39"/>
  <c r="K225" i="39" s="1"/>
  <c r="K227" i="39" s="1"/>
  <c r="K109" i="30"/>
  <c r="J169" i="37"/>
  <c r="J171" i="37" s="1"/>
  <c r="J172" i="37" s="1"/>
  <c r="J174" i="37" s="1"/>
  <c r="J176" i="37" s="1"/>
  <c r="N97" i="30"/>
  <c r="E92" i="38"/>
  <c r="K280" i="30"/>
  <c r="E207" i="38"/>
  <c r="K25" i="39"/>
  <c r="P165" i="30"/>
  <c r="E175" i="38"/>
  <c r="E290" i="38" s="1"/>
  <c r="K308" i="39"/>
  <c r="K53" i="39"/>
  <c r="L97" i="30"/>
  <c r="L268" i="30"/>
  <c r="J197" i="38"/>
  <c r="J199" i="38" s="1"/>
  <c r="J117" i="11"/>
  <c r="K308" i="35"/>
  <c r="G197" i="39"/>
  <c r="G82" i="37"/>
  <c r="K109" i="35"/>
  <c r="K224" i="35"/>
  <c r="P165" i="35"/>
  <c r="K280" i="35"/>
  <c r="L240" i="30"/>
  <c r="K196" i="35"/>
  <c r="K308" i="28"/>
  <c r="K172" i="28"/>
  <c r="N212" i="30"/>
  <c r="J309" i="38"/>
  <c r="J311" i="38" s="1"/>
  <c r="J312" i="38" s="1"/>
  <c r="J314" i="38" s="1"/>
  <c r="G82" i="39"/>
  <c r="G138" i="39"/>
  <c r="O31" i="9"/>
  <c r="P47" i="28"/>
  <c r="P19" i="28"/>
  <c r="N39" i="9"/>
  <c r="O57" i="18" s="1"/>
  <c r="J200" i="37"/>
  <c r="J202" i="37" s="1"/>
  <c r="J203" i="37" s="1"/>
  <c r="J205" i="37" s="1"/>
  <c r="D66" i="45"/>
  <c r="D67" i="45" s="1"/>
  <c r="O65" i="45"/>
  <c r="D66" i="47"/>
  <c r="D67" i="47" s="1"/>
  <c r="O65" i="47"/>
  <c r="D65" i="43"/>
  <c r="D66" i="43" s="1"/>
  <c r="O64" i="43"/>
  <c r="J84" i="39"/>
  <c r="J85" i="39" s="1"/>
  <c r="J87" i="39" s="1"/>
  <c r="J56" i="37"/>
  <c r="J57" i="37" s="1"/>
  <c r="J59" i="37" s="1"/>
  <c r="J283" i="39"/>
  <c r="J284" i="39" s="1"/>
  <c r="J286" i="39" s="1"/>
  <c r="J311" i="39"/>
  <c r="J312" i="39" s="1"/>
  <c r="J314" i="39" s="1"/>
  <c r="J112" i="39"/>
  <c r="J113" i="39" s="1"/>
  <c r="J115" i="39" s="1"/>
  <c r="J28" i="39"/>
  <c r="J29" i="39" s="1"/>
  <c r="J31" i="39" s="1"/>
  <c r="N206" i="28"/>
  <c r="N212" i="28" s="1"/>
  <c r="N262" i="30"/>
  <c r="N268" i="30" s="1"/>
  <c r="N35" i="28"/>
  <c r="N41" i="28" s="1"/>
  <c r="N91" i="28"/>
  <c r="N97" i="28" s="1"/>
  <c r="N125" i="30"/>
  <c r="N153" i="30"/>
  <c r="N147" i="28"/>
  <c r="N153" i="28" s="1"/>
  <c r="N262" i="28"/>
  <c r="N268" i="28" s="1"/>
  <c r="N69" i="30"/>
  <c r="N296" i="28"/>
  <c r="P149" i="30"/>
  <c r="N324" i="30"/>
  <c r="N119" i="28"/>
  <c r="N125" i="28" s="1"/>
  <c r="K53" i="38"/>
  <c r="K224" i="38"/>
  <c r="K225" i="38" s="1"/>
  <c r="K227" i="38" s="1"/>
  <c r="K228" i="38" s="1"/>
  <c r="K230" i="38" s="1"/>
  <c r="K81" i="38"/>
  <c r="K82" i="38" s="1"/>
  <c r="K84" i="38" s="1"/>
  <c r="K252" i="38"/>
  <c r="K253" i="38" s="1"/>
  <c r="K255" i="38" s="1"/>
  <c r="K256" i="38" s="1"/>
  <c r="K258" i="38" s="1"/>
  <c r="E235" i="28"/>
  <c r="E234" i="28" s="1"/>
  <c r="K252" i="35"/>
  <c r="E207" i="28"/>
  <c r="E206" i="28" s="1"/>
  <c r="K25" i="35"/>
  <c r="E235" i="35"/>
  <c r="E36" i="35"/>
  <c r="E175" i="35"/>
  <c r="E319" i="35"/>
  <c r="E291" i="35"/>
  <c r="E207" i="35"/>
  <c r="E148" i="35"/>
  <c r="E263" i="28"/>
  <c r="E262" i="28" s="1"/>
  <c r="E175" i="28"/>
  <c r="E148" i="28"/>
  <c r="E147" i="28" s="1"/>
  <c r="E92" i="28"/>
  <c r="E91" i="28" s="1"/>
  <c r="E319" i="28"/>
  <c r="E318" i="28" s="1"/>
  <c r="E120" i="28"/>
  <c r="E119" i="28" s="1"/>
  <c r="E36" i="30"/>
  <c r="E35" i="30" s="1"/>
  <c r="E263" i="30"/>
  <c r="E262" i="30" s="1"/>
  <c r="E207" i="30"/>
  <c r="E206" i="30" s="1"/>
  <c r="E175" i="30"/>
  <c r="E120" i="30"/>
  <c r="E119" i="30" s="1"/>
  <c r="E319" i="30"/>
  <c r="E318" i="30" s="1"/>
  <c r="E291" i="30"/>
  <c r="E290" i="30" s="1"/>
  <c r="E92" i="30"/>
  <c r="E91" i="30" s="1"/>
  <c r="E64" i="30"/>
  <c r="E63" i="30" s="1"/>
  <c r="E148" i="30"/>
  <c r="E147" i="30" s="1"/>
  <c r="E235" i="30"/>
  <c r="E234" i="30" s="1"/>
  <c r="E64" i="35"/>
  <c r="E175" i="29"/>
  <c r="E92" i="29"/>
  <c r="E64" i="29"/>
  <c r="E36" i="29"/>
  <c r="E319" i="29"/>
  <c r="E120" i="29"/>
  <c r="E263" i="29"/>
  <c r="E235" i="29"/>
  <c r="E291" i="29"/>
  <c r="E207" i="29"/>
  <c r="E148" i="29"/>
  <c r="E36" i="28"/>
  <c r="E35" i="28" s="1"/>
  <c r="E148" i="38"/>
  <c r="E120" i="38"/>
  <c r="E263" i="35"/>
  <c r="E294" i="37"/>
  <c r="E238" i="37"/>
  <c r="E36" i="37"/>
  <c r="E210" i="37"/>
  <c r="E322" i="37"/>
  <c r="E151" i="37"/>
  <c r="E123" i="37"/>
  <c r="E64" i="37"/>
  <c r="E92" i="37"/>
  <c r="E178" i="37"/>
  <c r="E266" i="37"/>
  <c r="E291" i="39"/>
  <c r="E235" i="39"/>
  <c r="E120" i="39"/>
  <c r="E319" i="39"/>
  <c r="E175" i="39"/>
  <c r="E148" i="39"/>
  <c r="E36" i="39"/>
  <c r="E263" i="39"/>
  <c r="E92" i="39"/>
  <c r="E64" i="39"/>
  <c r="E207" i="39"/>
  <c r="K108" i="11"/>
  <c r="K109" i="11"/>
  <c r="K110" i="11" s="1"/>
  <c r="J111" i="11"/>
  <c r="K107" i="11" s="1"/>
  <c r="K81" i="35"/>
  <c r="J284" i="37"/>
  <c r="J286" i="37" s="1"/>
  <c r="J287" i="37" s="1"/>
  <c r="J289" i="37" s="1"/>
  <c r="D175" i="35"/>
  <c r="D209" i="35"/>
  <c r="D66" i="35"/>
  <c r="D265" i="35"/>
  <c r="D293" i="35"/>
  <c r="D94" i="35"/>
  <c r="D38" i="35"/>
  <c r="D237" i="35"/>
  <c r="D150" i="35"/>
  <c r="D321" i="35"/>
  <c r="D122" i="35"/>
  <c r="P178" i="35"/>
  <c r="C130" i="45"/>
  <c r="E11" i="45"/>
  <c r="D166" i="17" s="1"/>
  <c r="E14" i="43"/>
  <c r="C133" i="43"/>
  <c r="C127" i="47"/>
  <c r="E8" i="47"/>
  <c r="M187" i="42"/>
  <c r="M66" i="42"/>
  <c r="M207" i="42"/>
  <c r="M193" i="42"/>
  <c r="M132" i="42"/>
  <c r="M156" i="42"/>
  <c r="M118" i="42"/>
  <c r="M203" i="42"/>
  <c r="M130" i="42"/>
  <c r="M31" i="42"/>
  <c r="M100" i="42"/>
  <c r="M169" i="42"/>
  <c r="M26" i="42"/>
  <c r="M62" i="42"/>
  <c r="M40" i="42"/>
  <c r="M76" i="42"/>
  <c r="M176" i="42"/>
  <c r="M208" i="42"/>
  <c r="M191" i="42"/>
  <c r="M158" i="42"/>
  <c r="M67" i="42"/>
  <c r="M189" i="42"/>
  <c r="M63" i="42"/>
  <c r="M138" i="42"/>
  <c r="M117" i="42"/>
  <c r="M96" i="42"/>
  <c r="M148" i="42"/>
  <c r="M86" i="42"/>
  <c r="M153" i="42"/>
  <c r="M48" i="42"/>
  <c r="M80" i="42"/>
  <c r="M211" i="42"/>
  <c r="M172" i="42"/>
  <c r="M84" i="42"/>
  <c r="M190" i="42"/>
  <c r="M101" i="42"/>
  <c r="M95" i="42"/>
  <c r="M28" i="42"/>
  <c r="M133" i="42"/>
  <c r="M135" i="42"/>
  <c r="M114" i="42"/>
  <c r="M166" i="42"/>
  <c r="M21" i="42"/>
  <c r="M78" i="42"/>
  <c r="M43" i="42"/>
  <c r="M173" i="42"/>
  <c r="M122" i="42"/>
  <c r="M209" i="42"/>
  <c r="M50" i="42"/>
  <c r="M184" i="42"/>
  <c r="M147" i="42"/>
  <c r="M68" i="42"/>
  <c r="E188" i="42"/>
  <c r="D27" i="42"/>
  <c r="D152" i="42"/>
  <c r="D63" i="42"/>
  <c r="E138" i="42"/>
  <c r="D186" i="42"/>
  <c r="F100" i="42"/>
  <c r="E148" i="42"/>
  <c r="E48" i="42"/>
  <c r="E79" i="42"/>
  <c r="D79" i="42"/>
  <c r="F99" i="42"/>
  <c r="F60" i="42"/>
  <c r="F140" i="42"/>
  <c r="D188" i="42"/>
  <c r="E81" i="42"/>
  <c r="D81" i="42"/>
  <c r="E26" i="42"/>
  <c r="D116" i="42"/>
  <c r="E147" i="42"/>
  <c r="D46" i="42"/>
  <c r="D140" i="42"/>
  <c r="D75" i="42"/>
  <c r="D102" i="42"/>
  <c r="E62" i="42"/>
  <c r="E137" i="42"/>
  <c r="E28" i="42"/>
  <c r="E93" i="42"/>
  <c r="F147" i="42"/>
  <c r="D43" i="42"/>
  <c r="D94" i="42"/>
  <c r="E206" i="42"/>
  <c r="F121" i="42"/>
  <c r="G131" i="42"/>
  <c r="G132" i="42"/>
  <c r="H30" i="42"/>
  <c r="H150" i="42"/>
  <c r="I183" i="42"/>
  <c r="F47" i="42"/>
  <c r="F80" i="42"/>
  <c r="E172" i="42"/>
  <c r="G183" i="42"/>
  <c r="H83" i="42"/>
  <c r="H175" i="42"/>
  <c r="H166" i="42"/>
  <c r="B202" i="42"/>
  <c r="B203" i="42" s="1"/>
  <c r="B166" i="42"/>
  <c r="B167" i="42" s="1"/>
  <c r="G102" i="42"/>
  <c r="G41" i="42"/>
  <c r="H85" i="42"/>
  <c r="H151" i="42"/>
  <c r="F67" i="42"/>
  <c r="F187" i="42"/>
  <c r="F167" i="42"/>
  <c r="G122" i="42"/>
  <c r="G209" i="42"/>
  <c r="H117" i="42"/>
  <c r="H167" i="42"/>
  <c r="F137" i="42"/>
  <c r="F77" i="42"/>
  <c r="D174" i="42"/>
  <c r="G121" i="42"/>
  <c r="H31" i="42"/>
  <c r="H100" i="42"/>
  <c r="M121" i="42"/>
  <c r="M201" i="42"/>
  <c r="B184" i="42"/>
  <c r="B185" i="42" s="1"/>
  <c r="D111" i="42"/>
  <c r="D149" i="42"/>
  <c r="E39" i="42"/>
  <c r="F130" i="42"/>
  <c r="D194" i="42"/>
  <c r="B94" i="42"/>
  <c r="B95" i="42" s="1"/>
  <c r="D151" i="42"/>
  <c r="E41" i="42"/>
  <c r="E75" i="42"/>
  <c r="D21" i="42"/>
  <c r="E153" i="42"/>
  <c r="F65" i="42"/>
  <c r="F133" i="42"/>
  <c r="E113" i="42"/>
  <c r="E184" i="42"/>
  <c r="D23" i="42"/>
  <c r="B22" i="42"/>
  <c r="B23" i="42" s="1"/>
  <c r="E97" i="42"/>
  <c r="F151" i="42"/>
  <c r="F39" i="42"/>
  <c r="E83" i="42"/>
  <c r="D83" i="42"/>
  <c r="F156" i="42"/>
  <c r="D68" i="42"/>
  <c r="E130" i="42"/>
  <c r="D184" i="42"/>
  <c r="E98" i="42"/>
  <c r="E67" i="42"/>
  <c r="E42" i="42"/>
  <c r="E157" i="42"/>
  <c r="D211" i="42"/>
  <c r="E170" i="42"/>
  <c r="G149" i="42"/>
  <c r="G150" i="42"/>
  <c r="H191" i="42"/>
  <c r="H208" i="42"/>
  <c r="I24" i="42"/>
  <c r="D137" i="42"/>
  <c r="F115" i="42"/>
  <c r="E169" i="42"/>
  <c r="G81" i="42"/>
  <c r="M23" i="42"/>
  <c r="M42" i="42"/>
  <c r="E29" i="42"/>
  <c r="D119" i="42"/>
  <c r="F158" i="42"/>
  <c r="E44" i="42"/>
  <c r="D135" i="42"/>
  <c r="E119" i="42"/>
  <c r="E99" i="42"/>
  <c r="F62" i="42"/>
  <c r="E50" i="42"/>
  <c r="E190" i="42"/>
  <c r="D29" i="42"/>
  <c r="E150" i="42"/>
  <c r="F46" i="42"/>
  <c r="F138" i="42"/>
  <c r="E121" i="42"/>
  <c r="E192" i="42"/>
  <c r="D31" i="42"/>
  <c r="D190" i="42"/>
  <c r="D103" i="42"/>
  <c r="D150" i="42"/>
  <c r="F44" i="42"/>
  <c r="E186" i="42"/>
  <c r="D25" i="42"/>
  <c r="F153" i="42"/>
  <c r="E43" i="42"/>
  <c r="E135" i="42"/>
  <c r="D192" i="42"/>
  <c r="D104" i="42"/>
  <c r="E64" i="42"/>
  <c r="D49" i="42"/>
  <c r="D154" i="42"/>
  <c r="D208" i="42"/>
  <c r="G165" i="42"/>
  <c r="G79" i="42"/>
  <c r="G204" i="42"/>
  <c r="H77" i="42"/>
  <c r="H149" i="42"/>
  <c r="I22" i="42"/>
  <c r="F207" i="42"/>
  <c r="F192" i="42"/>
  <c r="G176" i="42"/>
  <c r="G78" i="42"/>
  <c r="H183" i="42"/>
  <c r="H202" i="42"/>
  <c r="E154" i="42"/>
  <c r="F22" i="42"/>
  <c r="G166" i="42"/>
  <c r="G118" i="42"/>
  <c r="G210" i="42"/>
  <c r="H113" i="42"/>
  <c r="H165" i="42"/>
  <c r="D134" i="42"/>
  <c r="F28" i="42"/>
  <c r="D170" i="42"/>
  <c r="G184" i="42"/>
  <c r="G104" i="42"/>
  <c r="H139" i="42"/>
  <c r="H140" i="42"/>
  <c r="D202" i="42"/>
  <c r="F29" i="42"/>
  <c r="G67" i="42"/>
  <c r="G65" i="42"/>
  <c r="H185" i="42"/>
  <c r="H137" i="42"/>
  <c r="M149" i="42"/>
  <c r="M113" i="42"/>
  <c r="D185" i="42"/>
  <c r="F96" i="42"/>
  <c r="D147" i="42"/>
  <c r="D47" i="42"/>
  <c r="E78" i="42"/>
  <c r="D78" i="42"/>
  <c r="F95" i="42"/>
  <c r="F59" i="42"/>
  <c r="D44" i="42"/>
  <c r="E23" i="42"/>
  <c r="D113" i="42"/>
  <c r="D157" i="42"/>
  <c r="B40" i="42"/>
  <c r="B41" i="42" s="1"/>
  <c r="E80" i="42"/>
  <c r="D80" i="42"/>
  <c r="E25" i="42"/>
  <c r="D115" i="42"/>
  <c r="E115" i="42"/>
  <c r="D96" i="42"/>
  <c r="E59" i="42"/>
  <c r="D41" i="42"/>
  <c r="E194" i="42"/>
  <c r="D117" i="42"/>
  <c r="F150" i="42"/>
  <c r="D50" i="42"/>
  <c r="D139" i="42"/>
  <c r="E117" i="42"/>
  <c r="E100" i="42"/>
  <c r="E61" i="42"/>
  <c r="F131" i="42"/>
  <c r="D60" i="42"/>
  <c r="F190" i="42"/>
  <c r="F170" i="42"/>
  <c r="G30" i="42"/>
  <c r="G50" i="42"/>
  <c r="H32" i="42"/>
  <c r="H44" i="42"/>
  <c r="I184" i="42"/>
  <c r="F204" i="42"/>
  <c r="F189" i="42"/>
  <c r="G205" i="42"/>
  <c r="G21" i="42"/>
  <c r="H81" i="42"/>
  <c r="H154" i="42"/>
  <c r="D61" i="42"/>
  <c r="F84" i="42"/>
  <c r="E176" i="42"/>
  <c r="G23" i="42"/>
  <c r="G135" i="42"/>
  <c r="H152" i="42"/>
  <c r="H155" i="42"/>
  <c r="D201" i="42"/>
  <c r="F25" i="42"/>
  <c r="G203" i="42"/>
  <c r="G86" i="42"/>
  <c r="H186" i="42"/>
  <c r="H96" i="42"/>
  <c r="H172" i="42"/>
  <c r="F209" i="42"/>
  <c r="F173" i="42"/>
  <c r="G190" i="42"/>
  <c r="G157" i="42"/>
  <c r="H121" i="42"/>
  <c r="H168" i="42"/>
  <c r="M167" i="42"/>
  <c r="M99" i="42"/>
  <c r="D193" i="42"/>
  <c r="E102" i="42"/>
  <c r="F58" i="42"/>
  <c r="E46" i="42"/>
  <c r="E86" i="42"/>
  <c r="D86" i="42"/>
  <c r="D97" i="42"/>
  <c r="E57" i="42"/>
  <c r="F139" i="42"/>
  <c r="E31" i="42"/>
  <c r="D121" i="42"/>
  <c r="E152" i="42"/>
  <c r="E45" i="42"/>
  <c r="B76" i="42"/>
  <c r="B77" i="42" s="1"/>
  <c r="D22" i="42"/>
  <c r="E21" i="42"/>
  <c r="D99" i="42"/>
  <c r="E111" i="42"/>
  <c r="F102" i="42"/>
  <c r="D65" i="42"/>
  <c r="E136" i="42"/>
  <c r="E27" i="42"/>
  <c r="E101" i="42"/>
  <c r="F155" i="42"/>
  <c r="D39" i="42"/>
  <c r="E76" i="42"/>
  <c r="D76" i="42"/>
  <c r="D101" i="42"/>
  <c r="E66" i="42"/>
  <c r="E129" i="42"/>
  <c r="F43" i="42"/>
  <c r="F76" i="42"/>
  <c r="E168" i="42"/>
  <c r="G191" i="42"/>
  <c r="G129" i="42"/>
  <c r="H29" i="42"/>
  <c r="H205" i="42"/>
  <c r="I29" i="42"/>
  <c r="E210" i="42"/>
  <c r="F112" i="42"/>
  <c r="G45" i="42"/>
  <c r="G202" i="42"/>
  <c r="H78" i="42"/>
  <c r="H45" i="42"/>
  <c r="E49" i="42"/>
  <c r="F119" i="42"/>
  <c r="E173" i="42"/>
  <c r="G85" i="42"/>
  <c r="G93" i="42"/>
  <c r="H39" i="42"/>
  <c r="H135" i="42"/>
  <c r="F212" i="42"/>
  <c r="F120" i="42"/>
  <c r="G43" i="42"/>
  <c r="G117" i="42"/>
  <c r="H122" i="42"/>
  <c r="H40" i="42"/>
  <c r="F93" i="42"/>
  <c r="F202" i="42"/>
  <c r="E167" i="42"/>
  <c r="G76" i="42"/>
  <c r="G207" i="42"/>
  <c r="H147" i="42"/>
  <c r="H64" i="42"/>
  <c r="M188" i="42"/>
  <c r="M45" i="42"/>
  <c r="C10" i="42"/>
  <c r="E118" i="42"/>
  <c r="E95" i="42"/>
  <c r="E68" i="42"/>
  <c r="D40" i="42"/>
  <c r="E189" i="42"/>
  <c r="D28" i="42"/>
  <c r="E149" i="42"/>
  <c r="F61" i="42"/>
  <c r="F136" i="42"/>
  <c r="D187" i="42"/>
  <c r="F104" i="42"/>
  <c r="D155" i="42"/>
  <c r="F41" i="42"/>
  <c r="E191" i="42"/>
  <c r="D30" i="42"/>
  <c r="D189" i="42"/>
  <c r="E82" i="42"/>
  <c r="D82" i="42"/>
  <c r="D98" i="42"/>
  <c r="D62" i="42"/>
  <c r="E133" i="42"/>
  <c r="D183" i="42"/>
  <c r="E94" i="42"/>
  <c r="E63" i="42"/>
  <c r="F48" i="42"/>
  <c r="E84" i="42"/>
  <c r="D84" i="42"/>
  <c r="D148" i="42"/>
  <c r="D59" i="42"/>
  <c r="E134" i="42"/>
  <c r="D133" i="42"/>
  <c r="F31" i="42"/>
  <c r="G175" i="42"/>
  <c r="G77" i="42"/>
  <c r="G62" i="42"/>
  <c r="H94" i="42"/>
  <c r="H153" i="42"/>
  <c r="F148" i="42"/>
  <c r="E203" i="42"/>
  <c r="E174" i="42"/>
  <c r="G103" i="42"/>
  <c r="G156" i="42"/>
  <c r="H21" i="42"/>
  <c r="H206" i="42"/>
  <c r="D130" i="42"/>
  <c r="F24" i="42"/>
  <c r="D166" i="42"/>
  <c r="G82" i="42"/>
  <c r="H75" i="42"/>
  <c r="H176" i="42"/>
  <c r="H171" i="42"/>
  <c r="F205" i="42"/>
  <c r="F169" i="42"/>
  <c r="G60" i="42"/>
  <c r="G40" i="42"/>
  <c r="H27" i="42"/>
  <c r="H174" i="42"/>
  <c r="E151" i="42"/>
  <c r="F79" i="42"/>
  <c r="G174" i="42"/>
  <c r="G31" i="42"/>
  <c r="G48" i="42"/>
  <c r="H211" i="42"/>
  <c r="H129" i="42"/>
  <c r="M155" i="42"/>
  <c r="M102" i="42"/>
  <c r="E77" i="42"/>
  <c r="D77" i="42"/>
  <c r="E104" i="42"/>
  <c r="E65" i="42"/>
  <c r="F135" i="42"/>
  <c r="E22" i="42"/>
  <c r="D112" i="42"/>
  <c r="D156" i="42"/>
  <c r="D67" i="42"/>
  <c r="B130" i="42"/>
  <c r="B131" i="42" s="1"/>
  <c r="E112" i="42"/>
  <c r="F97" i="42"/>
  <c r="F66" i="42"/>
  <c r="D48" i="42"/>
  <c r="E24" i="42"/>
  <c r="D114" i="42"/>
  <c r="E114" i="42"/>
  <c r="E185" i="42"/>
  <c r="D24" i="42"/>
  <c r="F152" i="42"/>
  <c r="E58" i="42"/>
  <c r="D138" i="42"/>
  <c r="D191" i="42"/>
  <c r="D100" i="42"/>
  <c r="E60" i="42"/>
  <c r="D45" i="42"/>
  <c r="E187" i="42"/>
  <c r="D26" i="42"/>
  <c r="F157" i="42"/>
  <c r="E47" i="42"/>
  <c r="E139" i="42"/>
  <c r="F203" i="42"/>
  <c r="F188" i="42"/>
  <c r="G172" i="42"/>
  <c r="G32" i="42"/>
  <c r="G148" i="42"/>
  <c r="H65" i="42"/>
  <c r="H48" i="42"/>
  <c r="D158" i="42"/>
  <c r="D212" i="42"/>
  <c r="D167" i="42"/>
  <c r="G83" i="42"/>
  <c r="G211" i="42"/>
  <c r="H95" i="42"/>
  <c r="H158" i="42"/>
  <c r="F211" i="42"/>
  <c r="F193" i="42"/>
  <c r="G212" i="42"/>
  <c r="G113" i="42"/>
  <c r="H118" i="42"/>
  <c r="H57" i="42"/>
  <c r="F101" i="42"/>
  <c r="E211" i="42"/>
  <c r="D175" i="42"/>
  <c r="G101" i="42"/>
  <c r="G98" i="42"/>
  <c r="H184" i="42"/>
  <c r="H58" i="42"/>
  <c r="D58" i="42"/>
  <c r="F30" i="42"/>
  <c r="F171" i="42"/>
  <c r="G188" i="42"/>
  <c r="H190" i="42"/>
  <c r="H97" i="42"/>
  <c r="I194" i="42"/>
  <c r="M140" i="42"/>
  <c r="M29" i="42"/>
  <c r="E85" i="42"/>
  <c r="D85" i="42"/>
  <c r="D93" i="42"/>
  <c r="B58" i="42"/>
  <c r="B59" i="42" s="1"/>
  <c r="F132" i="42"/>
  <c r="E30" i="42"/>
  <c r="D120" i="42"/>
  <c r="D153" i="42"/>
  <c r="F42" i="42"/>
  <c r="F134" i="42"/>
  <c r="E120" i="42"/>
  <c r="E103" i="42"/>
  <c r="F63" i="42"/>
  <c r="D129" i="42"/>
  <c r="E32" i="42"/>
  <c r="D122" i="42"/>
  <c r="E122" i="42"/>
  <c r="E193" i="42"/>
  <c r="D32" i="42"/>
  <c r="F149" i="42"/>
  <c r="D64" i="42"/>
  <c r="E131" i="42"/>
  <c r="E116" i="42"/>
  <c r="E96" i="42"/>
  <c r="D66" i="42"/>
  <c r="E140" i="42"/>
  <c r="E183" i="42"/>
  <c r="D118" i="42"/>
  <c r="F154" i="42"/>
  <c r="E40" i="42"/>
  <c r="D131" i="42"/>
  <c r="E201" i="42"/>
  <c r="F185" i="42"/>
  <c r="G206" i="42"/>
  <c r="G29" i="42"/>
  <c r="H79" i="42"/>
  <c r="H170" i="42"/>
  <c r="H210" i="42"/>
  <c r="D57" i="42"/>
  <c r="F194" i="42"/>
  <c r="F174" i="42"/>
  <c r="G114" i="42"/>
  <c r="G140" i="42"/>
  <c r="H50" i="42"/>
  <c r="H49" i="42"/>
  <c r="F208" i="42"/>
  <c r="F116" i="42"/>
  <c r="G44" i="42"/>
  <c r="G208" i="42"/>
  <c r="H23" i="42"/>
  <c r="H173" i="42"/>
  <c r="E158" i="42"/>
  <c r="F26" i="42"/>
  <c r="G170" i="42"/>
  <c r="G186" i="42"/>
  <c r="G147" i="42"/>
  <c r="H86" i="42"/>
  <c r="H136" i="42"/>
  <c r="F45" i="42"/>
  <c r="F191" i="42"/>
  <c r="F168" i="42"/>
  <c r="G185" i="42"/>
  <c r="H76" i="42"/>
  <c r="H41" i="42"/>
  <c r="I83" i="42"/>
  <c r="H114" i="42"/>
  <c r="H131" i="42"/>
  <c r="D205" i="42"/>
  <c r="F94" i="42"/>
  <c r="F201" i="42"/>
  <c r="F165" i="42"/>
  <c r="G194" i="42"/>
  <c r="G152" i="42"/>
  <c r="H116" i="42"/>
  <c r="H104" i="42"/>
  <c r="E156" i="42"/>
  <c r="F210" i="42"/>
  <c r="E175" i="42"/>
  <c r="G84" i="42"/>
  <c r="G59" i="42"/>
  <c r="H24" i="42"/>
  <c r="H42" i="42"/>
  <c r="I76" i="42"/>
  <c r="D136" i="42"/>
  <c r="F27" i="42"/>
  <c r="G171" i="42"/>
  <c r="G28" i="42"/>
  <c r="G94" i="42"/>
  <c r="H25" i="42"/>
  <c r="H212" i="42"/>
  <c r="I121" i="42"/>
  <c r="I151" i="42"/>
  <c r="J119" i="42"/>
  <c r="J149" i="42"/>
  <c r="K29" i="42"/>
  <c r="K46" i="42"/>
  <c r="L186" i="42"/>
  <c r="L60" i="42"/>
  <c r="M82" i="42"/>
  <c r="I187" i="42"/>
  <c r="I175" i="42"/>
  <c r="J187" i="42"/>
  <c r="J208" i="42"/>
  <c r="K30" i="42"/>
  <c r="K153" i="42"/>
  <c r="L191" i="42"/>
  <c r="L100" i="42"/>
  <c r="M24" i="42"/>
  <c r="I186" i="42"/>
  <c r="I171" i="42"/>
  <c r="J82" i="42"/>
  <c r="J203" i="42"/>
  <c r="K183" i="42"/>
  <c r="K63" i="42"/>
  <c r="L75" i="42"/>
  <c r="L96" i="42"/>
  <c r="M32" i="42"/>
  <c r="I80" i="42"/>
  <c r="I64" i="42"/>
  <c r="J113" i="42"/>
  <c r="J150" i="42"/>
  <c r="K23" i="42"/>
  <c r="K171" i="42"/>
  <c r="L112" i="42"/>
  <c r="L102" i="42"/>
  <c r="M46" i="42"/>
  <c r="I93" i="42"/>
  <c r="J77" i="42"/>
  <c r="J154" i="42"/>
  <c r="K76" i="42"/>
  <c r="K102" i="42"/>
  <c r="L83" i="42"/>
  <c r="L152" i="42"/>
  <c r="M183" i="42"/>
  <c r="I191" i="42"/>
  <c r="I211" i="42"/>
  <c r="I130" i="42"/>
  <c r="I129" i="42"/>
  <c r="J61" i="42"/>
  <c r="J48" i="42"/>
  <c r="K59" i="42"/>
  <c r="K60" i="42"/>
  <c r="I157" i="42"/>
  <c r="J23" i="42"/>
  <c r="J63" i="42"/>
  <c r="K185" i="42"/>
  <c r="K207" i="42"/>
  <c r="K208" i="42"/>
  <c r="L44" i="42"/>
  <c r="L64" i="42"/>
  <c r="M94" i="42"/>
  <c r="H63" i="42"/>
  <c r="F40" i="42"/>
  <c r="F32" i="42"/>
  <c r="E155" i="42"/>
  <c r="F206" i="42"/>
  <c r="E171" i="42"/>
  <c r="G80" i="42"/>
  <c r="G47" i="42"/>
  <c r="H66" i="42"/>
  <c r="H61" i="42"/>
  <c r="F68" i="42"/>
  <c r="F75" i="42"/>
  <c r="D172" i="42"/>
  <c r="G119" i="42"/>
  <c r="G95" i="42"/>
  <c r="H193" i="42"/>
  <c r="H203" i="42"/>
  <c r="I116" i="42"/>
  <c r="E212" i="42"/>
  <c r="F184" i="42"/>
  <c r="G168" i="42"/>
  <c r="G25" i="42"/>
  <c r="G138" i="42"/>
  <c r="H112" i="42"/>
  <c r="H148" i="42"/>
  <c r="I120" i="42"/>
  <c r="I132" i="42"/>
  <c r="J80" i="42"/>
  <c r="J47" i="42"/>
  <c r="K191" i="42"/>
  <c r="K209" i="42"/>
  <c r="L192" i="42"/>
  <c r="L131" i="42"/>
  <c r="M75" i="42"/>
  <c r="I119" i="42"/>
  <c r="I61" i="42"/>
  <c r="J117" i="42"/>
  <c r="J158" i="42"/>
  <c r="K122" i="42"/>
  <c r="K134" i="42"/>
  <c r="L76" i="42"/>
  <c r="L47" i="42"/>
  <c r="M77" i="42"/>
  <c r="I79" i="42"/>
  <c r="I66" i="42"/>
  <c r="J115" i="42"/>
  <c r="J155" i="42"/>
  <c r="K120" i="42"/>
  <c r="K135" i="42"/>
  <c r="L77" i="42"/>
  <c r="L45" i="42"/>
  <c r="M30" i="42"/>
  <c r="I112" i="42"/>
  <c r="I209" i="42"/>
  <c r="J194" i="42"/>
  <c r="J132" i="42"/>
  <c r="K121" i="42"/>
  <c r="K61" i="42"/>
  <c r="L189" i="42"/>
  <c r="L42" i="42"/>
  <c r="M154" i="42"/>
  <c r="I63" i="42"/>
  <c r="J192" i="42"/>
  <c r="J46" i="42"/>
  <c r="K194" i="42"/>
  <c r="K66" i="42"/>
  <c r="L30" i="42"/>
  <c r="L50" i="42"/>
  <c r="M81" i="42"/>
  <c r="I153" i="42"/>
  <c r="I147" i="42"/>
  <c r="I172" i="42"/>
  <c r="I165" i="42"/>
  <c r="J170" i="42"/>
  <c r="J209" i="42"/>
  <c r="K139" i="42"/>
  <c r="K205" i="42"/>
  <c r="I206" i="42"/>
  <c r="J25" i="42"/>
  <c r="J140" i="42"/>
  <c r="K22" i="42"/>
  <c r="K148" i="42"/>
  <c r="L183" i="42"/>
  <c r="L205" i="42"/>
  <c r="L172" i="42"/>
  <c r="D95" i="42"/>
  <c r="G27" i="42"/>
  <c r="I117" i="42"/>
  <c r="F83" i="42"/>
  <c r="F172" i="42"/>
  <c r="G96" i="42"/>
  <c r="H204" i="42"/>
  <c r="I84" i="42"/>
  <c r="D210" i="42"/>
  <c r="G167" i="42"/>
  <c r="G116" i="42"/>
  <c r="H84" i="42"/>
  <c r="H93" i="42"/>
  <c r="B112" i="42"/>
  <c r="B113" i="42" s="1"/>
  <c r="F186" i="42"/>
  <c r="D165" i="42"/>
  <c r="G63" i="42"/>
  <c r="H111" i="42"/>
  <c r="H47" i="42"/>
  <c r="I135" i="42"/>
  <c r="J27" i="42"/>
  <c r="J202" i="42"/>
  <c r="K104" i="42"/>
  <c r="K174" i="42"/>
  <c r="L175" i="42"/>
  <c r="M210" i="42"/>
  <c r="I166" i="42"/>
  <c r="J32" i="42"/>
  <c r="J151" i="42"/>
  <c r="K57" i="42"/>
  <c r="L193" i="42"/>
  <c r="L57" i="42"/>
  <c r="M60" i="42"/>
  <c r="I133" i="42"/>
  <c r="J104" i="42"/>
  <c r="J169" i="42"/>
  <c r="K175" i="42"/>
  <c r="L24" i="42"/>
  <c r="L150" i="42"/>
  <c r="I154" i="42"/>
  <c r="I168" i="42"/>
  <c r="J50" i="42"/>
  <c r="K78" i="42"/>
  <c r="K133" i="42"/>
  <c r="L41" i="42"/>
  <c r="I28" i="42"/>
  <c r="I204" i="42"/>
  <c r="J147" i="42"/>
  <c r="K116" i="42"/>
  <c r="K48" i="42"/>
  <c r="L67" i="42"/>
  <c r="M192" i="42"/>
  <c r="I101" i="42"/>
  <c r="I192" i="42"/>
  <c r="J85" i="42"/>
  <c r="J98" i="42"/>
  <c r="K115" i="42"/>
  <c r="I23" i="42"/>
  <c r="I99" i="42"/>
  <c r="J59" i="42"/>
  <c r="K28" i="42"/>
  <c r="K149" i="42"/>
  <c r="L121" i="42"/>
  <c r="M111" i="42"/>
  <c r="J212" i="42"/>
  <c r="M49" i="42"/>
  <c r="J168" i="42"/>
  <c r="M170" i="42"/>
  <c r="K75" i="42"/>
  <c r="M39" i="42"/>
  <c r="J211" i="42"/>
  <c r="K93" i="42"/>
  <c r="M129" i="42"/>
  <c r="K31" i="42"/>
  <c r="M206" i="42"/>
  <c r="L132" i="42"/>
  <c r="E207" i="42"/>
  <c r="G49" i="42"/>
  <c r="I189" i="42"/>
  <c r="F114" i="42"/>
  <c r="D169" i="42"/>
  <c r="G68" i="42"/>
  <c r="H98" i="42"/>
  <c r="I115" i="42"/>
  <c r="D203" i="42"/>
  <c r="F176" i="42"/>
  <c r="G130" i="42"/>
  <c r="H119" i="42"/>
  <c r="H46" i="42"/>
  <c r="F57" i="42"/>
  <c r="F122" i="42"/>
  <c r="G136" i="42"/>
  <c r="G201" i="42"/>
  <c r="H28" i="42"/>
  <c r="H209" i="42"/>
  <c r="I170" i="42"/>
  <c r="J26" i="42"/>
  <c r="J156" i="42"/>
  <c r="K62" i="42"/>
  <c r="L187" i="42"/>
  <c r="L59" i="42"/>
  <c r="M139" i="42"/>
  <c r="I57" i="42"/>
  <c r="J122" i="42"/>
  <c r="J133" i="42"/>
  <c r="K201" i="42"/>
  <c r="L116" i="42"/>
  <c r="L173" i="42"/>
  <c r="M61" i="42"/>
  <c r="I150" i="42"/>
  <c r="J130" i="42"/>
  <c r="K188" i="42"/>
  <c r="K65" i="42"/>
  <c r="L115" i="42"/>
  <c r="L129" i="42"/>
  <c r="I45" i="42"/>
  <c r="J193" i="42"/>
  <c r="J166" i="42"/>
  <c r="K151" i="42"/>
  <c r="L79" i="42"/>
  <c r="L208" i="42"/>
  <c r="I81" i="42"/>
  <c r="I152" i="42"/>
  <c r="J175" i="42"/>
  <c r="K24" i="42"/>
  <c r="K170" i="42"/>
  <c r="L134" i="42"/>
  <c r="M22" i="42"/>
  <c r="I131" i="42"/>
  <c r="I148" i="42"/>
  <c r="J24" i="42"/>
  <c r="J66" i="42"/>
  <c r="K32" i="42"/>
  <c r="I122" i="42"/>
  <c r="I68" i="42"/>
  <c r="J165" i="42"/>
  <c r="K190" i="42"/>
  <c r="K138" i="42"/>
  <c r="L99" i="42"/>
  <c r="M120" i="42"/>
  <c r="K130" i="42"/>
  <c r="M175" i="42"/>
  <c r="K80" i="42"/>
  <c r="M47" i="42"/>
  <c r="K44" i="42"/>
  <c r="L43" i="42"/>
  <c r="K211" i="42"/>
  <c r="L184" i="42"/>
  <c r="K117" i="42"/>
  <c r="K176" i="42"/>
  <c r="M171" i="42"/>
  <c r="D171" i="42"/>
  <c r="H157" i="42"/>
  <c r="F64" i="42"/>
  <c r="F183" i="42"/>
  <c r="G134" i="42"/>
  <c r="G155" i="42"/>
  <c r="H132" i="42"/>
  <c r="I75" i="42"/>
  <c r="F118" i="42"/>
  <c r="D173" i="42"/>
  <c r="G57" i="42"/>
  <c r="H120" i="42"/>
  <c r="H207" i="42"/>
  <c r="D42" i="42"/>
  <c r="F86" i="42"/>
  <c r="G154" i="42"/>
  <c r="G39" i="42"/>
  <c r="H68" i="42"/>
  <c r="I86" i="42"/>
  <c r="I149" i="42"/>
  <c r="J30" i="42"/>
  <c r="J139" i="42"/>
  <c r="K202" i="42"/>
  <c r="L118" i="42"/>
  <c r="L207" i="42"/>
  <c r="M57" i="42"/>
  <c r="I137" i="42"/>
  <c r="J96" i="42"/>
  <c r="J173" i="42"/>
  <c r="K166" i="42"/>
  <c r="L23" i="42"/>
  <c r="L154" i="42"/>
  <c r="I114" i="42"/>
  <c r="I48" i="42"/>
  <c r="J97" i="42"/>
  <c r="K86" i="42"/>
  <c r="K204" i="42"/>
  <c r="L156" i="42"/>
  <c r="M83" i="42"/>
  <c r="I207" i="42"/>
  <c r="J191" i="42"/>
  <c r="J176" i="42"/>
  <c r="K49" i="42"/>
  <c r="L78" i="42"/>
  <c r="L176" i="42"/>
  <c r="I188" i="42"/>
  <c r="I40" i="42"/>
  <c r="J103" i="42"/>
  <c r="K119" i="42"/>
  <c r="K150" i="42"/>
  <c r="L204" i="42"/>
  <c r="M44" i="42"/>
  <c r="I98" i="42"/>
  <c r="I158" i="42"/>
  <c r="J22" i="42"/>
  <c r="J201" i="42"/>
  <c r="K96" i="42"/>
  <c r="I193" i="42"/>
  <c r="I138" i="42"/>
  <c r="J93" i="42"/>
  <c r="K81" i="42"/>
  <c r="K167" i="42"/>
  <c r="L66" i="42"/>
  <c r="M150" i="42"/>
  <c r="K203" i="42"/>
  <c r="K114" i="42"/>
  <c r="K101" i="42"/>
  <c r="J42" i="42"/>
  <c r="L28" i="42"/>
  <c r="L68" i="42"/>
  <c r="L122" i="42"/>
  <c r="L84" i="42"/>
  <c r="L149" i="42"/>
  <c r="L21" i="42"/>
  <c r="J184" i="42"/>
  <c r="G75" i="42"/>
  <c r="H62" i="42"/>
  <c r="F49" i="42"/>
  <c r="F81" i="42"/>
  <c r="G58" i="42"/>
  <c r="H194" i="42"/>
  <c r="H101" i="42"/>
  <c r="F98" i="42"/>
  <c r="F23" i="42"/>
  <c r="G137" i="42"/>
  <c r="G139" i="42"/>
  <c r="H59" i="42"/>
  <c r="I82" i="42"/>
  <c r="E132" i="42"/>
  <c r="F117" i="42"/>
  <c r="G26" i="42"/>
  <c r="G66" i="42"/>
  <c r="H169" i="42"/>
  <c r="I21" i="42"/>
  <c r="I176" i="42"/>
  <c r="J100" i="42"/>
  <c r="J171" i="42"/>
  <c r="K158" i="42"/>
  <c r="L22" i="42"/>
  <c r="L94" i="42"/>
  <c r="M98" i="42"/>
  <c r="I103" i="42"/>
  <c r="J134" i="42"/>
  <c r="K184" i="42"/>
  <c r="K67" i="42"/>
  <c r="L117" i="42"/>
  <c r="L48" i="42"/>
  <c r="I27" i="42"/>
  <c r="I208" i="42"/>
  <c r="J41" i="42"/>
  <c r="K21" i="42"/>
  <c r="K99" i="42"/>
  <c r="L133" i="42"/>
  <c r="M59" i="42"/>
  <c r="I97" i="42"/>
  <c r="J83" i="42"/>
  <c r="J57" i="42"/>
  <c r="K169" i="42"/>
  <c r="L26" i="42"/>
  <c r="L58" i="42"/>
  <c r="I156" i="42"/>
  <c r="I173" i="42"/>
  <c r="J64" i="42"/>
  <c r="K79" i="42"/>
  <c r="K129" i="42"/>
  <c r="L155" i="42"/>
  <c r="M152" i="42"/>
  <c r="I47" i="42"/>
  <c r="I205" i="42"/>
  <c r="J78" i="42"/>
  <c r="J94" i="42"/>
  <c r="K41" i="42"/>
  <c r="I58" i="42"/>
  <c r="J186" i="42"/>
  <c r="J45" i="42"/>
  <c r="K113" i="42"/>
  <c r="K58" i="42"/>
  <c r="L135" i="42"/>
  <c r="M202" i="42"/>
  <c r="L31" i="42"/>
  <c r="L169" i="42"/>
  <c r="L32" i="42"/>
  <c r="L188" i="42"/>
  <c r="L65" i="42"/>
  <c r="M93" i="42"/>
  <c r="M137" i="42"/>
  <c r="L130" i="42"/>
  <c r="M136" i="42"/>
  <c r="L81" i="42"/>
  <c r="J67" i="42"/>
  <c r="G99" i="42"/>
  <c r="G42" i="42"/>
  <c r="F129" i="42"/>
  <c r="F78" i="42"/>
  <c r="G115" i="42"/>
  <c r="H80" i="42"/>
  <c r="H60" i="42"/>
  <c r="F50" i="42"/>
  <c r="F85" i="42"/>
  <c r="G151" i="42"/>
  <c r="G46" i="42"/>
  <c r="H201" i="42"/>
  <c r="I85" i="42"/>
  <c r="E209" i="42"/>
  <c r="E166" i="42"/>
  <c r="G187" i="42"/>
  <c r="G64" i="42"/>
  <c r="H156" i="42"/>
  <c r="I111" i="42"/>
  <c r="I95" i="42"/>
  <c r="J40" i="42"/>
  <c r="K189" i="42"/>
  <c r="K154" i="42"/>
  <c r="L119" i="42"/>
  <c r="L39" i="42"/>
  <c r="I118" i="42"/>
  <c r="I46" i="42"/>
  <c r="J101" i="42"/>
  <c r="K85" i="42"/>
  <c r="K132" i="42"/>
  <c r="L147" i="42"/>
  <c r="M112" i="42"/>
  <c r="I49" i="42"/>
  <c r="J189" i="42"/>
  <c r="J135" i="42"/>
  <c r="K77" i="42"/>
  <c r="K137" i="42"/>
  <c r="L209" i="42"/>
  <c r="M165" i="42"/>
  <c r="I60" i="42"/>
  <c r="J118" i="42"/>
  <c r="J138" i="42"/>
  <c r="K68" i="42"/>
  <c r="L113" i="42"/>
  <c r="L206" i="42"/>
  <c r="I41" i="42"/>
  <c r="J84" i="42"/>
  <c r="J137" i="42"/>
  <c r="K147" i="42"/>
  <c r="L27" i="42"/>
  <c r="L140" i="42"/>
  <c r="I32" i="42"/>
  <c r="I136" i="42"/>
  <c r="I94" i="42"/>
  <c r="J28" i="42"/>
  <c r="K84" i="42"/>
  <c r="K206" i="42"/>
  <c r="I139" i="42"/>
  <c r="J121" i="42"/>
  <c r="J207" i="42"/>
  <c r="K98" i="42"/>
  <c r="L29" i="42"/>
  <c r="L166" i="42"/>
  <c r="M41" i="42"/>
  <c r="L101" i="42"/>
  <c r="M104" i="42"/>
  <c r="L104" i="42"/>
  <c r="L168" i="42"/>
  <c r="L211" i="42"/>
  <c r="L85" i="42"/>
  <c r="L157" i="42"/>
  <c r="L153" i="42"/>
  <c r="J86" i="42"/>
  <c r="L148" i="42"/>
  <c r="K157" i="42"/>
  <c r="H82" i="42"/>
  <c r="G97" i="42"/>
  <c r="E204" i="42"/>
  <c r="F21" i="42"/>
  <c r="G192" i="42"/>
  <c r="H115" i="42"/>
  <c r="H134" i="42"/>
  <c r="D132" i="42"/>
  <c r="F82" i="42"/>
  <c r="G22" i="42"/>
  <c r="G61" i="42"/>
  <c r="H99" i="42"/>
  <c r="I113" i="42"/>
  <c r="E202" i="42"/>
  <c r="G173" i="42"/>
  <c r="G111" i="42"/>
  <c r="G153" i="42"/>
  <c r="H130" i="42"/>
  <c r="I77" i="42"/>
  <c r="I67" i="42"/>
  <c r="J99" i="42"/>
  <c r="K26" i="42"/>
  <c r="K136" i="42"/>
  <c r="L95" i="42"/>
  <c r="L165" i="42"/>
  <c r="I26" i="42"/>
  <c r="I202" i="42"/>
  <c r="J58" i="42"/>
  <c r="K83" i="42"/>
  <c r="K103" i="42"/>
  <c r="L49" i="42"/>
  <c r="M65" i="42"/>
  <c r="I212" i="42"/>
  <c r="J188" i="42"/>
  <c r="J167" i="42"/>
  <c r="K95" i="42"/>
  <c r="K168" i="42"/>
  <c r="L93" i="42"/>
  <c r="M212" i="42"/>
  <c r="I167" i="42"/>
  <c r="J157" i="42"/>
  <c r="K192" i="42"/>
  <c r="K131" i="42"/>
  <c r="L62" i="42"/>
  <c r="M79" i="42"/>
  <c r="I203" i="42"/>
  <c r="J111" i="42"/>
  <c r="J172" i="42"/>
  <c r="K45" i="42"/>
  <c r="L190" i="42"/>
  <c r="L171" i="42"/>
  <c r="I30" i="42"/>
  <c r="I169" i="42"/>
  <c r="I43" i="42"/>
  <c r="J112" i="42"/>
  <c r="K27" i="42"/>
  <c r="K152" i="42"/>
  <c r="I174" i="42"/>
  <c r="J79" i="42"/>
  <c r="J153" i="42"/>
  <c r="K64" i="42"/>
  <c r="L185" i="42"/>
  <c r="L158" i="42"/>
  <c r="M157" i="42"/>
  <c r="L137" i="42"/>
  <c r="L210" i="42"/>
  <c r="L139" i="42"/>
  <c r="M186" i="42"/>
  <c r="L61" i="42"/>
  <c r="M205" i="42"/>
  <c r="J81" i="42"/>
  <c r="L212" i="42"/>
  <c r="K42" i="42"/>
  <c r="L136" i="42"/>
  <c r="K155" i="42"/>
  <c r="F111" i="42"/>
  <c r="H188" i="42"/>
  <c r="D209" i="42"/>
  <c r="D168" i="42"/>
  <c r="G189" i="42"/>
  <c r="H192" i="42"/>
  <c r="H138" i="42"/>
  <c r="E208" i="42"/>
  <c r="F113" i="42"/>
  <c r="G24" i="42"/>
  <c r="G158" i="42"/>
  <c r="H133" i="42"/>
  <c r="F103" i="42"/>
  <c r="D207" i="42"/>
  <c r="F166" i="42"/>
  <c r="G120" i="42"/>
  <c r="H26" i="42"/>
  <c r="H103" i="42"/>
  <c r="I25" i="42"/>
  <c r="I134" i="42"/>
  <c r="J62" i="42"/>
  <c r="K82" i="42"/>
  <c r="K94" i="42"/>
  <c r="L40" i="42"/>
  <c r="M116" i="42"/>
  <c r="I50" i="42"/>
  <c r="J185" i="42"/>
  <c r="J43" i="42"/>
  <c r="K186" i="42"/>
  <c r="K39" i="42"/>
  <c r="L203" i="42"/>
  <c r="M168" i="42"/>
  <c r="I96" i="42"/>
  <c r="J183" i="42"/>
  <c r="J68" i="42"/>
  <c r="K40" i="42"/>
  <c r="L194" i="42"/>
  <c r="L46" i="42"/>
  <c r="M64" i="42"/>
  <c r="I155" i="42"/>
  <c r="J204" i="42"/>
  <c r="K193" i="42"/>
  <c r="K210" i="42"/>
  <c r="L138" i="42"/>
  <c r="M185" i="42"/>
  <c r="I100" i="42"/>
  <c r="J75" i="42"/>
  <c r="J49" i="42"/>
  <c r="K140" i="42"/>
  <c r="L80" i="42"/>
  <c r="L63" i="42"/>
  <c r="I140" i="42"/>
  <c r="I185" i="42"/>
  <c r="I104" i="42"/>
  <c r="J65" i="42"/>
  <c r="K112" i="42"/>
  <c r="K47" i="42"/>
  <c r="I102" i="42"/>
  <c r="J29" i="42"/>
  <c r="J44" i="42"/>
  <c r="K50" i="42"/>
  <c r="L120" i="42"/>
  <c r="L202" i="42"/>
  <c r="M204" i="42"/>
  <c r="L97" i="42"/>
  <c r="M58" i="42"/>
  <c r="L103" i="42"/>
  <c r="J152" i="42"/>
  <c r="M27" i="42"/>
  <c r="M119" i="42"/>
  <c r="J60" i="42"/>
  <c r="M103" i="42"/>
  <c r="J21" i="42"/>
  <c r="M194" i="42"/>
  <c r="L25" i="42"/>
  <c r="E165" i="42"/>
  <c r="H67" i="42"/>
  <c r="D206" i="42"/>
  <c r="F175" i="42"/>
  <c r="G112" i="42"/>
  <c r="H189" i="42"/>
  <c r="I78" i="42"/>
  <c r="E205" i="42"/>
  <c r="G169" i="42"/>
  <c r="G193" i="42"/>
  <c r="H22" i="42"/>
  <c r="H102" i="42"/>
  <c r="B148" i="42"/>
  <c r="B149" i="42" s="1"/>
  <c r="D204" i="42"/>
  <c r="D176" i="42"/>
  <c r="G133" i="42"/>
  <c r="H187" i="42"/>
  <c r="H43" i="42"/>
  <c r="I59" i="42"/>
  <c r="J190" i="42"/>
  <c r="J136" i="42"/>
  <c r="K111" i="42"/>
  <c r="K43" i="42"/>
  <c r="L174" i="42"/>
  <c r="M151" i="42"/>
  <c r="I201" i="42"/>
  <c r="J31" i="42"/>
  <c r="J210" i="42"/>
  <c r="K100" i="42"/>
  <c r="K173" i="42"/>
  <c r="L170" i="42"/>
  <c r="M131" i="42"/>
  <c r="I62" i="42"/>
  <c r="J120" i="42"/>
  <c r="J129" i="42"/>
  <c r="K165" i="42"/>
  <c r="L114" i="42"/>
  <c r="L167" i="42"/>
  <c r="I190" i="42"/>
  <c r="I44" i="42"/>
  <c r="J148" i="42"/>
  <c r="K118" i="42"/>
  <c r="K156" i="42"/>
  <c r="L151" i="42"/>
  <c r="M85" i="42"/>
  <c r="I42" i="42"/>
  <c r="J116" i="42"/>
  <c r="J205" i="42"/>
  <c r="K97" i="42"/>
  <c r="L111" i="42"/>
  <c r="L201" i="42"/>
  <c r="I210" i="42"/>
  <c r="I31" i="42"/>
  <c r="I65" i="42"/>
  <c r="J131" i="42"/>
  <c r="K187" i="42"/>
  <c r="K172" i="42"/>
  <c r="I39" i="42"/>
  <c r="J95" i="42"/>
  <c r="J206" i="42"/>
  <c r="K212" i="42"/>
  <c r="L86" i="42"/>
  <c r="L98" i="42"/>
  <c r="J76" i="42"/>
  <c r="M115" i="42"/>
  <c r="J114" i="42"/>
  <c r="M25" i="42"/>
  <c r="J39" i="42"/>
  <c r="M174" i="42"/>
  <c r="J174" i="42"/>
  <c r="K25" i="42"/>
  <c r="M97" i="42"/>
  <c r="J102" i="42"/>
  <c r="M134" i="42"/>
  <c r="L82" i="42"/>
  <c r="G100" i="42"/>
  <c r="C133" i="15"/>
  <c r="C14" i="42"/>
  <c r="C14" i="41"/>
  <c r="C186" i="16"/>
  <c r="C14" i="46"/>
  <c r="E14" i="15"/>
  <c r="E111" i="41"/>
  <c r="D116" i="41"/>
  <c r="E116" i="41"/>
  <c r="B114" i="41"/>
  <c r="C10" i="41"/>
  <c r="D112" i="41"/>
  <c r="E112" i="41"/>
  <c r="D120" i="41"/>
  <c r="D118" i="41"/>
  <c r="E115" i="41"/>
  <c r="E113" i="41"/>
  <c r="E121" i="41"/>
  <c r="B111" i="41"/>
  <c r="B112" i="41" s="1"/>
  <c r="E114" i="41"/>
  <c r="E110" i="41"/>
  <c r="D110" i="41"/>
  <c r="E117" i="41"/>
  <c r="E119" i="41"/>
  <c r="D114" i="41"/>
  <c r="D113" i="41"/>
  <c r="D119" i="41"/>
  <c r="D117" i="41"/>
  <c r="E120" i="41"/>
  <c r="E118" i="41"/>
  <c r="D115" i="41"/>
  <c r="D111" i="41"/>
  <c r="D121" i="41"/>
  <c r="F119" i="41"/>
  <c r="F114" i="41"/>
  <c r="F111" i="41"/>
  <c r="F115" i="41"/>
  <c r="F116" i="41"/>
  <c r="F113" i="41"/>
  <c r="F117" i="41"/>
  <c r="F121" i="41"/>
  <c r="F110" i="41"/>
  <c r="F112" i="41"/>
  <c r="F118" i="41"/>
  <c r="F120" i="41"/>
  <c r="G116" i="41"/>
  <c r="G113" i="41"/>
  <c r="G111" i="41"/>
  <c r="G121" i="41"/>
  <c r="G114" i="41"/>
  <c r="G118" i="41"/>
  <c r="G117" i="41"/>
  <c r="G119" i="41"/>
  <c r="G110" i="41"/>
  <c r="G115" i="41"/>
  <c r="G112" i="41"/>
  <c r="G120" i="41"/>
  <c r="H113" i="41"/>
  <c r="H111" i="41"/>
  <c r="H121" i="41"/>
  <c r="H116" i="41"/>
  <c r="H119" i="41"/>
  <c r="H110" i="41"/>
  <c r="H112" i="41"/>
  <c r="H114" i="41"/>
  <c r="H115" i="41"/>
  <c r="H118" i="41"/>
  <c r="H117" i="41"/>
  <c r="H120" i="41"/>
  <c r="C10" i="46"/>
  <c r="E10" i="15"/>
  <c r="C126" i="43"/>
  <c r="E8" i="43"/>
  <c r="C133" i="47"/>
  <c r="E14" i="47"/>
  <c r="E7" i="45"/>
  <c r="D162" i="17" s="1"/>
  <c r="C126" i="45"/>
  <c r="E9" i="45"/>
  <c r="D164" i="17" s="1"/>
  <c r="C128" i="45"/>
  <c r="D175" i="39"/>
  <c r="D209" i="39"/>
  <c r="D150" i="39"/>
  <c r="D122" i="39"/>
  <c r="D94" i="39"/>
  <c r="D321" i="39"/>
  <c r="D265" i="39"/>
  <c r="D66" i="39"/>
  <c r="P178" i="39"/>
  <c r="D293" i="39"/>
  <c r="D237" i="39"/>
  <c r="D38" i="39"/>
  <c r="Q178" i="30"/>
  <c r="P171" i="25"/>
  <c r="Q178" i="38"/>
  <c r="P38" i="39"/>
  <c r="Q178" i="28"/>
  <c r="Q178" i="39"/>
  <c r="C6" i="41"/>
  <c r="J46" i="41" s="1"/>
  <c r="C125" i="15"/>
  <c r="C6" i="42"/>
  <c r="C6" i="46"/>
  <c r="C46" i="16"/>
  <c r="E6" i="15"/>
  <c r="C5" i="41"/>
  <c r="J20" i="41" s="1"/>
  <c r="C5" i="46"/>
  <c r="C124" i="15"/>
  <c r="C26" i="16"/>
  <c r="C5" i="42"/>
  <c r="E5" i="15"/>
  <c r="E5" i="43"/>
  <c r="C123" i="43"/>
  <c r="C128" i="47"/>
  <c r="E9" i="47"/>
  <c r="E8" i="45"/>
  <c r="D163" i="17" s="1"/>
  <c r="C127" i="45"/>
  <c r="C125" i="45"/>
  <c r="E6" i="45"/>
  <c r="D161" i="17" s="1"/>
  <c r="D35" i="29"/>
  <c r="D27" i="10"/>
  <c r="D35" i="37"/>
  <c r="C86" i="16"/>
  <c r="C8" i="46"/>
  <c r="C8" i="41"/>
  <c r="C8" i="42"/>
  <c r="C127" i="15"/>
  <c r="E8" i="15"/>
  <c r="C19" i="16"/>
  <c r="C12" i="16"/>
  <c r="C13" i="16" s="1"/>
  <c r="C125" i="43"/>
  <c r="E7" i="43"/>
  <c r="C131" i="43"/>
  <c r="E12" i="43"/>
  <c r="D10" i="47"/>
  <c r="E10" i="47" s="1"/>
  <c r="C124" i="47"/>
  <c r="E5" i="47"/>
  <c r="C131" i="45"/>
  <c r="E12" i="45"/>
  <c r="D167" i="17" s="1"/>
  <c r="D175" i="28"/>
  <c r="D122" i="28"/>
  <c r="D119" i="28" s="1"/>
  <c r="D125" i="28" s="1"/>
  <c r="D126" i="28" s="1"/>
  <c r="D209" i="28"/>
  <c r="D206" i="28" s="1"/>
  <c r="D212" i="28" s="1"/>
  <c r="D213" i="28" s="1"/>
  <c r="D265" i="28"/>
  <c r="D262" i="28" s="1"/>
  <c r="D268" i="28" s="1"/>
  <c r="D269" i="28" s="1"/>
  <c r="D94" i="28"/>
  <c r="D91" i="28" s="1"/>
  <c r="D97" i="28" s="1"/>
  <c r="D98" i="28" s="1"/>
  <c r="D150" i="28"/>
  <c r="D147" i="28" s="1"/>
  <c r="D153" i="28" s="1"/>
  <c r="D154" i="28" s="1"/>
  <c r="D66" i="28"/>
  <c r="D63" i="28" s="1"/>
  <c r="D69" i="28" s="1"/>
  <c r="D70" i="28" s="1"/>
  <c r="P178" i="28"/>
  <c r="D38" i="28"/>
  <c r="D35" i="28" s="1"/>
  <c r="D41" i="28" s="1"/>
  <c r="D42" i="28" s="1"/>
  <c r="D293" i="28"/>
  <c r="D290" i="28" s="1"/>
  <c r="D296" i="28" s="1"/>
  <c r="D297" i="28" s="1"/>
  <c r="D237" i="28"/>
  <c r="D234" i="28" s="1"/>
  <c r="D240" i="28" s="1"/>
  <c r="D241" i="28" s="1"/>
  <c r="D321" i="28"/>
  <c r="D318" i="28" s="1"/>
  <c r="D324" i="28" s="1"/>
  <c r="D325" i="28" s="1"/>
  <c r="D237" i="29"/>
  <c r="P237" i="29" s="1"/>
  <c r="D293" i="29"/>
  <c r="P293" i="29" s="1"/>
  <c r="D209" i="29"/>
  <c r="P209" i="29" s="1"/>
  <c r="D175" i="29"/>
  <c r="D150" i="29"/>
  <c r="P150" i="29" s="1"/>
  <c r="D122" i="29"/>
  <c r="P122" i="29" s="1"/>
  <c r="D94" i="29"/>
  <c r="P94" i="29" s="1"/>
  <c r="D66" i="29"/>
  <c r="P66" i="29" s="1"/>
  <c r="D265" i="29"/>
  <c r="P265" i="29" s="1"/>
  <c r="D321" i="29"/>
  <c r="P321" i="29" s="1"/>
  <c r="P178" i="29"/>
  <c r="C11" i="46"/>
  <c r="C126" i="16"/>
  <c r="C11" i="41"/>
  <c r="C130" i="15"/>
  <c r="C11" i="42"/>
  <c r="E11" i="15"/>
  <c r="B130" i="46"/>
  <c r="B127" i="46"/>
  <c r="B128" i="46" s="1"/>
  <c r="C127" i="43"/>
  <c r="E9" i="43"/>
  <c r="C129" i="43"/>
  <c r="E10" i="43"/>
  <c r="C132" i="47"/>
  <c r="E13" i="47"/>
  <c r="E14" i="45"/>
  <c r="D169" i="17" s="1"/>
  <c r="C133" i="45"/>
  <c r="D185" i="25"/>
  <c r="D196" i="25" s="1"/>
  <c r="D208" i="25" s="1"/>
  <c r="D219" i="25" s="1"/>
  <c r="D194" i="25"/>
  <c r="D205" i="25" s="1"/>
  <c r="D217" i="25" s="1"/>
  <c r="D228" i="25" s="1"/>
  <c r="D193" i="25"/>
  <c r="D204" i="25" s="1"/>
  <c r="D216" i="25" s="1"/>
  <c r="D227" i="25" s="1"/>
  <c r="D191" i="25"/>
  <c r="D202" i="25" s="1"/>
  <c r="D214" i="25" s="1"/>
  <c r="D225" i="25" s="1"/>
  <c r="D188" i="25"/>
  <c r="D199" i="25" s="1"/>
  <c r="D211" i="25" s="1"/>
  <c r="D222" i="25" s="1"/>
  <c r="D189" i="25"/>
  <c r="D200" i="25" s="1"/>
  <c r="D212" i="25" s="1"/>
  <c r="D223" i="25" s="1"/>
  <c r="D187" i="25"/>
  <c r="D198" i="25" s="1"/>
  <c r="D210" i="25" s="1"/>
  <c r="D221" i="25" s="1"/>
  <c r="D186" i="25"/>
  <c r="D197" i="25" s="1"/>
  <c r="D209" i="25" s="1"/>
  <c r="D220" i="25" s="1"/>
  <c r="D190" i="25"/>
  <c r="D201" i="25" s="1"/>
  <c r="D213" i="25" s="1"/>
  <c r="D224" i="25" s="1"/>
  <c r="D192" i="25"/>
  <c r="D203" i="25" s="1"/>
  <c r="D215" i="25" s="1"/>
  <c r="D226" i="25" s="1"/>
  <c r="D175" i="30"/>
  <c r="D181" i="30" s="1"/>
  <c r="D182" i="30" s="1"/>
  <c r="D184" i="30" s="1"/>
  <c r="D209" i="30"/>
  <c r="D206" i="30" s="1"/>
  <c r="D212" i="30" s="1"/>
  <c r="D213" i="30" s="1"/>
  <c r="D150" i="30"/>
  <c r="D147" i="30" s="1"/>
  <c r="D153" i="30" s="1"/>
  <c r="D154" i="30" s="1"/>
  <c r="P178" i="30"/>
  <c r="D122" i="30"/>
  <c r="D119" i="30" s="1"/>
  <c r="D125" i="30" s="1"/>
  <c r="D126" i="30" s="1"/>
  <c r="D94" i="30"/>
  <c r="D91" i="30" s="1"/>
  <c r="D97" i="30" s="1"/>
  <c r="D98" i="30" s="1"/>
  <c r="D321" i="30"/>
  <c r="D318" i="30" s="1"/>
  <c r="D324" i="30" s="1"/>
  <c r="D325" i="30" s="1"/>
  <c r="D38" i="30"/>
  <c r="D35" i="30" s="1"/>
  <c r="D41" i="30" s="1"/>
  <c r="D42" i="30" s="1"/>
  <c r="D43" i="28" s="1"/>
  <c r="D293" i="30"/>
  <c r="D290" i="30" s="1"/>
  <c r="D296" i="30" s="1"/>
  <c r="D297" i="30" s="1"/>
  <c r="D66" i="30"/>
  <c r="D63" i="30" s="1"/>
  <c r="D69" i="30" s="1"/>
  <c r="D70" i="30" s="1"/>
  <c r="D237" i="30"/>
  <c r="D234" i="30" s="1"/>
  <c r="D240" i="30" s="1"/>
  <c r="D241" i="30" s="1"/>
  <c r="D265" i="30"/>
  <c r="D262" i="30" s="1"/>
  <c r="D268" i="30" s="1"/>
  <c r="D269" i="30" s="1"/>
  <c r="C13" i="41"/>
  <c r="C132" i="15"/>
  <c r="C166" i="16"/>
  <c r="C13" i="46"/>
  <c r="C13" i="42"/>
  <c r="E13" i="15"/>
  <c r="C7" i="41"/>
  <c r="C66" i="16"/>
  <c r="C7" i="46"/>
  <c r="C126" i="15"/>
  <c r="C7" i="42"/>
  <c r="E7" i="15"/>
  <c r="E6" i="43"/>
  <c r="C124" i="43"/>
  <c r="C126" i="47"/>
  <c r="E7" i="47"/>
  <c r="C130" i="47"/>
  <c r="E11" i="47"/>
  <c r="E15" i="45"/>
  <c r="D170" i="17" s="1"/>
  <c r="C134" i="45"/>
  <c r="E21" i="2"/>
  <c r="E23" i="2" s="1"/>
  <c r="E24" i="2" s="1"/>
  <c r="E25" i="2" s="1"/>
  <c r="F21" i="2" s="1"/>
  <c r="I26" i="22"/>
  <c r="I28" i="22" s="1"/>
  <c r="I29" i="22" s="1"/>
  <c r="D150" i="38"/>
  <c r="D94" i="38"/>
  <c r="P178" i="38"/>
  <c r="D321" i="38"/>
  <c r="D122" i="38"/>
  <c r="D66" i="38"/>
  <c r="D265" i="38"/>
  <c r="D293" i="38"/>
  <c r="D38" i="38"/>
  <c r="D237" i="38"/>
  <c r="D209" i="38"/>
  <c r="D175" i="38"/>
  <c r="C206" i="16"/>
  <c r="C15" i="46"/>
  <c r="C15" i="42"/>
  <c r="C15" i="41"/>
  <c r="C134" i="15"/>
  <c r="E15" i="15"/>
  <c r="C9" i="46"/>
  <c r="C9" i="41"/>
  <c r="J102" i="41" s="1"/>
  <c r="C128" i="15"/>
  <c r="C9" i="42"/>
  <c r="C106" i="16"/>
  <c r="E9" i="15"/>
  <c r="C132" i="43"/>
  <c r="E13" i="43"/>
  <c r="C131" i="47"/>
  <c r="E12" i="47"/>
  <c r="C125" i="47"/>
  <c r="E6" i="47"/>
  <c r="E5" i="45"/>
  <c r="D160" i="17" s="1"/>
  <c r="C124" i="45"/>
  <c r="P38" i="34"/>
  <c r="D35" i="34"/>
  <c r="D41" i="34" s="1"/>
  <c r="D42" i="34" s="1"/>
  <c r="D44" i="34" s="1"/>
  <c r="D45" i="34" s="1"/>
  <c r="C5" i="48"/>
  <c r="B129" i="48"/>
  <c r="B126" i="48"/>
  <c r="B127" i="48" s="1"/>
  <c r="C12" i="41"/>
  <c r="J147" i="41" s="1"/>
  <c r="C12" i="42"/>
  <c r="C131" i="15"/>
  <c r="C146" i="16"/>
  <c r="C12" i="46"/>
  <c r="E12" i="15"/>
  <c r="E11" i="43"/>
  <c r="C130" i="43"/>
  <c r="C134" i="47"/>
  <c r="E15" i="47"/>
  <c r="E13" i="45"/>
  <c r="D168" i="17" s="1"/>
  <c r="C132" i="45"/>
  <c r="D178" i="37"/>
  <c r="D240" i="37"/>
  <c r="P240" i="37" s="1"/>
  <c r="D66" i="37"/>
  <c r="P66" i="37" s="1"/>
  <c r="D212" i="37"/>
  <c r="P212" i="37" s="1"/>
  <c r="D153" i="37"/>
  <c r="P153" i="37" s="1"/>
  <c r="P181" i="37"/>
  <c r="D324" i="37"/>
  <c r="P324" i="37" s="1"/>
  <c r="D268" i="37"/>
  <c r="P268" i="37" s="1"/>
  <c r="D125" i="37"/>
  <c r="P125" i="37" s="1"/>
  <c r="D296" i="37"/>
  <c r="P296" i="37" s="1"/>
  <c r="D94" i="37"/>
  <c r="P94" i="37" s="1"/>
  <c r="P249" i="37"/>
  <c r="M8" i="19"/>
  <c r="M11" i="19" s="1"/>
  <c r="N11" i="19" s="1"/>
  <c r="N13" i="19" s="1"/>
  <c r="F103" i="18"/>
  <c r="F105" i="18" s="1"/>
  <c r="G54" i="39"/>
  <c r="P75" i="29"/>
  <c r="P218" i="29"/>
  <c r="G110" i="39"/>
  <c r="I20" i="43"/>
  <c r="I22" i="43" s="1"/>
  <c r="I40" i="43" s="1"/>
  <c r="P75" i="28"/>
  <c r="P19" i="29"/>
  <c r="H110" i="37"/>
  <c r="H111" i="37" s="1"/>
  <c r="H113" i="37" s="1"/>
  <c r="H79" i="39"/>
  <c r="H80" i="39" s="1"/>
  <c r="H82" i="39" s="1"/>
  <c r="H23" i="39"/>
  <c r="H24" i="39" s="1"/>
  <c r="H26" i="39" s="1"/>
  <c r="Q165" i="28"/>
  <c r="K252" i="30"/>
  <c r="O22" i="45"/>
  <c r="K109" i="38"/>
  <c r="K110" i="38" s="1"/>
  <c r="K112" i="38" s="1"/>
  <c r="K113" i="38" s="1"/>
  <c r="K115" i="38" s="1"/>
  <c r="O84" i="45"/>
  <c r="K25" i="30"/>
  <c r="K280" i="38"/>
  <c r="K281" i="38" s="1"/>
  <c r="K283" i="38" s="1"/>
  <c r="K284" i="38" s="1"/>
  <c r="K286" i="38" s="1"/>
  <c r="P158" i="25"/>
  <c r="K137" i="30"/>
  <c r="P165" i="38"/>
  <c r="K137" i="38"/>
  <c r="K138" i="38" s="1"/>
  <c r="K140" i="38" s="1"/>
  <c r="K141" i="38" s="1"/>
  <c r="K143" i="38" s="1"/>
  <c r="Q165" i="38"/>
  <c r="H253" i="38"/>
  <c r="K308" i="30"/>
  <c r="P165" i="25"/>
  <c r="K280" i="28"/>
  <c r="K196" i="28"/>
  <c r="K227" i="37"/>
  <c r="K228" i="37" s="1"/>
  <c r="K230" i="37" s="1"/>
  <c r="K224" i="28"/>
  <c r="K109" i="28"/>
  <c r="K255" i="37"/>
  <c r="K256" i="37" s="1"/>
  <c r="K258" i="37" s="1"/>
  <c r="K53" i="37"/>
  <c r="J253" i="38"/>
  <c r="J255" i="38" s="1"/>
  <c r="J256" i="38" s="1"/>
  <c r="J258" i="38" s="1"/>
  <c r="K53" i="28"/>
  <c r="K25" i="28"/>
  <c r="P168" i="37"/>
  <c r="K311" i="37"/>
  <c r="K312" i="37" s="1"/>
  <c r="K314" i="37" s="1"/>
  <c r="K81" i="37"/>
  <c r="K82" i="37" s="1"/>
  <c r="K84" i="37" s="1"/>
  <c r="K137" i="28"/>
  <c r="K283" i="37"/>
  <c r="K284" i="37" s="1"/>
  <c r="K286" i="37" s="1"/>
  <c r="K287" i="37" s="1"/>
  <c r="K289" i="37" s="1"/>
  <c r="K112" i="37"/>
  <c r="K81" i="28"/>
  <c r="K199" i="37"/>
  <c r="K200" i="37" s="1"/>
  <c r="K202" i="37" s="1"/>
  <c r="K203" i="37" s="1"/>
  <c r="K205" i="37" s="1"/>
  <c r="E63" i="38"/>
  <c r="G281" i="39"/>
  <c r="E35" i="38"/>
  <c r="E91" i="38"/>
  <c r="J157" i="25"/>
  <c r="J159" i="25" s="1"/>
  <c r="J161" i="25" s="1"/>
  <c r="J162" i="25" s="1"/>
  <c r="J164" i="25" s="1"/>
  <c r="J166" i="25" s="1"/>
  <c r="I21" i="47"/>
  <c r="I23" i="47" s="1"/>
  <c r="I38" i="47" s="1"/>
  <c r="I21" i="45"/>
  <c r="I23" i="45" s="1"/>
  <c r="I39" i="45" s="1"/>
  <c r="I21" i="15"/>
  <c r="I23" i="15" s="1"/>
  <c r="I47" i="15" s="1"/>
  <c r="O22" i="15"/>
  <c r="K309" i="38"/>
  <c r="K311" i="38" s="1"/>
  <c r="K312" i="38" s="1"/>
  <c r="K314" i="38" s="1"/>
  <c r="J273" i="30"/>
  <c r="J245" i="30"/>
  <c r="J189" i="30"/>
  <c r="J130" i="30"/>
  <c r="J74" i="30"/>
  <c r="J217" i="30"/>
  <c r="J18" i="30"/>
  <c r="J102" i="30"/>
  <c r="J301" i="30"/>
  <c r="J46" i="30"/>
  <c r="J245" i="35"/>
  <c r="J189" i="35"/>
  <c r="J18" i="35"/>
  <c r="J74" i="35"/>
  <c r="J130" i="35"/>
  <c r="J217" i="35"/>
  <c r="J273" i="35"/>
  <c r="J301" i="35"/>
  <c r="J46" i="35"/>
  <c r="J102" i="35"/>
  <c r="J217" i="39"/>
  <c r="J74" i="39"/>
  <c r="J273" i="39"/>
  <c r="J46" i="39"/>
  <c r="J189" i="39"/>
  <c r="J18" i="39"/>
  <c r="J301" i="39"/>
  <c r="J245" i="39"/>
  <c r="J130" i="39"/>
  <c r="J102" i="39"/>
  <c r="J102" i="29"/>
  <c r="J74" i="29"/>
  <c r="J245" i="29"/>
  <c r="J46" i="29"/>
  <c r="J301" i="29"/>
  <c r="J217" i="29"/>
  <c r="J189" i="29"/>
  <c r="J18" i="29"/>
  <c r="J130" i="29"/>
  <c r="J273" i="29"/>
  <c r="J304" i="37"/>
  <c r="J46" i="37"/>
  <c r="J74" i="37"/>
  <c r="J18" i="37"/>
  <c r="J276" i="37"/>
  <c r="J248" i="37"/>
  <c r="J220" i="37"/>
  <c r="J192" i="37"/>
  <c r="J133" i="37"/>
  <c r="J105" i="37"/>
  <c r="J102" i="38"/>
  <c r="J217" i="38"/>
  <c r="J130" i="38"/>
  <c r="J273" i="38"/>
  <c r="J245" i="38"/>
  <c r="J301" i="38"/>
  <c r="J189" i="38"/>
  <c r="J74" i="38"/>
  <c r="J18" i="38"/>
  <c r="J46" i="38"/>
  <c r="J18" i="28"/>
  <c r="J217" i="28"/>
  <c r="J46" i="28"/>
  <c r="J273" i="28"/>
  <c r="J130" i="28"/>
  <c r="J245" i="28"/>
  <c r="J102" i="28"/>
  <c r="J301" i="28"/>
  <c r="J74" i="28"/>
  <c r="J189" i="28"/>
  <c r="P246" i="28"/>
  <c r="P302" i="28"/>
  <c r="K197" i="38"/>
  <c r="K199" i="38" s="1"/>
  <c r="K200" i="38" s="1"/>
  <c r="K202" i="38" s="1"/>
  <c r="M125" i="28"/>
  <c r="M296" i="28"/>
  <c r="G197" i="38"/>
  <c r="P302" i="29"/>
  <c r="P103" i="29"/>
  <c r="N32" i="9"/>
  <c r="O59" i="18" s="1"/>
  <c r="M268" i="28"/>
  <c r="M41" i="28"/>
  <c r="M212" i="28"/>
  <c r="M69" i="28"/>
  <c r="M324" i="28"/>
  <c r="O84" i="15"/>
  <c r="M97" i="28"/>
  <c r="G228" i="37"/>
  <c r="M268" i="30"/>
  <c r="G256" i="37"/>
  <c r="G82" i="38"/>
  <c r="G200" i="37"/>
  <c r="G312" i="37"/>
  <c r="G110" i="38"/>
  <c r="G141" i="37"/>
  <c r="M69" i="30"/>
  <c r="L84" i="11"/>
  <c r="K87" i="11"/>
  <c r="L83" i="11" s="1"/>
  <c r="L85" i="11"/>
  <c r="L86" i="11" s="1"/>
  <c r="G26" i="37"/>
  <c r="G253" i="38"/>
  <c r="M41" i="30"/>
  <c r="K281" i="39"/>
  <c r="K283" i="39" s="1"/>
  <c r="K284" i="39" s="1"/>
  <c r="K286" i="39" s="1"/>
  <c r="K309" i="39"/>
  <c r="K311" i="39" s="1"/>
  <c r="K312" i="39" s="1"/>
  <c r="K314" i="39" s="1"/>
  <c r="M153" i="30"/>
  <c r="P131" i="29"/>
  <c r="O32" i="9"/>
  <c r="S16" i="9" s="1"/>
  <c r="P246" i="30"/>
  <c r="P75" i="37"/>
  <c r="P302" i="30"/>
  <c r="J200" i="38"/>
  <c r="J202" i="38" s="1"/>
  <c r="J231" i="37"/>
  <c r="J233" i="37" s="1"/>
  <c r="J116" i="37"/>
  <c r="J118" i="37" s="1"/>
  <c r="J113" i="38"/>
  <c r="J115" i="38" s="1"/>
  <c r="J144" i="37"/>
  <c r="J146" i="37" s="1"/>
  <c r="G103" i="18"/>
  <c r="P8" i="19"/>
  <c r="P11" i="19" s="1"/>
  <c r="Q11" i="19" s="1"/>
  <c r="Q13" i="19" s="1"/>
  <c r="G98" i="9"/>
  <c r="H9" i="10" s="1"/>
  <c r="J284" i="38"/>
  <c r="J286" i="38" s="1"/>
  <c r="J315" i="37"/>
  <c r="J317" i="37" s="1"/>
  <c r="J29" i="37"/>
  <c r="J31" i="37" s="1"/>
  <c r="J57" i="38"/>
  <c r="J59" i="38" s="1"/>
  <c r="J29" i="38"/>
  <c r="J31" i="38" s="1"/>
  <c r="K138" i="39"/>
  <c r="K140" i="39" s="1"/>
  <c r="I172" i="39"/>
  <c r="I109" i="39"/>
  <c r="I81" i="39"/>
  <c r="P81" i="39" s="1"/>
  <c r="I137" i="39"/>
  <c r="I53" i="39"/>
  <c r="I308" i="39"/>
  <c r="P308" i="39" s="1"/>
  <c r="I280" i="39"/>
  <c r="P280" i="39" s="1"/>
  <c r="I252" i="39"/>
  <c r="P252" i="39" s="1"/>
  <c r="I25" i="39"/>
  <c r="I224" i="39"/>
  <c r="I196" i="39"/>
  <c r="P196" i="39" s="1"/>
  <c r="E52" i="38"/>
  <c r="I277" i="29"/>
  <c r="P274" i="29"/>
  <c r="I106" i="28"/>
  <c r="P103" i="28"/>
  <c r="M60" i="39"/>
  <c r="M88" i="39"/>
  <c r="M203" i="39"/>
  <c r="M287" i="39"/>
  <c r="M116" i="39"/>
  <c r="M231" i="39"/>
  <c r="M144" i="39"/>
  <c r="M32" i="39"/>
  <c r="M315" i="39"/>
  <c r="M259" i="39"/>
  <c r="H217" i="28"/>
  <c r="H74" i="28"/>
  <c r="H189" i="28"/>
  <c r="H273" i="28"/>
  <c r="H46" i="28"/>
  <c r="H130" i="28"/>
  <c r="H18" i="28"/>
  <c r="H245" i="28"/>
  <c r="H102" i="28"/>
  <c r="H301" i="28"/>
  <c r="K88" i="37"/>
  <c r="K290" i="37"/>
  <c r="K234" i="37"/>
  <c r="K60" i="37"/>
  <c r="K206" i="37"/>
  <c r="K318" i="37"/>
  <c r="K147" i="37"/>
  <c r="K262" i="37"/>
  <c r="K119" i="37"/>
  <c r="K32" i="37"/>
  <c r="I224" i="29"/>
  <c r="P224" i="29" s="1"/>
  <c r="I196" i="29"/>
  <c r="P196" i="29" s="1"/>
  <c r="I308" i="29"/>
  <c r="I81" i="29"/>
  <c r="P81" i="29" s="1"/>
  <c r="I53" i="29"/>
  <c r="P53" i="29" s="1"/>
  <c r="I280" i="29"/>
  <c r="I252" i="29"/>
  <c r="P252" i="29" s="1"/>
  <c r="I109" i="29"/>
  <c r="P109" i="29" s="1"/>
  <c r="I137" i="29"/>
  <c r="P137" i="29" s="1"/>
  <c r="I25" i="29"/>
  <c r="P25" i="29" s="1"/>
  <c r="H222" i="39"/>
  <c r="H223" i="39" s="1"/>
  <c r="H225" i="39" s="1"/>
  <c r="I35" i="48"/>
  <c r="I98" i="47" s="1"/>
  <c r="J200" i="39"/>
  <c r="J202" i="39" s="1"/>
  <c r="L144" i="29"/>
  <c r="L231" i="29"/>
  <c r="L315" i="29"/>
  <c r="L60" i="29"/>
  <c r="L259" i="29"/>
  <c r="L32" i="29"/>
  <c r="L88" i="29"/>
  <c r="L287" i="29"/>
  <c r="L203" i="29"/>
  <c r="L116" i="29"/>
  <c r="E119" i="37"/>
  <c r="E88" i="37"/>
  <c r="E60" i="37"/>
  <c r="E32" i="37"/>
  <c r="E234" i="37"/>
  <c r="E318" i="37"/>
  <c r="E206" i="37"/>
  <c r="E262" i="37"/>
  <c r="E290" i="37"/>
  <c r="E147" i="37"/>
  <c r="M324" i="30"/>
  <c r="E80" i="37"/>
  <c r="E307" i="39"/>
  <c r="E80" i="38"/>
  <c r="G259" i="30"/>
  <c r="G231" i="30"/>
  <c r="G203" i="30"/>
  <c r="G144" i="30"/>
  <c r="G116" i="30"/>
  <c r="G88" i="30"/>
  <c r="G315" i="30"/>
  <c r="G60" i="30"/>
  <c r="G287" i="30"/>
  <c r="G32" i="30"/>
  <c r="J103" i="11"/>
  <c r="K99" i="11" s="1"/>
  <c r="K100" i="11"/>
  <c r="K101" i="11"/>
  <c r="K102" i="11" s="1"/>
  <c r="I50" i="29"/>
  <c r="P47" i="29"/>
  <c r="F88" i="29"/>
  <c r="F287" i="29"/>
  <c r="F116" i="29"/>
  <c r="F203" i="29"/>
  <c r="F315" i="29"/>
  <c r="F144" i="29"/>
  <c r="F231" i="29"/>
  <c r="F60" i="29"/>
  <c r="F259" i="29"/>
  <c r="F32" i="29"/>
  <c r="J32" i="37"/>
  <c r="J147" i="37"/>
  <c r="J119" i="37"/>
  <c r="J88" i="37"/>
  <c r="J60" i="37"/>
  <c r="J318" i="37"/>
  <c r="J290" i="37"/>
  <c r="J262" i="37"/>
  <c r="J234" i="37"/>
  <c r="J206" i="37"/>
  <c r="I134" i="28"/>
  <c r="P131" i="28"/>
  <c r="I109" i="37"/>
  <c r="P106" i="37"/>
  <c r="J224" i="46"/>
  <c r="R209" i="46"/>
  <c r="Q157" i="46"/>
  <c r="K69" i="29"/>
  <c r="K41" i="29"/>
  <c r="K324" i="29"/>
  <c r="K296" i="29"/>
  <c r="K153" i="29"/>
  <c r="K268" i="29"/>
  <c r="K125" i="29"/>
  <c r="K240" i="29"/>
  <c r="K212" i="29"/>
  <c r="K97" i="29"/>
  <c r="I196" i="37"/>
  <c r="P193" i="37"/>
  <c r="I105" i="18"/>
  <c r="I109" i="18"/>
  <c r="H23" i="38"/>
  <c r="H24" i="38" s="1"/>
  <c r="H26" i="38" s="1"/>
  <c r="I44" i="11"/>
  <c r="H45" i="11"/>
  <c r="I24" i="24"/>
  <c r="I28" i="24" s="1"/>
  <c r="Q11" i="22" s="1"/>
  <c r="H75" i="11"/>
  <c r="M63" i="25"/>
  <c r="M74" i="25" s="1"/>
  <c r="E125" i="25" s="1"/>
  <c r="E136" i="25" s="1"/>
  <c r="E176" i="25" s="1"/>
  <c r="H32" i="38"/>
  <c r="H259" i="38"/>
  <c r="H60" i="38"/>
  <c r="H144" i="38"/>
  <c r="H88" i="38"/>
  <c r="H116" i="38"/>
  <c r="H315" i="38"/>
  <c r="H287" i="38"/>
  <c r="H231" i="38"/>
  <c r="H203" i="38"/>
  <c r="M234" i="38"/>
  <c r="M206" i="38"/>
  <c r="M147" i="38"/>
  <c r="M119" i="38"/>
  <c r="M91" i="38"/>
  <c r="M318" i="38"/>
  <c r="M63" i="38"/>
  <c r="M290" i="38"/>
  <c r="M35" i="38"/>
  <c r="M262" i="38"/>
  <c r="M181" i="38"/>
  <c r="T83" i="46"/>
  <c r="K98" i="46"/>
  <c r="I277" i="38"/>
  <c r="P274" i="38"/>
  <c r="H278" i="39"/>
  <c r="H279" i="39" s="1"/>
  <c r="H281" i="39" s="1"/>
  <c r="K26" i="37"/>
  <c r="K28" i="37" s="1"/>
  <c r="K110" i="39"/>
  <c r="K112" i="39" s="1"/>
  <c r="J144" i="28"/>
  <c r="J32" i="28"/>
  <c r="J259" i="28"/>
  <c r="J60" i="28"/>
  <c r="J116" i="28"/>
  <c r="J88" i="28"/>
  <c r="J287" i="28"/>
  <c r="J231" i="28"/>
  <c r="J315" i="28"/>
  <c r="J203" i="28"/>
  <c r="I22" i="37"/>
  <c r="P19" i="37"/>
  <c r="J213" i="42"/>
  <c r="J214" i="42"/>
  <c r="J107" i="43" s="1"/>
  <c r="J147" i="43" s="1"/>
  <c r="K200" i="42"/>
  <c r="E259" i="28"/>
  <c r="E32" i="28"/>
  <c r="E203" i="28"/>
  <c r="E287" i="28"/>
  <c r="E116" i="28"/>
  <c r="E231" i="28"/>
  <c r="E144" i="28"/>
  <c r="E88" i="28"/>
  <c r="E60" i="28"/>
  <c r="E315" i="28"/>
  <c r="K315" i="35"/>
  <c r="K88" i="35"/>
  <c r="K259" i="35"/>
  <c r="K203" i="35"/>
  <c r="K116" i="35"/>
  <c r="K60" i="35"/>
  <c r="K287" i="35"/>
  <c r="K231" i="35"/>
  <c r="K32" i="35"/>
  <c r="K144" i="35"/>
  <c r="J228" i="39"/>
  <c r="J230" i="39" s="1"/>
  <c r="H51" i="38"/>
  <c r="H52" i="38" s="1"/>
  <c r="H54" i="38" s="1"/>
  <c r="I56" i="48"/>
  <c r="I99" i="47" s="1"/>
  <c r="I57" i="11"/>
  <c r="I13" i="24"/>
  <c r="H29" i="25"/>
  <c r="M290" i="29"/>
  <c r="M234" i="29"/>
  <c r="M147" i="29"/>
  <c r="M262" i="29"/>
  <c r="M91" i="29"/>
  <c r="M206" i="29"/>
  <c r="M35" i="29"/>
  <c r="M119" i="29"/>
  <c r="M63" i="29"/>
  <c r="M318" i="29"/>
  <c r="M181" i="29"/>
  <c r="H253" i="37"/>
  <c r="H254" i="37" s="1"/>
  <c r="H256" i="37" s="1"/>
  <c r="E287" i="35"/>
  <c r="E259" i="35"/>
  <c r="E231" i="35"/>
  <c r="E203" i="35"/>
  <c r="E144" i="35"/>
  <c r="E116" i="35"/>
  <c r="E32" i="35"/>
  <c r="E88" i="35"/>
  <c r="E315" i="35"/>
  <c r="E60" i="35"/>
  <c r="G119" i="38"/>
  <c r="G91" i="38"/>
  <c r="G318" i="38"/>
  <c r="G63" i="38"/>
  <c r="G290" i="38"/>
  <c r="G35" i="38"/>
  <c r="G262" i="38"/>
  <c r="G234" i="38"/>
  <c r="G147" i="38"/>
  <c r="G206" i="38"/>
  <c r="P218" i="30"/>
  <c r="E139" i="37"/>
  <c r="E24" i="37"/>
  <c r="E254" i="37"/>
  <c r="E136" i="38"/>
  <c r="H56" i="9"/>
  <c r="I309" i="37" s="1"/>
  <c r="H59" i="9"/>
  <c r="P302" i="38"/>
  <c r="P246" i="38"/>
  <c r="G54" i="38"/>
  <c r="F262" i="37"/>
  <c r="F206" i="37"/>
  <c r="F147" i="37"/>
  <c r="F318" i="37"/>
  <c r="F234" i="37"/>
  <c r="F119" i="37"/>
  <c r="F60" i="37"/>
  <c r="F88" i="37"/>
  <c r="F290" i="37"/>
  <c r="F32" i="37"/>
  <c r="J315" i="35"/>
  <c r="J259" i="35"/>
  <c r="J203" i="35"/>
  <c r="J60" i="35"/>
  <c r="J32" i="35"/>
  <c r="J88" i="35"/>
  <c r="J287" i="35"/>
  <c r="J231" i="35"/>
  <c r="J116" i="35"/>
  <c r="J144" i="35"/>
  <c r="G281" i="38"/>
  <c r="K259" i="28"/>
  <c r="K144" i="28"/>
  <c r="K315" i="28"/>
  <c r="K203" i="28"/>
  <c r="K32" i="28"/>
  <c r="K60" i="28"/>
  <c r="K116" i="28"/>
  <c r="K287" i="28"/>
  <c r="K231" i="28"/>
  <c r="K88" i="28"/>
  <c r="G284" i="37"/>
  <c r="Q52" i="18"/>
  <c r="R49" i="18" s="1"/>
  <c r="J222" i="29"/>
  <c r="J223" i="29" s="1"/>
  <c r="J225" i="29" s="1"/>
  <c r="J227" i="29" s="1"/>
  <c r="J250" i="29"/>
  <c r="J251" i="29" s="1"/>
  <c r="J253" i="29" s="1"/>
  <c r="J255" i="29" s="1"/>
  <c r="J306" i="29"/>
  <c r="J307" i="29" s="1"/>
  <c r="J309" i="29" s="1"/>
  <c r="J311" i="29" s="1"/>
  <c r="J51" i="29"/>
  <c r="J52" i="29" s="1"/>
  <c r="J54" i="29" s="1"/>
  <c r="J56" i="29" s="1"/>
  <c r="J135" i="29"/>
  <c r="J136" i="29" s="1"/>
  <c r="J138" i="29" s="1"/>
  <c r="J140" i="29" s="1"/>
  <c r="J164" i="29"/>
  <c r="J166" i="29" s="1"/>
  <c r="J168" i="29" s="1"/>
  <c r="J79" i="29"/>
  <c r="J80" i="29" s="1"/>
  <c r="J82" i="29" s="1"/>
  <c r="J84" i="29" s="1"/>
  <c r="J107" i="29"/>
  <c r="J108" i="29" s="1"/>
  <c r="J110" i="29" s="1"/>
  <c r="J112" i="29" s="1"/>
  <c r="J194" i="29"/>
  <c r="J195" i="29" s="1"/>
  <c r="J197" i="29" s="1"/>
  <c r="J199" i="29" s="1"/>
  <c r="J23" i="29"/>
  <c r="J24" i="29" s="1"/>
  <c r="J26" i="29" s="1"/>
  <c r="J28" i="29" s="1"/>
  <c r="J278" i="29"/>
  <c r="J279" i="29" s="1"/>
  <c r="J281" i="29" s="1"/>
  <c r="J283" i="29" s="1"/>
  <c r="M60" i="25"/>
  <c r="M71" i="25" s="1"/>
  <c r="E122" i="25" s="1"/>
  <c r="E133" i="25" s="1"/>
  <c r="E173" i="25" s="1"/>
  <c r="I98" i="15"/>
  <c r="H88" i="37"/>
  <c r="H262" i="37"/>
  <c r="H147" i="37"/>
  <c r="H119" i="37"/>
  <c r="H60" i="37"/>
  <c r="H234" i="37"/>
  <c r="H32" i="37"/>
  <c r="H206" i="37"/>
  <c r="H318" i="37"/>
  <c r="H290" i="37"/>
  <c r="E198" i="37"/>
  <c r="G318" i="37"/>
  <c r="G290" i="37"/>
  <c r="G60" i="37"/>
  <c r="G119" i="37"/>
  <c r="G88" i="37"/>
  <c r="G147" i="37"/>
  <c r="G206" i="37"/>
  <c r="G32" i="37"/>
  <c r="G234" i="37"/>
  <c r="G262" i="37"/>
  <c r="Q150" i="46"/>
  <c r="T41" i="46"/>
  <c r="K56" i="46"/>
  <c r="P131" i="30"/>
  <c r="M203" i="35"/>
  <c r="M116" i="35"/>
  <c r="M60" i="35"/>
  <c r="M287" i="35"/>
  <c r="M231" i="35"/>
  <c r="M32" i="35"/>
  <c r="M144" i="35"/>
  <c r="M315" i="35"/>
  <c r="M259" i="35"/>
  <c r="M88" i="35"/>
  <c r="P162" i="38"/>
  <c r="F250" i="35"/>
  <c r="F251" i="35" s="1"/>
  <c r="F253" i="35" s="1"/>
  <c r="F79" i="35"/>
  <c r="F80" i="35" s="1"/>
  <c r="F82" i="35" s="1"/>
  <c r="F51" i="35"/>
  <c r="F52" i="35" s="1"/>
  <c r="F54" i="35" s="1"/>
  <c r="F306" i="35"/>
  <c r="F307" i="35" s="1"/>
  <c r="F309" i="35" s="1"/>
  <c r="F23" i="35"/>
  <c r="F24" i="35" s="1"/>
  <c r="F26" i="35" s="1"/>
  <c r="F107" i="35"/>
  <c r="F108" i="35" s="1"/>
  <c r="F110" i="35" s="1"/>
  <c r="F222" i="35"/>
  <c r="F223" i="35" s="1"/>
  <c r="F225" i="35" s="1"/>
  <c r="F278" i="35"/>
  <c r="F279" i="35" s="1"/>
  <c r="F281" i="35" s="1"/>
  <c r="F135" i="35"/>
  <c r="F136" i="35" s="1"/>
  <c r="F138" i="35" s="1"/>
  <c r="F194" i="35"/>
  <c r="F195" i="35" s="1"/>
  <c r="F197" i="35" s="1"/>
  <c r="F164" i="35"/>
  <c r="F166" i="35" s="1"/>
  <c r="M153" i="28"/>
  <c r="M69" i="25"/>
  <c r="M80" i="25" s="1"/>
  <c r="E131" i="25" s="1"/>
  <c r="E142" i="25" s="1"/>
  <c r="E182" i="25" s="1"/>
  <c r="H130" i="29"/>
  <c r="H18" i="29"/>
  <c r="H74" i="29"/>
  <c r="H189" i="29"/>
  <c r="H245" i="29"/>
  <c r="H301" i="29"/>
  <c r="H46" i="29"/>
  <c r="H273" i="29"/>
  <c r="H217" i="29"/>
  <c r="H102" i="29"/>
  <c r="I15" i="7"/>
  <c r="I17" i="7" s="1"/>
  <c r="I21" i="7" s="1"/>
  <c r="I22" i="7" s="1"/>
  <c r="I33" i="7" s="1"/>
  <c r="H41" i="11"/>
  <c r="H73" i="11" s="1"/>
  <c r="H11" i="24"/>
  <c r="G27" i="25"/>
  <c r="G76" i="11"/>
  <c r="Q198" i="46"/>
  <c r="S202" i="46"/>
  <c r="K205" i="46" s="1"/>
  <c r="K33" i="45" s="1"/>
  <c r="R159" i="46"/>
  <c r="K162" i="46" s="1"/>
  <c r="K104" i="45" s="1"/>
  <c r="K144" i="45" s="1"/>
  <c r="S76" i="46"/>
  <c r="K79" i="46" s="1"/>
  <c r="K27" i="45" s="1"/>
  <c r="R51" i="46"/>
  <c r="S51" i="46" s="1"/>
  <c r="R71" i="46"/>
  <c r="S71" i="46" s="1"/>
  <c r="R87" i="46"/>
  <c r="S87" i="46" s="1"/>
  <c r="R105" i="46"/>
  <c r="S105" i="46" s="1"/>
  <c r="R148" i="46"/>
  <c r="S148" i="46" s="1"/>
  <c r="R158" i="46"/>
  <c r="S158" i="46" s="1"/>
  <c r="R176" i="46"/>
  <c r="S176" i="46" s="1"/>
  <c r="R198" i="46"/>
  <c r="S198" i="46" s="1"/>
  <c r="R237" i="46"/>
  <c r="S237" i="46" s="1"/>
  <c r="R130" i="46"/>
  <c r="S130" i="46" s="1"/>
  <c r="R44" i="46"/>
  <c r="S44" i="46" s="1"/>
  <c r="R88" i="46"/>
  <c r="R108" i="46"/>
  <c r="R147" i="46"/>
  <c r="S147" i="46" s="1"/>
  <c r="R169" i="46"/>
  <c r="S169" i="46" s="1"/>
  <c r="R179" i="46"/>
  <c r="S179" i="46" s="1"/>
  <c r="R197" i="46"/>
  <c r="R219" i="46"/>
  <c r="S219" i="46" s="1"/>
  <c r="R238" i="46"/>
  <c r="S238" i="46" s="1"/>
  <c r="R25" i="46"/>
  <c r="S25" i="46" s="1"/>
  <c r="R131" i="46"/>
  <c r="S131" i="46" s="1"/>
  <c r="S223" i="46"/>
  <c r="K226" i="46" s="1"/>
  <c r="K34" i="45" s="1"/>
  <c r="R180" i="46"/>
  <c r="K183" i="46" s="1"/>
  <c r="K105" i="45" s="1"/>
  <c r="K145" i="45" s="1"/>
  <c r="R96" i="46"/>
  <c r="R54" i="46"/>
  <c r="K57" i="46" s="1"/>
  <c r="K99" i="45" s="1"/>
  <c r="K139" i="45" s="1"/>
  <c r="R53" i="46"/>
  <c r="S53" i="46" s="1"/>
  <c r="R107" i="46"/>
  <c r="S107" i="46" s="1"/>
  <c r="R178" i="46"/>
  <c r="S178" i="46" s="1"/>
  <c r="R218" i="46"/>
  <c r="S218" i="46" s="1"/>
  <c r="R239" i="46"/>
  <c r="S239" i="46" s="1"/>
  <c r="R28" i="46"/>
  <c r="S28" i="46" s="1"/>
  <c r="R132" i="46"/>
  <c r="S132" i="46" s="1"/>
  <c r="R149" i="46"/>
  <c r="S149" i="46" s="1"/>
  <c r="R199" i="46"/>
  <c r="R27" i="46"/>
  <c r="S27" i="46" s="1"/>
  <c r="R64" i="46"/>
  <c r="T20" i="46"/>
  <c r="S118" i="46"/>
  <c r="K121" i="46" s="1"/>
  <c r="K29" i="45" s="1"/>
  <c r="S55" i="46"/>
  <c r="K58" i="46" s="1"/>
  <c r="K26" i="45" s="1"/>
  <c r="R43" i="46"/>
  <c r="S43" i="46" s="1"/>
  <c r="R63" i="46"/>
  <c r="S63" i="46" s="1"/>
  <c r="R73" i="46"/>
  <c r="R89" i="46"/>
  <c r="S89" i="46" s="1"/>
  <c r="R109" i="46"/>
  <c r="S109" i="46" s="1"/>
  <c r="R150" i="46"/>
  <c r="S150" i="46" s="1"/>
  <c r="R168" i="46"/>
  <c r="S168" i="46" s="1"/>
  <c r="R190" i="46"/>
  <c r="R200" i="46"/>
  <c r="S200" i="46" s="1"/>
  <c r="R220" i="46"/>
  <c r="S220" i="46" s="1"/>
  <c r="R134" i="46"/>
  <c r="S134" i="46" s="1"/>
  <c r="R52" i="46"/>
  <c r="S52" i="46" s="1"/>
  <c r="R90" i="46"/>
  <c r="S90" i="46" s="1"/>
  <c r="R110" i="46"/>
  <c r="S110" i="46" s="1"/>
  <c r="R151" i="46"/>
  <c r="R171" i="46"/>
  <c r="R189" i="46"/>
  <c r="S189" i="46" s="1"/>
  <c r="R211" i="46"/>
  <c r="R221" i="46"/>
  <c r="S221" i="46" s="1"/>
  <c r="R240" i="46"/>
  <c r="R29" i="46"/>
  <c r="S29" i="46" s="1"/>
  <c r="R133" i="46"/>
  <c r="S133" i="46" s="1"/>
  <c r="R138" i="46"/>
  <c r="R33" i="46"/>
  <c r="K36" i="46" s="1"/>
  <c r="K98" i="45" s="1"/>
  <c r="K138" i="45" s="1"/>
  <c r="R45" i="46"/>
  <c r="S45" i="46" s="1"/>
  <c r="R91" i="46"/>
  <c r="S91" i="46" s="1"/>
  <c r="R170" i="46"/>
  <c r="S170" i="46" s="1"/>
  <c r="R231" i="46"/>
  <c r="S231" i="46" s="1"/>
  <c r="R241" i="46"/>
  <c r="S241" i="46" s="1"/>
  <c r="R30" i="46"/>
  <c r="R66" i="46"/>
  <c r="S66" i="46" s="1"/>
  <c r="R112" i="46"/>
  <c r="S112" i="46" s="1"/>
  <c r="R191" i="46"/>
  <c r="S191" i="46" s="1"/>
  <c r="R242" i="46"/>
  <c r="S242" i="46" s="1"/>
  <c r="R72" i="46"/>
  <c r="S72" i="46" s="1"/>
  <c r="R117" i="46"/>
  <c r="K120" i="46" s="1"/>
  <c r="K102" i="45" s="1"/>
  <c r="K142" i="45" s="1"/>
  <c r="S244" i="46"/>
  <c r="R222" i="46"/>
  <c r="K225" i="46" s="1"/>
  <c r="K107" i="45" s="1"/>
  <c r="K147" i="45" s="1"/>
  <c r="R47" i="46"/>
  <c r="S47" i="46" s="1"/>
  <c r="R65" i="46"/>
  <c r="R48" i="46"/>
  <c r="S48" i="46" s="1"/>
  <c r="R93" i="46"/>
  <c r="S93" i="46" s="1"/>
  <c r="R111" i="46"/>
  <c r="S111" i="46" s="1"/>
  <c r="R152" i="46"/>
  <c r="S152" i="46" s="1"/>
  <c r="R172" i="46"/>
  <c r="S172" i="46" s="1"/>
  <c r="R192" i="46"/>
  <c r="R210" i="46"/>
  <c r="S210" i="46" s="1"/>
  <c r="R32" i="46"/>
  <c r="S32" i="46" s="1"/>
  <c r="R136" i="46"/>
  <c r="S136" i="46" s="1"/>
  <c r="R92" i="46"/>
  <c r="S92" i="46" s="1"/>
  <c r="R114" i="46"/>
  <c r="S114" i="46" s="1"/>
  <c r="R153" i="46"/>
  <c r="S153" i="46" s="1"/>
  <c r="R173" i="46"/>
  <c r="S173" i="46" s="1"/>
  <c r="R193" i="46"/>
  <c r="R213" i="46"/>
  <c r="S213" i="46" s="1"/>
  <c r="R232" i="46"/>
  <c r="S232" i="46" s="1"/>
  <c r="R21" i="46"/>
  <c r="R31" i="46"/>
  <c r="S31" i="46" s="1"/>
  <c r="R135" i="46"/>
  <c r="S181" i="46"/>
  <c r="K184" i="46" s="1"/>
  <c r="K32" i="45" s="1"/>
  <c r="R201" i="46"/>
  <c r="K204" i="46" s="1"/>
  <c r="K106" i="45" s="1"/>
  <c r="K146" i="45" s="1"/>
  <c r="R243" i="46"/>
  <c r="K246" i="46" s="1"/>
  <c r="K108" i="45" s="1"/>
  <c r="K148" i="45" s="1"/>
  <c r="R75" i="46"/>
  <c r="K78" i="46" s="1"/>
  <c r="K100" i="45" s="1"/>
  <c r="K140" i="45" s="1"/>
  <c r="R154" i="46"/>
  <c r="R212" i="46"/>
  <c r="R233" i="46"/>
  <c r="S233" i="46" s="1"/>
  <c r="R22" i="46"/>
  <c r="S22" i="46" s="1"/>
  <c r="R126" i="46"/>
  <c r="S126" i="46" s="1"/>
  <c r="R74" i="46"/>
  <c r="S74" i="46" s="1"/>
  <c r="R94" i="46"/>
  <c r="R175" i="46"/>
  <c r="S175" i="46" s="1"/>
  <c r="R234" i="46"/>
  <c r="R137" i="46"/>
  <c r="S137" i="46" s="1"/>
  <c r="K35" i="46"/>
  <c r="S97" i="46"/>
  <c r="K100" i="46" s="1"/>
  <c r="K28" i="45" s="1"/>
  <c r="S160" i="46"/>
  <c r="R49" i="46"/>
  <c r="R67" i="46"/>
  <c r="S67" i="46" s="1"/>
  <c r="R70" i="46"/>
  <c r="S70" i="46" s="1"/>
  <c r="R95" i="46"/>
  <c r="S95" i="46" s="1"/>
  <c r="R113" i="46"/>
  <c r="R156" i="46"/>
  <c r="R174" i="46"/>
  <c r="S174" i="46" s="1"/>
  <c r="R194" i="46"/>
  <c r="S194" i="46" s="1"/>
  <c r="R214" i="46"/>
  <c r="S214" i="46" s="1"/>
  <c r="R24" i="46"/>
  <c r="S24" i="46" s="1"/>
  <c r="R128" i="46"/>
  <c r="S128" i="46" s="1"/>
  <c r="R46" i="46"/>
  <c r="R84" i="46"/>
  <c r="R106" i="46"/>
  <c r="S106" i="46" s="1"/>
  <c r="R116" i="46"/>
  <c r="R155" i="46"/>
  <c r="S155" i="46" s="1"/>
  <c r="R177" i="46"/>
  <c r="S177" i="46" s="1"/>
  <c r="R195" i="46"/>
  <c r="S195" i="46" s="1"/>
  <c r="R215" i="46"/>
  <c r="S215" i="46" s="1"/>
  <c r="R236" i="46"/>
  <c r="S236" i="46" s="1"/>
  <c r="R23" i="46"/>
  <c r="S23" i="46" s="1"/>
  <c r="R127" i="46"/>
  <c r="S127" i="46" s="1"/>
  <c r="R42" i="46"/>
  <c r="S42" i="46" s="1"/>
  <c r="S139" i="46"/>
  <c r="K142" i="46" s="1"/>
  <c r="K30" i="45" s="1"/>
  <c r="S34" i="46"/>
  <c r="K37" i="46" s="1"/>
  <c r="K25" i="45" s="1"/>
  <c r="R69" i="46"/>
  <c r="S69" i="46" s="1"/>
  <c r="R85" i="46"/>
  <c r="S85" i="46" s="1"/>
  <c r="R115" i="46"/>
  <c r="R196" i="46"/>
  <c r="S196" i="46" s="1"/>
  <c r="R216" i="46"/>
  <c r="S216" i="46" s="1"/>
  <c r="R235" i="46"/>
  <c r="S235" i="46" s="1"/>
  <c r="R26" i="46"/>
  <c r="R68" i="46"/>
  <c r="S68" i="46" s="1"/>
  <c r="R86" i="46"/>
  <c r="S86" i="46" s="1"/>
  <c r="R157" i="46"/>
  <c r="S157" i="46" s="1"/>
  <c r="R217" i="46"/>
  <c r="R129" i="46"/>
  <c r="S129" i="46" s="1"/>
  <c r="R50" i="46"/>
  <c r="S50" i="46" s="1"/>
  <c r="N315" i="35"/>
  <c r="N259" i="35"/>
  <c r="N203" i="35"/>
  <c r="N32" i="35"/>
  <c r="N116" i="35"/>
  <c r="N287" i="35"/>
  <c r="N60" i="35"/>
  <c r="N231" i="35"/>
  <c r="N144" i="35"/>
  <c r="N88" i="35"/>
  <c r="M66" i="25"/>
  <c r="M77" i="25" s="1"/>
  <c r="E128" i="25" s="1"/>
  <c r="E139" i="25" s="1"/>
  <c r="E179" i="25" s="1"/>
  <c r="M65" i="25"/>
  <c r="M76" i="25" s="1"/>
  <c r="E127" i="25" s="1"/>
  <c r="E138" i="25" s="1"/>
  <c r="E178" i="25" s="1"/>
  <c r="M144" i="29"/>
  <c r="M88" i="29"/>
  <c r="M32" i="29"/>
  <c r="M259" i="29"/>
  <c r="M287" i="29"/>
  <c r="M203" i="29"/>
  <c r="M315" i="29"/>
  <c r="M116" i="29"/>
  <c r="M231" i="29"/>
  <c r="M60" i="29"/>
  <c r="H32" i="29"/>
  <c r="H88" i="29"/>
  <c r="H287" i="29"/>
  <c r="H116" i="29"/>
  <c r="H203" i="29"/>
  <c r="H144" i="29"/>
  <c r="H231" i="29"/>
  <c r="H259" i="29"/>
  <c r="H315" i="29"/>
  <c r="H60" i="29"/>
  <c r="H19" i="15"/>
  <c r="O19" i="15" s="1"/>
  <c r="H19" i="45"/>
  <c r="O19" i="45" s="1"/>
  <c r="I158" i="35"/>
  <c r="P158" i="35" s="1"/>
  <c r="H19" i="47"/>
  <c r="I18" i="34"/>
  <c r="P18" i="34" s="1"/>
  <c r="H18" i="43"/>
  <c r="O18" i="43" s="1"/>
  <c r="I158" i="29"/>
  <c r="I158" i="28"/>
  <c r="P158" i="28" s="1"/>
  <c r="I155" i="25"/>
  <c r="I158" i="38"/>
  <c r="P158" i="38" s="1"/>
  <c r="I158" i="30"/>
  <c r="P158" i="30" s="1"/>
  <c r="I158" i="39"/>
  <c r="I161" i="37"/>
  <c r="H79" i="38"/>
  <c r="H80" i="38" s="1"/>
  <c r="H82" i="38" s="1"/>
  <c r="J119" i="46"/>
  <c r="R104" i="46"/>
  <c r="K54" i="38"/>
  <c r="K56" i="38" s="1"/>
  <c r="P165" i="37"/>
  <c r="P106" i="30"/>
  <c r="P165" i="39"/>
  <c r="F222" i="30"/>
  <c r="F223" i="30" s="1"/>
  <c r="F225" i="30" s="1"/>
  <c r="F250" i="30"/>
  <c r="F251" i="30" s="1"/>
  <c r="F253" i="30" s="1"/>
  <c r="F51" i="30"/>
  <c r="F52" i="30" s="1"/>
  <c r="F54" i="30" s="1"/>
  <c r="F306" i="30"/>
  <c r="F307" i="30" s="1"/>
  <c r="F309" i="30" s="1"/>
  <c r="F135" i="30"/>
  <c r="F136" i="30" s="1"/>
  <c r="F138" i="30" s="1"/>
  <c r="F79" i="30"/>
  <c r="F80" i="30" s="1"/>
  <c r="F82" i="30" s="1"/>
  <c r="F107" i="30"/>
  <c r="F108" i="30" s="1"/>
  <c r="F110" i="30" s="1"/>
  <c r="F23" i="30"/>
  <c r="F24" i="30" s="1"/>
  <c r="F26" i="30" s="1"/>
  <c r="F194" i="30"/>
  <c r="F195" i="30" s="1"/>
  <c r="F197" i="30" s="1"/>
  <c r="F278" i="30"/>
  <c r="F279" i="30" s="1"/>
  <c r="F281" i="30" s="1"/>
  <c r="F164" i="30"/>
  <c r="F166" i="30" s="1"/>
  <c r="I255" i="37"/>
  <c r="I227" i="37"/>
  <c r="I199" i="37"/>
  <c r="I25" i="37"/>
  <c r="P25" i="37" s="1"/>
  <c r="I112" i="37"/>
  <c r="P112" i="37" s="1"/>
  <c r="I81" i="37"/>
  <c r="I53" i="37"/>
  <c r="I311" i="37"/>
  <c r="I283" i="37"/>
  <c r="I140" i="37"/>
  <c r="P140" i="37" s="1"/>
  <c r="I280" i="38"/>
  <c r="P280" i="38" s="1"/>
  <c r="I109" i="38"/>
  <c r="I252" i="38"/>
  <c r="I81" i="38"/>
  <c r="I224" i="38"/>
  <c r="P224" i="38" s="1"/>
  <c r="I196" i="38"/>
  <c r="P196" i="38" s="1"/>
  <c r="I25" i="38"/>
  <c r="P25" i="38" s="1"/>
  <c r="I53" i="38"/>
  <c r="P53" i="38" s="1"/>
  <c r="I137" i="38"/>
  <c r="P137" i="38" s="1"/>
  <c r="I308" i="38"/>
  <c r="P308" i="38" s="1"/>
  <c r="L97" i="29"/>
  <c r="L212" i="29"/>
  <c r="L324" i="29"/>
  <c r="L69" i="29"/>
  <c r="L268" i="29"/>
  <c r="L125" i="29"/>
  <c r="L296" i="29"/>
  <c r="L153" i="29"/>
  <c r="L240" i="29"/>
  <c r="L41" i="29"/>
  <c r="H206" i="35"/>
  <c r="H119" i="35"/>
  <c r="H63" i="35"/>
  <c r="H35" i="35"/>
  <c r="H290" i="35"/>
  <c r="H234" i="35"/>
  <c r="H318" i="35"/>
  <c r="H147" i="35"/>
  <c r="H262" i="35"/>
  <c r="H91" i="35"/>
  <c r="H278" i="38"/>
  <c r="H279" i="38" s="1"/>
  <c r="H281" i="38" s="1"/>
  <c r="J60" i="11"/>
  <c r="K26" i="24" s="1"/>
  <c r="I61" i="11"/>
  <c r="J26" i="24"/>
  <c r="G206" i="35"/>
  <c r="G290" i="35"/>
  <c r="G119" i="35"/>
  <c r="G234" i="35"/>
  <c r="G63" i="35"/>
  <c r="G147" i="35"/>
  <c r="G91" i="35"/>
  <c r="G35" i="35"/>
  <c r="G318" i="35"/>
  <c r="G262" i="35"/>
  <c r="L88" i="37"/>
  <c r="L290" i="37"/>
  <c r="L262" i="37"/>
  <c r="L147" i="37"/>
  <c r="L119" i="37"/>
  <c r="L60" i="37"/>
  <c r="L234" i="37"/>
  <c r="L32" i="37"/>
  <c r="L206" i="37"/>
  <c r="L318" i="37"/>
  <c r="H107" i="38"/>
  <c r="H108" i="38" s="1"/>
  <c r="H110" i="38" s="1"/>
  <c r="E259" i="38"/>
  <c r="E32" i="38"/>
  <c r="E231" i="38"/>
  <c r="E144" i="38"/>
  <c r="E203" i="38"/>
  <c r="E116" i="38"/>
  <c r="E88" i="38"/>
  <c r="E60" i="38"/>
  <c r="E315" i="38"/>
  <c r="E287" i="38"/>
  <c r="N60" i="39"/>
  <c r="N259" i="39"/>
  <c r="N315" i="39"/>
  <c r="N88" i="39"/>
  <c r="N203" i="39"/>
  <c r="N116" i="39"/>
  <c r="N144" i="39"/>
  <c r="N32" i="39"/>
  <c r="N231" i="39"/>
  <c r="N287" i="39"/>
  <c r="E108" i="39"/>
  <c r="E282" i="37"/>
  <c r="E24" i="39"/>
  <c r="G203" i="35"/>
  <c r="G144" i="35"/>
  <c r="G116" i="35"/>
  <c r="G32" i="35"/>
  <c r="G88" i="35"/>
  <c r="G315" i="35"/>
  <c r="G60" i="35"/>
  <c r="G287" i="35"/>
  <c r="G259" i="35"/>
  <c r="G231" i="35"/>
  <c r="P162" i="29"/>
  <c r="H306" i="39"/>
  <c r="H307" i="39" s="1"/>
  <c r="H309" i="39" s="1"/>
  <c r="F60" i="35"/>
  <c r="F32" i="35"/>
  <c r="F203" i="35"/>
  <c r="F88" i="35"/>
  <c r="F144" i="35"/>
  <c r="F315" i="35"/>
  <c r="F231" i="35"/>
  <c r="F116" i="35"/>
  <c r="F287" i="35"/>
  <c r="F259" i="35"/>
  <c r="M51" i="10"/>
  <c r="M52" i="10" s="1"/>
  <c r="O52" i="18"/>
  <c r="D98" i="18"/>
  <c r="N97" i="18"/>
  <c r="D105" i="18"/>
  <c r="T167" i="46"/>
  <c r="K182" i="46"/>
  <c r="Q74" i="46"/>
  <c r="J74" i="41"/>
  <c r="J79" i="41"/>
  <c r="J115" i="41"/>
  <c r="J153" i="41"/>
  <c r="J189" i="41"/>
  <c r="J85" i="41"/>
  <c r="J26" i="41"/>
  <c r="J110" i="41"/>
  <c r="J137" i="41"/>
  <c r="J184" i="41"/>
  <c r="J75" i="41"/>
  <c r="J136" i="41"/>
  <c r="J204" i="41"/>
  <c r="J25" i="41"/>
  <c r="J78" i="41"/>
  <c r="J80" i="41"/>
  <c r="J117" i="41"/>
  <c r="J191" i="41"/>
  <c r="J112" i="41"/>
  <c r="J186" i="41"/>
  <c r="J76" i="41"/>
  <c r="J208" i="41"/>
  <c r="J33" i="41"/>
  <c r="J98" i="15" s="1"/>
  <c r="J138" i="15" s="1"/>
  <c r="J82" i="41"/>
  <c r="J81" i="41"/>
  <c r="J119" i="41"/>
  <c r="J167" i="41"/>
  <c r="J193" i="41"/>
  <c r="J166" i="41"/>
  <c r="J114" i="41"/>
  <c r="J188" i="41"/>
  <c r="J77" i="41"/>
  <c r="J32" i="41"/>
  <c r="J121" i="41"/>
  <c r="J171" i="41"/>
  <c r="J203" i="41"/>
  <c r="J58" i="41"/>
  <c r="J59" i="41"/>
  <c r="J116" i="41"/>
  <c r="J190" i="41"/>
  <c r="J131" i="41"/>
  <c r="J175" i="41"/>
  <c r="J207" i="41"/>
  <c r="J61" i="41"/>
  <c r="J130" i="41"/>
  <c r="J67" i="41"/>
  <c r="J118" i="41"/>
  <c r="J165" i="41"/>
  <c r="J192" i="41"/>
  <c r="J48" i="41"/>
  <c r="J164" i="41"/>
  <c r="K19" i="41"/>
  <c r="J56" i="41"/>
  <c r="J135" i="41"/>
  <c r="J183" i="41"/>
  <c r="J211" i="41"/>
  <c r="J66" i="41"/>
  <c r="J134" i="41"/>
  <c r="J202" i="41"/>
  <c r="J120" i="41"/>
  <c r="J169" i="41"/>
  <c r="J201" i="41"/>
  <c r="J57" i="41"/>
  <c r="J60" i="41"/>
  <c r="J49" i="41"/>
  <c r="J111" i="41"/>
  <c r="J139" i="41"/>
  <c r="J185" i="41"/>
  <c r="J83" i="41"/>
  <c r="J138" i="41"/>
  <c r="J206" i="41"/>
  <c r="J129" i="41"/>
  <c r="J173" i="41"/>
  <c r="J205" i="41"/>
  <c r="J62" i="41"/>
  <c r="J128" i="41"/>
  <c r="J64" i="41"/>
  <c r="J63" i="41"/>
  <c r="J113" i="41"/>
  <c r="J187" i="41"/>
  <c r="J84" i="41"/>
  <c r="J210" i="41"/>
  <c r="J133" i="41"/>
  <c r="J182" i="41"/>
  <c r="J209" i="41"/>
  <c r="J65" i="41"/>
  <c r="J132" i="41"/>
  <c r="J200" i="41"/>
  <c r="H138" i="37"/>
  <c r="H139" i="37" s="1"/>
  <c r="H141" i="37" s="1"/>
  <c r="Q177" i="46"/>
  <c r="J256" i="39"/>
  <c r="J258" i="39" s="1"/>
  <c r="M88" i="38"/>
  <c r="M60" i="38"/>
  <c r="M315" i="38"/>
  <c r="M287" i="38"/>
  <c r="M259" i="38"/>
  <c r="M32" i="38"/>
  <c r="M231" i="38"/>
  <c r="M144" i="38"/>
  <c r="M203" i="38"/>
  <c r="M116" i="38"/>
  <c r="N153" i="39"/>
  <c r="N125" i="39"/>
  <c r="N69" i="39"/>
  <c r="N41" i="39"/>
  <c r="N296" i="39"/>
  <c r="N97" i="39"/>
  <c r="N240" i="39"/>
  <c r="N324" i="39"/>
  <c r="N268" i="39"/>
  <c r="N212" i="39"/>
  <c r="Q29" i="46"/>
  <c r="P162" i="39"/>
  <c r="M67" i="25"/>
  <c r="M78" i="25" s="1"/>
  <c r="E129" i="25" s="1"/>
  <c r="E140" i="25" s="1"/>
  <c r="E180" i="25" s="1"/>
  <c r="M287" i="30"/>
  <c r="M60" i="30"/>
  <c r="M231" i="30"/>
  <c r="M144" i="30"/>
  <c r="M88" i="30"/>
  <c r="M315" i="30"/>
  <c r="M259" i="30"/>
  <c r="M203" i="30"/>
  <c r="M32" i="30"/>
  <c r="M116" i="30"/>
  <c r="H32" i="30"/>
  <c r="H287" i="30"/>
  <c r="H203" i="30"/>
  <c r="H116" i="30"/>
  <c r="H88" i="30"/>
  <c r="H315" i="30"/>
  <c r="H259" i="30"/>
  <c r="H231" i="30"/>
  <c r="H144" i="30"/>
  <c r="H60" i="30"/>
  <c r="L23" i="38"/>
  <c r="L24" i="38" s="1"/>
  <c r="L26" i="38" s="1"/>
  <c r="L28" i="38" s="1"/>
  <c r="L107" i="38"/>
  <c r="L108" i="38" s="1"/>
  <c r="L110" i="38" s="1"/>
  <c r="L112" i="38" s="1"/>
  <c r="L23" i="37"/>
  <c r="L24" i="37" s="1"/>
  <c r="L26" i="37" s="1"/>
  <c r="L28" i="37" s="1"/>
  <c r="L79" i="38"/>
  <c r="L80" i="38" s="1"/>
  <c r="L82" i="38" s="1"/>
  <c r="L84" i="38" s="1"/>
  <c r="L278" i="38"/>
  <c r="L279" i="38" s="1"/>
  <c r="L281" i="38" s="1"/>
  <c r="L283" i="38" s="1"/>
  <c r="L110" i="37"/>
  <c r="L111" i="37" s="1"/>
  <c r="L113" i="37" s="1"/>
  <c r="L115" i="37" s="1"/>
  <c r="L250" i="38"/>
  <c r="L251" i="38" s="1"/>
  <c r="L253" i="38" s="1"/>
  <c r="L255" i="38" s="1"/>
  <c r="L79" i="37"/>
  <c r="L80" i="37" s="1"/>
  <c r="L82" i="37" s="1"/>
  <c r="L84" i="37" s="1"/>
  <c r="L253" i="37"/>
  <c r="L254" i="37" s="1"/>
  <c r="L256" i="37" s="1"/>
  <c r="L258" i="37" s="1"/>
  <c r="L197" i="37"/>
  <c r="L198" i="37" s="1"/>
  <c r="L200" i="37" s="1"/>
  <c r="L202" i="37" s="1"/>
  <c r="L306" i="38"/>
  <c r="L307" i="38" s="1"/>
  <c r="L309" i="38" s="1"/>
  <c r="L311" i="38" s="1"/>
  <c r="L138" i="37"/>
  <c r="L139" i="37" s="1"/>
  <c r="L141" i="37" s="1"/>
  <c r="L143" i="37" s="1"/>
  <c r="L23" i="39"/>
  <c r="L24" i="39" s="1"/>
  <c r="L26" i="39" s="1"/>
  <c r="L28" i="39" s="1"/>
  <c r="L79" i="39"/>
  <c r="L80" i="39" s="1"/>
  <c r="L82" i="39" s="1"/>
  <c r="L84" i="39" s="1"/>
  <c r="L107" i="39"/>
  <c r="L108" i="39" s="1"/>
  <c r="L110" i="39" s="1"/>
  <c r="L112" i="39" s="1"/>
  <c r="L222" i="38"/>
  <c r="L223" i="38" s="1"/>
  <c r="L225" i="38" s="1"/>
  <c r="L227" i="38" s="1"/>
  <c r="L51" i="37"/>
  <c r="L52" i="37" s="1"/>
  <c r="L54" i="37" s="1"/>
  <c r="L56" i="37" s="1"/>
  <c r="L194" i="38"/>
  <c r="L195" i="38" s="1"/>
  <c r="L197" i="38" s="1"/>
  <c r="L199" i="38" s="1"/>
  <c r="L194" i="39"/>
  <c r="L195" i="39" s="1"/>
  <c r="L197" i="39" s="1"/>
  <c r="L199" i="39" s="1"/>
  <c r="L222" i="39"/>
  <c r="L223" i="39" s="1"/>
  <c r="L225" i="39" s="1"/>
  <c r="L227" i="39" s="1"/>
  <c r="L135" i="39"/>
  <c r="L136" i="39" s="1"/>
  <c r="L138" i="39" s="1"/>
  <c r="L140" i="39" s="1"/>
  <c r="L135" i="38"/>
  <c r="L136" i="38" s="1"/>
  <c r="L138" i="38" s="1"/>
  <c r="L140" i="38" s="1"/>
  <c r="L281" i="37"/>
  <c r="L282" i="37" s="1"/>
  <c r="L284" i="37" s="1"/>
  <c r="L286" i="37" s="1"/>
  <c r="L225" i="37"/>
  <c r="L226" i="37" s="1"/>
  <c r="L228" i="37" s="1"/>
  <c r="L230" i="37" s="1"/>
  <c r="L306" i="39"/>
  <c r="L307" i="39" s="1"/>
  <c r="L309" i="39" s="1"/>
  <c r="L311" i="39" s="1"/>
  <c r="L51" i="39"/>
  <c r="L52" i="39" s="1"/>
  <c r="L54" i="39" s="1"/>
  <c r="L56" i="39" s="1"/>
  <c r="L250" i="39"/>
  <c r="L251" i="39" s="1"/>
  <c r="L253" i="39" s="1"/>
  <c r="L255" i="39" s="1"/>
  <c r="L278" i="39"/>
  <c r="L279" i="39" s="1"/>
  <c r="L281" i="39" s="1"/>
  <c r="L283" i="39" s="1"/>
  <c r="L309" i="37"/>
  <c r="L310" i="37" s="1"/>
  <c r="L312" i="37" s="1"/>
  <c r="L314" i="37" s="1"/>
  <c r="L51" i="38"/>
  <c r="L52" i="38" s="1"/>
  <c r="L54" i="38" s="1"/>
  <c r="L56" i="38" s="1"/>
  <c r="K60" i="9"/>
  <c r="N92" i="18"/>
  <c r="O54" i="18" s="1"/>
  <c r="P59" i="18" s="1"/>
  <c r="I22" i="38"/>
  <c r="P19" i="38"/>
  <c r="H51" i="37"/>
  <c r="H52" i="37" s="1"/>
  <c r="H54" i="37" s="1"/>
  <c r="L215" i="37"/>
  <c r="L156" i="37"/>
  <c r="L128" i="37"/>
  <c r="L41" i="37"/>
  <c r="L97" i="37"/>
  <c r="L327" i="37"/>
  <c r="L69" i="37"/>
  <c r="L299" i="37"/>
  <c r="L271" i="37"/>
  <c r="L243" i="37"/>
  <c r="J103" i="18"/>
  <c r="Y8" i="19"/>
  <c r="Y11" i="19" s="1"/>
  <c r="Z11" i="19" s="1"/>
  <c r="Z13" i="19" s="1"/>
  <c r="Z17" i="19" s="1"/>
  <c r="J98" i="9"/>
  <c r="K9" i="10" s="1"/>
  <c r="I137" i="37"/>
  <c r="P134" i="37"/>
  <c r="H194" i="38"/>
  <c r="H195" i="38" s="1"/>
  <c r="H197" i="38" s="1"/>
  <c r="E116" i="39"/>
  <c r="E203" i="39"/>
  <c r="E60" i="39"/>
  <c r="E144" i="39"/>
  <c r="E287" i="39"/>
  <c r="E231" i="39"/>
  <c r="E32" i="39"/>
  <c r="E88" i="39"/>
  <c r="E315" i="39"/>
  <c r="E259" i="39"/>
  <c r="P172" i="39"/>
  <c r="F51" i="28"/>
  <c r="F52" i="28" s="1"/>
  <c r="F54" i="28" s="1"/>
  <c r="F250" i="28"/>
  <c r="F251" i="28" s="1"/>
  <c r="F253" i="28" s="1"/>
  <c r="F278" i="28"/>
  <c r="F279" i="28" s="1"/>
  <c r="F281" i="28" s="1"/>
  <c r="F222" i="28"/>
  <c r="F223" i="28" s="1"/>
  <c r="F225" i="28" s="1"/>
  <c r="F306" i="28"/>
  <c r="F307" i="28" s="1"/>
  <c r="F309" i="28" s="1"/>
  <c r="F164" i="28"/>
  <c r="F166" i="28" s="1"/>
  <c r="F107" i="28"/>
  <c r="F108" i="28" s="1"/>
  <c r="F110" i="28" s="1"/>
  <c r="F135" i="28"/>
  <c r="F136" i="28" s="1"/>
  <c r="F138" i="28" s="1"/>
  <c r="F79" i="28"/>
  <c r="F80" i="28" s="1"/>
  <c r="F82" i="28" s="1"/>
  <c r="F23" i="28"/>
  <c r="F24" i="28" s="1"/>
  <c r="F26" i="28" s="1"/>
  <c r="F194" i="28"/>
  <c r="F195" i="28" s="1"/>
  <c r="F197" i="28" s="1"/>
  <c r="I81" i="28"/>
  <c r="P81" i="28" s="1"/>
  <c r="I137" i="28"/>
  <c r="I224" i="28"/>
  <c r="P224" i="28" s="1"/>
  <c r="I172" i="28"/>
  <c r="P172" i="28" s="1"/>
  <c r="I280" i="28"/>
  <c r="P280" i="28" s="1"/>
  <c r="I109" i="28"/>
  <c r="I25" i="28"/>
  <c r="I196" i="28"/>
  <c r="I53" i="28"/>
  <c r="P53" i="28" s="1"/>
  <c r="I252" i="28"/>
  <c r="P252" i="28" s="1"/>
  <c r="I308" i="28"/>
  <c r="P308" i="28" s="1"/>
  <c r="J57" i="39"/>
  <c r="J59" i="39" s="1"/>
  <c r="O22" i="47"/>
  <c r="L231" i="35"/>
  <c r="L116" i="35"/>
  <c r="L259" i="35"/>
  <c r="L287" i="35"/>
  <c r="L144" i="35"/>
  <c r="L315" i="35"/>
  <c r="L32" i="35"/>
  <c r="L203" i="35"/>
  <c r="L88" i="35"/>
  <c r="L60" i="35"/>
  <c r="H293" i="37"/>
  <c r="H35" i="37"/>
  <c r="H265" i="37"/>
  <c r="H237" i="37"/>
  <c r="H209" i="37"/>
  <c r="H150" i="37"/>
  <c r="H122" i="37"/>
  <c r="H91" i="37"/>
  <c r="H321" i="37"/>
  <c r="H63" i="37"/>
  <c r="H144" i="28"/>
  <c r="H315" i="28"/>
  <c r="H259" i="28"/>
  <c r="H116" i="28"/>
  <c r="H203" i="28"/>
  <c r="H60" i="28"/>
  <c r="H231" i="28"/>
  <c r="H88" i="28"/>
  <c r="H287" i="28"/>
  <c r="H32" i="28"/>
  <c r="M296" i="30"/>
  <c r="E111" i="37"/>
  <c r="E195" i="38"/>
  <c r="E310" i="37"/>
  <c r="H135" i="38"/>
  <c r="H136" i="38" s="1"/>
  <c r="H138" i="38" s="1"/>
  <c r="N240" i="35"/>
  <c r="N212" i="35"/>
  <c r="N153" i="35"/>
  <c r="N125" i="35"/>
  <c r="N97" i="35"/>
  <c r="N324" i="35"/>
  <c r="N69" i="35"/>
  <c r="N296" i="35"/>
  <c r="N268" i="35"/>
  <c r="N41" i="35"/>
  <c r="F22" i="10"/>
  <c r="N10" i="22"/>
  <c r="N12" i="22" s="1"/>
  <c r="N14" i="22" s="1"/>
  <c r="Q10" i="22"/>
  <c r="T10" i="22"/>
  <c r="I193" i="28"/>
  <c r="P190" i="28"/>
  <c r="H144" i="39"/>
  <c r="H60" i="39"/>
  <c r="H116" i="39"/>
  <c r="H32" i="39"/>
  <c r="H287" i="39"/>
  <c r="H315" i="39"/>
  <c r="H231" i="39"/>
  <c r="H88" i="39"/>
  <c r="H203" i="39"/>
  <c r="H259" i="39"/>
  <c r="T125" i="46"/>
  <c r="K140" i="46"/>
  <c r="P8" i="10"/>
  <c r="J14" i="10"/>
  <c r="H85" i="26"/>
  <c r="H76" i="26"/>
  <c r="J164" i="28"/>
  <c r="J166" i="28" s="1"/>
  <c r="J168" i="28" s="1"/>
  <c r="J135" i="28"/>
  <c r="J136" i="28" s="1"/>
  <c r="J138" i="28" s="1"/>
  <c r="J140" i="28" s="1"/>
  <c r="J51" i="28"/>
  <c r="J52" i="28" s="1"/>
  <c r="J54" i="28" s="1"/>
  <c r="J56" i="28" s="1"/>
  <c r="J222" i="28"/>
  <c r="J223" i="28" s="1"/>
  <c r="J225" i="28" s="1"/>
  <c r="J227" i="28" s="1"/>
  <c r="J250" i="28"/>
  <c r="J251" i="28" s="1"/>
  <c r="J253" i="28" s="1"/>
  <c r="J255" i="28" s="1"/>
  <c r="J278" i="28"/>
  <c r="J279" i="28" s="1"/>
  <c r="J281" i="28" s="1"/>
  <c r="J283" i="28" s="1"/>
  <c r="J306" i="28"/>
  <c r="J307" i="28" s="1"/>
  <c r="J309" i="28" s="1"/>
  <c r="J311" i="28" s="1"/>
  <c r="J107" i="28"/>
  <c r="J108" i="28" s="1"/>
  <c r="J110" i="28" s="1"/>
  <c r="J112" i="28" s="1"/>
  <c r="J194" i="28"/>
  <c r="J195" i="28" s="1"/>
  <c r="J197" i="28" s="1"/>
  <c r="J199" i="28" s="1"/>
  <c r="J23" i="28"/>
  <c r="J24" i="28" s="1"/>
  <c r="J26" i="28" s="1"/>
  <c r="J28" i="28" s="1"/>
  <c r="J79" i="28"/>
  <c r="J80" i="28" s="1"/>
  <c r="J82" i="28" s="1"/>
  <c r="J84" i="28" s="1"/>
  <c r="N315" i="30"/>
  <c r="N144" i="30"/>
  <c r="N259" i="30"/>
  <c r="N88" i="30"/>
  <c r="N203" i="30"/>
  <c r="N116" i="30"/>
  <c r="N60" i="30"/>
  <c r="N32" i="30"/>
  <c r="N287" i="30"/>
  <c r="N231" i="30"/>
  <c r="J141" i="39"/>
  <c r="J143" i="39" s="1"/>
  <c r="J32" i="39"/>
  <c r="J144" i="39"/>
  <c r="J116" i="39"/>
  <c r="J287" i="39"/>
  <c r="J60" i="39"/>
  <c r="J231" i="39"/>
  <c r="J88" i="39"/>
  <c r="J315" i="39"/>
  <c r="J259" i="39"/>
  <c r="J203" i="39"/>
  <c r="H144" i="35"/>
  <c r="H32" i="35"/>
  <c r="H60" i="35"/>
  <c r="H88" i="35"/>
  <c r="H315" i="35"/>
  <c r="H231" i="35"/>
  <c r="H116" i="35"/>
  <c r="H287" i="35"/>
  <c r="H259" i="35"/>
  <c r="H203" i="35"/>
  <c r="M234" i="35"/>
  <c r="M63" i="35"/>
  <c r="M147" i="35"/>
  <c r="M91" i="35"/>
  <c r="M318" i="35"/>
  <c r="M262" i="35"/>
  <c r="M206" i="35"/>
  <c r="M290" i="35"/>
  <c r="M35" i="35"/>
  <c r="M119" i="35"/>
  <c r="M181" i="35"/>
  <c r="Q89" i="46"/>
  <c r="J78" i="46"/>
  <c r="J100" i="45" s="1"/>
  <c r="P193" i="30"/>
  <c r="H46" i="39"/>
  <c r="H273" i="39"/>
  <c r="H130" i="39"/>
  <c r="H245" i="39"/>
  <c r="H102" i="39"/>
  <c r="H301" i="39"/>
  <c r="H217" i="39"/>
  <c r="H189" i="39"/>
  <c r="H18" i="39"/>
  <c r="H74" i="39"/>
  <c r="H301" i="30"/>
  <c r="H217" i="30"/>
  <c r="H189" i="30"/>
  <c r="H74" i="30"/>
  <c r="H46" i="30"/>
  <c r="H130" i="30"/>
  <c r="H18" i="30"/>
  <c r="H245" i="30"/>
  <c r="H102" i="30"/>
  <c r="H273" i="30"/>
  <c r="P162" i="30"/>
  <c r="M91" i="39"/>
  <c r="M63" i="39"/>
  <c r="M318" i="39"/>
  <c r="M290" i="39"/>
  <c r="M262" i="39"/>
  <c r="M234" i="39"/>
  <c r="M206" i="39"/>
  <c r="M35" i="39"/>
  <c r="M147" i="39"/>
  <c r="M119" i="39"/>
  <c r="M181" i="39"/>
  <c r="H119" i="29"/>
  <c r="H206" i="29"/>
  <c r="H290" i="29"/>
  <c r="H262" i="29"/>
  <c r="H234" i="29"/>
  <c r="H63" i="29"/>
  <c r="H147" i="29"/>
  <c r="H91" i="29"/>
  <c r="H35" i="29"/>
  <c r="H318" i="29"/>
  <c r="F102" i="18"/>
  <c r="F91" i="18"/>
  <c r="G91" i="18" s="1"/>
  <c r="H225" i="37"/>
  <c r="H226" i="37" s="1"/>
  <c r="H228" i="37" s="1"/>
  <c r="M64" i="25"/>
  <c r="M75" i="25" s="1"/>
  <c r="E126" i="25" s="1"/>
  <c r="E137" i="25" s="1"/>
  <c r="E177" i="25" s="1"/>
  <c r="M43" i="9"/>
  <c r="M44" i="9" s="1"/>
  <c r="L44" i="9"/>
  <c r="G60" i="39"/>
  <c r="G88" i="39"/>
  <c r="G259" i="39"/>
  <c r="G32" i="39"/>
  <c r="G287" i="39"/>
  <c r="G144" i="39"/>
  <c r="G116" i="39"/>
  <c r="G231" i="39"/>
  <c r="G315" i="39"/>
  <c r="G203" i="39"/>
  <c r="I106" i="38"/>
  <c r="P103" i="38"/>
  <c r="P249" i="30"/>
  <c r="K141" i="37"/>
  <c r="K143" i="37" s="1"/>
  <c r="K197" i="39"/>
  <c r="K199" i="39" s="1"/>
  <c r="I308" i="37"/>
  <c r="P305" i="37"/>
  <c r="H135" i="39"/>
  <c r="H136" i="39" s="1"/>
  <c r="H138" i="39" s="1"/>
  <c r="P165" i="28"/>
  <c r="K88" i="38"/>
  <c r="K32" i="38"/>
  <c r="K287" i="38"/>
  <c r="K116" i="38"/>
  <c r="K259" i="38"/>
  <c r="K203" i="38"/>
  <c r="K60" i="38"/>
  <c r="K231" i="38"/>
  <c r="K315" i="38"/>
  <c r="K144" i="38"/>
  <c r="I252" i="35"/>
  <c r="P252" i="35" s="1"/>
  <c r="I137" i="35"/>
  <c r="P137" i="35" s="1"/>
  <c r="I224" i="35"/>
  <c r="P224" i="35" s="1"/>
  <c r="I109" i="35"/>
  <c r="P109" i="35" s="1"/>
  <c r="I53" i="35"/>
  <c r="P53" i="35" s="1"/>
  <c r="I196" i="35"/>
  <c r="I81" i="35"/>
  <c r="I308" i="35"/>
  <c r="I25" i="35"/>
  <c r="I280" i="35"/>
  <c r="P280" i="35" s="1"/>
  <c r="P218" i="38"/>
  <c r="I33" i="43"/>
  <c r="N41" i="37"/>
  <c r="N69" i="37"/>
  <c r="N327" i="37"/>
  <c r="N243" i="37"/>
  <c r="N299" i="37"/>
  <c r="N215" i="37"/>
  <c r="N271" i="37"/>
  <c r="N156" i="37"/>
  <c r="N128" i="37"/>
  <c r="N97" i="37"/>
  <c r="O84" i="47"/>
  <c r="K324" i="38"/>
  <c r="K296" i="38"/>
  <c r="K268" i="38"/>
  <c r="K153" i="38"/>
  <c r="K240" i="38"/>
  <c r="K125" i="38"/>
  <c r="K212" i="38"/>
  <c r="K97" i="38"/>
  <c r="K69" i="38"/>
  <c r="K41" i="38"/>
  <c r="P221" i="30"/>
  <c r="E88" i="29"/>
  <c r="E315" i="29"/>
  <c r="E60" i="29"/>
  <c r="E287" i="29"/>
  <c r="E32" i="29"/>
  <c r="E259" i="29"/>
  <c r="E231" i="29"/>
  <c r="E203" i="29"/>
  <c r="E144" i="29"/>
  <c r="E116" i="29"/>
  <c r="E110" i="18"/>
  <c r="G138" i="38"/>
  <c r="M212" i="30"/>
  <c r="M97" i="30"/>
  <c r="E279" i="38"/>
  <c r="E223" i="38"/>
  <c r="E195" i="39"/>
  <c r="E251" i="38"/>
  <c r="I193" i="29"/>
  <c r="P190" i="29"/>
  <c r="H197" i="37"/>
  <c r="H198" i="37" s="1"/>
  <c r="H200" i="37" s="1"/>
  <c r="P19" i="30"/>
  <c r="I306" i="39"/>
  <c r="I307" i="39" s="1"/>
  <c r="P305" i="38"/>
  <c r="J88" i="38"/>
  <c r="J32" i="38"/>
  <c r="J315" i="38"/>
  <c r="J144" i="38"/>
  <c r="J259" i="38"/>
  <c r="J116" i="38"/>
  <c r="J60" i="38"/>
  <c r="J287" i="38"/>
  <c r="J231" i="38"/>
  <c r="J203" i="38"/>
  <c r="H107" i="39"/>
  <c r="H108" i="39" s="1"/>
  <c r="H110" i="39" s="1"/>
  <c r="P165" i="29"/>
  <c r="P280" i="29"/>
  <c r="J169" i="38"/>
  <c r="J171" i="38" s="1"/>
  <c r="J173" i="38" s="1"/>
  <c r="J51" i="35"/>
  <c r="J52" i="35" s="1"/>
  <c r="J54" i="35" s="1"/>
  <c r="J56" i="35" s="1"/>
  <c r="J222" i="35"/>
  <c r="J223" i="35" s="1"/>
  <c r="J225" i="35" s="1"/>
  <c r="J227" i="35" s="1"/>
  <c r="J164" i="35"/>
  <c r="J166" i="35" s="1"/>
  <c r="J168" i="35" s="1"/>
  <c r="J306" i="35"/>
  <c r="J307" i="35" s="1"/>
  <c r="J309" i="35" s="1"/>
  <c r="J311" i="35" s="1"/>
  <c r="J278" i="35"/>
  <c r="J279" i="35" s="1"/>
  <c r="J281" i="35" s="1"/>
  <c r="J283" i="35" s="1"/>
  <c r="J107" i="35"/>
  <c r="J108" i="35" s="1"/>
  <c r="J110" i="35" s="1"/>
  <c r="J112" i="35" s="1"/>
  <c r="J135" i="35"/>
  <c r="J136" i="35" s="1"/>
  <c r="J138" i="35" s="1"/>
  <c r="J140" i="35" s="1"/>
  <c r="J23" i="35"/>
  <c r="J24" i="35" s="1"/>
  <c r="J26" i="35" s="1"/>
  <c r="J28" i="35" s="1"/>
  <c r="J250" i="35"/>
  <c r="J251" i="35" s="1"/>
  <c r="J253" i="35" s="1"/>
  <c r="J255" i="35" s="1"/>
  <c r="J79" i="35"/>
  <c r="J80" i="35" s="1"/>
  <c r="J82" i="35" s="1"/>
  <c r="J84" i="35" s="1"/>
  <c r="J194" i="35"/>
  <c r="J195" i="35" s="1"/>
  <c r="J197" i="35" s="1"/>
  <c r="J199" i="35" s="1"/>
  <c r="J52" i="11"/>
  <c r="K25" i="24" s="1"/>
  <c r="I53" i="11"/>
  <c r="J25" i="24"/>
  <c r="M318" i="37"/>
  <c r="M206" i="37"/>
  <c r="M147" i="37"/>
  <c r="M119" i="37"/>
  <c r="M88" i="37"/>
  <c r="M60" i="37"/>
  <c r="M262" i="37"/>
  <c r="M290" i="37"/>
  <c r="M32" i="37"/>
  <c r="M234" i="37"/>
  <c r="K69" i="37"/>
  <c r="K299" i="37"/>
  <c r="K41" i="37"/>
  <c r="K243" i="37"/>
  <c r="K327" i="37"/>
  <c r="K215" i="37"/>
  <c r="K271" i="37"/>
  <c r="K156" i="37"/>
  <c r="K128" i="37"/>
  <c r="K97" i="37"/>
  <c r="E223" i="39"/>
  <c r="N212" i="29"/>
  <c r="N125" i="29"/>
  <c r="N97" i="29"/>
  <c r="N324" i="29"/>
  <c r="N296" i="29"/>
  <c r="N268" i="29"/>
  <c r="N240" i="29"/>
  <c r="N153" i="29"/>
  <c r="N69" i="29"/>
  <c r="N41" i="29"/>
  <c r="L240" i="39"/>
  <c r="L153" i="39"/>
  <c r="L41" i="39"/>
  <c r="L125" i="39"/>
  <c r="L97" i="39"/>
  <c r="L69" i="39"/>
  <c r="L324" i="39"/>
  <c r="L296" i="39"/>
  <c r="L268" i="39"/>
  <c r="L212" i="39"/>
  <c r="H273" i="38"/>
  <c r="H245" i="38"/>
  <c r="H130" i="38"/>
  <c r="H102" i="38"/>
  <c r="H18" i="38"/>
  <c r="H217" i="38"/>
  <c r="H74" i="38"/>
  <c r="H301" i="38"/>
  <c r="H189" i="38"/>
  <c r="H46" i="38"/>
  <c r="K60" i="39"/>
  <c r="K116" i="39"/>
  <c r="K144" i="39"/>
  <c r="K32" i="39"/>
  <c r="K315" i="39"/>
  <c r="K231" i="39"/>
  <c r="K88" i="39"/>
  <c r="K203" i="39"/>
  <c r="K259" i="39"/>
  <c r="K287" i="39"/>
  <c r="M62" i="25"/>
  <c r="M73" i="25" s="1"/>
  <c r="E124" i="25" s="1"/>
  <c r="E135" i="25" s="1"/>
  <c r="E175" i="25" s="1"/>
  <c r="I14" i="24"/>
  <c r="H30" i="25"/>
  <c r="I280" i="37"/>
  <c r="P277" i="37"/>
  <c r="H217" i="35"/>
  <c r="H74" i="35"/>
  <c r="H189" i="35"/>
  <c r="H301" i="35"/>
  <c r="H273" i="35"/>
  <c r="H46" i="35"/>
  <c r="H130" i="35"/>
  <c r="H245" i="35"/>
  <c r="H102" i="35"/>
  <c r="H18" i="35"/>
  <c r="N147" i="37"/>
  <c r="N119" i="37"/>
  <c r="N32" i="37"/>
  <c r="N88" i="37"/>
  <c r="N318" i="37"/>
  <c r="N60" i="37"/>
  <c r="N290" i="37"/>
  <c r="N262" i="37"/>
  <c r="N206" i="37"/>
  <c r="N234" i="37"/>
  <c r="J37" i="46"/>
  <c r="J25" i="45" s="1"/>
  <c r="J79" i="46"/>
  <c r="J27" i="45" s="1"/>
  <c r="N315" i="38"/>
  <c r="N60" i="38"/>
  <c r="N287" i="38"/>
  <c r="N32" i="38"/>
  <c r="N259" i="38"/>
  <c r="N231" i="38"/>
  <c r="N203" i="38"/>
  <c r="N144" i="38"/>
  <c r="N116" i="38"/>
  <c r="N88" i="38"/>
  <c r="P75" i="30"/>
  <c r="J85" i="37"/>
  <c r="J87" i="37" s="1"/>
  <c r="H194" i="39"/>
  <c r="H195" i="39" s="1"/>
  <c r="H197" i="39" s="1"/>
  <c r="M61" i="25"/>
  <c r="M72" i="25" s="1"/>
  <c r="E123" i="25" s="1"/>
  <c r="E134" i="25" s="1"/>
  <c r="E174" i="25" s="1"/>
  <c r="I78" i="38"/>
  <c r="P75" i="38"/>
  <c r="I193" i="38"/>
  <c r="P190" i="38"/>
  <c r="O21" i="43"/>
  <c r="J91" i="11"/>
  <c r="J116" i="11" s="1"/>
  <c r="I119" i="11"/>
  <c r="K253" i="39"/>
  <c r="K255" i="39" s="1"/>
  <c r="K113" i="37"/>
  <c r="K115" i="37" s="1"/>
  <c r="K82" i="39"/>
  <c r="K84" i="39" s="1"/>
  <c r="I50" i="37"/>
  <c r="P47" i="37"/>
  <c r="H281" i="37"/>
  <c r="H282" i="37" s="1"/>
  <c r="H284" i="37" s="1"/>
  <c r="K88" i="30"/>
  <c r="K32" i="30"/>
  <c r="K315" i="30"/>
  <c r="K259" i="30"/>
  <c r="K203" i="30"/>
  <c r="K287" i="30"/>
  <c r="K116" i="30"/>
  <c r="K231" i="30"/>
  <c r="K60" i="30"/>
  <c r="K144" i="30"/>
  <c r="I32" i="34"/>
  <c r="I172" i="30"/>
  <c r="P172" i="30" s="1"/>
  <c r="I172" i="29"/>
  <c r="I172" i="35"/>
  <c r="P172" i="35" s="1"/>
  <c r="I175" i="37"/>
  <c r="I172" i="38"/>
  <c r="P172" i="38" s="1"/>
  <c r="H290" i="39"/>
  <c r="H262" i="39"/>
  <c r="H234" i="39"/>
  <c r="H206" i="39"/>
  <c r="H147" i="39"/>
  <c r="H119" i="39"/>
  <c r="H91" i="39"/>
  <c r="H63" i="39"/>
  <c r="H318" i="39"/>
  <c r="H35" i="39"/>
  <c r="I249" i="35"/>
  <c r="P249" i="35" s="1"/>
  <c r="I106" i="35"/>
  <c r="I221" i="35"/>
  <c r="I78" i="35"/>
  <c r="I305" i="35"/>
  <c r="P305" i="35" s="1"/>
  <c r="I277" i="35"/>
  <c r="I193" i="35"/>
  <c r="I134" i="35"/>
  <c r="P134" i="35" s="1"/>
  <c r="I50" i="35"/>
  <c r="P50" i="35" s="1"/>
  <c r="I22" i="35"/>
  <c r="P22" i="35" s="1"/>
  <c r="P162" i="35"/>
  <c r="G206" i="39"/>
  <c r="G147" i="39"/>
  <c r="G35" i="39"/>
  <c r="G119" i="39"/>
  <c r="G91" i="39"/>
  <c r="G63" i="39"/>
  <c r="G318" i="39"/>
  <c r="G290" i="39"/>
  <c r="G262" i="39"/>
  <c r="G234" i="39"/>
  <c r="N315" i="28"/>
  <c r="N259" i="28"/>
  <c r="N231" i="28"/>
  <c r="N116" i="28"/>
  <c r="N203" i="28"/>
  <c r="N88" i="28"/>
  <c r="N144" i="28"/>
  <c r="N287" i="28"/>
  <c r="N60" i="28"/>
  <c r="N32" i="28"/>
  <c r="G225" i="38"/>
  <c r="E259" i="30"/>
  <c r="E231" i="30"/>
  <c r="E203" i="30"/>
  <c r="E116" i="30"/>
  <c r="E32" i="30"/>
  <c r="E88" i="30"/>
  <c r="E315" i="30"/>
  <c r="E60" i="30"/>
  <c r="E144" i="30"/>
  <c r="E287" i="30"/>
  <c r="G113" i="37"/>
  <c r="L315" i="28"/>
  <c r="L259" i="28"/>
  <c r="L144" i="28"/>
  <c r="L88" i="28"/>
  <c r="L203" i="28"/>
  <c r="L32" i="28"/>
  <c r="L60" i="28"/>
  <c r="L116" i="28"/>
  <c r="L231" i="28"/>
  <c r="L287" i="28"/>
  <c r="M125" i="30"/>
  <c r="E279" i="39"/>
  <c r="E136" i="39"/>
  <c r="E9" i="10"/>
  <c r="E251" i="39"/>
  <c r="E108" i="38"/>
  <c r="G203" i="29"/>
  <c r="G315" i="29"/>
  <c r="G116" i="29"/>
  <c r="G287" i="29"/>
  <c r="G60" i="29"/>
  <c r="G259" i="29"/>
  <c r="G231" i="29"/>
  <c r="G144" i="29"/>
  <c r="G88" i="29"/>
  <c r="G32" i="29"/>
  <c r="I249" i="29"/>
  <c r="P246" i="29"/>
  <c r="H79" i="37"/>
  <c r="H80" i="37" s="1"/>
  <c r="H82" i="37" s="1"/>
  <c r="F315" i="38"/>
  <c r="F287" i="38"/>
  <c r="F231" i="38"/>
  <c r="F259" i="38"/>
  <c r="F203" i="38"/>
  <c r="F144" i="38"/>
  <c r="F116" i="38"/>
  <c r="F60" i="38"/>
  <c r="F88" i="38"/>
  <c r="F32" i="38"/>
  <c r="I110" i="37"/>
  <c r="G309" i="38"/>
  <c r="J116" i="30"/>
  <c r="J60" i="30"/>
  <c r="J287" i="30"/>
  <c r="J231" i="30"/>
  <c r="J32" i="30"/>
  <c r="J144" i="30"/>
  <c r="J315" i="30"/>
  <c r="J88" i="30"/>
  <c r="J259" i="30"/>
  <c r="J203" i="30"/>
  <c r="H250" i="39"/>
  <c r="H251" i="39" s="1"/>
  <c r="H253" i="39" s="1"/>
  <c r="F88" i="28"/>
  <c r="F60" i="28"/>
  <c r="F315" i="28"/>
  <c r="F259" i="28"/>
  <c r="F32" i="28"/>
  <c r="F203" i="28"/>
  <c r="F287" i="28"/>
  <c r="F116" i="28"/>
  <c r="F231" i="28"/>
  <c r="F144" i="28"/>
  <c r="P53" i="39"/>
  <c r="G163" i="39"/>
  <c r="G164" i="39" s="1"/>
  <c r="G166" i="39" s="1"/>
  <c r="G23" i="34"/>
  <c r="G24" i="34" s="1"/>
  <c r="G26" i="34" s="1"/>
  <c r="I25" i="7"/>
  <c r="I27" i="7" s="1"/>
  <c r="G163" i="35"/>
  <c r="F20" i="47"/>
  <c r="F21" i="47" s="1"/>
  <c r="F23" i="47" s="1"/>
  <c r="G166" i="37"/>
  <c r="G167" i="37" s="1"/>
  <c r="G169" i="37" s="1"/>
  <c r="F20" i="45"/>
  <c r="F21" i="45" s="1"/>
  <c r="F23" i="45" s="1"/>
  <c r="G163" i="38"/>
  <c r="G164" i="38" s="1"/>
  <c r="G166" i="38" s="1"/>
  <c r="G156" i="25"/>
  <c r="G157" i="25" s="1"/>
  <c r="G159" i="25" s="1"/>
  <c r="G163" i="28"/>
  <c r="G163" i="30"/>
  <c r="F20" i="15"/>
  <c r="F21" i="15" s="1"/>
  <c r="F23" i="15" s="1"/>
  <c r="F19" i="43"/>
  <c r="F20" i="43" s="1"/>
  <c r="F22" i="43" s="1"/>
  <c r="G163" i="29"/>
  <c r="G10" i="10"/>
  <c r="G12" i="10" s="1"/>
  <c r="L32" i="30"/>
  <c r="L144" i="30"/>
  <c r="L315" i="30"/>
  <c r="L88" i="30"/>
  <c r="L259" i="30"/>
  <c r="L203" i="30"/>
  <c r="L116" i="30"/>
  <c r="L60" i="30"/>
  <c r="L287" i="30"/>
  <c r="L231" i="30"/>
  <c r="E24" i="38"/>
  <c r="J169" i="39"/>
  <c r="J171" i="39" s="1"/>
  <c r="J173" i="39" s="1"/>
  <c r="J259" i="37"/>
  <c r="J261" i="37" s="1"/>
  <c r="K212" i="35"/>
  <c r="K296" i="35"/>
  <c r="K69" i="35"/>
  <c r="K240" i="35"/>
  <c r="K153" i="35"/>
  <c r="K125" i="35"/>
  <c r="K97" i="35"/>
  <c r="K41" i="35"/>
  <c r="K268" i="35"/>
  <c r="K324" i="35"/>
  <c r="P103" i="30"/>
  <c r="I50" i="30"/>
  <c r="P47" i="30"/>
  <c r="H222" i="38"/>
  <c r="H223" i="38" s="1"/>
  <c r="H225" i="38" s="1"/>
  <c r="N153" i="38"/>
  <c r="N240" i="38"/>
  <c r="N125" i="38"/>
  <c r="N212" i="38"/>
  <c r="N97" i="38"/>
  <c r="N41" i="38"/>
  <c r="N69" i="38"/>
  <c r="N324" i="38"/>
  <c r="N296" i="38"/>
  <c r="N268" i="38"/>
  <c r="J142" i="46"/>
  <c r="J30" i="45" s="1"/>
  <c r="M240" i="28"/>
  <c r="H304" i="37"/>
  <c r="H192" i="37"/>
  <c r="H46" i="37"/>
  <c r="H276" i="37"/>
  <c r="H248" i="37"/>
  <c r="H133" i="37"/>
  <c r="H105" i="37"/>
  <c r="H18" i="37"/>
  <c r="H220" i="37"/>
  <c r="H74" i="37"/>
  <c r="H51" i="39"/>
  <c r="H52" i="39" s="1"/>
  <c r="H54" i="39" s="1"/>
  <c r="G54" i="37"/>
  <c r="J36" i="46"/>
  <c r="J98" i="45" s="1"/>
  <c r="J184" i="46"/>
  <c r="J32" i="45" s="1"/>
  <c r="Q148" i="46"/>
  <c r="P200" i="48"/>
  <c r="J203" i="48" s="1"/>
  <c r="J106" i="47" s="1"/>
  <c r="J146" i="47" s="1"/>
  <c r="P137" i="48"/>
  <c r="J141" i="46"/>
  <c r="J103" i="45" s="1"/>
  <c r="P179" i="48"/>
  <c r="J182" i="48" s="1"/>
  <c r="J105" i="47" s="1"/>
  <c r="J145" i="47" s="1"/>
  <c r="P116" i="48"/>
  <c r="P53" i="48"/>
  <c r="J56" i="48" s="1"/>
  <c r="J99" i="47" s="1"/>
  <c r="J139" i="47" s="1"/>
  <c r="P242" i="48"/>
  <c r="P158" i="48"/>
  <c r="J161" i="48" s="1"/>
  <c r="J104" i="47" s="1"/>
  <c r="J144" i="47" s="1"/>
  <c r="P95" i="48"/>
  <c r="J98" i="48" s="1"/>
  <c r="J101" i="47" s="1"/>
  <c r="J141" i="47" s="1"/>
  <c r="P74" i="48"/>
  <c r="P221" i="48"/>
  <c r="J224" i="48" s="1"/>
  <c r="J107" i="47" s="1"/>
  <c r="J147" i="47" s="1"/>
  <c r="P32" i="48"/>
  <c r="J35" i="48" s="1"/>
  <c r="J98" i="47" s="1"/>
  <c r="J138" i="47" s="1"/>
  <c r="I49" i="11"/>
  <c r="H28" i="25"/>
  <c r="I12" i="24"/>
  <c r="N315" i="29"/>
  <c r="N287" i="29"/>
  <c r="N60" i="29"/>
  <c r="N231" i="29"/>
  <c r="N259" i="29"/>
  <c r="N144" i="29"/>
  <c r="N88" i="29"/>
  <c r="N32" i="29"/>
  <c r="N203" i="29"/>
  <c r="N116" i="29"/>
  <c r="H309" i="37"/>
  <c r="H310" i="37" s="1"/>
  <c r="H312" i="37" s="1"/>
  <c r="M68" i="25"/>
  <c r="M79" i="25" s="1"/>
  <c r="E130" i="25" s="1"/>
  <c r="E141" i="25" s="1"/>
  <c r="E181" i="25" s="1"/>
  <c r="P252" i="38"/>
  <c r="P190" i="30"/>
  <c r="M150" i="37"/>
  <c r="M122" i="37"/>
  <c r="M91" i="37"/>
  <c r="M321" i="37"/>
  <c r="M63" i="37"/>
  <c r="M293" i="37"/>
  <c r="M35" i="37"/>
  <c r="M265" i="37"/>
  <c r="M237" i="37"/>
  <c r="M209" i="37"/>
  <c r="M184" i="37"/>
  <c r="I134" i="38"/>
  <c r="P131" i="38"/>
  <c r="I50" i="38"/>
  <c r="P47" i="38"/>
  <c r="O83" i="43"/>
  <c r="J94" i="11"/>
  <c r="K54" i="37"/>
  <c r="K56" i="37" s="1"/>
  <c r="K54" i="39"/>
  <c r="K56" i="39" s="1"/>
  <c r="K26" i="38"/>
  <c r="K28" i="38" s="1"/>
  <c r="P274" i="30"/>
  <c r="I224" i="37"/>
  <c r="P221" i="37"/>
  <c r="H23" i="37"/>
  <c r="H24" i="37" s="1"/>
  <c r="H26" i="37" s="1"/>
  <c r="M144" i="28"/>
  <c r="M231" i="28"/>
  <c r="M287" i="28"/>
  <c r="M32" i="28"/>
  <c r="M116" i="28"/>
  <c r="M203" i="28"/>
  <c r="M60" i="28"/>
  <c r="M259" i="28"/>
  <c r="M88" i="28"/>
  <c r="M315" i="28"/>
  <c r="P137" i="39"/>
  <c r="K60" i="29"/>
  <c r="K259" i="29"/>
  <c r="K315" i="29"/>
  <c r="K231" i="29"/>
  <c r="K287" i="29"/>
  <c r="K144" i="29"/>
  <c r="K88" i="29"/>
  <c r="K32" i="29"/>
  <c r="K203" i="29"/>
  <c r="K116" i="29"/>
  <c r="G234" i="29"/>
  <c r="G147" i="29"/>
  <c r="G262" i="29"/>
  <c r="G91" i="29"/>
  <c r="G206" i="29"/>
  <c r="G35" i="29"/>
  <c r="G119" i="29"/>
  <c r="G63" i="29"/>
  <c r="G318" i="29"/>
  <c r="G290" i="29"/>
  <c r="F278" i="29"/>
  <c r="F279" i="29" s="1"/>
  <c r="F281" i="29" s="1"/>
  <c r="F306" i="29"/>
  <c r="F307" i="29" s="1"/>
  <c r="F309" i="29" s="1"/>
  <c r="F222" i="29"/>
  <c r="F223" i="29" s="1"/>
  <c r="F225" i="29" s="1"/>
  <c r="F194" i="29"/>
  <c r="F195" i="29" s="1"/>
  <c r="F197" i="29" s="1"/>
  <c r="F51" i="29"/>
  <c r="F52" i="29" s="1"/>
  <c r="F54" i="29" s="1"/>
  <c r="F107" i="29"/>
  <c r="F108" i="29" s="1"/>
  <c r="F110" i="29" s="1"/>
  <c r="F135" i="29"/>
  <c r="F136" i="29" s="1"/>
  <c r="F138" i="29" s="1"/>
  <c r="F79" i="29"/>
  <c r="F80" i="29" s="1"/>
  <c r="F82" i="29" s="1"/>
  <c r="F250" i="29"/>
  <c r="F251" i="29" s="1"/>
  <c r="F253" i="29" s="1"/>
  <c r="F23" i="29"/>
  <c r="F24" i="29" s="1"/>
  <c r="F26" i="29" s="1"/>
  <c r="F164" i="29"/>
  <c r="F166" i="29" s="1"/>
  <c r="I109" i="30"/>
  <c r="P109" i="30" s="1"/>
  <c r="I25" i="30"/>
  <c r="P25" i="30" s="1"/>
  <c r="I81" i="30"/>
  <c r="P81" i="30" s="1"/>
  <c r="I308" i="30"/>
  <c r="P308" i="30" s="1"/>
  <c r="I53" i="30"/>
  <c r="P53" i="30" s="1"/>
  <c r="I280" i="30"/>
  <c r="I252" i="30"/>
  <c r="I224" i="30"/>
  <c r="I196" i="30"/>
  <c r="I137" i="30"/>
  <c r="K212" i="39"/>
  <c r="K240" i="39"/>
  <c r="K153" i="39"/>
  <c r="K97" i="39"/>
  <c r="K41" i="39"/>
  <c r="K125" i="39"/>
  <c r="K324" i="39"/>
  <c r="K69" i="39"/>
  <c r="K268" i="39"/>
  <c r="K296" i="39"/>
  <c r="J196" i="42"/>
  <c r="J106" i="43" s="1"/>
  <c r="J146" i="43" s="1"/>
  <c r="K182" i="42"/>
  <c r="J195" i="42"/>
  <c r="J33" i="43" s="1"/>
  <c r="L259" i="38"/>
  <c r="L88" i="38"/>
  <c r="L32" i="38"/>
  <c r="L116" i="38"/>
  <c r="L60" i="38"/>
  <c r="L315" i="38"/>
  <c r="L287" i="38"/>
  <c r="L231" i="38"/>
  <c r="L203" i="38"/>
  <c r="L144" i="38"/>
  <c r="H119" i="38"/>
  <c r="H35" i="38"/>
  <c r="H91" i="38"/>
  <c r="H318" i="38"/>
  <c r="H63" i="38"/>
  <c r="H262" i="38"/>
  <c r="H234" i="38"/>
  <c r="H206" i="38"/>
  <c r="H290" i="38"/>
  <c r="H147" i="38"/>
  <c r="P22" i="34"/>
  <c r="P18" i="10"/>
  <c r="G91" i="37"/>
  <c r="G321" i="37"/>
  <c r="G63" i="37"/>
  <c r="G293" i="37"/>
  <c r="G35" i="37"/>
  <c r="G265" i="37"/>
  <c r="G237" i="37"/>
  <c r="G209" i="37"/>
  <c r="G150" i="37"/>
  <c r="G122" i="37"/>
  <c r="F231" i="39"/>
  <c r="F88" i="39"/>
  <c r="F203" i="39"/>
  <c r="F315" i="39"/>
  <c r="F259" i="39"/>
  <c r="F32" i="39"/>
  <c r="F144" i="39"/>
  <c r="F116" i="39"/>
  <c r="F287" i="39"/>
  <c r="F60" i="39"/>
  <c r="L153" i="38"/>
  <c r="L125" i="38"/>
  <c r="L324" i="38"/>
  <c r="L97" i="38"/>
  <c r="L296" i="38"/>
  <c r="L69" i="38"/>
  <c r="L268" i="38"/>
  <c r="L240" i="38"/>
  <c r="L212" i="38"/>
  <c r="L41" i="38"/>
  <c r="M240" i="30"/>
  <c r="E226" i="37"/>
  <c r="E52" i="37"/>
  <c r="E307" i="38"/>
  <c r="E80" i="39"/>
  <c r="E52" i="39"/>
  <c r="G315" i="38"/>
  <c r="G259" i="38"/>
  <c r="G60" i="38"/>
  <c r="G116" i="38"/>
  <c r="G231" i="38"/>
  <c r="G203" i="38"/>
  <c r="G88" i="38"/>
  <c r="G32" i="38"/>
  <c r="G144" i="38"/>
  <c r="G287" i="38"/>
  <c r="F32" i="30"/>
  <c r="F287" i="30"/>
  <c r="F203" i="30"/>
  <c r="F116" i="30"/>
  <c r="F88" i="30"/>
  <c r="F315" i="30"/>
  <c r="F259" i="30"/>
  <c r="F231" i="30"/>
  <c r="F144" i="30"/>
  <c r="F60" i="30"/>
  <c r="L60" i="39"/>
  <c r="L315" i="39"/>
  <c r="L259" i="39"/>
  <c r="L203" i="39"/>
  <c r="L144" i="39"/>
  <c r="L32" i="39"/>
  <c r="L116" i="39"/>
  <c r="L287" i="39"/>
  <c r="L88" i="39"/>
  <c r="L231" i="39"/>
  <c r="P252" i="37"/>
  <c r="J231" i="29"/>
  <c r="J315" i="29"/>
  <c r="J60" i="29"/>
  <c r="J259" i="29"/>
  <c r="J32" i="29"/>
  <c r="J88" i="29"/>
  <c r="J287" i="29"/>
  <c r="J203" i="29"/>
  <c r="J116" i="29"/>
  <c r="J144" i="29"/>
  <c r="G144" i="28"/>
  <c r="G315" i="28"/>
  <c r="G259" i="28"/>
  <c r="G116" i="28"/>
  <c r="G60" i="28"/>
  <c r="G203" i="28"/>
  <c r="G88" i="28"/>
  <c r="G287" i="28"/>
  <c r="G231" i="28"/>
  <c r="G32" i="28"/>
  <c r="P249" i="38"/>
  <c r="H306" i="38"/>
  <c r="H307" i="38" s="1"/>
  <c r="H309" i="38" s="1"/>
  <c r="P308" i="29"/>
  <c r="G26" i="38"/>
  <c r="L212" i="35"/>
  <c r="L153" i="35"/>
  <c r="L125" i="35"/>
  <c r="L97" i="35"/>
  <c r="L324" i="35"/>
  <c r="L69" i="35"/>
  <c r="L296" i="35"/>
  <c r="L41" i="35"/>
  <c r="L268" i="35"/>
  <c r="L240" i="35"/>
  <c r="J278" i="30"/>
  <c r="J279" i="30" s="1"/>
  <c r="J281" i="30" s="1"/>
  <c r="J283" i="30" s="1"/>
  <c r="J79" i="30"/>
  <c r="J80" i="30" s="1"/>
  <c r="J82" i="30" s="1"/>
  <c r="J84" i="30" s="1"/>
  <c r="J51" i="30"/>
  <c r="J52" i="30" s="1"/>
  <c r="J54" i="30" s="1"/>
  <c r="J56" i="30" s="1"/>
  <c r="J107" i="30"/>
  <c r="J108" i="30" s="1"/>
  <c r="J110" i="30" s="1"/>
  <c r="J112" i="30" s="1"/>
  <c r="J306" i="30"/>
  <c r="J307" i="30" s="1"/>
  <c r="J309" i="30" s="1"/>
  <c r="J311" i="30" s="1"/>
  <c r="J135" i="30"/>
  <c r="J136" i="30" s="1"/>
  <c r="J138" i="30" s="1"/>
  <c r="J140" i="30" s="1"/>
  <c r="J23" i="30"/>
  <c r="J24" i="30" s="1"/>
  <c r="J26" i="30" s="1"/>
  <c r="J28" i="30" s="1"/>
  <c r="J222" i="30"/>
  <c r="J223" i="30" s="1"/>
  <c r="J225" i="30" s="1"/>
  <c r="J227" i="30" s="1"/>
  <c r="J164" i="30"/>
  <c r="J166" i="30" s="1"/>
  <c r="J168" i="30" s="1"/>
  <c r="J194" i="30"/>
  <c r="J195" i="30" s="1"/>
  <c r="J197" i="30" s="1"/>
  <c r="J199" i="30" s="1"/>
  <c r="J250" i="30"/>
  <c r="J251" i="30" s="1"/>
  <c r="J253" i="30" s="1"/>
  <c r="J255" i="30" s="1"/>
  <c r="N44" i="9" l="1"/>
  <c r="O58" i="18" s="1"/>
  <c r="P255" i="37"/>
  <c r="P137" i="28"/>
  <c r="I309" i="39"/>
  <c r="P81" i="38"/>
  <c r="P308" i="35"/>
  <c r="P196" i="35"/>
  <c r="P224" i="39"/>
  <c r="P109" i="39"/>
  <c r="E206" i="38"/>
  <c r="E318" i="38"/>
  <c r="E234" i="38"/>
  <c r="E119" i="38"/>
  <c r="E147" i="38"/>
  <c r="E262" i="38"/>
  <c r="P196" i="30"/>
  <c r="P280" i="30"/>
  <c r="P25" i="39"/>
  <c r="K26" i="39"/>
  <c r="K28" i="39" s="1"/>
  <c r="K29" i="39" s="1"/>
  <c r="K31" i="39" s="1"/>
  <c r="P81" i="37"/>
  <c r="P81" i="35"/>
  <c r="P224" i="30"/>
  <c r="P227" i="37"/>
  <c r="P252" i="30"/>
  <c r="K207" i="37"/>
  <c r="K216" i="37" s="1"/>
  <c r="P311" i="37"/>
  <c r="I38" i="43"/>
  <c r="I42" i="43"/>
  <c r="I36" i="43"/>
  <c r="I48" i="43" s="1"/>
  <c r="I72" i="43" s="1"/>
  <c r="I85" i="43" s="1"/>
  <c r="I39" i="43"/>
  <c r="I51" i="43" s="1"/>
  <c r="I75" i="43" s="1"/>
  <c r="I88" i="43" s="1"/>
  <c r="I37" i="43"/>
  <c r="I49" i="43" s="1"/>
  <c r="I73" i="43" s="1"/>
  <c r="I86" i="43" s="1"/>
  <c r="I46" i="43"/>
  <c r="I44" i="43"/>
  <c r="I43" i="43"/>
  <c r="I55" i="43" s="1"/>
  <c r="I79" i="43" s="1"/>
  <c r="I92" i="43" s="1"/>
  <c r="I45" i="43"/>
  <c r="I51" i="39"/>
  <c r="I52" i="39" s="1"/>
  <c r="I54" i="39" s="1"/>
  <c r="I253" i="37"/>
  <c r="I254" i="37" s="1"/>
  <c r="I256" i="37" s="1"/>
  <c r="I222" i="38"/>
  <c r="I223" i="38" s="1"/>
  <c r="I225" i="38" s="1"/>
  <c r="H60" i="9"/>
  <c r="F109" i="18"/>
  <c r="F104" i="18"/>
  <c r="D67" i="43"/>
  <c r="O66" i="43"/>
  <c r="O67" i="47"/>
  <c r="D68" i="47"/>
  <c r="D68" i="45"/>
  <c r="O67" i="45"/>
  <c r="J157" i="41"/>
  <c r="J146" i="41"/>
  <c r="J41" i="41"/>
  <c r="J43" i="41"/>
  <c r="J152" i="41"/>
  <c r="J42" i="41"/>
  <c r="J45" i="41"/>
  <c r="J38" i="41"/>
  <c r="J156" i="41"/>
  <c r="J148" i="41"/>
  <c r="J155" i="41"/>
  <c r="J44" i="41"/>
  <c r="J39" i="41"/>
  <c r="J150" i="41"/>
  <c r="J47" i="41"/>
  <c r="J149" i="41"/>
  <c r="J40" i="41"/>
  <c r="J154" i="41"/>
  <c r="J151" i="41"/>
  <c r="P196" i="28"/>
  <c r="P137" i="30"/>
  <c r="P25" i="28"/>
  <c r="P109" i="28"/>
  <c r="J89" i="37"/>
  <c r="P109" i="38"/>
  <c r="P199" i="37"/>
  <c r="P25" i="35"/>
  <c r="G19" i="24"/>
  <c r="G22" i="24" s="1"/>
  <c r="F25" i="10" s="1"/>
  <c r="F19" i="24"/>
  <c r="E63" i="37"/>
  <c r="E237" i="37"/>
  <c r="E35" i="37"/>
  <c r="E321" i="37"/>
  <c r="E293" i="37"/>
  <c r="E150" i="37"/>
  <c r="E265" i="37"/>
  <c r="E91" i="37"/>
  <c r="E209" i="37"/>
  <c r="E122" i="37"/>
  <c r="E290" i="29"/>
  <c r="E35" i="29"/>
  <c r="E318" i="29"/>
  <c r="E206" i="29"/>
  <c r="E262" i="29"/>
  <c r="E119" i="29"/>
  <c r="E147" i="29"/>
  <c r="E63" i="29"/>
  <c r="E91" i="29"/>
  <c r="E234" i="29"/>
  <c r="E147" i="35"/>
  <c r="E262" i="35"/>
  <c r="E119" i="35"/>
  <c r="E91" i="35"/>
  <c r="E63" i="35"/>
  <c r="E206" i="35"/>
  <c r="E35" i="35"/>
  <c r="E290" i="35"/>
  <c r="E234" i="35"/>
  <c r="E318" i="35"/>
  <c r="E318" i="39"/>
  <c r="E91" i="39"/>
  <c r="E262" i="39"/>
  <c r="E234" i="39"/>
  <c r="E290" i="39"/>
  <c r="E119" i="39"/>
  <c r="E206" i="39"/>
  <c r="E147" i="39"/>
  <c r="E63" i="39"/>
  <c r="E35" i="39"/>
  <c r="K111" i="11"/>
  <c r="L107" i="11" s="1"/>
  <c r="L109" i="11"/>
  <c r="L110" i="11" s="1"/>
  <c r="L108" i="11"/>
  <c r="I40" i="47"/>
  <c r="P53" i="37"/>
  <c r="I45" i="47"/>
  <c r="I57" i="47" s="1"/>
  <c r="I81" i="47" s="1"/>
  <c r="I94" i="47" s="1"/>
  <c r="N207" i="42"/>
  <c r="N176" i="42"/>
  <c r="O131" i="45"/>
  <c r="C145" i="45"/>
  <c r="C157" i="45" s="1"/>
  <c r="C170" i="45" s="1"/>
  <c r="C182" i="45" s="1"/>
  <c r="C117" i="45"/>
  <c r="O117" i="45" s="1"/>
  <c r="D12" i="41"/>
  <c r="D12" i="48"/>
  <c r="D12" i="46"/>
  <c r="D12" i="42"/>
  <c r="B24" i="48"/>
  <c r="C6" i="48"/>
  <c r="B21" i="48"/>
  <c r="B22" i="48" s="1"/>
  <c r="O131" i="47"/>
  <c r="C145" i="47"/>
  <c r="C157" i="47" s="1"/>
  <c r="C170" i="47" s="1"/>
  <c r="C182" i="47" s="1"/>
  <c r="C117" i="47"/>
  <c r="O117" i="47" s="1"/>
  <c r="B109" i="46"/>
  <c r="B106" i="46"/>
  <c r="B107" i="46" s="1"/>
  <c r="O130" i="47"/>
  <c r="C116" i="47"/>
  <c r="O116" i="47" s="1"/>
  <c r="C144" i="47"/>
  <c r="C156" i="47" s="1"/>
  <c r="C169" i="47" s="1"/>
  <c r="C181" i="47" s="1"/>
  <c r="B67" i="46"/>
  <c r="B64" i="46"/>
  <c r="B65" i="46" s="1"/>
  <c r="F164" i="41"/>
  <c r="F175" i="41"/>
  <c r="E167" i="41"/>
  <c r="E172" i="41"/>
  <c r="D171" i="41"/>
  <c r="F168" i="41"/>
  <c r="F169" i="41"/>
  <c r="B168" i="41"/>
  <c r="D168" i="41"/>
  <c r="B165" i="41"/>
  <c r="B166" i="41" s="1"/>
  <c r="D165" i="41"/>
  <c r="F165" i="41"/>
  <c r="E174" i="41"/>
  <c r="D173" i="41"/>
  <c r="E164" i="41"/>
  <c r="D170" i="41"/>
  <c r="F171" i="41"/>
  <c r="F166" i="41"/>
  <c r="D175" i="41"/>
  <c r="D166" i="41"/>
  <c r="E169" i="41"/>
  <c r="F167" i="41"/>
  <c r="F172" i="41"/>
  <c r="D164" i="41"/>
  <c r="E171" i="41"/>
  <c r="E168" i="41"/>
  <c r="F170" i="41"/>
  <c r="D169" i="41"/>
  <c r="D172" i="41"/>
  <c r="E173" i="41"/>
  <c r="D174" i="41"/>
  <c r="E175" i="41"/>
  <c r="D167" i="41"/>
  <c r="F173" i="41"/>
  <c r="F174" i="41"/>
  <c r="E166" i="41"/>
  <c r="E165" i="41"/>
  <c r="E170" i="41"/>
  <c r="G173" i="41"/>
  <c r="G166" i="41"/>
  <c r="G168" i="41"/>
  <c r="G164" i="41"/>
  <c r="G174" i="41"/>
  <c r="G170" i="41"/>
  <c r="G172" i="41"/>
  <c r="G171" i="41"/>
  <c r="G167" i="41"/>
  <c r="G169" i="41"/>
  <c r="G165" i="41"/>
  <c r="G175" i="41"/>
  <c r="H168" i="41"/>
  <c r="H170" i="41"/>
  <c r="H172" i="41"/>
  <c r="H165" i="41"/>
  <c r="H173" i="41"/>
  <c r="H167" i="41"/>
  <c r="H164" i="41"/>
  <c r="H166" i="41"/>
  <c r="H169" i="41"/>
  <c r="H175" i="41"/>
  <c r="H171" i="41"/>
  <c r="H174" i="41"/>
  <c r="I166" i="41"/>
  <c r="I170" i="41"/>
  <c r="I174" i="41"/>
  <c r="I165" i="41"/>
  <c r="I167" i="41"/>
  <c r="I169" i="41"/>
  <c r="I171" i="41"/>
  <c r="I173" i="41"/>
  <c r="I175" i="41"/>
  <c r="I164" i="41"/>
  <c r="I168" i="41"/>
  <c r="I172" i="41"/>
  <c r="B131" i="46"/>
  <c r="D129" i="46" s="1"/>
  <c r="E129" i="46" s="1"/>
  <c r="I139" i="46"/>
  <c r="F142" i="46" s="1"/>
  <c r="F30" i="45" s="1"/>
  <c r="G139" i="46"/>
  <c r="E142" i="46" s="1"/>
  <c r="E30" i="45" s="1"/>
  <c r="D134" i="46"/>
  <c r="E134" i="46" s="1"/>
  <c r="F129" i="46"/>
  <c r="G129" i="46" s="1"/>
  <c r="E139" i="46"/>
  <c r="D142" i="46" s="1"/>
  <c r="D30" i="45" s="1"/>
  <c r="D127" i="46"/>
  <c r="E127" i="46" s="1"/>
  <c r="J135" i="46"/>
  <c r="K135" i="46" s="1"/>
  <c r="K139" i="46"/>
  <c r="G142" i="46" s="1"/>
  <c r="G30" i="45" s="1"/>
  <c r="J134" i="46"/>
  <c r="K134" i="46" s="1"/>
  <c r="J132" i="46"/>
  <c r="K132" i="46" s="1"/>
  <c r="J136" i="46"/>
  <c r="K136" i="46" s="1"/>
  <c r="M139" i="46"/>
  <c r="H142" i="46" s="1"/>
  <c r="H30" i="45" s="1"/>
  <c r="L129" i="46"/>
  <c r="M129" i="46" s="1"/>
  <c r="L126" i="46"/>
  <c r="M126" i="46" s="1"/>
  <c r="L128" i="46"/>
  <c r="M128" i="46" s="1"/>
  <c r="L137" i="46"/>
  <c r="M137" i="46" s="1"/>
  <c r="D41" i="37"/>
  <c r="D42" i="37" s="1"/>
  <c r="D28" i="10"/>
  <c r="D181" i="28"/>
  <c r="D182" i="28" s="1"/>
  <c r="D184" i="28" s="1"/>
  <c r="D185" i="28" s="1"/>
  <c r="D41" i="29"/>
  <c r="D42" i="29" s="1"/>
  <c r="P9" i="18"/>
  <c r="O123" i="43"/>
  <c r="C109" i="43"/>
  <c r="O109" i="43" s="1"/>
  <c r="C137" i="43"/>
  <c r="C149" i="43" s="1"/>
  <c r="C162" i="43" s="1"/>
  <c r="C174" i="43" s="1"/>
  <c r="D6" i="42"/>
  <c r="D6" i="41"/>
  <c r="D6" i="46"/>
  <c r="D6" i="48"/>
  <c r="D147" i="39"/>
  <c r="D262" i="39"/>
  <c r="D63" i="39"/>
  <c r="D119" i="39"/>
  <c r="D181" i="39"/>
  <c r="D91" i="39"/>
  <c r="D290" i="39"/>
  <c r="D206" i="39"/>
  <c r="D35" i="39"/>
  <c r="D234" i="39"/>
  <c r="D318" i="39"/>
  <c r="O126" i="43"/>
  <c r="C140" i="43"/>
  <c r="C152" i="43" s="1"/>
  <c r="C165" i="43" s="1"/>
  <c r="C177" i="43" s="1"/>
  <c r="C112" i="43"/>
  <c r="O112" i="43" s="1"/>
  <c r="N129" i="42"/>
  <c r="N167" i="42"/>
  <c r="N67" i="42"/>
  <c r="N84" i="42"/>
  <c r="N98" i="42"/>
  <c r="N86" i="42"/>
  <c r="N190" i="42"/>
  <c r="N119" i="42"/>
  <c r="N194" i="42"/>
  <c r="N102" i="42"/>
  <c r="O133" i="43"/>
  <c r="C119" i="43"/>
  <c r="O119" i="43" s="1"/>
  <c r="C147" i="43"/>
  <c r="C159" i="43" s="1"/>
  <c r="C172" i="43" s="1"/>
  <c r="C184" i="43" s="1"/>
  <c r="C118" i="15"/>
  <c r="C146" i="15"/>
  <c r="C158" i="15" s="1"/>
  <c r="C171" i="15" s="1"/>
  <c r="C183" i="15" s="1"/>
  <c r="O132" i="15"/>
  <c r="C147" i="45"/>
  <c r="C159" i="45" s="1"/>
  <c r="C172" i="45" s="1"/>
  <c r="C184" i="45" s="1"/>
  <c r="O133" i="45"/>
  <c r="C119" i="45"/>
  <c r="O119" i="45" s="1"/>
  <c r="J103" i="41"/>
  <c r="D321" i="37"/>
  <c r="D91" i="37"/>
  <c r="D63" i="37"/>
  <c r="D293" i="37"/>
  <c r="D265" i="37"/>
  <c r="D209" i="37"/>
  <c r="D150" i="37"/>
  <c r="D184" i="37"/>
  <c r="D122" i="37"/>
  <c r="D237" i="37"/>
  <c r="B172" i="46"/>
  <c r="B169" i="46"/>
  <c r="B170" i="46" s="1"/>
  <c r="D15" i="41"/>
  <c r="D15" i="42"/>
  <c r="D15" i="48"/>
  <c r="D15" i="46"/>
  <c r="C79" i="16"/>
  <c r="C81" i="16" s="1"/>
  <c r="C73" i="16"/>
  <c r="C74" i="16" s="1"/>
  <c r="D11" i="42"/>
  <c r="D11" i="48"/>
  <c r="D11" i="46"/>
  <c r="D11" i="41"/>
  <c r="O124" i="47"/>
  <c r="C110" i="47"/>
  <c r="O110" i="47" s="1"/>
  <c r="C138" i="47"/>
  <c r="C150" i="47" s="1"/>
  <c r="C163" i="47" s="1"/>
  <c r="C175" i="47" s="1"/>
  <c r="D8" i="46"/>
  <c r="D8" i="42"/>
  <c r="D8" i="48"/>
  <c r="D8" i="41"/>
  <c r="C59" i="16"/>
  <c r="C53" i="16"/>
  <c r="C54" i="16" s="1"/>
  <c r="O128" i="45"/>
  <c r="C142" i="45"/>
  <c r="C154" i="45" s="1"/>
  <c r="C167" i="45" s="1"/>
  <c r="C179" i="45" s="1"/>
  <c r="C114" i="45"/>
  <c r="O114" i="45" s="1"/>
  <c r="D10" i="46"/>
  <c r="D10" i="42"/>
  <c r="D10" i="48"/>
  <c r="N206" i="42"/>
  <c r="N173" i="42"/>
  <c r="N169" i="42"/>
  <c r="N210" i="42"/>
  <c r="N95" i="42"/>
  <c r="N64" i="42"/>
  <c r="N212" i="42"/>
  <c r="N100" i="42"/>
  <c r="N114" i="42"/>
  <c r="N156" i="42"/>
  <c r="N82" i="42"/>
  <c r="N187" i="42"/>
  <c r="N60" i="42"/>
  <c r="N117" i="42"/>
  <c r="N80" i="42"/>
  <c r="N31" i="42"/>
  <c r="N94" i="42"/>
  <c r="N75" i="42"/>
  <c r="N188" i="42"/>
  <c r="B130" i="48"/>
  <c r="H134" i="48" s="1"/>
  <c r="I134" i="48" s="1"/>
  <c r="J97" i="41"/>
  <c r="J29" i="41"/>
  <c r="J93" i="41"/>
  <c r="J99" i="41"/>
  <c r="J95" i="41"/>
  <c r="J21" i="41"/>
  <c r="C146" i="45"/>
  <c r="C158" i="45" s="1"/>
  <c r="C171" i="45" s="1"/>
  <c r="C183" i="45" s="1"/>
  <c r="O132" i="45"/>
  <c r="C118" i="45"/>
  <c r="O118" i="45" s="1"/>
  <c r="C159" i="16"/>
  <c r="C161" i="16" s="1"/>
  <c r="C153" i="16"/>
  <c r="C154" i="16" s="1"/>
  <c r="O132" i="43"/>
  <c r="C118" i="43"/>
  <c r="O118" i="43" s="1"/>
  <c r="C146" i="43"/>
  <c r="C158" i="43" s="1"/>
  <c r="C171" i="43" s="1"/>
  <c r="C183" i="43" s="1"/>
  <c r="O134" i="15"/>
  <c r="C148" i="15"/>
  <c r="C160" i="15" s="1"/>
  <c r="C173" i="15" s="1"/>
  <c r="C185" i="15" s="1"/>
  <c r="C120" i="15"/>
  <c r="O126" i="47"/>
  <c r="C140" i="47"/>
  <c r="C152" i="47" s="1"/>
  <c r="C165" i="47" s="1"/>
  <c r="C177" i="47" s="1"/>
  <c r="C112" i="47"/>
  <c r="O112" i="47" s="1"/>
  <c r="F63" i="41"/>
  <c r="F61" i="41"/>
  <c r="F67" i="41"/>
  <c r="F60" i="41"/>
  <c r="F56" i="41"/>
  <c r="E60" i="41"/>
  <c r="D57" i="41"/>
  <c r="E59" i="41"/>
  <c r="F64" i="41"/>
  <c r="E65" i="41"/>
  <c r="D62" i="41"/>
  <c r="D60" i="41"/>
  <c r="F59" i="41"/>
  <c r="F66" i="41"/>
  <c r="F65" i="41"/>
  <c r="E58" i="41"/>
  <c r="E63" i="41"/>
  <c r="D65" i="41"/>
  <c r="F62" i="41"/>
  <c r="F57" i="41"/>
  <c r="D59" i="41"/>
  <c r="E66" i="41"/>
  <c r="B57" i="41"/>
  <c r="B58" i="41" s="1"/>
  <c r="E64" i="41"/>
  <c r="D67" i="41"/>
  <c r="E67" i="41"/>
  <c r="B60" i="41"/>
  <c r="D58" i="41"/>
  <c r="D56" i="41"/>
  <c r="E57" i="41"/>
  <c r="E56" i="41"/>
  <c r="E62" i="41"/>
  <c r="D61" i="41"/>
  <c r="D64" i="41"/>
  <c r="F58" i="41"/>
  <c r="E61" i="41"/>
  <c r="D63" i="41"/>
  <c r="D66" i="41"/>
  <c r="G59" i="41"/>
  <c r="G61" i="41"/>
  <c r="G63" i="41"/>
  <c r="G57" i="41"/>
  <c r="G67" i="41"/>
  <c r="G60" i="41"/>
  <c r="G65" i="41"/>
  <c r="G58" i="41"/>
  <c r="G56" i="41"/>
  <c r="G66" i="41"/>
  <c r="G62" i="41"/>
  <c r="G64" i="41"/>
  <c r="H67" i="41"/>
  <c r="H60" i="41"/>
  <c r="H62" i="41"/>
  <c r="H56" i="41"/>
  <c r="H64" i="41"/>
  <c r="H66" i="41"/>
  <c r="H58" i="41"/>
  <c r="H59" i="41"/>
  <c r="H57" i="41"/>
  <c r="H65" i="41"/>
  <c r="H61" i="41"/>
  <c r="H63" i="41"/>
  <c r="I56" i="41"/>
  <c r="I61" i="41"/>
  <c r="I64" i="41"/>
  <c r="I66" i="41"/>
  <c r="I57" i="41"/>
  <c r="I59" i="41"/>
  <c r="I62" i="41"/>
  <c r="I63" i="41"/>
  <c r="I65" i="41"/>
  <c r="I60" i="41"/>
  <c r="I58" i="41"/>
  <c r="I67" i="41"/>
  <c r="O132" i="47"/>
  <c r="C118" i="47"/>
  <c r="O118" i="47" s="1"/>
  <c r="C146" i="47"/>
  <c r="C158" i="47" s="1"/>
  <c r="C171" i="47" s="1"/>
  <c r="C183" i="47" s="1"/>
  <c r="O127" i="15"/>
  <c r="C141" i="15"/>
  <c r="C153" i="15" s="1"/>
  <c r="C166" i="15" s="1"/>
  <c r="C178" i="15" s="1"/>
  <c r="C113" i="15"/>
  <c r="D5" i="41"/>
  <c r="D5" i="48"/>
  <c r="D5" i="46"/>
  <c r="D5" i="42"/>
  <c r="B46" i="46"/>
  <c r="B43" i="46"/>
  <c r="B44" i="46" s="1"/>
  <c r="D14" i="48"/>
  <c r="D14" i="46"/>
  <c r="D14" i="42"/>
  <c r="D14" i="41"/>
  <c r="N132" i="42"/>
  <c r="N171" i="42"/>
  <c r="N165" i="42"/>
  <c r="N172" i="42"/>
  <c r="N136" i="42"/>
  <c r="N205" i="42"/>
  <c r="N118" i="42"/>
  <c r="N158" i="42"/>
  <c r="N191" i="42"/>
  <c r="N112" i="42"/>
  <c r="N101" i="42"/>
  <c r="N65" i="42"/>
  <c r="N78" i="42"/>
  <c r="N208" i="42"/>
  <c r="N43" i="42"/>
  <c r="N140" i="42"/>
  <c r="N186" i="42"/>
  <c r="J27" i="41"/>
  <c r="J172" i="41"/>
  <c r="J31" i="41"/>
  <c r="J22" i="41"/>
  <c r="J30" i="41"/>
  <c r="J28" i="41"/>
  <c r="O131" i="15"/>
  <c r="C117" i="15"/>
  <c r="C145" i="15"/>
  <c r="C157" i="15" s="1"/>
  <c r="C170" i="15" s="1"/>
  <c r="C182" i="15" s="1"/>
  <c r="C138" i="45"/>
  <c r="C150" i="45" s="1"/>
  <c r="C163" i="45" s="1"/>
  <c r="C175" i="45" s="1"/>
  <c r="O124" i="45"/>
  <c r="C110" i="45"/>
  <c r="O110" i="45" s="1"/>
  <c r="D9" i="42"/>
  <c r="D9" i="48"/>
  <c r="D9" i="46"/>
  <c r="D9" i="41"/>
  <c r="F207" i="41"/>
  <c r="F209" i="41"/>
  <c r="F200" i="41"/>
  <c r="F202" i="41"/>
  <c r="F211" i="41"/>
  <c r="F208" i="41"/>
  <c r="F206" i="41"/>
  <c r="F201" i="41"/>
  <c r="F210" i="41"/>
  <c r="F205" i="41"/>
  <c r="F204" i="41"/>
  <c r="F203" i="41"/>
  <c r="B204" i="41"/>
  <c r="E206" i="41"/>
  <c r="D210" i="41"/>
  <c r="E200" i="41"/>
  <c r="E204" i="41"/>
  <c r="D207" i="41"/>
  <c r="B201" i="41"/>
  <c r="B202" i="41" s="1"/>
  <c r="E205" i="41"/>
  <c r="E209" i="41"/>
  <c r="D201" i="41"/>
  <c r="E203" i="41"/>
  <c r="E211" i="41"/>
  <c r="D206" i="41"/>
  <c r="D204" i="41"/>
  <c r="E202" i="41"/>
  <c r="E210" i="41"/>
  <c r="D209" i="41"/>
  <c r="D203" i="41"/>
  <c r="D211" i="41"/>
  <c r="E207" i="41"/>
  <c r="E208" i="41"/>
  <c r="D200" i="41"/>
  <c r="D208" i="41"/>
  <c r="D202" i="41"/>
  <c r="D205" i="41"/>
  <c r="E201" i="41"/>
  <c r="G207" i="41"/>
  <c r="G209" i="41"/>
  <c r="G205" i="41"/>
  <c r="G203" i="41"/>
  <c r="G208" i="41"/>
  <c r="G201" i="41"/>
  <c r="G206" i="41"/>
  <c r="G200" i="41"/>
  <c r="G211" i="41"/>
  <c r="G202" i="41"/>
  <c r="G204" i="41"/>
  <c r="G210" i="41"/>
  <c r="H200" i="41"/>
  <c r="H208" i="41"/>
  <c r="H202" i="41"/>
  <c r="H210" i="41"/>
  <c r="H203" i="41"/>
  <c r="H204" i="41"/>
  <c r="H206" i="41"/>
  <c r="H201" i="41"/>
  <c r="H211" i="41"/>
  <c r="H207" i="41"/>
  <c r="H209" i="41"/>
  <c r="H205" i="41"/>
  <c r="I200" i="41"/>
  <c r="I204" i="41"/>
  <c r="I208" i="41"/>
  <c r="I202" i="41"/>
  <c r="I206" i="41"/>
  <c r="I201" i="41"/>
  <c r="I203" i="41"/>
  <c r="I205" i="41"/>
  <c r="I207" i="41"/>
  <c r="I210" i="41"/>
  <c r="I209" i="41"/>
  <c r="I211" i="41"/>
  <c r="O124" i="43"/>
  <c r="C110" i="43"/>
  <c r="O110" i="43" s="1"/>
  <c r="C138" i="43"/>
  <c r="C150" i="43" s="1"/>
  <c r="C163" i="43" s="1"/>
  <c r="C175" i="43" s="1"/>
  <c r="D13" i="46"/>
  <c r="D13" i="41"/>
  <c r="D13" i="48"/>
  <c r="D13" i="42"/>
  <c r="O130" i="15"/>
  <c r="C116" i="15"/>
  <c r="C144" i="15"/>
  <c r="C156" i="15" s="1"/>
  <c r="C169" i="15" s="1"/>
  <c r="C181" i="15" s="1"/>
  <c r="O125" i="45"/>
  <c r="C111" i="45"/>
  <c r="O111" i="45" s="1"/>
  <c r="C139" i="45"/>
  <c r="C151" i="45" s="1"/>
  <c r="C164" i="45" s="1"/>
  <c r="C176" i="45" s="1"/>
  <c r="O126" i="45"/>
  <c r="C140" i="45"/>
  <c r="C152" i="45" s="1"/>
  <c r="C165" i="45" s="1"/>
  <c r="C177" i="45" s="1"/>
  <c r="C112" i="45"/>
  <c r="O112" i="45" s="1"/>
  <c r="B214" i="46"/>
  <c r="B211" i="46"/>
  <c r="B212" i="46" s="1"/>
  <c r="N168" i="42"/>
  <c r="N32" i="42"/>
  <c r="N93" i="42"/>
  <c r="N175" i="42"/>
  <c r="N138" i="42"/>
  <c r="N48" i="42"/>
  <c r="N189" i="42"/>
  <c r="B133" i="42"/>
  <c r="B97" i="42"/>
  <c r="B205" i="42"/>
  <c r="B79" i="42"/>
  <c r="B115" i="42"/>
  <c r="B43" i="42"/>
  <c r="B61" i="42"/>
  <c r="B169" i="42"/>
  <c r="B187" i="42"/>
  <c r="B151" i="42"/>
  <c r="B25" i="42"/>
  <c r="N76" i="42"/>
  <c r="N121" i="42"/>
  <c r="N61" i="42"/>
  <c r="N41" i="42"/>
  <c r="N154" i="42"/>
  <c r="N25" i="42"/>
  <c r="N184" i="42"/>
  <c r="N21" i="42"/>
  <c r="N149" i="42"/>
  <c r="N174" i="42"/>
  <c r="N46" i="42"/>
  <c r="O128" i="47"/>
  <c r="C142" i="47"/>
  <c r="C154" i="47" s="1"/>
  <c r="C167" i="47" s="1"/>
  <c r="C179" i="47" s="1"/>
  <c r="C114" i="47"/>
  <c r="O114" i="47" s="1"/>
  <c r="J23" i="41"/>
  <c r="J168" i="41"/>
  <c r="J174" i="41"/>
  <c r="J170" i="41"/>
  <c r="C119" i="16"/>
  <c r="C113" i="16"/>
  <c r="C114" i="16" s="1"/>
  <c r="F23" i="2"/>
  <c r="L26" i="22"/>
  <c r="L28" i="22" s="1"/>
  <c r="L29" i="22" s="1"/>
  <c r="F22" i="2"/>
  <c r="P184" i="30"/>
  <c r="D185" i="30"/>
  <c r="E185" i="30" s="1"/>
  <c r="F185" i="30" s="1"/>
  <c r="G185" i="30" s="1"/>
  <c r="H185" i="30" s="1"/>
  <c r="I185" i="30" s="1"/>
  <c r="J185" i="30" s="1"/>
  <c r="K185" i="30" s="1"/>
  <c r="L185" i="30" s="1"/>
  <c r="M185" i="30" s="1"/>
  <c r="N185" i="30" s="1"/>
  <c r="O129" i="43"/>
  <c r="C115" i="43"/>
  <c r="O115" i="43" s="1"/>
  <c r="C143" i="43"/>
  <c r="C155" i="43" s="1"/>
  <c r="C168" i="43" s="1"/>
  <c r="C180" i="43" s="1"/>
  <c r="F137" i="41"/>
  <c r="F139" i="41"/>
  <c r="F130" i="41"/>
  <c r="F128" i="41"/>
  <c r="F138" i="41"/>
  <c r="F134" i="41"/>
  <c r="F136" i="41"/>
  <c r="F129" i="41"/>
  <c r="F133" i="41"/>
  <c r="F135" i="41"/>
  <c r="F132" i="41"/>
  <c r="F131" i="41"/>
  <c r="D135" i="41"/>
  <c r="E131" i="41"/>
  <c r="E129" i="41"/>
  <c r="B132" i="41"/>
  <c r="D129" i="41"/>
  <c r="D132" i="41"/>
  <c r="E132" i="41"/>
  <c r="E130" i="41"/>
  <c r="D134" i="41"/>
  <c r="D137" i="41"/>
  <c r="E137" i="41"/>
  <c r="D131" i="41"/>
  <c r="E138" i="41"/>
  <c r="E135" i="41"/>
  <c r="E136" i="41"/>
  <c r="D139" i="41"/>
  <c r="D136" i="41"/>
  <c r="D130" i="41"/>
  <c r="D128" i="41"/>
  <c r="B129" i="41"/>
  <c r="B130" i="41" s="1"/>
  <c r="E128" i="41"/>
  <c r="D133" i="41"/>
  <c r="E133" i="41"/>
  <c r="E134" i="41"/>
  <c r="D138" i="41"/>
  <c r="E139" i="41"/>
  <c r="G134" i="41"/>
  <c r="G136" i="41"/>
  <c r="G135" i="41"/>
  <c r="G130" i="41"/>
  <c r="G132" i="41"/>
  <c r="G131" i="41"/>
  <c r="G133" i="41"/>
  <c r="G129" i="41"/>
  <c r="G139" i="41"/>
  <c r="G137" i="41"/>
  <c r="G128" i="41"/>
  <c r="G138" i="41"/>
  <c r="H129" i="41"/>
  <c r="H137" i="41"/>
  <c r="H131" i="41"/>
  <c r="H139" i="41"/>
  <c r="H132" i="41"/>
  <c r="H136" i="41"/>
  <c r="H134" i="41"/>
  <c r="H130" i="41"/>
  <c r="H133" i="41"/>
  <c r="H128" i="41"/>
  <c r="H135" i="41"/>
  <c r="H138" i="41"/>
  <c r="I139" i="41"/>
  <c r="I136" i="41"/>
  <c r="I134" i="41"/>
  <c r="I130" i="41"/>
  <c r="I138" i="41"/>
  <c r="I129" i="41"/>
  <c r="I131" i="41"/>
  <c r="I133" i="41"/>
  <c r="I135" i="41"/>
  <c r="I128" i="41"/>
  <c r="I137" i="41"/>
  <c r="I132" i="41"/>
  <c r="O131" i="43"/>
  <c r="C145" i="43"/>
  <c r="C157" i="43" s="1"/>
  <c r="C170" i="43" s="1"/>
  <c r="C182" i="43" s="1"/>
  <c r="C117" i="43"/>
  <c r="O117" i="43" s="1"/>
  <c r="F76" i="41"/>
  <c r="F79" i="41"/>
  <c r="F80" i="41"/>
  <c r="F75" i="41"/>
  <c r="F82" i="41"/>
  <c r="F78" i="41"/>
  <c r="F85" i="41"/>
  <c r="F74" i="41"/>
  <c r="F81" i="41"/>
  <c r="F77" i="41"/>
  <c r="F83" i="41"/>
  <c r="F84" i="41"/>
  <c r="E82" i="41"/>
  <c r="D81" i="41"/>
  <c r="D85" i="41"/>
  <c r="B78" i="41"/>
  <c r="D83" i="41"/>
  <c r="D78" i="41"/>
  <c r="D82" i="41"/>
  <c r="E83" i="41"/>
  <c r="E76" i="41"/>
  <c r="E84" i="41"/>
  <c r="E75" i="41"/>
  <c r="D79" i="41"/>
  <c r="D80" i="41"/>
  <c r="D76" i="41"/>
  <c r="D75" i="41"/>
  <c r="B75" i="41"/>
  <c r="B76" i="41" s="1"/>
  <c r="D74" i="41"/>
  <c r="E85" i="41"/>
  <c r="E77" i="41"/>
  <c r="D84" i="41"/>
  <c r="D77" i="41"/>
  <c r="E74" i="41"/>
  <c r="E80" i="41"/>
  <c r="E81" i="41"/>
  <c r="E79" i="41"/>
  <c r="E78" i="41"/>
  <c r="G79" i="41"/>
  <c r="G83" i="41"/>
  <c r="G76" i="41"/>
  <c r="G84" i="41"/>
  <c r="G81" i="41"/>
  <c r="G74" i="41"/>
  <c r="G80" i="41"/>
  <c r="G85" i="41"/>
  <c r="G77" i="41"/>
  <c r="G78" i="41"/>
  <c r="G82" i="41"/>
  <c r="G75" i="41"/>
  <c r="H80" i="41"/>
  <c r="H74" i="41"/>
  <c r="H75" i="41"/>
  <c r="H85" i="41"/>
  <c r="H79" i="41"/>
  <c r="H81" i="41"/>
  <c r="H77" i="41"/>
  <c r="H83" i="41"/>
  <c r="H82" i="41"/>
  <c r="H76" i="41"/>
  <c r="H84" i="41"/>
  <c r="H78" i="41"/>
  <c r="I79" i="41"/>
  <c r="I77" i="41"/>
  <c r="I75" i="41"/>
  <c r="I80" i="41"/>
  <c r="I81" i="41"/>
  <c r="I76" i="41"/>
  <c r="I82" i="41"/>
  <c r="I85" i="41"/>
  <c r="I83" i="41"/>
  <c r="I84" i="41"/>
  <c r="I78" i="41"/>
  <c r="I74" i="41"/>
  <c r="C141" i="45"/>
  <c r="C153" i="45" s="1"/>
  <c r="C166" i="45" s="1"/>
  <c r="C178" i="45" s="1"/>
  <c r="O127" i="45"/>
  <c r="C113" i="45"/>
  <c r="O113" i="45" s="1"/>
  <c r="C33" i="16"/>
  <c r="C34" i="16" s="1"/>
  <c r="C39" i="16"/>
  <c r="C41" i="16" s="1"/>
  <c r="O125" i="15"/>
  <c r="C139" i="15"/>
  <c r="C151" i="15" s="1"/>
  <c r="C164" i="15" s="1"/>
  <c r="C176" i="15" s="1"/>
  <c r="C111" i="15"/>
  <c r="C199" i="16"/>
  <c r="C193" i="16"/>
  <c r="C194" i="16" s="1"/>
  <c r="N209" i="42"/>
  <c r="N85" i="42"/>
  <c r="N166" i="42"/>
  <c r="N133" i="42"/>
  <c r="N30" i="42"/>
  <c r="N201" i="42"/>
  <c r="N157" i="42"/>
  <c r="N47" i="42"/>
  <c r="N170" i="42"/>
  <c r="N49" i="42"/>
  <c r="N111" i="42"/>
  <c r="N63" i="42"/>
  <c r="C14" i="16"/>
  <c r="C20" i="16"/>
  <c r="O133" i="15"/>
  <c r="C147" i="15"/>
  <c r="C159" i="15" s="1"/>
  <c r="C172" i="15" s="1"/>
  <c r="C184" i="15" s="1"/>
  <c r="C119" i="15"/>
  <c r="J101" i="41"/>
  <c r="J100" i="41"/>
  <c r="O134" i="47"/>
  <c r="C120" i="47"/>
  <c r="O120" i="47" s="1"/>
  <c r="C148" i="47"/>
  <c r="C160" i="47" s="1"/>
  <c r="C173" i="47" s="1"/>
  <c r="C185" i="47" s="1"/>
  <c r="F156" i="41"/>
  <c r="F148" i="41"/>
  <c r="F150" i="41"/>
  <c r="F147" i="41"/>
  <c r="F146" i="41"/>
  <c r="E150" i="41"/>
  <c r="B147" i="41"/>
  <c r="B148" i="41" s="1"/>
  <c r="D156" i="41"/>
  <c r="F149" i="41"/>
  <c r="E155" i="41"/>
  <c r="D153" i="41"/>
  <c r="E153" i="41"/>
  <c r="F153" i="41"/>
  <c r="B150" i="41"/>
  <c r="E148" i="41"/>
  <c r="D147" i="41"/>
  <c r="D154" i="41"/>
  <c r="F155" i="41"/>
  <c r="E157" i="41"/>
  <c r="D149" i="41"/>
  <c r="D152" i="41"/>
  <c r="E149" i="41"/>
  <c r="F157" i="41"/>
  <c r="F152" i="41"/>
  <c r="E147" i="41"/>
  <c r="E154" i="41"/>
  <c r="E156" i="41"/>
  <c r="D150" i="41"/>
  <c r="D148" i="41"/>
  <c r="D157" i="41"/>
  <c r="F154" i="41"/>
  <c r="F151" i="41"/>
  <c r="E146" i="41"/>
  <c r="D155" i="41"/>
  <c r="D146" i="41"/>
  <c r="E151" i="41"/>
  <c r="E152" i="41"/>
  <c r="D151" i="41"/>
  <c r="G152" i="41"/>
  <c r="G157" i="41"/>
  <c r="G148" i="41"/>
  <c r="G150" i="41"/>
  <c r="G154" i="41"/>
  <c r="G156" i="41"/>
  <c r="G149" i="41"/>
  <c r="G151" i="41"/>
  <c r="G147" i="41"/>
  <c r="G146" i="41"/>
  <c r="G153" i="41"/>
  <c r="G155" i="41"/>
  <c r="H156" i="41"/>
  <c r="H150" i="41"/>
  <c r="H151" i="41"/>
  <c r="H153" i="41"/>
  <c r="H148" i="41"/>
  <c r="H147" i="41"/>
  <c r="H146" i="41"/>
  <c r="H155" i="41"/>
  <c r="H149" i="41"/>
  <c r="H154" i="41"/>
  <c r="H152" i="41"/>
  <c r="H157" i="41"/>
  <c r="I147" i="41"/>
  <c r="I149" i="41"/>
  <c r="I153" i="41"/>
  <c r="I146" i="41"/>
  <c r="I151" i="41"/>
  <c r="I155" i="41"/>
  <c r="I157" i="41"/>
  <c r="I150" i="41"/>
  <c r="I154" i="41"/>
  <c r="I148" i="41"/>
  <c r="I152" i="41"/>
  <c r="I156" i="41"/>
  <c r="B235" i="46"/>
  <c r="B232" i="46"/>
  <c r="B233" i="46" s="1"/>
  <c r="C148" i="45"/>
  <c r="C160" i="45" s="1"/>
  <c r="C173" i="45" s="1"/>
  <c r="C185" i="45" s="1"/>
  <c r="C120" i="45"/>
  <c r="O120" i="45" s="1"/>
  <c r="O134" i="45"/>
  <c r="D7" i="46"/>
  <c r="D7" i="42"/>
  <c r="D7" i="48"/>
  <c r="D7" i="41"/>
  <c r="B193" i="46"/>
  <c r="B190" i="46"/>
  <c r="B191" i="46" s="1"/>
  <c r="C139" i="16"/>
  <c r="C133" i="16"/>
  <c r="C134" i="16" s="1"/>
  <c r="B88" i="46"/>
  <c r="B85" i="46"/>
  <c r="B86" i="46" s="1"/>
  <c r="O124" i="15"/>
  <c r="C110" i="15"/>
  <c r="C138" i="15"/>
  <c r="C150" i="15" s="1"/>
  <c r="C163" i="15" s="1"/>
  <c r="C175" i="15" s="1"/>
  <c r="E48" i="41"/>
  <c r="E46" i="41"/>
  <c r="D48" i="41"/>
  <c r="B42" i="41"/>
  <c r="D46" i="41"/>
  <c r="D43" i="41"/>
  <c r="D49" i="41"/>
  <c r="E40" i="41"/>
  <c r="E42" i="41"/>
  <c r="E47" i="41"/>
  <c r="E49" i="41"/>
  <c r="D38" i="41"/>
  <c r="D39" i="41"/>
  <c r="D44" i="41"/>
  <c r="E44" i="41"/>
  <c r="E43" i="41"/>
  <c r="D45" i="41"/>
  <c r="D42" i="41"/>
  <c r="D40" i="41"/>
  <c r="E45" i="41"/>
  <c r="E38" i="41"/>
  <c r="D41" i="41"/>
  <c r="B39" i="41"/>
  <c r="B40" i="41" s="1"/>
  <c r="E39" i="41"/>
  <c r="E41" i="41"/>
  <c r="D47" i="41"/>
  <c r="F38" i="41"/>
  <c r="F40" i="41"/>
  <c r="F47" i="41"/>
  <c r="F42" i="41"/>
  <c r="F41" i="41"/>
  <c r="F48" i="41"/>
  <c r="F46" i="41"/>
  <c r="F43" i="41"/>
  <c r="F44" i="41"/>
  <c r="F49" i="41"/>
  <c r="F45" i="41"/>
  <c r="F39" i="41"/>
  <c r="G43" i="41"/>
  <c r="G49" i="41"/>
  <c r="G44" i="41"/>
  <c r="G41" i="41"/>
  <c r="G40" i="41"/>
  <c r="G42" i="41"/>
  <c r="G48" i="41"/>
  <c r="G38" i="41"/>
  <c r="G39" i="41"/>
  <c r="G46" i="41"/>
  <c r="G45" i="41"/>
  <c r="G47" i="41"/>
  <c r="H38" i="41"/>
  <c r="H46" i="41"/>
  <c r="H40" i="41"/>
  <c r="H48" i="41"/>
  <c r="H42" i="41"/>
  <c r="H43" i="41"/>
  <c r="H45" i="41"/>
  <c r="H39" i="41"/>
  <c r="H41" i="41"/>
  <c r="H47" i="41"/>
  <c r="H49" i="41"/>
  <c r="H44" i="41"/>
  <c r="I42" i="41"/>
  <c r="I40" i="41"/>
  <c r="I41" i="41"/>
  <c r="I43" i="41"/>
  <c r="I38" i="41"/>
  <c r="I45" i="41"/>
  <c r="I48" i="41"/>
  <c r="I49" i="41"/>
  <c r="I39" i="41"/>
  <c r="I44" i="41"/>
  <c r="I46" i="41"/>
  <c r="I47" i="41"/>
  <c r="F182" i="41"/>
  <c r="F183" i="41"/>
  <c r="F185" i="41"/>
  <c r="F190" i="41"/>
  <c r="F187" i="41"/>
  <c r="F191" i="41"/>
  <c r="F186" i="41"/>
  <c r="F188" i="41"/>
  <c r="F184" i="41"/>
  <c r="F192" i="41"/>
  <c r="F189" i="41"/>
  <c r="F193" i="41"/>
  <c r="B186" i="41"/>
  <c r="B183" i="41"/>
  <c r="B184" i="41" s="1"/>
  <c r="E192" i="41"/>
  <c r="D190" i="41"/>
  <c r="E189" i="41"/>
  <c r="D187" i="41"/>
  <c r="E187" i="41"/>
  <c r="E183" i="41"/>
  <c r="E191" i="41"/>
  <c r="D191" i="41"/>
  <c r="E193" i="41"/>
  <c r="D185" i="41"/>
  <c r="E184" i="41"/>
  <c r="E188" i="41"/>
  <c r="D186" i="41"/>
  <c r="E185" i="41"/>
  <c r="D183" i="41"/>
  <c r="E186" i="41"/>
  <c r="D188" i="41"/>
  <c r="D193" i="41"/>
  <c r="D189" i="41"/>
  <c r="D184" i="41"/>
  <c r="D192" i="41"/>
  <c r="E182" i="41"/>
  <c r="D182" i="41"/>
  <c r="G189" i="41"/>
  <c r="G187" i="41"/>
  <c r="G185" i="41"/>
  <c r="G193" i="41"/>
  <c r="E190" i="41"/>
  <c r="G183" i="41"/>
  <c r="G190" i="41"/>
  <c r="G191" i="41"/>
  <c r="G186" i="41"/>
  <c r="G182" i="41"/>
  <c r="G184" i="41"/>
  <c r="G188" i="41"/>
  <c r="G192" i="41"/>
  <c r="H182" i="41"/>
  <c r="H193" i="41"/>
  <c r="H190" i="41"/>
  <c r="H188" i="41"/>
  <c r="H184" i="41"/>
  <c r="H183" i="41"/>
  <c r="H192" i="41"/>
  <c r="H186" i="41"/>
  <c r="H191" i="41"/>
  <c r="H189" i="41"/>
  <c r="H185" i="41"/>
  <c r="H187" i="41"/>
  <c r="I185" i="41"/>
  <c r="I186" i="41"/>
  <c r="I187" i="41"/>
  <c r="I189" i="41"/>
  <c r="I188" i="41"/>
  <c r="I190" i="41"/>
  <c r="I191" i="41"/>
  <c r="I192" i="41"/>
  <c r="I193" i="41"/>
  <c r="I182" i="41"/>
  <c r="I183" i="41"/>
  <c r="I184" i="41"/>
  <c r="N42" i="42"/>
  <c r="N203" i="42"/>
  <c r="N66" i="42"/>
  <c r="N26" i="42"/>
  <c r="N183" i="42"/>
  <c r="N28" i="42"/>
  <c r="N39" i="42"/>
  <c r="N99" i="42"/>
  <c r="N193" i="42"/>
  <c r="N96" i="42"/>
  <c r="N113" i="42"/>
  <c r="N147" i="42"/>
  <c r="N135" i="42"/>
  <c r="N68" i="42"/>
  <c r="N23" i="42"/>
  <c r="N116" i="42"/>
  <c r="N79" i="42"/>
  <c r="N152" i="42"/>
  <c r="F102" i="41"/>
  <c r="F93" i="41"/>
  <c r="F92" i="41"/>
  <c r="F95" i="41"/>
  <c r="F98" i="41"/>
  <c r="F96" i="41"/>
  <c r="F100" i="41"/>
  <c r="E95" i="41"/>
  <c r="E92" i="41"/>
  <c r="E100" i="41"/>
  <c r="D102" i="41"/>
  <c r="F94" i="41"/>
  <c r="F99" i="41"/>
  <c r="D96" i="41"/>
  <c r="E97" i="41"/>
  <c r="D94" i="41"/>
  <c r="D101" i="41"/>
  <c r="E98" i="41"/>
  <c r="D93" i="41"/>
  <c r="E99" i="41"/>
  <c r="D99" i="41"/>
  <c r="D98" i="41"/>
  <c r="D100" i="41"/>
  <c r="E96" i="41"/>
  <c r="E102" i="41"/>
  <c r="F97" i="41"/>
  <c r="B93" i="41"/>
  <c r="B94" i="41" s="1"/>
  <c r="E101" i="41"/>
  <c r="D103" i="41"/>
  <c r="F103" i="41"/>
  <c r="E103" i="41"/>
  <c r="E94" i="41"/>
  <c r="D92" i="41"/>
  <c r="F101" i="41"/>
  <c r="B96" i="41"/>
  <c r="E93" i="41"/>
  <c r="D95" i="41"/>
  <c r="D97" i="41"/>
  <c r="G98" i="41"/>
  <c r="G93" i="41"/>
  <c r="G95" i="41"/>
  <c r="G99" i="41"/>
  <c r="G101" i="41"/>
  <c r="G97" i="41"/>
  <c r="G96" i="41"/>
  <c r="G103" i="41"/>
  <c r="G100" i="41"/>
  <c r="G92" i="41"/>
  <c r="G94" i="41"/>
  <c r="G102" i="41"/>
  <c r="H97" i="41"/>
  <c r="H99" i="41"/>
  <c r="H92" i="41"/>
  <c r="H100" i="41"/>
  <c r="H94" i="41"/>
  <c r="H102" i="41"/>
  <c r="H103" i="41"/>
  <c r="H96" i="41"/>
  <c r="H93" i="41"/>
  <c r="H95" i="41"/>
  <c r="H101" i="41"/>
  <c r="H98" i="41"/>
  <c r="I102" i="41"/>
  <c r="I95" i="41"/>
  <c r="I93" i="41"/>
  <c r="I97" i="41"/>
  <c r="I99" i="41"/>
  <c r="I92" i="41"/>
  <c r="I101" i="41"/>
  <c r="I103" i="41"/>
  <c r="I96" i="41"/>
  <c r="I100" i="41"/>
  <c r="I94" i="41"/>
  <c r="I98" i="41"/>
  <c r="O126" i="15"/>
  <c r="C112" i="15"/>
  <c r="C140" i="15"/>
  <c r="C152" i="15" s="1"/>
  <c r="C165" i="15" s="1"/>
  <c r="C177" i="15" s="1"/>
  <c r="D20" i="41"/>
  <c r="B21" i="41"/>
  <c r="B22" i="41" s="1"/>
  <c r="D21" i="41"/>
  <c r="E28" i="41"/>
  <c r="F21" i="41"/>
  <c r="F23" i="41"/>
  <c r="F24" i="41"/>
  <c r="D24" i="41"/>
  <c r="D26" i="41"/>
  <c r="D29" i="41"/>
  <c r="F20" i="41"/>
  <c r="F29" i="41"/>
  <c r="F22" i="41"/>
  <c r="F31" i="41"/>
  <c r="E23" i="41"/>
  <c r="D30" i="41"/>
  <c r="D27" i="41"/>
  <c r="B24" i="41"/>
  <c r="E31" i="41"/>
  <c r="E27" i="41"/>
  <c r="F28" i="41"/>
  <c r="E21" i="41"/>
  <c r="F25" i="41"/>
  <c r="D23" i="41"/>
  <c r="E29" i="41"/>
  <c r="E24" i="41"/>
  <c r="D31" i="41"/>
  <c r="F30" i="41"/>
  <c r="E20" i="41"/>
  <c r="D28" i="41"/>
  <c r="F27" i="41"/>
  <c r="D25" i="41"/>
  <c r="E25" i="41"/>
  <c r="E22" i="41"/>
  <c r="E26" i="41"/>
  <c r="E30" i="41"/>
  <c r="D22" i="41"/>
  <c r="F26" i="41"/>
  <c r="G25" i="41"/>
  <c r="G20" i="41"/>
  <c r="G28" i="41"/>
  <c r="G29" i="41"/>
  <c r="G23" i="41"/>
  <c r="G24" i="41"/>
  <c r="G26" i="41"/>
  <c r="G22" i="41"/>
  <c r="G30" i="41"/>
  <c r="G21" i="41"/>
  <c r="G27" i="41"/>
  <c r="G31" i="41"/>
  <c r="H30" i="41"/>
  <c r="H20" i="41"/>
  <c r="H24" i="41"/>
  <c r="H21" i="41"/>
  <c r="H29" i="41"/>
  <c r="H23" i="41"/>
  <c r="H25" i="41"/>
  <c r="H31" i="41"/>
  <c r="H28" i="41"/>
  <c r="H27" i="41"/>
  <c r="H26" i="41"/>
  <c r="H22" i="41"/>
  <c r="I21" i="41"/>
  <c r="I24" i="41"/>
  <c r="I22" i="41"/>
  <c r="I31" i="41"/>
  <c r="I29" i="41"/>
  <c r="I20" i="41"/>
  <c r="I27" i="41"/>
  <c r="I30" i="41"/>
  <c r="I25" i="41"/>
  <c r="I28" i="41"/>
  <c r="I23" i="41"/>
  <c r="I26" i="41"/>
  <c r="J94" i="41"/>
  <c r="J96" i="41"/>
  <c r="J92" i="41"/>
  <c r="J98" i="41"/>
  <c r="J24" i="41"/>
  <c r="C116" i="43"/>
  <c r="O116" i="43" s="1"/>
  <c r="O130" i="43"/>
  <c r="C144" i="43"/>
  <c r="C156" i="43" s="1"/>
  <c r="C169" i="43" s="1"/>
  <c r="C181" i="43" s="1"/>
  <c r="O125" i="47"/>
  <c r="C111" i="47"/>
  <c r="O111" i="47" s="1"/>
  <c r="C139" i="47"/>
  <c r="C151" i="47" s="1"/>
  <c r="C164" i="47" s="1"/>
  <c r="C176" i="47" s="1"/>
  <c r="O128" i="15"/>
  <c r="C142" i="15"/>
  <c r="C154" i="15" s="1"/>
  <c r="C167" i="15" s="1"/>
  <c r="C179" i="15" s="1"/>
  <c r="C114" i="15"/>
  <c r="C219" i="16"/>
  <c r="C221" i="16" s="1"/>
  <c r="C213" i="16"/>
  <c r="C214" i="16" s="1"/>
  <c r="C179" i="16"/>
  <c r="C173" i="16"/>
  <c r="C174" i="16" s="1"/>
  <c r="O127" i="43"/>
  <c r="C141" i="43"/>
  <c r="C153" i="43" s="1"/>
  <c r="C166" i="43" s="1"/>
  <c r="C178" i="43" s="1"/>
  <c r="C113" i="43"/>
  <c r="O113" i="43" s="1"/>
  <c r="B151" i="46"/>
  <c r="B148" i="46"/>
  <c r="B149" i="46" s="1"/>
  <c r="D63" i="29"/>
  <c r="D119" i="29"/>
  <c r="D206" i="29"/>
  <c r="D181" i="29"/>
  <c r="D147" i="29"/>
  <c r="D91" i="29"/>
  <c r="D318" i="29"/>
  <c r="D290" i="29"/>
  <c r="D234" i="29"/>
  <c r="D262" i="29"/>
  <c r="O125" i="43"/>
  <c r="C139" i="43"/>
  <c r="C151" i="43" s="1"/>
  <c r="C164" i="43" s="1"/>
  <c r="C176" i="43" s="1"/>
  <c r="C111" i="43"/>
  <c r="O111" i="43" s="1"/>
  <c r="C99" i="16"/>
  <c r="C101" i="16" s="1"/>
  <c r="C93" i="16"/>
  <c r="C94" i="16" s="1"/>
  <c r="B25" i="46"/>
  <c r="B22" i="46"/>
  <c r="B23" i="46" s="1"/>
  <c r="O133" i="47"/>
  <c r="C147" i="47"/>
  <c r="C159" i="47" s="1"/>
  <c r="C172" i="47" s="1"/>
  <c r="C184" i="47" s="1"/>
  <c r="C119" i="47"/>
  <c r="O119" i="47" s="1"/>
  <c r="D123" i="41"/>
  <c r="D122" i="41"/>
  <c r="E123" i="41"/>
  <c r="E122" i="41"/>
  <c r="F122" i="41"/>
  <c r="F123" i="41"/>
  <c r="G122" i="41"/>
  <c r="G123" i="41"/>
  <c r="H122" i="41"/>
  <c r="H123" i="41"/>
  <c r="N204" i="42"/>
  <c r="N122" i="42"/>
  <c r="N153" i="42"/>
  <c r="N58" i="42"/>
  <c r="N24" i="42"/>
  <c r="N130" i="42"/>
  <c r="N59" i="42"/>
  <c r="N139" i="42"/>
  <c r="N134" i="42"/>
  <c r="N104" i="42"/>
  <c r="N150" i="42"/>
  <c r="N211" i="42"/>
  <c r="N151" i="42"/>
  <c r="N27" i="42"/>
  <c r="O130" i="45"/>
  <c r="C116" i="45"/>
  <c r="O116" i="45" s="1"/>
  <c r="C144" i="45"/>
  <c r="C156" i="45" s="1"/>
  <c r="C169" i="45" s="1"/>
  <c r="C181" i="45" s="1"/>
  <c r="D262" i="38"/>
  <c r="D318" i="38"/>
  <c r="D290" i="38"/>
  <c r="D234" i="38"/>
  <c r="D206" i="38"/>
  <c r="D147" i="38"/>
  <c r="D119" i="38"/>
  <c r="D63" i="38"/>
  <c r="D91" i="38"/>
  <c r="D181" i="38"/>
  <c r="D35" i="38"/>
  <c r="N57" i="42"/>
  <c r="N131" i="42"/>
  <c r="N120" i="42"/>
  <c r="N45" i="42"/>
  <c r="N77" i="42"/>
  <c r="N148" i="42"/>
  <c r="N62" i="42"/>
  <c r="N155" i="42"/>
  <c r="N40" i="42"/>
  <c r="N22" i="42"/>
  <c r="N97" i="42"/>
  <c r="N50" i="42"/>
  <c r="N115" i="42"/>
  <c r="N44" i="42"/>
  <c r="N185" i="42"/>
  <c r="N202" i="42"/>
  <c r="N192" i="42"/>
  <c r="N103" i="42"/>
  <c r="N29" i="42"/>
  <c r="N137" i="42"/>
  <c r="N83" i="42"/>
  <c r="N81" i="42"/>
  <c r="O127" i="47"/>
  <c r="C113" i="47"/>
  <c r="O113" i="47" s="1"/>
  <c r="C141" i="47"/>
  <c r="C153" i="47" s="1"/>
  <c r="C166" i="47" s="1"/>
  <c r="C178" i="47" s="1"/>
  <c r="D119" i="35"/>
  <c r="D63" i="35"/>
  <c r="D234" i="35"/>
  <c r="D147" i="35"/>
  <c r="D35" i="35"/>
  <c r="D41" i="35" s="1"/>
  <c r="D42" i="35" s="1"/>
  <c r="D318" i="35"/>
  <c r="D290" i="35"/>
  <c r="D262" i="35"/>
  <c r="D206" i="35"/>
  <c r="D181" i="35"/>
  <c r="D91" i="35"/>
  <c r="G104" i="18"/>
  <c r="I23" i="37"/>
  <c r="I24" i="37" s="1"/>
  <c r="I26" i="37" s="1"/>
  <c r="I194" i="38"/>
  <c r="I195" i="38" s="1"/>
  <c r="I197" i="38" s="1"/>
  <c r="I107" i="39"/>
  <c r="I108" i="39" s="1"/>
  <c r="I110" i="39" s="1"/>
  <c r="I79" i="37"/>
  <c r="I80" i="37" s="1"/>
  <c r="I82" i="37" s="1"/>
  <c r="I23" i="39"/>
  <c r="I24" i="39" s="1"/>
  <c r="I26" i="39" s="1"/>
  <c r="I197" i="37"/>
  <c r="I198" i="37" s="1"/>
  <c r="I200" i="37" s="1"/>
  <c r="I51" i="38"/>
  <c r="I52" i="38" s="1"/>
  <c r="I54" i="38" s="1"/>
  <c r="I47" i="47"/>
  <c r="I59" i="47" s="1"/>
  <c r="I83" i="47" s="1"/>
  <c r="I96" i="47" s="1"/>
  <c r="I43" i="47"/>
  <c r="I55" i="47" s="1"/>
  <c r="I79" i="47" s="1"/>
  <c r="I92" i="47" s="1"/>
  <c r="R51" i="18"/>
  <c r="Q59" i="18" s="1"/>
  <c r="I44" i="47"/>
  <c r="I41" i="47"/>
  <c r="I53" i="47" s="1"/>
  <c r="I77" i="47" s="1"/>
  <c r="I90" i="47" s="1"/>
  <c r="I45" i="15"/>
  <c r="I57" i="15" s="1"/>
  <c r="I81" i="15" s="1"/>
  <c r="I94" i="15" s="1"/>
  <c r="R50" i="18"/>
  <c r="Q58" i="18" s="1"/>
  <c r="I79" i="38"/>
  <c r="I80" i="38" s="1"/>
  <c r="I82" i="38" s="1"/>
  <c r="I278" i="38"/>
  <c r="I279" i="38" s="1"/>
  <c r="I281" i="38" s="1"/>
  <c r="N56" i="9"/>
  <c r="I250" i="39"/>
  <c r="I251" i="39" s="1"/>
  <c r="I253" i="39" s="1"/>
  <c r="I222" i="39"/>
  <c r="I223" i="39" s="1"/>
  <c r="I225" i="39" s="1"/>
  <c r="P283" i="37"/>
  <c r="I37" i="15"/>
  <c r="I49" i="15" s="1"/>
  <c r="I73" i="15" s="1"/>
  <c r="I86" i="15" s="1"/>
  <c r="I43" i="15"/>
  <c r="I55" i="15" s="1"/>
  <c r="I79" i="15" s="1"/>
  <c r="I92" i="15" s="1"/>
  <c r="I46" i="15"/>
  <c r="I58" i="15" s="1"/>
  <c r="I82" i="15" s="1"/>
  <c r="I95" i="15" s="1"/>
  <c r="J263" i="37"/>
  <c r="Q12" i="22"/>
  <c r="Q14" i="22" s="1"/>
  <c r="I43" i="45"/>
  <c r="I55" i="45" s="1"/>
  <c r="I79" i="45" s="1"/>
  <c r="I92" i="45" s="1"/>
  <c r="I46" i="45"/>
  <c r="I39" i="47"/>
  <c r="I51" i="47" s="1"/>
  <c r="I75" i="47" s="1"/>
  <c r="I88" i="47" s="1"/>
  <c r="I46" i="47"/>
  <c r="I58" i="47" s="1"/>
  <c r="I82" i="47" s="1"/>
  <c r="I95" i="47" s="1"/>
  <c r="I37" i="47"/>
  <c r="I49" i="47" s="1"/>
  <c r="I73" i="47" s="1"/>
  <c r="I86" i="47" s="1"/>
  <c r="I40" i="15"/>
  <c r="I52" i="15" s="1"/>
  <c r="I76" i="15" s="1"/>
  <c r="I89" i="15" s="1"/>
  <c r="I40" i="45"/>
  <c r="I52" i="45" s="1"/>
  <c r="I76" i="45" s="1"/>
  <c r="I89" i="45" s="1"/>
  <c r="I44" i="15"/>
  <c r="I56" i="15" s="1"/>
  <c r="I80" i="15" s="1"/>
  <c r="I93" i="15" s="1"/>
  <c r="I47" i="45"/>
  <c r="I59" i="45" s="1"/>
  <c r="I83" i="45" s="1"/>
  <c r="I96" i="45" s="1"/>
  <c r="I38" i="45"/>
  <c r="I50" i="45" s="1"/>
  <c r="I74" i="45" s="1"/>
  <c r="I87" i="45" s="1"/>
  <c r="I39" i="15"/>
  <c r="I51" i="15" s="1"/>
  <c r="I75" i="15" s="1"/>
  <c r="I88" i="15" s="1"/>
  <c r="I44" i="45"/>
  <c r="I56" i="45" s="1"/>
  <c r="I80" i="45" s="1"/>
  <c r="I93" i="45" s="1"/>
  <c r="I38" i="15"/>
  <c r="I50" i="15" s="1"/>
  <c r="I74" i="15" s="1"/>
  <c r="I87" i="15" s="1"/>
  <c r="I37" i="45"/>
  <c r="I49" i="45" s="1"/>
  <c r="I73" i="45" s="1"/>
  <c r="I86" i="45" s="1"/>
  <c r="I41" i="45"/>
  <c r="I53" i="45" s="1"/>
  <c r="I77" i="45" s="1"/>
  <c r="I90" i="45" s="1"/>
  <c r="I41" i="15"/>
  <c r="I53" i="15" s="1"/>
  <c r="I77" i="15" s="1"/>
  <c r="I90" i="15" s="1"/>
  <c r="I45" i="45"/>
  <c r="I57" i="45" s="1"/>
  <c r="I81" i="45" s="1"/>
  <c r="I94" i="45" s="1"/>
  <c r="J207" i="37"/>
  <c r="K232" i="38"/>
  <c r="K241" i="38" s="1"/>
  <c r="P185" i="30"/>
  <c r="K291" i="37"/>
  <c r="K300" i="37" s="1"/>
  <c r="K288" i="39"/>
  <c r="K297" i="39" s="1"/>
  <c r="K145" i="38"/>
  <c r="K154" i="38" s="1"/>
  <c r="J33" i="39"/>
  <c r="K204" i="38"/>
  <c r="K213" i="38" s="1"/>
  <c r="K288" i="38"/>
  <c r="K297" i="38" s="1"/>
  <c r="J204" i="39"/>
  <c r="J148" i="37"/>
  <c r="J145" i="39"/>
  <c r="J260" i="39"/>
  <c r="J61" i="37"/>
  <c r="M84" i="11"/>
  <c r="M85" i="11"/>
  <c r="M86" i="11" s="1"/>
  <c r="L87" i="11"/>
  <c r="M83" i="11" s="1"/>
  <c r="J316" i="39"/>
  <c r="J145" i="38"/>
  <c r="J89" i="38"/>
  <c r="J260" i="38"/>
  <c r="K117" i="38"/>
  <c r="K126" i="38" s="1"/>
  <c r="K316" i="38"/>
  <c r="K325" i="38" s="1"/>
  <c r="K260" i="38"/>
  <c r="K269" i="38" s="1"/>
  <c r="P58" i="18"/>
  <c r="O44" i="9"/>
  <c r="S15" i="9" s="1"/>
  <c r="S17" i="9" s="1"/>
  <c r="T15" i="9" s="1"/>
  <c r="Q57" i="18"/>
  <c r="E253" i="39"/>
  <c r="I259" i="29"/>
  <c r="P259" i="29" s="1"/>
  <c r="I203" i="29"/>
  <c r="P203" i="29" s="1"/>
  <c r="I60" i="29"/>
  <c r="I88" i="29"/>
  <c r="I287" i="29"/>
  <c r="P287" i="29" s="1"/>
  <c r="I32" i="29"/>
  <c r="P32" i="29" s="1"/>
  <c r="I116" i="29"/>
  <c r="P116" i="29" s="1"/>
  <c r="I144" i="29"/>
  <c r="P144" i="29" s="1"/>
  <c r="I231" i="29"/>
  <c r="P231" i="29" s="1"/>
  <c r="I315" i="29"/>
  <c r="K85" i="38"/>
  <c r="K87" i="38" s="1"/>
  <c r="K89" i="38" s="1"/>
  <c r="K98" i="38" s="1"/>
  <c r="P193" i="38"/>
  <c r="J29" i="35"/>
  <c r="J31" i="35" s="1"/>
  <c r="J33" i="35" s="1"/>
  <c r="E197" i="39"/>
  <c r="N194" i="39"/>
  <c r="N195" i="39" s="1"/>
  <c r="N197" i="39" s="1"/>
  <c r="N199" i="39" s="1"/>
  <c r="N222" i="39"/>
  <c r="N223" i="39" s="1"/>
  <c r="N225" i="39" s="1"/>
  <c r="N227" i="39" s="1"/>
  <c r="N281" i="37"/>
  <c r="N282" i="37" s="1"/>
  <c r="N284" i="37" s="1"/>
  <c r="N286" i="37" s="1"/>
  <c r="N253" i="37"/>
  <c r="N254" i="37" s="1"/>
  <c r="N256" i="37" s="1"/>
  <c r="N258" i="37" s="1"/>
  <c r="N194" i="38"/>
  <c r="N195" i="38" s="1"/>
  <c r="N197" i="38" s="1"/>
  <c r="N199" i="38" s="1"/>
  <c r="N51" i="37"/>
  <c r="N52" i="37" s="1"/>
  <c r="N54" i="37" s="1"/>
  <c r="N56" i="37" s="1"/>
  <c r="N278" i="38"/>
  <c r="N279" i="38" s="1"/>
  <c r="N281" i="38" s="1"/>
  <c r="N283" i="38" s="1"/>
  <c r="N250" i="39"/>
  <c r="N251" i="39" s="1"/>
  <c r="N253" i="39" s="1"/>
  <c r="N255" i="39" s="1"/>
  <c r="N306" i="39"/>
  <c r="N307" i="39" s="1"/>
  <c r="N309" i="39" s="1"/>
  <c r="N311" i="39" s="1"/>
  <c r="N79" i="39"/>
  <c r="N80" i="39" s="1"/>
  <c r="N82" i="39" s="1"/>
  <c r="N84" i="39" s="1"/>
  <c r="N107" i="39"/>
  <c r="N108" i="39" s="1"/>
  <c r="N110" i="39" s="1"/>
  <c r="N112" i="39" s="1"/>
  <c r="N250" i="38"/>
  <c r="N251" i="38" s="1"/>
  <c r="N253" i="38" s="1"/>
  <c r="N255" i="38" s="1"/>
  <c r="N51" i="39"/>
  <c r="N52" i="39" s="1"/>
  <c r="N54" i="39" s="1"/>
  <c r="N56" i="39" s="1"/>
  <c r="N79" i="37"/>
  <c r="N80" i="37" s="1"/>
  <c r="N82" i="37" s="1"/>
  <c r="N84" i="37" s="1"/>
  <c r="N306" i="38"/>
  <c r="N307" i="38" s="1"/>
  <c r="N309" i="38" s="1"/>
  <c r="N311" i="38" s="1"/>
  <c r="N110" i="37"/>
  <c r="N111" i="37" s="1"/>
  <c r="N113" i="37" s="1"/>
  <c r="N115" i="37" s="1"/>
  <c r="N107" i="38"/>
  <c r="N108" i="38" s="1"/>
  <c r="N110" i="38" s="1"/>
  <c r="N112" i="38" s="1"/>
  <c r="M60" i="9"/>
  <c r="N51" i="38"/>
  <c r="N52" i="38" s="1"/>
  <c r="N54" i="38" s="1"/>
  <c r="N56" i="38" s="1"/>
  <c r="N23" i="39"/>
  <c r="N24" i="39" s="1"/>
  <c r="N26" i="39" s="1"/>
  <c r="N28" i="39" s="1"/>
  <c r="N79" i="38"/>
  <c r="N80" i="38" s="1"/>
  <c r="N82" i="38" s="1"/>
  <c r="N84" i="38" s="1"/>
  <c r="N278" i="39"/>
  <c r="N279" i="39" s="1"/>
  <c r="N281" i="39" s="1"/>
  <c r="N283" i="39" s="1"/>
  <c r="N197" i="37"/>
  <c r="N198" i="37" s="1"/>
  <c r="N200" i="37" s="1"/>
  <c r="N202" i="37" s="1"/>
  <c r="N309" i="37"/>
  <c r="N310" i="37" s="1"/>
  <c r="N312" i="37" s="1"/>
  <c r="N314" i="37" s="1"/>
  <c r="N23" i="37"/>
  <c r="N24" i="37" s="1"/>
  <c r="N26" i="37" s="1"/>
  <c r="N28" i="37" s="1"/>
  <c r="N23" i="38"/>
  <c r="N24" i="38" s="1"/>
  <c r="N26" i="38" s="1"/>
  <c r="N28" i="38" s="1"/>
  <c r="N135" i="39"/>
  <c r="N136" i="39" s="1"/>
  <c r="N138" i="39" s="1"/>
  <c r="N140" i="39" s="1"/>
  <c r="N135" i="38"/>
  <c r="N136" i="38" s="1"/>
  <c r="N138" i="38" s="1"/>
  <c r="N140" i="38" s="1"/>
  <c r="N138" i="37"/>
  <c r="N139" i="37" s="1"/>
  <c r="N141" i="37" s="1"/>
  <c r="N143" i="37" s="1"/>
  <c r="N222" i="38"/>
  <c r="N223" i="38" s="1"/>
  <c r="N225" i="38" s="1"/>
  <c r="N227" i="38" s="1"/>
  <c r="N225" i="37"/>
  <c r="N226" i="37" s="1"/>
  <c r="N228" i="37" s="1"/>
  <c r="N230" i="37" s="1"/>
  <c r="J29" i="28"/>
  <c r="J31" i="28" s="1"/>
  <c r="J33" i="28" s="1"/>
  <c r="J141" i="28"/>
  <c r="J143" i="28" s="1"/>
  <c r="J145" i="28" s="1"/>
  <c r="L140" i="46"/>
  <c r="V125" i="46"/>
  <c r="M140" i="46" s="1"/>
  <c r="E113" i="37"/>
  <c r="P137" i="37"/>
  <c r="L256" i="39"/>
  <c r="L258" i="39" s="1"/>
  <c r="L260" i="39" s="1"/>
  <c r="L269" i="39" s="1"/>
  <c r="L200" i="39"/>
  <c r="L202" i="39" s="1"/>
  <c r="L204" i="39" s="1"/>
  <c r="L213" i="39" s="1"/>
  <c r="L312" i="38"/>
  <c r="L314" i="38" s="1"/>
  <c r="L316" i="38" s="1"/>
  <c r="L325" i="38" s="1"/>
  <c r="L29" i="37"/>
  <c r="L31" i="37" s="1"/>
  <c r="L33" i="37" s="1"/>
  <c r="L42" i="37" s="1"/>
  <c r="D106" i="18"/>
  <c r="E106" i="18" s="1"/>
  <c r="F106" i="18" s="1"/>
  <c r="K228" i="39"/>
  <c r="K230" i="39" s="1"/>
  <c r="K232" i="39" s="1"/>
  <c r="K241" i="39" s="1"/>
  <c r="S94" i="46"/>
  <c r="S193" i="46"/>
  <c r="S192" i="46"/>
  <c r="S30" i="46"/>
  <c r="U223" i="46"/>
  <c r="T65" i="46"/>
  <c r="U65" i="46" s="1"/>
  <c r="T43" i="46"/>
  <c r="U43" i="46" s="1"/>
  <c r="T112" i="46"/>
  <c r="U112" i="46" s="1"/>
  <c r="T169" i="46"/>
  <c r="U169" i="46" s="1"/>
  <c r="T179" i="46"/>
  <c r="T195" i="46"/>
  <c r="U195" i="46" s="1"/>
  <c r="T232" i="46"/>
  <c r="U232" i="46" s="1"/>
  <c r="T27" i="46"/>
  <c r="U27" i="46" s="1"/>
  <c r="T130" i="46"/>
  <c r="T49" i="46"/>
  <c r="U49" i="46" s="1"/>
  <c r="T95" i="46"/>
  <c r="U95" i="46" s="1"/>
  <c r="T113" i="46"/>
  <c r="U113" i="46" s="1"/>
  <c r="T152" i="46"/>
  <c r="T170" i="46"/>
  <c r="T178" i="46"/>
  <c r="U178" i="46" s="1"/>
  <c r="T198" i="46"/>
  <c r="U198" i="46" s="1"/>
  <c r="T215" i="46"/>
  <c r="T241" i="46"/>
  <c r="L35" i="46"/>
  <c r="T159" i="46"/>
  <c r="L162" i="46" s="1"/>
  <c r="L104" i="45" s="1"/>
  <c r="L144" i="45" s="1"/>
  <c r="T33" i="46"/>
  <c r="U160" i="46"/>
  <c r="L163" i="46" s="1"/>
  <c r="L31" i="45" s="1"/>
  <c r="T48" i="46"/>
  <c r="U48" i="46" s="1"/>
  <c r="T86" i="46"/>
  <c r="U86" i="46" s="1"/>
  <c r="T94" i="46"/>
  <c r="U94" i="46" s="1"/>
  <c r="T151" i="46"/>
  <c r="U151" i="46" s="1"/>
  <c r="T197" i="46"/>
  <c r="U197" i="46" s="1"/>
  <c r="T214" i="46"/>
  <c r="U214" i="46" s="1"/>
  <c r="T242" i="46"/>
  <c r="T64" i="46"/>
  <c r="U64" i="46" s="1"/>
  <c r="T87" i="46"/>
  <c r="T233" i="46"/>
  <c r="U233" i="46" s="1"/>
  <c r="T22" i="46"/>
  <c r="U22" i="46" s="1"/>
  <c r="T30" i="46"/>
  <c r="U30" i="46" s="1"/>
  <c r="T131" i="46"/>
  <c r="U131" i="46" s="1"/>
  <c r="T45" i="46"/>
  <c r="U45" i="46" s="1"/>
  <c r="T96" i="46"/>
  <c r="L99" i="46" s="1"/>
  <c r="L101" i="45" s="1"/>
  <c r="L141" i="45" s="1"/>
  <c r="U244" i="46"/>
  <c r="L247" i="46" s="1"/>
  <c r="L35" i="45" s="1"/>
  <c r="U55" i="46"/>
  <c r="T54" i="46"/>
  <c r="U139" i="46"/>
  <c r="T50" i="46"/>
  <c r="T67" i="46"/>
  <c r="U67" i="46" s="1"/>
  <c r="T51" i="46"/>
  <c r="U51" i="46" s="1"/>
  <c r="T114" i="46"/>
  <c r="T153" i="46"/>
  <c r="T171" i="46"/>
  <c r="U171" i="46" s="1"/>
  <c r="T189" i="46"/>
  <c r="U189" i="46" s="1"/>
  <c r="T234" i="46"/>
  <c r="U234" i="46" s="1"/>
  <c r="T29" i="46"/>
  <c r="T132" i="46"/>
  <c r="U132" i="46" s="1"/>
  <c r="T72" i="46"/>
  <c r="U72" i="46" s="1"/>
  <c r="T105" i="46"/>
  <c r="T115" i="46"/>
  <c r="U115" i="46" s="1"/>
  <c r="T154" i="46"/>
  <c r="U154" i="46" s="1"/>
  <c r="T172" i="46"/>
  <c r="U172" i="46" s="1"/>
  <c r="T190" i="46"/>
  <c r="U190" i="46" s="1"/>
  <c r="T200" i="46"/>
  <c r="U200" i="46" s="1"/>
  <c r="T217" i="46"/>
  <c r="U217" i="46" s="1"/>
  <c r="T222" i="46"/>
  <c r="L225" i="46" s="1"/>
  <c r="L107" i="45" s="1"/>
  <c r="L147" i="45" s="1"/>
  <c r="T88" i="46"/>
  <c r="U88" i="46" s="1"/>
  <c r="T106" i="46"/>
  <c r="U106" i="46" s="1"/>
  <c r="T173" i="46"/>
  <c r="U173" i="46" s="1"/>
  <c r="T199" i="46"/>
  <c r="U199" i="46" s="1"/>
  <c r="T216" i="46"/>
  <c r="T21" i="46"/>
  <c r="U21" i="46" s="1"/>
  <c r="T31" i="46"/>
  <c r="U31" i="46" s="1"/>
  <c r="T89" i="46"/>
  <c r="U89" i="46" s="1"/>
  <c r="T192" i="46"/>
  <c r="U192" i="46" s="1"/>
  <c r="T235" i="46"/>
  <c r="U235" i="46" s="1"/>
  <c r="T24" i="46"/>
  <c r="T32" i="46"/>
  <c r="U32" i="46" s="1"/>
  <c r="T133" i="46"/>
  <c r="T53" i="46"/>
  <c r="U53" i="46" s="1"/>
  <c r="V20" i="46"/>
  <c r="U76" i="46"/>
  <c r="T180" i="46"/>
  <c r="T42" i="46"/>
  <c r="U42" i="46" s="1"/>
  <c r="T52" i="46"/>
  <c r="T69" i="46"/>
  <c r="U69" i="46" s="1"/>
  <c r="T66" i="46"/>
  <c r="U66" i="46" s="1"/>
  <c r="T108" i="46"/>
  <c r="U108" i="46" s="1"/>
  <c r="T116" i="46"/>
  <c r="U116" i="46" s="1"/>
  <c r="T155" i="46"/>
  <c r="T191" i="46"/>
  <c r="U191" i="46" s="1"/>
  <c r="T218" i="46"/>
  <c r="U218" i="46" s="1"/>
  <c r="T236" i="46"/>
  <c r="U236" i="46" s="1"/>
  <c r="T134" i="46"/>
  <c r="U134" i="46" s="1"/>
  <c r="T47" i="46"/>
  <c r="U47" i="46" s="1"/>
  <c r="T107" i="46"/>
  <c r="U107" i="46" s="1"/>
  <c r="T148" i="46"/>
  <c r="T156" i="46"/>
  <c r="U156" i="46" s="1"/>
  <c r="T174" i="46"/>
  <c r="U174" i="46" s="1"/>
  <c r="T194" i="46"/>
  <c r="U194" i="46" s="1"/>
  <c r="T211" i="46"/>
  <c r="U211" i="46" s="1"/>
  <c r="T219" i="46"/>
  <c r="U219" i="46" s="1"/>
  <c r="T135" i="46"/>
  <c r="U135" i="46" s="1"/>
  <c r="T138" i="46"/>
  <c r="T201" i="46"/>
  <c r="T75" i="46"/>
  <c r="U181" i="46"/>
  <c r="T74" i="46"/>
  <c r="T90" i="46"/>
  <c r="U90" i="46" s="1"/>
  <c r="T147" i="46"/>
  <c r="T175" i="46"/>
  <c r="U175" i="46" s="1"/>
  <c r="T210" i="46"/>
  <c r="U210" i="46" s="1"/>
  <c r="T238" i="46"/>
  <c r="T23" i="46"/>
  <c r="T126" i="46"/>
  <c r="T70" i="46"/>
  <c r="T91" i="46"/>
  <c r="T158" i="46"/>
  <c r="T237" i="46"/>
  <c r="T26" i="46"/>
  <c r="U26" i="46" s="1"/>
  <c r="T127" i="46"/>
  <c r="U127" i="46" s="1"/>
  <c r="T68" i="46"/>
  <c r="U68" i="46" s="1"/>
  <c r="U34" i="46"/>
  <c r="U118" i="46"/>
  <c r="T117" i="46"/>
  <c r="T44" i="46"/>
  <c r="U44" i="46" s="1"/>
  <c r="T63" i="46"/>
  <c r="U63" i="46" s="1"/>
  <c r="T71" i="46"/>
  <c r="U71" i="46" s="1"/>
  <c r="T110" i="46"/>
  <c r="U110" i="46" s="1"/>
  <c r="T157" i="46"/>
  <c r="T193" i="46"/>
  <c r="U193" i="46" s="1"/>
  <c r="T220" i="46"/>
  <c r="T25" i="46"/>
  <c r="U25" i="46" s="1"/>
  <c r="T136" i="46"/>
  <c r="U136" i="46" s="1"/>
  <c r="T109" i="46"/>
  <c r="U109" i="46" s="1"/>
  <c r="T150" i="46"/>
  <c r="U150" i="46" s="1"/>
  <c r="T168" i="46"/>
  <c r="U168" i="46" s="1"/>
  <c r="T176" i="46"/>
  <c r="U176" i="46" s="1"/>
  <c r="T196" i="46"/>
  <c r="U196" i="46" s="1"/>
  <c r="T213" i="46"/>
  <c r="T221" i="46"/>
  <c r="U221" i="46" s="1"/>
  <c r="T137" i="46"/>
  <c r="U97" i="46"/>
  <c r="U202" i="46"/>
  <c r="T243" i="46"/>
  <c r="T46" i="46"/>
  <c r="U46" i="46" s="1"/>
  <c r="T73" i="46"/>
  <c r="U73" i="46" s="1"/>
  <c r="T84" i="46"/>
  <c r="U84" i="46" s="1"/>
  <c r="T92" i="46"/>
  <c r="T149" i="46"/>
  <c r="T177" i="46"/>
  <c r="U177" i="46" s="1"/>
  <c r="T212" i="46"/>
  <c r="U212" i="46" s="1"/>
  <c r="T240" i="46"/>
  <c r="U240" i="46" s="1"/>
  <c r="T128" i="46"/>
  <c r="T85" i="46"/>
  <c r="U85" i="46" s="1"/>
  <c r="T93" i="46"/>
  <c r="U93" i="46" s="1"/>
  <c r="T111" i="46"/>
  <c r="T231" i="46"/>
  <c r="T239" i="46"/>
  <c r="U239" i="46" s="1"/>
  <c r="T28" i="46"/>
  <c r="U28" i="46" s="1"/>
  <c r="T129" i="46"/>
  <c r="U129" i="46" s="1"/>
  <c r="S108" i="46"/>
  <c r="J85" i="29"/>
  <c r="J87" i="29" s="1"/>
  <c r="J89" i="29" s="1"/>
  <c r="H148" i="25"/>
  <c r="K214" i="42"/>
  <c r="L200" i="42"/>
  <c r="K213" i="42"/>
  <c r="K34" i="43" s="1"/>
  <c r="K29" i="37"/>
  <c r="K31" i="37" s="1"/>
  <c r="K33" i="37" s="1"/>
  <c r="K42" i="37" s="1"/>
  <c r="M41" i="38"/>
  <c r="M97" i="38"/>
  <c r="M324" i="38"/>
  <c r="M69" i="38"/>
  <c r="M296" i="38"/>
  <c r="M268" i="38"/>
  <c r="M240" i="38"/>
  <c r="M212" i="38"/>
  <c r="M153" i="38"/>
  <c r="M125" i="38"/>
  <c r="P196" i="37"/>
  <c r="P50" i="29"/>
  <c r="E82" i="38"/>
  <c r="J291" i="37"/>
  <c r="J117" i="39"/>
  <c r="I52" i="43"/>
  <c r="I76" i="43" s="1"/>
  <c r="I89" i="43" s="1"/>
  <c r="P249" i="29"/>
  <c r="I60" i="30"/>
  <c r="P60" i="30" s="1"/>
  <c r="I32" i="30"/>
  <c r="I287" i="30"/>
  <c r="P287" i="30" s="1"/>
  <c r="I203" i="30"/>
  <c r="P203" i="30" s="1"/>
  <c r="I116" i="30"/>
  <c r="P116" i="30" s="1"/>
  <c r="I88" i="30"/>
  <c r="P88" i="30" s="1"/>
  <c r="I315" i="30"/>
  <c r="P315" i="30" s="1"/>
  <c r="I231" i="30"/>
  <c r="P231" i="30" s="1"/>
  <c r="I144" i="30"/>
  <c r="P144" i="30" s="1"/>
  <c r="I259" i="30"/>
  <c r="P259" i="30" s="1"/>
  <c r="P280" i="37"/>
  <c r="J141" i="35"/>
  <c r="J143" i="35" s="1"/>
  <c r="J145" i="35" s="1"/>
  <c r="P106" i="38"/>
  <c r="J200" i="28"/>
  <c r="J202" i="28" s="1"/>
  <c r="J204" i="28" s="1"/>
  <c r="J169" i="28"/>
  <c r="J171" i="28" s="1"/>
  <c r="J173" i="28" s="1"/>
  <c r="M25" i="7"/>
  <c r="M27" i="7" s="1"/>
  <c r="M28" i="7" s="1"/>
  <c r="J20" i="15"/>
  <c r="J21" i="15" s="1"/>
  <c r="J23" i="15" s="1"/>
  <c r="K163" i="28"/>
  <c r="K156" i="25"/>
  <c r="K157" i="25" s="1"/>
  <c r="K159" i="25" s="1"/>
  <c r="K161" i="25" s="1"/>
  <c r="K163" i="38"/>
  <c r="K164" i="38" s="1"/>
  <c r="K166" i="38" s="1"/>
  <c r="K168" i="38" s="1"/>
  <c r="J20" i="47"/>
  <c r="J21" i="47" s="1"/>
  <c r="J23" i="47" s="1"/>
  <c r="K163" i="35"/>
  <c r="K166" i="37"/>
  <c r="K167" i="37" s="1"/>
  <c r="K169" i="37" s="1"/>
  <c r="K171" i="37" s="1"/>
  <c r="K163" i="30"/>
  <c r="J20" i="45"/>
  <c r="J21" i="45" s="1"/>
  <c r="J23" i="45" s="1"/>
  <c r="K23" i="34"/>
  <c r="K24" i="34" s="1"/>
  <c r="K26" i="34" s="1"/>
  <c r="K28" i="34" s="1"/>
  <c r="K163" i="29"/>
  <c r="K163" i="39"/>
  <c r="K164" i="39" s="1"/>
  <c r="K166" i="39" s="1"/>
  <c r="K168" i="39" s="1"/>
  <c r="J19" i="43"/>
  <c r="J20" i="43" s="1"/>
  <c r="J22" i="43" s="1"/>
  <c r="K10" i="10"/>
  <c r="K12" i="10" s="1"/>
  <c r="P22" i="38"/>
  <c r="L57" i="39"/>
  <c r="L59" i="39" s="1"/>
  <c r="L61" i="39" s="1"/>
  <c r="L70" i="39" s="1"/>
  <c r="L200" i="38"/>
  <c r="L202" i="38" s="1"/>
  <c r="L204" i="38" s="1"/>
  <c r="L213" i="38" s="1"/>
  <c r="L203" i="37"/>
  <c r="L205" i="37" s="1"/>
  <c r="L207" i="37" s="1"/>
  <c r="L216" i="37" s="1"/>
  <c r="L113" i="38"/>
  <c r="L115" i="38" s="1"/>
  <c r="L117" i="38" s="1"/>
  <c r="L126" i="38" s="1"/>
  <c r="V167" i="46"/>
  <c r="M182" i="46" s="1"/>
  <c r="L182" i="46"/>
  <c r="E284" i="37"/>
  <c r="J13" i="24"/>
  <c r="J57" i="11"/>
  <c r="I29" i="25"/>
  <c r="I148" i="25" s="1"/>
  <c r="I74" i="28"/>
  <c r="P74" i="28" s="1"/>
  <c r="I245" i="28"/>
  <c r="P245" i="28" s="1"/>
  <c r="I273" i="28"/>
  <c r="P273" i="28" s="1"/>
  <c r="I102" i="28"/>
  <c r="P102" i="28" s="1"/>
  <c r="I301" i="28"/>
  <c r="P301" i="28" s="1"/>
  <c r="I18" i="28"/>
  <c r="P18" i="28" s="1"/>
  <c r="I130" i="28"/>
  <c r="P130" i="28" s="1"/>
  <c r="I46" i="28"/>
  <c r="P46" i="28" s="1"/>
  <c r="I189" i="28"/>
  <c r="P189" i="28" s="1"/>
  <c r="I217" i="28"/>
  <c r="P217" i="28" s="1"/>
  <c r="S49" i="46"/>
  <c r="K247" i="46"/>
  <c r="K35" i="45" s="1"/>
  <c r="S64" i="46"/>
  <c r="S88" i="46"/>
  <c r="J169" i="29"/>
  <c r="J171" i="29" s="1"/>
  <c r="J173" i="29" s="1"/>
  <c r="H90" i="18"/>
  <c r="N59" i="9"/>
  <c r="M296" i="29"/>
  <c r="M69" i="29"/>
  <c r="M268" i="29"/>
  <c r="M41" i="29"/>
  <c r="M240" i="29"/>
  <c r="M324" i="29"/>
  <c r="M212" i="29"/>
  <c r="M153" i="29"/>
  <c r="M125" i="29"/>
  <c r="M97" i="29"/>
  <c r="L101" i="11"/>
  <c r="L102" i="11" s="1"/>
  <c r="L100" i="11"/>
  <c r="K103" i="11"/>
  <c r="L99" i="11" s="1"/>
  <c r="J288" i="39"/>
  <c r="J319" i="37"/>
  <c r="G20" i="15"/>
  <c r="G21" i="15" s="1"/>
  <c r="G23" i="15" s="1"/>
  <c r="G19" i="43"/>
  <c r="G20" i="43" s="1"/>
  <c r="G22" i="43" s="1"/>
  <c r="H163" i="30"/>
  <c r="H163" i="38"/>
  <c r="H164" i="38" s="1"/>
  <c r="H166" i="38" s="1"/>
  <c r="J25" i="7"/>
  <c r="J27" i="7" s="1"/>
  <c r="H163" i="35"/>
  <c r="H23" i="34"/>
  <c r="H24" i="34" s="1"/>
  <c r="H26" i="34" s="1"/>
  <c r="G20" i="47"/>
  <c r="G21" i="47" s="1"/>
  <c r="G23" i="47" s="1"/>
  <c r="H166" i="37"/>
  <c r="H167" i="37" s="1"/>
  <c r="H169" i="37" s="1"/>
  <c r="G20" i="45"/>
  <c r="G21" i="45" s="1"/>
  <c r="G23" i="45" s="1"/>
  <c r="H163" i="39"/>
  <c r="H164" i="39" s="1"/>
  <c r="H166" i="39" s="1"/>
  <c r="H163" i="28"/>
  <c r="H156" i="25"/>
  <c r="H157" i="25" s="1"/>
  <c r="H159" i="25" s="1"/>
  <c r="H163" i="29"/>
  <c r="H10" i="10"/>
  <c r="H12" i="10" s="1"/>
  <c r="L182" i="42"/>
  <c r="K196" i="42"/>
  <c r="K106" i="43" s="1"/>
  <c r="K146" i="43" s="1"/>
  <c r="K195" i="42"/>
  <c r="K33" i="43" s="1"/>
  <c r="J29" i="30"/>
  <c r="J31" i="30" s="1"/>
  <c r="J33" i="30" s="1"/>
  <c r="J141" i="30"/>
  <c r="J143" i="30" s="1"/>
  <c r="J145" i="30" s="1"/>
  <c r="K29" i="38"/>
  <c r="K31" i="38" s="1"/>
  <c r="K33" i="38" s="1"/>
  <c r="K42" i="38" s="1"/>
  <c r="K43" i="39" s="1"/>
  <c r="J77" i="48"/>
  <c r="J100" i="47" s="1"/>
  <c r="J140" i="48"/>
  <c r="J103" i="47" s="1"/>
  <c r="G51" i="29"/>
  <c r="G52" i="29" s="1"/>
  <c r="G54" i="29" s="1"/>
  <c r="G250" i="29"/>
  <c r="G251" i="29" s="1"/>
  <c r="G253" i="29" s="1"/>
  <c r="G306" i="29"/>
  <c r="G307" i="29" s="1"/>
  <c r="G309" i="29" s="1"/>
  <c r="G222" i="29"/>
  <c r="G223" i="29" s="1"/>
  <c r="G225" i="29" s="1"/>
  <c r="G23" i="29"/>
  <c r="G24" i="29" s="1"/>
  <c r="G26" i="29" s="1"/>
  <c r="G135" i="29"/>
  <c r="G136" i="29" s="1"/>
  <c r="G138" i="29" s="1"/>
  <c r="G194" i="29"/>
  <c r="G195" i="29" s="1"/>
  <c r="G197" i="29" s="1"/>
  <c r="G107" i="29"/>
  <c r="G108" i="29" s="1"/>
  <c r="G110" i="29" s="1"/>
  <c r="G79" i="29"/>
  <c r="G80" i="29" s="1"/>
  <c r="G82" i="29" s="1"/>
  <c r="G278" i="29"/>
  <c r="G279" i="29" s="1"/>
  <c r="G281" i="29" s="1"/>
  <c r="G164" i="29"/>
  <c r="G166" i="29" s="1"/>
  <c r="I50" i="43"/>
  <c r="I74" i="43" s="1"/>
  <c r="I87" i="43" s="1"/>
  <c r="I54" i="43"/>
  <c r="I78" i="43" s="1"/>
  <c r="I91" i="43" s="1"/>
  <c r="P78" i="38"/>
  <c r="J12" i="24"/>
  <c r="J49" i="11"/>
  <c r="I28" i="25"/>
  <c r="I147" i="25" s="1"/>
  <c r="J113" i="35"/>
  <c r="J115" i="35" s="1"/>
  <c r="J117" i="35" s="1"/>
  <c r="E225" i="38"/>
  <c r="F110" i="18"/>
  <c r="K85" i="37"/>
  <c r="K87" i="37" s="1"/>
  <c r="K89" i="37" s="1"/>
  <c r="K98" i="37" s="1"/>
  <c r="J232" i="38"/>
  <c r="J113" i="28"/>
  <c r="J115" i="28" s="1"/>
  <c r="J117" i="28" s="1"/>
  <c r="R59" i="18"/>
  <c r="L312" i="39"/>
  <c r="L314" i="39" s="1"/>
  <c r="L316" i="39" s="1"/>
  <c r="L325" i="39" s="1"/>
  <c r="L57" i="37"/>
  <c r="L59" i="37" s="1"/>
  <c r="L61" i="37" s="1"/>
  <c r="L70" i="37" s="1"/>
  <c r="L259" i="37"/>
  <c r="L261" i="37" s="1"/>
  <c r="L263" i="37" s="1"/>
  <c r="L272" i="37" s="1"/>
  <c r="L29" i="38"/>
  <c r="L31" i="38" s="1"/>
  <c r="L33" i="38" s="1"/>
  <c r="L42" i="38" s="1"/>
  <c r="L43" i="39" s="1"/>
  <c r="K32" i="41"/>
  <c r="K25" i="15" s="1"/>
  <c r="K25" i="41"/>
  <c r="K22" i="41"/>
  <c r="K79" i="41"/>
  <c r="K76" i="41"/>
  <c r="K136" i="41"/>
  <c r="K204" i="41"/>
  <c r="K95" i="41"/>
  <c r="K121" i="41"/>
  <c r="K171" i="41"/>
  <c r="K203" i="41"/>
  <c r="K66" i="41"/>
  <c r="K138" i="41"/>
  <c r="K206" i="41"/>
  <c r="K101" i="41"/>
  <c r="K133" i="41"/>
  <c r="K182" i="41"/>
  <c r="K209" i="41"/>
  <c r="K23" i="41"/>
  <c r="K39" i="41"/>
  <c r="K83" i="41"/>
  <c r="K77" i="41"/>
  <c r="K146" i="41"/>
  <c r="K208" i="41"/>
  <c r="K99" i="41"/>
  <c r="K131" i="41"/>
  <c r="K175" i="41"/>
  <c r="K207" i="41"/>
  <c r="K84" i="41"/>
  <c r="K148" i="41"/>
  <c r="K210" i="41"/>
  <c r="K110" i="41"/>
  <c r="K137" i="41"/>
  <c r="K184" i="41"/>
  <c r="K33" i="41"/>
  <c r="K98" i="15" s="1"/>
  <c r="K138" i="15" s="1"/>
  <c r="K21" i="41"/>
  <c r="K43" i="41"/>
  <c r="K38" i="41"/>
  <c r="K78" i="41"/>
  <c r="K150" i="41"/>
  <c r="K41" i="41"/>
  <c r="K103" i="41"/>
  <c r="K135" i="41"/>
  <c r="K183" i="41"/>
  <c r="K211" i="41"/>
  <c r="K85" i="41"/>
  <c r="K152" i="41"/>
  <c r="K45" i="41"/>
  <c r="K112" i="41"/>
  <c r="K147" i="41"/>
  <c r="K186" i="41"/>
  <c r="K20" i="41"/>
  <c r="K47" i="41"/>
  <c r="K40" i="41"/>
  <c r="K92" i="41"/>
  <c r="K154" i="41"/>
  <c r="K49" i="41"/>
  <c r="K111" i="41"/>
  <c r="K139" i="41"/>
  <c r="K185" i="41"/>
  <c r="K42" i="41"/>
  <c r="K94" i="41"/>
  <c r="K156" i="41"/>
  <c r="K59" i="41"/>
  <c r="K114" i="41"/>
  <c r="K151" i="41"/>
  <c r="K188" i="41"/>
  <c r="L19" i="41"/>
  <c r="K30" i="41"/>
  <c r="K57" i="41"/>
  <c r="K46" i="41"/>
  <c r="K96" i="41"/>
  <c r="K164" i="41"/>
  <c r="K63" i="41"/>
  <c r="K113" i="41"/>
  <c r="K149" i="41"/>
  <c r="K187" i="41"/>
  <c r="K44" i="41"/>
  <c r="K98" i="41"/>
  <c r="K166" i="41"/>
  <c r="K67" i="41"/>
  <c r="K116" i="41"/>
  <c r="K155" i="41"/>
  <c r="K190" i="41"/>
  <c r="K31" i="41"/>
  <c r="K28" i="41"/>
  <c r="K61" i="41"/>
  <c r="K48" i="41"/>
  <c r="K100" i="41"/>
  <c r="K168" i="41"/>
  <c r="K80" i="41"/>
  <c r="K115" i="41"/>
  <c r="K153" i="41"/>
  <c r="K189" i="41"/>
  <c r="K56" i="41"/>
  <c r="K102" i="41"/>
  <c r="K170" i="41"/>
  <c r="K74" i="41"/>
  <c r="K118" i="41"/>
  <c r="K165" i="41"/>
  <c r="K192" i="41"/>
  <c r="K27" i="41"/>
  <c r="K132" i="41"/>
  <c r="K167" i="41"/>
  <c r="K202" i="41"/>
  <c r="K205" i="41"/>
  <c r="K26" i="41"/>
  <c r="K172" i="41"/>
  <c r="K191" i="41"/>
  <c r="K93" i="41"/>
  <c r="K24" i="41"/>
  <c r="K200" i="41"/>
  <c r="K193" i="41"/>
  <c r="K97" i="41"/>
  <c r="K65" i="41"/>
  <c r="K81" i="41"/>
  <c r="K58" i="41"/>
  <c r="K120" i="41"/>
  <c r="K75" i="41"/>
  <c r="K82" i="41"/>
  <c r="K64" i="41"/>
  <c r="K129" i="41"/>
  <c r="K60" i="41"/>
  <c r="K117" i="41"/>
  <c r="K130" i="41"/>
  <c r="K169" i="41"/>
  <c r="K62" i="41"/>
  <c r="K119" i="41"/>
  <c r="K134" i="41"/>
  <c r="K173" i="41"/>
  <c r="K29" i="41"/>
  <c r="K128" i="41"/>
  <c r="K157" i="41"/>
  <c r="K174" i="41"/>
  <c r="K201" i="41"/>
  <c r="I52" i="47"/>
  <c r="I76" i="47" s="1"/>
  <c r="I89" i="47" s="1"/>
  <c r="E98" i="18"/>
  <c r="F98" i="18" s="1"/>
  <c r="G98" i="18" s="1"/>
  <c r="H98" i="18" s="1"/>
  <c r="I98" i="18" s="1"/>
  <c r="J98" i="18" s="1"/>
  <c r="K98" i="18" s="1"/>
  <c r="L98" i="18" s="1"/>
  <c r="M98" i="18" s="1"/>
  <c r="D122" i="18"/>
  <c r="D123" i="18" s="1"/>
  <c r="D112" i="18"/>
  <c r="K60" i="11"/>
  <c r="L60" i="11" s="1"/>
  <c r="M60" i="11" s="1"/>
  <c r="N60" i="11" s="1"/>
  <c r="O60" i="11" s="1"/>
  <c r="J61" i="11"/>
  <c r="I217" i="29"/>
  <c r="P217" i="29" s="1"/>
  <c r="I74" i="29"/>
  <c r="P74" i="29" s="1"/>
  <c r="I245" i="29"/>
  <c r="P245" i="29" s="1"/>
  <c r="I18" i="29"/>
  <c r="P18" i="29" s="1"/>
  <c r="I46" i="29"/>
  <c r="P46" i="29" s="1"/>
  <c r="I189" i="29"/>
  <c r="P189" i="29" s="1"/>
  <c r="I301" i="29"/>
  <c r="P301" i="29" s="1"/>
  <c r="I130" i="29"/>
  <c r="P130" i="29" s="1"/>
  <c r="I273" i="29"/>
  <c r="P273" i="29" s="1"/>
  <c r="I102" i="29"/>
  <c r="P102" i="29" s="1"/>
  <c r="P158" i="29"/>
  <c r="S26" i="46"/>
  <c r="K163" i="46"/>
  <c r="K31" i="45" s="1"/>
  <c r="S240" i="46"/>
  <c r="K316" i="39"/>
  <c r="K325" i="39" s="1"/>
  <c r="I59" i="15"/>
  <c r="I83" i="15" s="1"/>
  <c r="I96" i="15" s="1"/>
  <c r="J141" i="29"/>
  <c r="J143" i="29" s="1"/>
  <c r="J145" i="29" s="1"/>
  <c r="I225" i="37"/>
  <c r="I226" i="37" s="1"/>
  <c r="I228" i="37" s="1"/>
  <c r="I107" i="38"/>
  <c r="I23" i="38"/>
  <c r="I51" i="37"/>
  <c r="I135" i="38"/>
  <c r="I136" i="38" s="1"/>
  <c r="I138" i="38" s="1"/>
  <c r="I79" i="39"/>
  <c r="I306" i="38"/>
  <c r="I307" i="38" s="1"/>
  <c r="I309" i="38" s="1"/>
  <c r="I194" i="39"/>
  <c r="I281" i="37"/>
  <c r="I282" i="37" s="1"/>
  <c r="I250" i="38"/>
  <c r="I278" i="39"/>
  <c r="I138" i="37"/>
  <c r="E141" i="37"/>
  <c r="J34" i="43"/>
  <c r="I11" i="24"/>
  <c r="J15" i="7"/>
  <c r="J17" i="7" s="1"/>
  <c r="J21" i="7" s="1"/>
  <c r="J22" i="7" s="1"/>
  <c r="J33" i="7" s="1"/>
  <c r="I41" i="11"/>
  <c r="I73" i="11" s="1"/>
  <c r="H27" i="25"/>
  <c r="H76" i="11"/>
  <c r="E309" i="39"/>
  <c r="P277" i="29"/>
  <c r="J61" i="38"/>
  <c r="J120" i="37"/>
  <c r="J235" i="37"/>
  <c r="K231" i="37"/>
  <c r="K233" i="37" s="1"/>
  <c r="K235" i="37" s="1"/>
  <c r="K244" i="37" s="1"/>
  <c r="J312" i="30"/>
  <c r="J314" i="30" s="1"/>
  <c r="J316" i="30" s="1"/>
  <c r="E54" i="37"/>
  <c r="P224" i="37"/>
  <c r="K57" i="39"/>
  <c r="K59" i="39" s="1"/>
  <c r="K61" i="39" s="1"/>
  <c r="K70" i="39" s="1"/>
  <c r="D20" i="15"/>
  <c r="E163" i="28"/>
  <c r="E163" i="30"/>
  <c r="E166" i="37"/>
  <c r="E163" i="29"/>
  <c r="E163" i="35"/>
  <c r="E163" i="39"/>
  <c r="G25" i="7"/>
  <c r="G27" i="7" s="1"/>
  <c r="G28" i="7" s="1"/>
  <c r="D19" i="43"/>
  <c r="E163" i="38"/>
  <c r="D20" i="47"/>
  <c r="E156" i="25"/>
  <c r="D20" i="45"/>
  <c r="E23" i="34"/>
  <c r="E10" i="10"/>
  <c r="P106" i="35"/>
  <c r="P50" i="37"/>
  <c r="E225" i="39"/>
  <c r="J53" i="11"/>
  <c r="K52" i="11"/>
  <c r="L52" i="11" s="1"/>
  <c r="M52" i="11" s="1"/>
  <c r="N52" i="11" s="1"/>
  <c r="O52" i="11" s="1"/>
  <c r="J284" i="35"/>
  <c r="J286" i="35" s="1"/>
  <c r="J288" i="35" s="1"/>
  <c r="J312" i="28"/>
  <c r="J314" i="28" s="1"/>
  <c r="J316" i="28" s="1"/>
  <c r="P193" i="28"/>
  <c r="J105" i="18"/>
  <c r="J109" i="18"/>
  <c r="L231" i="37"/>
  <c r="L233" i="37" s="1"/>
  <c r="L235" i="37" s="1"/>
  <c r="L244" i="37" s="1"/>
  <c r="L228" i="38"/>
  <c r="L230" i="38" s="1"/>
  <c r="L232" i="38" s="1"/>
  <c r="L241" i="38" s="1"/>
  <c r="L85" i="37"/>
  <c r="L87" i="37" s="1"/>
  <c r="L89" i="37" s="1"/>
  <c r="L98" i="37" s="1"/>
  <c r="J25" i="15"/>
  <c r="E110" i="39"/>
  <c r="S116" i="46"/>
  <c r="S135" i="46"/>
  <c r="S73" i="46"/>
  <c r="S199" i="46"/>
  <c r="E200" i="37"/>
  <c r="J57" i="29"/>
  <c r="J59" i="29" s="1"/>
  <c r="J61" i="29" s="1"/>
  <c r="E138" i="38"/>
  <c r="I45" i="11"/>
  <c r="J44" i="11"/>
  <c r="K24" i="24" s="1"/>
  <c r="K28" i="24" s="1"/>
  <c r="W11" i="22" s="1"/>
  <c r="I75" i="11"/>
  <c r="J24" i="24"/>
  <c r="J28" i="24" s="1"/>
  <c r="T11" i="22" s="1"/>
  <c r="T12" i="22" s="1"/>
  <c r="T14" i="22" s="1"/>
  <c r="P134" i="28"/>
  <c r="E54" i="38"/>
  <c r="K141" i="39"/>
  <c r="K143" i="39" s="1"/>
  <c r="K145" i="39" s="1"/>
  <c r="K154" i="39" s="1"/>
  <c r="G105" i="18"/>
  <c r="G109" i="18"/>
  <c r="E309" i="38"/>
  <c r="J138" i="45"/>
  <c r="K57" i="37"/>
  <c r="K59" i="37" s="1"/>
  <c r="K61" i="37" s="1"/>
  <c r="K70" i="37" s="1"/>
  <c r="P50" i="38"/>
  <c r="E26" i="38"/>
  <c r="G194" i="35"/>
  <c r="G195" i="35" s="1"/>
  <c r="G197" i="35" s="1"/>
  <c r="G51" i="35"/>
  <c r="G52" i="35" s="1"/>
  <c r="G54" i="35" s="1"/>
  <c r="G23" i="35"/>
  <c r="G24" i="35" s="1"/>
  <c r="G26" i="35" s="1"/>
  <c r="G79" i="35"/>
  <c r="G80" i="35" s="1"/>
  <c r="G82" i="35" s="1"/>
  <c r="G107" i="35"/>
  <c r="G108" i="35" s="1"/>
  <c r="G110" i="35" s="1"/>
  <c r="G306" i="35"/>
  <c r="G307" i="35" s="1"/>
  <c r="G309" i="35" s="1"/>
  <c r="G135" i="35"/>
  <c r="G136" i="35" s="1"/>
  <c r="G138" i="35" s="1"/>
  <c r="G222" i="35"/>
  <c r="G223" i="35" s="1"/>
  <c r="G225" i="35" s="1"/>
  <c r="G250" i="35"/>
  <c r="G251" i="35" s="1"/>
  <c r="G253" i="35" s="1"/>
  <c r="G278" i="35"/>
  <c r="G279" i="35" s="1"/>
  <c r="G281" i="35" s="1"/>
  <c r="G164" i="35"/>
  <c r="G166" i="35" s="1"/>
  <c r="I58" i="43"/>
  <c r="I82" i="43" s="1"/>
  <c r="I95" i="43" s="1"/>
  <c r="H103" i="18"/>
  <c r="S8" i="19"/>
  <c r="S11" i="19" s="1"/>
  <c r="T11" i="19" s="1"/>
  <c r="T13" i="19" s="1"/>
  <c r="H98" i="9"/>
  <c r="E138" i="39"/>
  <c r="P193" i="35"/>
  <c r="J312" i="35"/>
  <c r="J314" i="35" s="1"/>
  <c r="J316" i="35" s="1"/>
  <c r="P193" i="29"/>
  <c r="E281" i="38"/>
  <c r="P60" i="29"/>
  <c r="J316" i="38"/>
  <c r="J140" i="45"/>
  <c r="P32" i="34"/>
  <c r="J284" i="28"/>
  <c r="J286" i="28" s="1"/>
  <c r="J288" i="28" s="1"/>
  <c r="J15" i="10"/>
  <c r="W19" i="19" s="1"/>
  <c r="W22" i="19" s="1"/>
  <c r="W25" i="19" s="1"/>
  <c r="E121" i="47"/>
  <c r="F21" i="10"/>
  <c r="F36" i="34"/>
  <c r="F176" i="28"/>
  <c r="E121" i="15"/>
  <c r="F176" i="29"/>
  <c r="E121" i="45"/>
  <c r="F176" i="30"/>
  <c r="F176" i="35"/>
  <c r="F176" i="38"/>
  <c r="F179" i="37"/>
  <c r="F176" i="39"/>
  <c r="E120" i="43"/>
  <c r="E312" i="37"/>
  <c r="J61" i="39"/>
  <c r="K103" i="18"/>
  <c r="AB8" i="19"/>
  <c r="AB11" i="19" s="1"/>
  <c r="AC11" i="19" s="1"/>
  <c r="AC13" i="19" s="1"/>
  <c r="AC17" i="19" s="1"/>
  <c r="K98" i="9"/>
  <c r="L9" i="10" s="1"/>
  <c r="L287" i="37"/>
  <c r="L289" i="37" s="1"/>
  <c r="L291" i="37" s="1"/>
  <c r="L300" i="37" s="1"/>
  <c r="L113" i="39"/>
  <c r="L115" i="39" s="1"/>
  <c r="L117" i="39" s="1"/>
  <c r="L126" i="39" s="1"/>
  <c r="L256" i="38"/>
  <c r="L258" i="38" s="1"/>
  <c r="L260" i="38" s="1"/>
  <c r="L269" i="38" s="1"/>
  <c r="F179" i="30"/>
  <c r="E135" i="15"/>
  <c r="F179" i="29"/>
  <c r="F39" i="34"/>
  <c r="F179" i="38"/>
  <c r="F179" i="35"/>
  <c r="F182" i="37"/>
  <c r="E134" i="43"/>
  <c r="F179" i="28"/>
  <c r="F179" i="39"/>
  <c r="E135" i="45"/>
  <c r="E135" i="47"/>
  <c r="I276" i="37"/>
  <c r="P276" i="37" s="1"/>
  <c r="I18" i="37"/>
  <c r="P18" i="37" s="1"/>
  <c r="I304" i="37"/>
  <c r="P304" i="37" s="1"/>
  <c r="I248" i="37"/>
  <c r="P248" i="37" s="1"/>
  <c r="I192" i="37"/>
  <c r="P192" i="37" s="1"/>
  <c r="I133" i="37"/>
  <c r="P133" i="37" s="1"/>
  <c r="I105" i="37"/>
  <c r="P105" i="37" s="1"/>
  <c r="I74" i="37"/>
  <c r="P74" i="37" s="1"/>
  <c r="I220" i="37"/>
  <c r="P220" i="37" s="1"/>
  <c r="I46" i="37"/>
  <c r="P46" i="37" s="1"/>
  <c r="S156" i="46"/>
  <c r="S211" i="46"/>
  <c r="S197" i="46"/>
  <c r="K33" i="39"/>
  <c r="K42" i="39" s="1"/>
  <c r="J284" i="29"/>
  <c r="J286" i="29" s="1"/>
  <c r="J288" i="29" s="1"/>
  <c r="J312" i="29"/>
  <c r="J314" i="29" s="1"/>
  <c r="J316" i="29" s="1"/>
  <c r="J232" i="39"/>
  <c r="P22" i="37"/>
  <c r="K259" i="37"/>
  <c r="K261" i="37" s="1"/>
  <c r="K263" i="37" s="1"/>
  <c r="K272" i="37" s="1"/>
  <c r="E82" i="37"/>
  <c r="J33" i="38"/>
  <c r="P161" i="37"/>
  <c r="J288" i="38"/>
  <c r="J117" i="38"/>
  <c r="J204" i="38"/>
  <c r="J228" i="30"/>
  <c r="J230" i="30" s="1"/>
  <c r="J232" i="30" s="1"/>
  <c r="J113" i="30"/>
  <c r="J115" i="30" s="1"/>
  <c r="J117" i="30" s="1"/>
  <c r="J256" i="30"/>
  <c r="J258" i="30" s="1"/>
  <c r="J260" i="30" s="1"/>
  <c r="J57" i="30"/>
  <c r="J59" i="30" s="1"/>
  <c r="J61" i="30" s="1"/>
  <c r="E228" i="37"/>
  <c r="M156" i="37"/>
  <c r="M128" i="37"/>
  <c r="M41" i="37"/>
  <c r="M97" i="37"/>
  <c r="M327" i="37"/>
  <c r="M69" i="37"/>
  <c r="M299" i="37"/>
  <c r="M271" i="37"/>
  <c r="M243" i="37"/>
  <c r="M215" i="37"/>
  <c r="J245" i="48"/>
  <c r="J108" i="47" s="1"/>
  <c r="G135" i="30"/>
  <c r="G136" i="30" s="1"/>
  <c r="G138" i="30" s="1"/>
  <c r="G23" i="30"/>
  <c r="G24" i="30" s="1"/>
  <c r="G26" i="30" s="1"/>
  <c r="G194" i="30"/>
  <c r="G195" i="30" s="1"/>
  <c r="G197" i="30" s="1"/>
  <c r="G107" i="30"/>
  <c r="G108" i="30" s="1"/>
  <c r="G110" i="30" s="1"/>
  <c r="G222" i="30"/>
  <c r="G223" i="30" s="1"/>
  <c r="G225" i="30" s="1"/>
  <c r="G278" i="30"/>
  <c r="G279" i="30" s="1"/>
  <c r="G281" i="30" s="1"/>
  <c r="G51" i="30"/>
  <c r="G52" i="30" s="1"/>
  <c r="G54" i="30" s="1"/>
  <c r="G306" i="30"/>
  <c r="G307" i="30" s="1"/>
  <c r="G309" i="30" s="1"/>
  <c r="G250" i="30"/>
  <c r="G251" i="30" s="1"/>
  <c r="G253" i="30" s="1"/>
  <c r="G79" i="30"/>
  <c r="G80" i="30" s="1"/>
  <c r="G82" i="30" s="1"/>
  <c r="G164" i="30"/>
  <c r="G166" i="30" s="1"/>
  <c r="I57" i="43"/>
  <c r="I81" i="43" s="1"/>
  <c r="I94" i="43" s="1"/>
  <c r="I88" i="38"/>
  <c r="P88" i="38" s="1"/>
  <c r="I32" i="38"/>
  <c r="P32" i="38" s="1"/>
  <c r="I259" i="38"/>
  <c r="P259" i="38" s="1"/>
  <c r="I144" i="38"/>
  <c r="P144" i="38" s="1"/>
  <c r="I116" i="38"/>
  <c r="P116" i="38" s="1"/>
  <c r="I60" i="38"/>
  <c r="P60" i="38" s="1"/>
  <c r="I315" i="38"/>
  <c r="P315" i="38" s="1"/>
  <c r="I287" i="38"/>
  <c r="P287" i="38" s="1"/>
  <c r="I231" i="38"/>
  <c r="P231" i="38" s="1"/>
  <c r="I203" i="38"/>
  <c r="P203" i="38" s="1"/>
  <c r="K85" i="39"/>
  <c r="K87" i="39" s="1"/>
  <c r="K89" i="39" s="1"/>
  <c r="K98" i="39" s="1"/>
  <c r="J200" i="35"/>
  <c r="J202" i="35" s="1"/>
  <c r="J204" i="35" s="1"/>
  <c r="J169" i="35"/>
  <c r="J171" i="35" s="1"/>
  <c r="J173" i="35" s="1"/>
  <c r="P315" i="29"/>
  <c r="M97" i="39"/>
  <c r="M296" i="39"/>
  <c r="M324" i="39"/>
  <c r="M240" i="39"/>
  <c r="M268" i="39"/>
  <c r="M212" i="39"/>
  <c r="M153" i="39"/>
  <c r="M41" i="39"/>
  <c r="M125" i="39"/>
  <c r="M69" i="39"/>
  <c r="M324" i="35"/>
  <c r="M69" i="35"/>
  <c r="M296" i="35"/>
  <c r="M41" i="35"/>
  <c r="M268" i="35"/>
  <c r="M240" i="35"/>
  <c r="M212" i="35"/>
  <c r="M153" i="35"/>
  <c r="M125" i="35"/>
  <c r="M97" i="35"/>
  <c r="J256" i="28"/>
  <c r="J258" i="28" s="1"/>
  <c r="J260" i="28" s="1"/>
  <c r="L57" i="38"/>
  <c r="L59" i="38" s="1"/>
  <c r="L61" i="38" s="1"/>
  <c r="L70" i="38" s="1"/>
  <c r="L141" i="38"/>
  <c r="L143" i="38" s="1"/>
  <c r="L145" i="38" s="1"/>
  <c r="L154" i="38" s="1"/>
  <c r="L85" i="39"/>
  <c r="L87" i="39" s="1"/>
  <c r="L89" i="39" s="1"/>
  <c r="L98" i="39" s="1"/>
  <c r="L116" i="37"/>
  <c r="L118" i="37" s="1"/>
  <c r="L120" i="37" s="1"/>
  <c r="L129" i="37" s="1"/>
  <c r="I301" i="39"/>
  <c r="P301" i="39" s="1"/>
  <c r="I46" i="39"/>
  <c r="P46" i="39" s="1"/>
  <c r="I273" i="39"/>
  <c r="P273" i="39" s="1"/>
  <c r="I18" i="39"/>
  <c r="P18" i="39" s="1"/>
  <c r="I245" i="39"/>
  <c r="P245" i="39" s="1"/>
  <c r="I217" i="39"/>
  <c r="P217" i="39" s="1"/>
  <c r="I189" i="39"/>
  <c r="P189" i="39" s="1"/>
  <c r="I130" i="39"/>
  <c r="P130" i="39" s="1"/>
  <c r="I102" i="39"/>
  <c r="P102" i="39" s="1"/>
  <c r="I74" i="39"/>
  <c r="P74" i="39" s="1"/>
  <c r="P158" i="39"/>
  <c r="S84" i="46"/>
  <c r="S113" i="46"/>
  <c r="S212" i="46"/>
  <c r="S21" i="46"/>
  <c r="K99" i="46"/>
  <c r="K101" i="45" s="1"/>
  <c r="J29" i="29"/>
  <c r="J31" i="29" s="1"/>
  <c r="J33" i="29" s="1"/>
  <c r="J256" i="29"/>
  <c r="J258" i="29" s="1"/>
  <c r="J260" i="29" s="1"/>
  <c r="T209" i="46"/>
  <c r="K224" i="46"/>
  <c r="I111" i="37"/>
  <c r="I113" i="37" s="1"/>
  <c r="P109" i="37"/>
  <c r="I58" i="45"/>
  <c r="I82" i="45" s="1"/>
  <c r="I95" i="45" s="1"/>
  <c r="I60" i="39"/>
  <c r="P60" i="39" s="1"/>
  <c r="I116" i="39"/>
  <c r="P116" i="39" s="1"/>
  <c r="I144" i="39"/>
  <c r="P144" i="39" s="1"/>
  <c r="I287" i="39"/>
  <c r="P287" i="39" s="1"/>
  <c r="I32" i="39"/>
  <c r="I231" i="39"/>
  <c r="P231" i="39" s="1"/>
  <c r="I315" i="39"/>
  <c r="P315" i="39" s="1"/>
  <c r="I88" i="39"/>
  <c r="P88" i="39" s="1"/>
  <c r="I203" i="39"/>
  <c r="P203" i="39" s="1"/>
  <c r="I259" i="39"/>
  <c r="P259" i="39" s="1"/>
  <c r="O19" i="47"/>
  <c r="J33" i="37"/>
  <c r="P277" i="35"/>
  <c r="J89" i="39"/>
  <c r="P50" i="30"/>
  <c r="J200" i="25"/>
  <c r="J212" i="25" s="1"/>
  <c r="J204" i="25"/>
  <c r="J216" i="25" s="1"/>
  <c r="J201" i="25"/>
  <c r="J213" i="25" s="1"/>
  <c r="J197" i="25"/>
  <c r="J209" i="25" s="1"/>
  <c r="J205" i="25"/>
  <c r="J217" i="25" s="1"/>
  <c r="J198" i="25"/>
  <c r="J210" i="25" s="1"/>
  <c r="J202" i="25"/>
  <c r="J214" i="25" s="1"/>
  <c r="J196" i="25"/>
  <c r="J208" i="25" s="1"/>
  <c r="J199" i="25"/>
  <c r="J211" i="25" s="1"/>
  <c r="J203" i="25"/>
  <c r="J215" i="25" s="1"/>
  <c r="J200" i="30"/>
  <c r="J202" i="30" s="1"/>
  <c r="J204" i="30" s="1"/>
  <c r="J85" i="30"/>
  <c r="J87" i="30" s="1"/>
  <c r="J89" i="30" s="1"/>
  <c r="E54" i="39"/>
  <c r="Q172" i="28"/>
  <c r="Q172" i="30"/>
  <c r="Q172" i="39"/>
  <c r="Q172" i="38"/>
  <c r="P32" i="39"/>
  <c r="P134" i="38"/>
  <c r="G47" i="25"/>
  <c r="H147" i="25"/>
  <c r="G51" i="28"/>
  <c r="G52" i="28" s="1"/>
  <c r="G54" i="28" s="1"/>
  <c r="G306" i="28"/>
  <c r="G307" i="28" s="1"/>
  <c r="G309" i="28" s="1"/>
  <c r="G222" i="28"/>
  <c r="G223" i="28" s="1"/>
  <c r="G225" i="28" s="1"/>
  <c r="G135" i="28"/>
  <c r="G136" i="28" s="1"/>
  <c r="G138" i="28" s="1"/>
  <c r="G250" i="28"/>
  <c r="G251" i="28" s="1"/>
  <c r="G253" i="28" s="1"/>
  <c r="G194" i="28"/>
  <c r="G195" i="28" s="1"/>
  <c r="G197" i="28" s="1"/>
  <c r="G79" i="28"/>
  <c r="G80" i="28" s="1"/>
  <c r="G82" i="28" s="1"/>
  <c r="G23" i="28"/>
  <c r="G24" i="28" s="1"/>
  <c r="G26" i="28" s="1"/>
  <c r="G278" i="28"/>
  <c r="G279" i="28" s="1"/>
  <c r="G281" i="28" s="1"/>
  <c r="G107" i="28"/>
  <c r="G108" i="28" s="1"/>
  <c r="G110" i="28" s="1"/>
  <c r="G164" i="28"/>
  <c r="G166" i="28" s="1"/>
  <c r="I56" i="43"/>
  <c r="I80" i="43" s="1"/>
  <c r="I93" i="43" s="1"/>
  <c r="E110" i="38"/>
  <c r="E281" i="39"/>
  <c r="P32" i="30"/>
  <c r="I318" i="37"/>
  <c r="P318" i="37" s="1"/>
  <c r="I88" i="37"/>
  <c r="P88" i="37" s="1"/>
  <c r="I262" i="37"/>
  <c r="P262" i="37" s="1"/>
  <c r="I147" i="37"/>
  <c r="P147" i="37" s="1"/>
  <c r="I119" i="37"/>
  <c r="P119" i="37" s="1"/>
  <c r="I60" i="37"/>
  <c r="P60" i="37" s="1"/>
  <c r="I290" i="37"/>
  <c r="P290" i="37" s="1"/>
  <c r="I234" i="37"/>
  <c r="P234" i="37" s="1"/>
  <c r="I32" i="37"/>
  <c r="P32" i="37" s="1"/>
  <c r="I206" i="37"/>
  <c r="P206" i="37" s="1"/>
  <c r="K116" i="37"/>
  <c r="K118" i="37" s="1"/>
  <c r="K120" i="37" s="1"/>
  <c r="K129" i="37" s="1"/>
  <c r="J85" i="35"/>
  <c r="J87" i="35" s="1"/>
  <c r="J89" i="35" s="1"/>
  <c r="J228" i="35"/>
  <c r="J230" i="35" s="1"/>
  <c r="J232" i="35" s="1"/>
  <c r="E253" i="38"/>
  <c r="P172" i="29"/>
  <c r="P88" i="29"/>
  <c r="I310" i="37"/>
  <c r="I312" i="37" s="1"/>
  <c r="P308" i="37"/>
  <c r="K200" i="39"/>
  <c r="K202" i="39" s="1"/>
  <c r="K204" i="39" s="1"/>
  <c r="K213" i="39" s="1"/>
  <c r="O43" i="9"/>
  <c r="J228" i="28"/>
  <c r="J230" i="28" s="1"/>
  <c r="J232" i="28" s="1"/>
  <c r="Q162" i="28"/>
  <c r="Q162" i="30"/>
  <c r="Q162" i="39"/>
  <c r="Q162" i="38"/>
  <c r="E197" i="38"/>
  <c r="I144" i="28"/>
  <c r="P144" i="28" s="1"/>
  <c r="I315" i="28"/>
  <c r="P315" i="28" s="1"/>
  <c r="I203" i="28"/>
  <c r="P203" i="28" s="1"/>
  <c r="I259" i="28"/>
  <c r="P259" i="28" s="1"/>
  <c r="I88" i="28"/>
  <c r="P88" i="28" s="1"/>
  <c r="I231" i="28"/>
  <c r="P231" i="28" s="1"/>
  <c r="I287" i="28"/>
  <c r="P287" i="28" s="1"/>
  <c r="I32" i="28"/>
  <c r="P32" i="28" s="1"/>
  <c r="I60" i="28"/>
  <c r="P60" i="28" s="1"/>
  <c r="I116" i="28"/>
  <c r="P116" i="28" s="1"/>
  <c r="L315" i="37"/>
  <c r="L317" i="37" s="1"/>
  <c r="L319" i="37" s="1"/>
  <c r="L328" i="37" s="1"/>
  <c r="L141" i="39"/>
  <c r="L143" i="39" s="1"/>
  <c r="L145" i="39" s="1"/>
  <c r="L154" i="39" s="1"/>
  <c r="L29" i="39"/>
  <c r="L31" i="39" s="1"/>
  <c r="L33" i="39" s="1"/>
  <c r="L42" i="39" s="1"/>
  <c r="L284" i="38"/>
  <c r="L286" i="38" s="1"/>
  <c r="L288" i="38" s="1"/>
  <c r="L297" i="38" s="1"/>
  <c r="I50" i="47"/>
  <c r="I74" i="47" s="1"/>
  <c r="I87" i="47" s="1"/>
  <c r="K57" i="38"/>
  <c r="K59" i="38" s="1"/>
  <c r="K61" i="38" s="1"/>
  <c r="K70" i="38" s="1"/>
  <c r="I74" i="30"/>
  <c r="P74" i="30" s="1"/>
  <c r="I130" i="30"/>
  <c r="P130" i="30" s="1"/>
  <c r="I217" i="30"/>
  <c r="P217" i="30" s="1"/>
  <c r="I273" i="30"/>
  <c r="P273" i="30" s="1"/>
  <c r="I301" i="30"/>
  <c r="P301" i="30" s="1"/>
  <c r="I189" i="30"/>
  <c r="P189" i="30" s="1"/>
  <c r="I245" i="30"/>
  <c r="P245" i="30" s="1"/>
  <c r="I46" i="30"/>
  <c r="P46" i="30" s="1"/>
  <c r="I18" i="30"/>
  <c r="P18" i="30" s="1"/>
  <c r="I102" i="30"/>
  <c r="P102" i="30" s="1"/>
  <c r="I102" i="35"/>
  <c r="P102" i="35" s="1"/>
  <c r="I189" i="35"/>
  <c r="P189" i="35" s="1"/>
  <c r="I245" i="35"/>
  <c r="P245" i="35" s="1"/>
  <c r="I46" i="35"/>
  <c r="P46" i="35" s="1"/>
  <c r="I301" i="35"/>
  <c r="P301" i="35" s="1"/>
  <c r="I273" i="35"/>
  <c r="P273" i="35" s="1"/>
  <c r="I18" i="35"/>
  <c r="P18" i="35" s="1"/>
  <c r="I130" i="35"/>
  <c r="P130" i="35" s="1"/>
  <c r="I217" i="35"/>
  <c r="P217" i="35" s="1"/>
  <c r="I74" i="35"/>
  <c r="P74" i="35" s="1"/>
  <c r="S217" i="46"/>
  <c r="S115" i="46"/>
  <c r="S46" i="46"/>
  <c r="S234" i="46"/>
  <c r="S154" i="46"/>
  <c r="S65" i="46"/>
  <c r="S171" i="46"/>
  <c r="S190" i="46"/>
  <c r="V41" i="46"/>
  <c r="M56" i="46" s="1"/>
  <c r="L56" i="46"/>
  <c r="J200" i="29"/>
  <c r="J202" i="29" s="1"/>
  <c r="J204" i="29" s="1"/>
  <c r="J228" i="29"/>
  <c r="J230" i="29" s="1"/>
  <c r="J232" i="29" s="1"/>
  <c r="E256" i="37"/>
  <c r="P277" i="38"/>
  <c r="P106" i="28"/>
  <c r="P155" i="25"/>
  <c r="I135" i="39"/>
  <c r="P221" i="35"/>
  <c r="K93" i="11"/>
  <c r="K117" i="11" s="1"/>
  <c r="K92" i="11"/>
  <c r="J95" i="11"/>
  <c r="J118" i="11"/>
  <c r="J169" i="30"/>
  <c r="J171" i="30" s="1"/>
  <c r="J173" i="30" s="1"/>
  <c r="J284" i="30"/>
  <c r="J286" i="30" s="1"/>
  <c r="J288" i="30" s="1"/>
  <c r="E82" i="39"/>
  <c r="J119" i="48"/>
  <c r="J102" i="47" s="1"/>
  <c r="P78" i="35"/>
  <c r="I259" i="35"/>
  <c r="P259" i="35" s="1"/>
  <c r="I32" i="35"/>
  <c r="P32" i="35" s="1"/>
  <c r="I315" i="35"/>
  <c r="P315" i="35" s="1"/>
  <c r="I88" i="35"/>
  <c r="P88" i="35" s="1"/>
  <c r="I287" i="35"/>
  <c r="P287" i="35" s="1"/>
  <c r="I203" i="35"/>
  <c r="P203" i="35" s="1"/>
  <c r="I231" i="35"/>
  <c r="P231" i="35" s="1"/>
  <c r="I116" i="35"/>
  <c r="P116" i="35" s="1"/>
  <c r="I144" i="35"/>
  <c r="P144" i="35" s="1"/>
  <c r="I60" i="35"/>
  <c r="P60" i="35" s="1"/>
  <c r="K256" i="39"/>
  <c r="K258" i="39" s="1"/>
  <c r="K260" i="39" s="1"/>
  <c r="K269" i="39" s="1"/>
  <c r="J256" i="35"/>
  <c r="J258" i="35" s="1"/>
  <c r="J260" i="35" s="1"/>
  <c r="J57" i="35"/>
  <c r="J59" i="35" s="1"/>
  <c r="J61" i="35" s="1"/>
  <c r="K144" i="37"/>
  <c r="K146" i="37" s="1"/>
  <c r="K148" i="37" s="1"/>
  <c r="K157" i="37" s="1"/>
  <c r="M135" i="39"/>
  <c r="M136" i="39" s="1"/>
  <c r="M138" i="39" s="1"/>
  <c r="M140" i="39" s="1"/>
  <c r="M110" i="37"/>
  <c r="M111" i="37" s="1"/>
  <c r="M113" i="37" s="1"/>
  <c r="M115" i="37" s="1"/>
  <c r="M23" i="37"/>
  <c r="M24" i="37" s="1"/>
  <c r="M26" i="37" s="1"/>
  <c r="M28" i="37" s="1"/>
  <c r="M79" i="37"/>
  <c r="M80" i="37" s="1"/>
  <c r="M82" i="37" s="1"/>
  <c r="M84" i="37" s="1"/>
  <c r="M278" i="38"/>
  <c r="M135" i="38"/>
  <c r="M136" i="38" s="1"/>
  <c r="M138" i="38" s="1"/>
  <c r="M140" i="38" s="1"/>
  <c r="M250" i="38"/>
  <c r="M251" i="38" s="1"/>
  <c r="M253" i="38" s="1"/>
  <c r="M255" i="38" s="1"/>
  <c r="M253" i="37"/>
  <c r="M254" i="37" s="1"/>
  <c r="M256" i="37" s="1"/>
  <c r="M258" i="37" s="1"/>
  <c r="M197" i="37"/>
  <c r="M198" i="37" s="1"/>
  <c r="M200" i="37" s="1"/>
  <c r="M202" i="37" s="1"/>
  <c r="M306" i="38"/>
  <c r="M307" i="38" s="1"/>
  <c r="M309" i="38" s="1"/>
  <c r="M311" i="38" s="1"/>
  <c r="M51" i="38"/>
  <c r="M52" i="38" s="1"/>
  <c r="M54" i="38" s="1"/>
  <c r="M56" i="38" s="1"/>
  <c r="M107" i="39"/>
  <c r="M108" i="39" s="1"/>
  <c r="M110" i="39" s="1"/>
  <c r="M112" i="39" s="1"/>
  <c r="M23" i="39"/>
  <c r="M24" i="39" s="1"/>
  <c r="M26" i="39" s="1"/>
  <c r="M28" i="39" s="1"/>
  <c r="M51" i="39"/>
  <c r="M107" i="38"/>
  <c r="M108" i="38" s="1"/>
  <c r="M110" i="38" s="1"/>
  <c r="M112" i="38" s="1"/>
  <c r="M222" i="38"/>
  <c r="M223" i="38" s="1"/>
  <c r="M225" i="38" s="1"/>
  <c r="M227" i="38" s="1"/>
  <c r="M79" i="38"/>
  <c r="M80" i="38" s="1"/>
  <c r="M82" i="38" s="1"/>
  <c r="M84" i="38" s="1"/>
  <c r="M194" i="38"/>
  <c r="M195" i="38" s="1"/>
  <c r="M197" i="38" s="1"/>
  <c r="M199" i="38" s="1"/>
  <c r="M250" i="39"/>
  <c r="M23" i="38"/>
  <c r="M24" i="38" s="1"/>
  <c r="M26" i="38" s="1"/>
  <c r="M28" i="38" s="1"/>
  <c r="M194" i="39"/>
  <c r="M195" i="39" s="1"/>
  <c r="M197" i="39" s="1"/>
  <c r="M199" i="39" s="1"/>
  <c r="M138" i="37"/>
  <c r="M139" i="37" s="1"/>
  <c r="M141" i="37" s="1"/>
  <c r="M143" i="37" s="1"/>
  <c r="M79" i="39"/>
  <c r="M80" i="39" s="1"/>
  <c r="M82" i="39" s="1"/>
  <c r="M84" i="39" s="1"/>
  <c r="M309" i="37"/>
  <c r="M310" i="37" s="1"/>
  <c r="M312" i="37" s="1"/>
  <c r="M314" i="37" s="1"/>
  <c r="M278" i="39"/>
  <c r="M279" i="39" s="1"/>
  <c r="M281" i="39" s="1"/>
  <c r="M283" i="39" s="1"/>
  <c r="M51" i="37"/>
  <c r="M52" i="37" s="1"/>
  <c r="M54" i="37" s="1"/>
  <c r="M56" i="37" s="1"/>
  <c r="M306" i="39"/>
  <c r="M307" i="39" s="1"/>
  <c r="M309" i="39" s="1"/>
  <c r="M311" i="39" s="1"/>
  <c r="M281" i="37"/>
  <c r="M282" i="37" s="1"/>
  <c r="M284" i="37" s="1"/>
  <c r="M286" i="37" s="1"/>
  <c r="M222" i="39"/>
  <c r="M225" i="37"/>
  <c r="M226" i="37" s="1"/>
  <c r="M228" i="37" s="1"/>
  <c r="M230" i="37" s="1"/>
  <c r="L60" i="9"/>
  <c r="H91" i="18"/>
  <c r="I91" i="18" s="1"/>
  <c r="J91" i="18" s="1"/>
  <c r="K91" i="18" s="1"/>
  <c r="L91" i="18" s="1"/>
  <c r="M91" i="18" s="1"/>
  <c r="J85" i="28"/>
  <c r="J87" i="28" s="1"/>
  <c r="J89" i="28" s="1"/>
  <c r="J57" i="28"/>
  <c r="J59" i="28" s="1"/>
  <c r="J61" i="28" s="1"/>
  <c r="L284" i="39"/>
  <c r="L286" i="39" s="1"/>
  <c r="L288" i="39" s="1"/>
  <c r="L297" i="39" s="1"/>
  <c r="L228" i="39"/>
  <c r="L230" i="39" s="1"/>
  <c r="L232" i="39" s="1"/>
  <c r="L241" i="39" s="1"/>
  <c r="L144" i="37"/>
  <c r="L146" i="37" s="1"/>
  <c r="L148" i="37" s="1"/>
  <c r="L157" i="37" s="1"/>
  <c r="L85" i="38"/>
  <c r="L87" i="38" s="1"/>
  <c r="L89" i="38" s="1"/>
  <c r="L98" i="38" s="1"/>
  <c r="I56" i="47"/>
  <c r="I80" i="47" s="1"/>
  <c r="I93" i="47" s="1"/>
  <c r="E26" i="39"/>
  <c r="K315" i="37"/>
  <c r="K317" i="37" s="1"/>
  <c r="K319" i="37" s="1"/>
  <c r="K328" i="37" s="1"/>
  <c r="T104" i="46"/>
  <c r="K119" i="46"/>
  <c r="I130" i="38"/>
  <c r="P130" i="38" s="1"/>
  <c r="I74" i="38"/>
  <c r="P74" i="38" s="1"/>
  <c r="I18" i="38"/>
  <c r="P18" i="38" s="1"/>
  <c r="I301" i="38"/>
  <c r="P301" i="38" s="1"/>
  <c r="I273" i="38"/>
  <c r="P273" i="38" s="1"/>
  <c r="I217" i="38"/>
  <c r="P217" i="38" s="1"/>
  <c r="I46" i="38"/>
  <c r="P46" i="38" s="1"/>
  <c r="I102" i="38"/>
  <c r="P102" i="38" s="1"/>
  <c r="I189" i="38"/>
  <c r="P189" i="38" s="1"/>
  <c r="I245" i="38"/>
  <c r="P245" i="38" s="1"/>
  <c r="R116" i="48"/>
  <c r="K119" i="48" s="1"/>
  <c r="K102" i="47" s="1"/>
  <c r="K142" i="47" s="1"/>
  <c r="R74" i="48"/>
  <c r="K77" i="48" s="1"/>
  <c r="K100" i="47" s="1"/>
  <c r="K140" i="47" s="1"/>
  <c r="R242" i="48"/>
  <c r="K245" i="48" s="1"/>
  <c r="K108" i="47" s="1"/>
  <c r="K148" i="47" s="1"/>
  <c r="R200" i="48"/>
  <c r="K203" i="48" s="1"/>
  <c r="K106" i="47" s="1"/>
  <c r="R158" i="48"/>
  <c r="K161" i="48" s="1"/>
  <c r="K104" i="47" s="1"/>
  <c r="K144" i="47" s="1"/>
  <c r="R53" i="48"/>
  <c r="K56" i="48" s="1"/>
  <c r="K99" i="47" s="1"/>
  <c r="K139" i="47" s="1"/>
  <c r="K141" i="46"/>
  <c r="K103" i="45" s="1"/>
  <c r="R95" i="48"/>
  <c r="R221" i="48"/>
  <c r="K224" i="48" s="1"/>
  <c r="K107" i="47" s="1"/>
  <c r="K147" i="47" s="1"/>
  <c r="R179" i="48"/>
  <c r="K182" i="48" s="1"/>
  <c r="K105" i="47" s="1"/>
  <c r="K145" i="47" s="1"/>
  <c r="R137" i="48"/>
  <c r="K140" i="48" s="1"/>
  <c r="K103" i="47" s="1"/>
  <c r="R32" i="48"/>
  <c r="K35" i="48" s="1"/>
  <c r="K98" i="47" s="1"/>
  <c r="K138" i="47" s="1"/>
  <c r="S151" i="46"/>
  <c r="J113" i="29"/>
  <c r="J115" i="29" s="1"/>
  <c r="J117" i="29" s="1"/>
  <c r="E26" i="37"/>
  <c r="K113" i="39"/>
  <c r="K115" i="39" s="1"/>
  <c r="K117" i="39" s="1"/>
  <c r="K126" i="39" s="1"/>
  <c r="L98" i="46"/>
  <c r="V83" i="46"/>
  <c r="M98" i="46" s="1"/>
  <c r="I51" i="45"/>
  <c r="I75" i="45" s="1"/>
  <c r="I88" i="45" s="1"/>
  <c r="P175" i="37"/>
  <c r="P57" i="18"/>
  <c r="D69" i="45" l="1"/>
  <c r="O68" i="45"/>
  <c r="D69" i="47"/>
  <c r="O68" i="47"/>
  <c r="D68" i="43"/>
  <c r="O67" i="43"/>
  <c r="H127" i="48"/>
  <c r="I127" i="48" s="1"/>
  <c r="J128" i="48"/>
  <c r="K128" i="48" s="1"/>
  <c r="M108" i="11"/>
  <c r="L111" i="11"/>
  <c r="M107" i="11" s="1"/>
  <c r="M109" i="11"/>
  <c r="M110" i="11" s="1"/>
  <c r="F126" i="48"/>
  <c r="G126" i="48" s="1"/>
  <c r="H104" i="18"/>
  <c r="I104" i="18" s="1"/>
  <c r="J104" i="18" s="1"/>
  <c r="F125" i="48"/>
  <c r="G125" i="48" s="1"/>
  <c r="D128" i="48"/>
  <c r="E128" i="48" s="1"/>
  <c r="H128" i="48"/>
  <c r="I128" i="48" s="1"/>
  <c r="J130" i="48"/>
  <c r="K130" i="48" s="1"/>
  <c r="J131" i="48"/>
  <c r="K131" i="48" s="1"/>
  <c r="L125" i="48"/>
  <c r="M125" i="48" s="1"/>
  <c r="J129" i="48"/>
  <c r="K129" i="48" s="1"/>
  <c r="D136" i="48"/>
  <c r="E136" i="48" s="1"/>
  <c r="L129" i="48"/>
  <c r="M129" i="48" s="1"/>
  <c r="D129" i="48"/>
  <c r="L136" i="48"/>
  <c r="M136" i="48" s="1"/>
  <c r="H132" i="48"/>
  <c r="I132" i="48" s="1"/>
  <c r="D133" i="48"/>
  <c r="E133" i="48" s="1"/>
  <c r="H133" i="48"/>
  <c r="I133" i="48" s="1"/>
  <c r="D127" i="48"/>
  <c r="E127" i="48" s="1"/>
  <c r="J134" i="48"/>
  <c r="K134" i="48" s="1"/>
  <c r="F128" i="48"/>
  <c r="G128" i="48" s="1"/>
  <c r="F129" i="48"/>
  <c r="G129" i="48" s="1"/>
  <c r="D126" i="48"/>
  <c r="L127" i="48"/>
  <c r="M127" i="48" s="1"/>
  <c r="H130" i="46"/>
  <c r="I130" i="46" s="1"/>
  <c r="D126" i="46"/>
  <c r="E126" i="46" s="1"/>
  <c r="J130" i="46"/>
  <c r="K130" i="46" s="1"/>
  <c r="F137" i="46"/>
  <c r="G137" i="46" s="1"/>
  <c r="D132" i="46"/>
  <c r="E132" i="46" s="1"/>
  <c r="L135" i="46"/>
  <c r="M135" i="46" s="1"/>
  <c r="J128" i="46"/>
  <c r="K128" i="46" s="1"/>
  <c r="D136" i="46"/>
  <c r="E136" i="46" s="1"/>
  <c r="L132" i="46"/>
  <c r="M132" i="46" s="1"/>
  <c r="J131" i="46"/>
  <c r="K131" i="46" s="1"/>
  <c r="D135" i="46"/>
  <c r="E135" i="46" s="1"/>
  <c r="L134" i="48"/>
  <c r="M134" i="48" s="1"/>
  <c r="D132" i="48"/>
  <c r="E132" i="48" s="1"/>
  <c r="H129" i="48"/>
  <c r="I129" i="48" s="1"/>
  <c r="D130" i="46"/>
  <c r="E130" i="46" s="1"/>
  <c r="H135" i="46"/>
  <c r="I135" i="46" s="1"/>
  <c r="L133" i="48"/>
  <c r="M133" i="48" s="1"/>
  <c r="D131" i="48"/>
  <c r="L131" i="48"/>
  <c r="M131" i="48" s="1"/>
  <c r="H126" i="48"/>
  <c r="I126" i="48" s="1"/>
  <c r="F132" i="48"/>
  <c r="G132" i="48" s="1"/>
  <c r="J127" i="48"/>
  <c r="K127" i="48" s="1"/>
  <c r="L133" i="46"/>
  <c r="M133" i="46" s="1"/>
  <c r="L134" i="46"/>
  <c r="M134" i="46" s="1"/>
  <c r="J127" i="46"/>
  <c r="K127" i="46" s="1"/>
  <c r="F133" i="46"/>
  <c r="G133" i="46" s="1"/>
  <c r="F134" i="46"/>
  <c r="G134" i="46" s="1"/>
  <c r="D133" i="46"/>
  <c r="E133" i="46" s="1"/>
  <c r="D137" i="46"/>
  <c r="E137" i="46" s="1"/>
  <c r="L128" i="48"/>
  <c r="M128" i="48" s="1"/>
  <c r="F127" i="48"/>
  <c r="G127" i="48" s="1"/>
  <c r="D125" i="48"/>
  <c r="E125" i="48" s="1"/>
  <c r="D130" i="48"/>
  <c r="J132" i="48"/>
  <c r="K132" i="48" s="1"/>
  <c r="L135" i="48"/>
  <c r="M135" i="48" s="1"/>
  <c r="L131" i="46"/>
  <c r="M131" i="46" s="1"/>
  <c r="L130" i="46"/>
  <c r="M130" i="46" s="1"/>
  <c r="J137" i="46"/>
  <c r="K137" i="46" s="1"/>
  <c r="H127" i="46"/>
  <c r="I127" i="46" s="1"/>
  <c r="H131" i="46"/>
  <c r="I131" i="46" s="1"/>
  <c r="H133" i="46"/>
  <c r="I133" i="46" s="1"/>
  <c r="F131" i="48"/>
  <c r="G131" i="48" s="1"/>
  <c r="H131" i="48"/>
  <c r="I131" i="48" s="1"/>
  <c r="H130" i="48"/>
  <c r="I130" i="48" s="1"/>
  <c r="H135" i="48"/>
  <c r="I135" i="48" s="1"/>
  <c r="J126" i="48"/>
  <c r="K126" i="48" s="1"/>
  <c r="F135" i="48"/>
  <c r="G135" i="48" s="1"/>
  <c r="L127" i="46"/>
  <c r="M127" i="46" s="1"/>
  <c r="J129" i="46"/>
  <c r="K129" i="46" s="1"/>
  <c r="D128" i="46"/>
  <c r="E128" i="46" s="1"/>
  <c r="D131" i="46"/>
  <c r="E131" i="46" s="1"/>
  <c r="H126" i="46"/>
  <c r="I126" i="46" s="1"/>
  <c r="F131" i="46"/>
  <c r="G131" i="46" s="1"/>
  <c r="F136" i="48"/>
  <c r="G136" i="48" s="1"/>
  <c r="F133" i="48"/>
  <c r="G133" i="48" s="1"/>
  <c r="D134" i="48"/>
  <c r="E134" i="48" s="1"/>
  <c r="J135" i="48"/>
  <c r="K135" i="48" s="1"/>
  <c r="D135" i="48"/>
  <c r="L132" i="48"/>
  <c r="M132" i="48" s="1"/>
  <c r="L136" i="46"/>
  <c r="M136" i="46" s="1"/>
  <c r="J126" i="46"/>
  <c r="K126" i="46" s="1"/>
  <c r="J133" i="46"/>
  <c r="K133" i="46" s="1"/>
  <c r="F135" i="46"/>
  <c r="G135" i="46" s="1"/>
  <c r="H136" i="46"/>
  <c r="I136" i="46" s="1"/>
  <c r="H134" i="46"/>
  <c r="I134" i="46" s="1"/>
  <c r="D324" i="35"/>
  <c r="D325" i="35" s="1"/>
  <c r="D153" i="35"/>
  <c r="D154" i="35" s="1"/>
  <c r="D240" i="35"/>
  <c r="D241" i="35" s="1"/>
  <c r="D125" i="35"/>
  <c r="D126" i="35" s="1"/>
  <c r="D296" i="35"/>
  <c r="D297" i="35" s="1"/>
  <c r="D212" i="35"/>
  <c r="D213" i="35" s="1"/>
  <c r="D69" i="35"/>
  <c r="D70" i="35" s="1"/>
  <c r="D268" i="35"/>
  <c r="D269" i="35" s="1"/>
  <c r="D182" i="35"/>
  <c r="D184" i="35" s="1"/>
  <c r="D185" i="35" s="1"/>
  <c r="D97" i="35"/>
  <c r="D98" i="35" s="1"/>
  <c r="I13" i="10"/>
  <c r="G21" i="16"/>
  <c r="H30" i="15"/>
  <c r="D102" i="43"/>
  <c r="E20" i="10"/>
  <c r="D103" i="15"/>
  <c r="N123" i="41"/>
  <c r="F104" i="41"/>
  <c r="F29" i="15" s="1"/>
  <c r="F41" i="15" s="1"/>
  <c r="F53" i="15" s="1"/>
  <c r="F77" i="15" s="1"/>
  <c r="F90" i="15" s="1"/>
  <c r="E104" i="41"/>
  <c r="E29" i="15" s="1"/>
  <c r="E41" i="15" s="1"/>
  <c r="E53" i="15" s="1"/>
  <c r="E77" i="15" s="1"/>
  <c r="E90" i="15" s="1"/>
  <c r="H105" i="41"/>
  <c r="H102" i="15" s="1"/>
  <c r="G105" i="41"/>
  <c r="G102" i="15" s="1"/>
  <c r="G142" i="15" s="1"/>
  <c r="D105" i="41"/>
  <c r="D104" i="41"/>
  <c r="G104" i="41"/>
  <c r="G29" i="15" s="1"/>
  <c r="F105" i="41"/>
  <c r="F102" i="15" s="1"/>
  <c r="F142" i="15" s="1"/>
  <c r="E105" i="41"/>
  <c r="E102" i="15" s="1"/>
  <c r="H104" i="41"/>
  <c r="H29" i="15" s="1"/>
  <c r="D213" i="41"/>
  <c r="H213" i="41"/>
  <c r="H108" i="15" s="1"/>
  <c r="D212" i="41"/>
  <c r="F213" i="41"/>
  <c r="F108" i="15" s="1"/>
  <c r="F148" i="15" s="1"/>
  <c r="F212" i="41"/>
  <c r="F35" i="15" s="1"/>
  <c r="F47" i="15" s="1"/>
  <c r="G212" i="41"/>
  <c r="G35" i="15" s="1"/>
  <c r="G47" i="15" s="1"/>
  <c r="E212" i="41"/>
  <c r="E35" i="15" s="1"/>
  <c r="E47" i="15" s="1"/>
  <c r="E59" i="15" s="1"/>
  <c r="E83" i="15" s="1"/>
  <c r="E96" i="15" s="1"/>
  <c r="H212" i="41"/>
  <c r="H35" i="15" s="1"/>
  <c r="G213" i="41"/>
  <c r="G108" i="15" s="1"/>
  <c r="G148" i="15" s="1"/>
  <c r="E213" i="41"/>
  <c r="E108" i="15" s="1"/>
  <c r="C61" i="16"/>
  <c r="D69" i="39"/>
  <c r="D296" i="39"/>
  <c r="D324" i="39"/>
  <c r="D41" i="39"/>
  <c r="D240" i="39"/>
  <c r="D212" i="39"/>
  <c r="D153" i="39"/>
  <c r="D125" i="39"/>
  <c r="D182" i="39"/>
  <c r="D268" i="39"/>
  <c r="D97" i="39"/>
  <c r="C7" i="48"/>
  <c r="B45" i="48"/>
  <c r="B42" i="48"/>
  <c r="B43" i="48" s="1"/>
  <c r="G102" i="43"/>
  <c r="H20" i="10"/>
  <c r="G103" i="15"/>
  <c r="D324" i="29"/>
  <c r="D325" i="29" s="1"/>
  <c r="D212" i="29"/>
  <c r="D213" i="29" s="1"/>
  <c r="D296" i="29"/>
  <c r="D297" i="29" s="1"/>
  <c r="D97" i="29"/>
  <c r="D98" i="29" s="1"/>
  <c r="D240" i="29"/>
  <c r="D241" i="29" s="1"/>
  <c r="D125" i="29"/>
  <c r="D126" i="29" s="1"/>
  <c r="D182" i="29"/>
  <c r="D184" i="29" s="1"/>
  <c r="D185" i="29" s="1"/>
  <c r="D268" i="29"/>
  <c r="D269" i="29" s="1"/>
  <c r="D153" i="29"/>
  <c r="D154" i="29" s="1"/>
  <c r="D69" i="29"/>
  <c r="D70" i="29" s="1"/>
  <c r="M202" i="46"/>
  <c r="H205" i="46" s="1"/>
  <c r="H33" i="45" s="1"/>
  <c r="G202" i="46"/>
  <c r="E205" i="46" s="1"/>
  <c r="E33" i="45" s="1"/>
  <c r="E45" i="45" s="1"/>
  <c r="E57" i="45" s="1"/>
  <c r="E81" i="45" s="1"/>
  <c r="E94" i="45" s="1"/>
  <c r="B194" i="46"/>
  <c r="J194" i="46" s="1"/>
  <c r="K194" i="46" s="1"/>
  <c r="I202" i="46"/>
  <c r="F205" i="46" s="1"/>
  <c r="F33" i="45" s="1"/>
  <c r="F45" i="45" s="1"/>
  <c r="F57" i="45" s="1"/>
  <c r="F81" i="45" s="1"/>
  <c r="F94" i="45" s="1"/>
  <c r="E202" i="46"/>
  <c r="D205" i="46" s="1"/>
  <c r="D33" i="45" s="1"/>
  <c r="K202" i="46"/>
  <c r="G205" i="46" s="1"/>
  <c r="G33" i="45" s="1"/>
  <c r="G45" i="45" s="1"/>
  <c r="J195" i="46"/>
  <c r="K195" i="46" s="1"/>
  <c r="D195" i="46"/>
  <c r="E195" i="46" s="1"/>
  <c r="G86" i="41"/>
  <c r="G28" i="15" s="1"/>
  <c r="G40" i="15" s="1"/>
  <c r="H86" i="41"/>
  <c r="H28" i="15" s="1"/>
  <c r="E87" i="41"/>
  <c r="E101" i="15" s="1"/>
  <c r="G87" i="41"/>
  <c r="G101" i="15" s="1"/>
  <c r="G141" i="15" s="1"/>
  <c r="F87" i="41"/>
  <c r="F101" i="15" s="1"/>
  <c r="F141" i="15" s="1"/>
  <c r="F86" i="41"/>
  <c r="F28" i="15" s="1"/>
  <c r="F40" i="15" s="1"/>
  <c r="E86" i="41"/>
  <c r="E28" i="15" s="1"/>
  <c r="E40" i="15" s="1"/>
  <c r="E52" i="15" s="1"/>
  <c r="E76" i="15" s="1"/>
  <c r="E89" i="15" s="1"/>
  <c r="D87" i="41"/>
  <c r="H87" i="41"/>
  <c r="H101" i="15" s="1"/>
  <c r="D86" i="41"/>
  <c r="E130" i="48"/>
  <c r="D69" i="15"/>
  <c r="O69" i="15" s="1"/>
  <c r="O118" i="15"/>
  <c r="B25" i="48"/>
  <c r="J28" i="48" s="1"/>
  <c r="K28" i="48" s="1"/>
  <c r="G30" i="15"/>
  <c r="H13" i="10"/>
  <c r="F76" i="26" s="1"/>
  <c r="F21" i="16"/>
  <c r="C175" i="16"/>
  <c r="C180" i="16"/>
  <c r="F194" i="41"/>
  <c r="F34" i="15" s="1"/>
  <c r="F46" i="15" s="1"/>
  <c r="F58" i="15" s="1"/>
  <c r="F82" i="15" s="1"/>
  <c r="F95" i="15" s="1"/>
  <c r="G195" i="41"/>
  <c r="G107" i="15" s="1"/>
  <c r="G147" i="15" s="1"/>
  <c r="D194" i="41"/>
  <c r="H194" i="41"/>
  <c r="H34" i="15" s="1"/>
  <c r="F195" i="41"/>
  <c r="F107" i="15" s="1"/>
  <c r="F147" i="15" s="1"/>
  <c r="D195" i="41"/>
  <c r="H195" i="41"/>
  <c r="H107" i="15" s="1"/>
  <c r="E195" i="41"/>
  <c r="E107" i="15" s="1"/>
  <c r="E147" i="15" s="1"/>
  <c r="E194" i="41"/>
  <c r="E34" i="15" s="1"/>
  <c r="E46" i="15" s="1"/>
  <c r="E58" i="15" s="1"/>
  <c r="E82" i="15" s="1"/>
  <c r="E95" i="15" s="1"/>
  <c r="G194" i="41"/>
  <c r="G34" i="15" s="1"/>
  <c r="G46" i="15" s="1"/>
  <c r="O110" i="15"/>
  <c r="D61" i="15"/>
  <c r="O61" i="15" s="1"/>
  <c r="B236" i="46"/>
  <c r="D239" i="46" s="1"/>
  <c r="E239" i="46" s="1"/>
  <c r="I244" i="46"/>
  <c r="F247" i="46" s="1"/>
  <c r="F35" i="45" s="1"/>
  <c r="F47" i="45" s="1"/>
  <c r="F59" i="45" s="1"/>
  <c r="F83" i="45" s="1"/>
  <c r="F96" i="45" s="1"/>
  <c r="G244" i="46"/>
  <c r="E247" i="46" s="1"/>
  <c r="E35" i="45" s="1"/>
  <c r="E47" i="45" s="1"/>
  <c r="E59" i="45" s="1"/>
  <c r="E83" i="45" s="1"/>
  <c r="E96" i="45" s="1"/>
  <c r="E244" i="46"/>
  <c r="D247" i="46" s="1"/>
  <c r="D35" i="45" s="1"/>
  <c r="F232" i="46"/>
  <c r="G232" i="46" s="1"/>
  <c r="H232" i="46"/>
  <c r="I232" i="46" s="1"/>
  <c r="F239" i="46"/>
  <c r="G239" i="46" s="1"/>
  <c r="H234" i="46"/>
  <c r="I234" i="46" s="1"/>
  <c r="F234" i="46"/>
  <c r="G234" i="46" s="1"/>
  <c r="J241" i="46"/>
  <c r="K241" i="46" s="1"/>
  <c r="J239" i="46"/>
  <c r="K239" i="46" s="1"/>
  <c r="D242" i="46"/>
  <c r="E242" i="46" s="1"/>
  <c r="D232" i="46"/>
  <c r="E232" i="46" s="1"/>
  <c r="J237" i="46"/>
  <c r="K237" i="46" s="1"/>
  <c r="D237" i="46"/>
  <c r="E237" i="46" s="1"/>
  <c r="F235" i="46"/>
  <c r="G235" i="46" s="1"/>
  <c r="D233" i="46"/>
  <c r="E233" i="46" s="1"/>
  <c r="F237" i="46"/>
  <c r="G237" i="46" s="1"/>
  <c r="D240" i="46"/>
  <c r="E240" i="46" s="1"/>
  <c r="K244" i="46"/>
  <c r="G247" i="46" s="1"/>
  <c r="G35" i="45" s="1"/>
  <c r="G47" i="45" s="1"/>
  <c r="J232" i="46"/>
  <c r="K232" i="46" s="1"/>
  <c r="F233" i="46"/>
  <c r="G233" i="46" s="1"/>
  <c r="J238" i="46"/>
  <c r="K238" i="46" s="1"/>
  <c r="D235" i="46"/>
  <c r="E235" i="46" s="1"/>
  <c r="D241" i="46"/>
  <c r="E241" i="46" s="1"/>
  <c r="F241" i="46"/>
  <c r="G241" i="46" s="1"/>
  <c r="J233" i="46"/>
  <c r="K233" i="46" s="1"/>
  <c r="F240" i="46"/>
  <c r="G240" i="46" s="1"/>
  <c r="F238" i="46"/>
  <c r="G238" i="46" s="1"/>
  <c r="H236" i="46"/>
  <c r="I236" i="46" s="1"/>
  <c r="J240" i="46"/>
  <c r="K240" i="46" s="1"/>
  <c r="H235" i="46"/>
  <c r="I235" i="46" s="1"/>
  <c r="H231" i="46"/>
  <c r="I231" i="46" s="1"/>
  <c r="J242" i="46"/>
  <c r="K242" i="46" s="1"/>
  <c r="H239" i="46"/>
  <c r="I239" i="46" s="1"/>
  <c r="H241" i="46"/>
  <c r="I241" i="46" s="1"/>
  <c r="F242" i="46"/>
  <c r="G242" i="46" s="1"/>
  <c r="D234" i="46"/>
  <c r="E234" i="46" s="1"/>
  <c r="H237" i="46"/>
  <c r="I237" i="46" s="1"/>
  <c r="L235" i="46"/>
  <c r="M235" i="46" s="1"/>
  <c r="L241" i="46"/>
  <c r="M241" i="46" s="1"/>
  <c r="L233" i="46"/>
  <c r="M233" i="46" s="1"/>
  <c r="M244" i="46"/>
  <c r="H247" i="46" s="1"/>
  <c r="H35" i="45" s="1"/>
  <c r="L236" i="46"/>
  <c r="M236" i="46" s="1"/>
  <c r="L238" i="46"/>
  <c r="M238" i="46" s="1"/>
  <c r="L232" i="46"/>
  <c r="M232" i="46" s="1"/>
  <c r="L242" i="46"/>
  <c r="M242" i="46" s="1"/>
  <c r="L240" i="46"/>
  <c r="M240" i="46" s="1"/>
  <c r="L231" i="46"/>
  <c r="M231" i="46" s="1"/>
  <c r="E223" i="46"/>
  <c r="D226" i="46" s="1"/>
  <c r="D34" i="45" s="1"/>
  <c r="G223" i="46"/>
  <c r="E226" i="46" s="1"/>
  <c r="E34" i="45" s="1"/>
  <c r="E46" i="45" s="1"/>
  <c r="E58" i="45" s="1"/>
  <c r="E82" i="45" s="1"/>
  <c r="E95" i="45" s="1"/>
  <c r="I223" i="46"/>
  <c r="F226" i="46" s="1"/>
  <c r="F34" i="45" s="1"/>
  <c r="F46" i="45" s="1"/>
  <c r="F58" i="45" s="1"/>
  <c r="F82" i="45" s="1"/>
  <c r="F95" i="45" s="1"/>
  <c r="K223" i="46"/>
  <c r="G226" i="46" s="1"/>
  <c r="G34" i="45" s="1"/>
  <c r="G46" i="45" s="1"/>
  <c r="B215" i="46"/>
  <c r="J218" i="46" s="1"/>
  <c r="K218" i="46" s="1"/>
  <c r="M223" i="46"/>
  <c r="H226" i="46" s="1"/>
  <c r="H34" i="45" s="1"/>
  <c r="D217" i="46"/>
  <c r="E217" i="46" s="1"/>
  <c r="D220" i="46"/>
  <c r="E220" i="46" s="1"/>
  <c r="H215" i="46"/>
  <c r="I215" i="46" s="1"/>
  <c r="L218" i="46"/>
  <c r="M218" i="46" s="1"/>
  <c r="F213" i="46"/>
  <c r="G213" i="46" s="1"/>
  <c r="D67" i="15"/>
  <c r="O67" i="15" s="1"/>
  <c r="O116" i="15"/>
  <c r="D64" i="15"/>
  <c r="O64" i="15" s="1"/>
  <c r="O113" i="15"/>
  <c r="H137" i="46"/>
  <c r="I137" i="46" s="1"/>
  <c r="H138" i="46"/>
  <c r="F138" i="46"/>
  <c r="D138" i="46"/>
  <c r="J138" i="46"/>
  <c r="L138" i="46"/>
  <c r="G20" i="10"/>
  <c r="F102" i="43"/>
  <c r="F103" i="15"/>
  <c r="C181" i="16"/>
  <c r="C40" i="16"/>
  <c r="C42" i="16" s="1"/>
  <c r="C43" i="16" s="1"/>
  <c r="D39" i="16" s="1"/>
  <c r="C35" i="16"/>
  <c r="E35" i="16" s="1"/>
  <c r="F24" i="2"/>
  <c r="F25" i="2" s="1"/>
  <c r="G21" i="2" s="1"/>
  <c r="C155" i="16"/>
  <c r="C160" i="16"/>
  <c r="C162" i="16" s="1"/>
  <c r="C163" i="16" s="1"/>
  <c r="D159" i="16" s="1"/>
  <c r="L126" i="48"/>
  <c r="M126" i="48" s="1"/>
  <c r="J136" i="48"/>
  <c r="K136" i="48" s="1"/>
  <c r="J133" i="48"/>
  <c r="K133" i="48" s="1"/>
  <c r="F134" i="48"/>
  <c r="G134" i="48" s="1"/>
  <c r="J125" i="48"/>
  <c r="K125" i="48" s="1"/>
  <c r="F130" i="48"/>
  <c r="G130" i="48" s="1"/>
  <c r="L130" i="48"/>
  <c r="M130" i="48" s="1"/>
  <c r="M181" i="46"/>
  <c r="H184" i="46" s="1"/>
  <c r="H32" i="45" s="1"/>
  <c r="B173" i="46"/>
  <c r="F178" i="46" s="1"/>
  <c r="G178" i="46" s="1"/>
  <c r="G181" i="46"/>
  <c r="E184" i="46" s="1"/>
  <c r="E32" i="45" s="1"/>
  <c r="E44" i="45" s="1"/>
  <c r="E56" i="45" s="1"/>
  <c r="E80" i="45" s="1"/>
  <c r="E93" i="45" s="1"/>
  <c r="I181" i="46"/>
  <c r="F184" i="46" s="1"/>
  <c r="F32" i="45" s="1"/>
  <c r="F44" i="45" s="1"/>
  <c r="F56" i="45" s="1"/>
  <c r="F80" i="45" s="1"/>
  <c r="F93" i="45" s="1"/>
  <c r="E181" i="46"/>
  <c r="D184" i="46" s="1"/>
  <c r="D32" i="45" s="1"/>
  <c r="K181" i="46"/>
  <c r="G184" i="46" s="1"/>
  <c r="G32" i="45" s="1"/>
  <c r="G44" i="45" s="1"/>
  <c r="D169" i="46"/>
  <c r="E169" i="46" s="1"/>
  <c r="J178" i="46"/>
  <c r="K178" i="46" s="1"/>
  <c r="F177" i="46"/>
  <c r="G177" i="46" s="1"/>
  <c r="H171" i="46"/>
  <c r="I171" i="46" s="1"/>
  <c r="F179" i="46"/>
  <c r="G179" i="46" s="1"/>
  <c r="H173" i="46"/>
  <c r="I173" i="46" s="1"/>
  <c r="D172" i="46"/>
  <c r="E172" i="46" s="1"/>
  <c r="L173" i="46"/>
  <c r="M173" i="46" s="1"/>
  <c r="J174" i="46"/>
  <c r="K174" i="46" s="1"/>
  <c r="F176" i="46"/>
  <c r="G176" i="46" s="1"/>
  <c r="D176" i="46"/>
  <c r="E176" i="46" s="1"/>
  <c r="L176" i="46"/>
  <c r="M176" i="46" s="1"/>
  <c r="F175" i="46"/>
  <c r="G175" i="46" s="1"/>
  <c r="D177" i="46"/>
  <c r="E177" i="46" s="1"/>
  <c r="H169" i="46"/>
  <c r="I169" i="46" s="1"/>
  <c r="J173" i="46"/>
  <c r="K173" i="46" s="1"/>
  <c r="L170" i="46"/>
  <c r="M170" i="46" s="1"/>
  <c r="H128" i="46"/>
  <c r="I128" i="46" s="1"/>
  <c r="F128" i="46"/>
  <c r="G128" i="46" s="1"/>
  <c r="F126" i="46"/>
  <c r="G126" i="46" s="1"/>
  <c r="K118" i="46"/>
  <c r="G121" i="46" s="1"/>
  <c r="G29" i="45" s="1"/>
  <c r="G41" i="45" s="1"/>
  <c r="E118" i="46"/>
  <c r="D121" i="46" s="1"/>
  <c r="D29" i="45" s="1"/>
  <c r="B110" i="46"/>
  <c r="J115" i="46" s="1"/>
  <c r="K115" i="46" s="1"/>
  <c r="I118" i="46"/>
  <c r="F121" i="46" s="1"/>
  <c r="F29" i="45" s="1"/>
  <c r="F41" i="45" s="1"/>
  <c r="F53" i="45" s="1"/>
  <c r="F77" i="45" s="1"/>
  <c r="F90" i="45" s="1"/>
  <c r="G118" i="46"/>
  <c r="E121" i="46" s="1"/>
  <c r="E29" i="45" s="1"/>
  <c r="E41" i="45" s="1"/>
  <c r="E53" i="45" s="1"/>
  <c r="E77" i="45" s="1"/>
  <c r="E90" i="45" s="1"/>
  <c r="M118" i="46"/>
  <c r="H121" i="46" s="1"/>
  <c r="H29" i="45" s="1"/>
  <c r="D116" i="46"/>
  <c r="E116" i="46" s="1"/>
  <c r="L106" i="46"/>
  <c r="M106" i="46" s="1"/>
  <c r="L111" i="46"/>
  <c r="M111" i="46" s="1"/>
  <c r="H113" i="46"/>
  <c r="I113" i="46" s="1"/>
  <c r="F112" i="46"/>
  <c r="G112" i="46" s="1"/>
  <c r="D41" i="38"/>
  <c r="D42" i="38" s="1"/>
  <c r="D43" i="39" s="1"/>
  <c r="D153" i="38"/>
  <c r="D154" i="38" s="1"/>
  <c r="D324" i="38"/>
  <c r="D325" i="38" s="1"/>
  <c r="D212" i="38"/>
  <c r="D213" i="38" s="1"/>
  <c r="D268" i="38"/>
  <c r="D269" i="38" s="1"/>
  <c r="D125" i="38"/>
  <c r="D126" i="38" s="1"/>
  <c r="D97" i="38"/>
  <c r="D98" i="38" s="1"/>
  <c r="D296" i="38"/>
  <c r="D297" i="38" s="1"/>
  <c r="D182" i="38"/>
  <c r="D184" i="38" s="1"/>
  <c r="D185" i="38" s="1"/>
  <c r="D69" i="38"/>
  <c r="D70" i="38" s="1"/>
  <c r="D240" i="38"/>
  <c r="D241" i="38" s="1"/>
  <c r="G13" i="10"/>
  <c r="F30" i="15"/>
  <c r="E21" i="16"/>
  <c r="C215" i="16"/>
  <c r="C220" i="16"/>
  <c r="C222" i="16" s="1"/>
  <c r="C223" i="16" s="1"/>
  <c r="D219" i="16" s="1"/>
  <c r="F33" i="41"/>
  <c r="F98" i="15" s="1"/>
  <c r="F138" i="15" s="1"/>
  <c r="F32" i="41"/>
  <c r="F25" i="15" s="1"/>
  <c r="F37" i="15" s="1"/>
  <c r="F49" i="15" s="1"/>
  <c r="F73" i="15" s="1"/>
  <c r="F86" i="15" s="1"/>
  <c r="E33" i="41"/>
  <c r="E98" i="15" s="1"/>
  <c r="E138" i="15" s="1"/>
  <c r="D33" i="41"/>
  <c r="D98" i="15" s="1"/>
  <c r="E32" i="41"/>
  <c r="E25" i="15" s="1"/>
  <c r="E37" i="15" s="1"/>
  <c r="E49" i="15" s="1"/>
  <c r="E73" i="15" s="1"/>
  <c r="E86" i="15" s="1"/>
  <c r="G33" i="41"/>
  <c r="G98" i="15" s="1"/>
  <c r="G138" i="15" s="1"/>
  <c r="D32" i="41"/>
  <c r="D25" i="15" s="1"/>
  <c r="G32" i="41"/>
  <c r="G25" i="15" s="1"/>
  <c r="G37" i="15" s="1"/>
  <c r="H32" i="41"/>
  <c r="H25" i="15" s="1"/>
  <c r="H33" i="41"/>
  <c r="H98" i="15" s="1"/>
  <c r="D70" i="15"/>
  <c r="O70" i="15" s="1"/>
  <c r="O119" i="15"/>
  <c r="E129" i="48"/>
  <c r="C75" i="16"/>
  <c r="C80" i="16"/>
  <c r="C82" i="16" s="1"/>
  <c r="C83" i="16" s="1"/>
  <c r="D79" i="16" s="1"/>
  <c r="F13" i="10"/>
  <c r="D21" i="16"/>
  <c r="E30" i="15"/>
  <c r="M34" i="46"/>
  <c r="H37" i="46" s="1"/>
  <c r="H25" i="45" s="1"/>
  <c r="B26" i="46"/>
  <c r="H31" i="46" s="1"/>
  <c r="I31" i="46" s="1"/>
  <c r="K34" i="46"/>
  <c r="G37" i="46" s="1"/>
  <c r="G25" i="45" s="1"/>
  <c r="G37" i="45" s="1"/>
  <c r="G34" i="46"/>
  <c r="E37" i="46" s="1"/>
  <c r="E25" i="45" s="1"/>
  <c r="E37" i="45" s="1"/>
  <c r="E49" i="45" s="1"/>
  <c r="E73" i="45" s="1"/>
  <c r="E86" i="45" s="1"/>
  <c r="I34" i="46"/>
  <c r="F37" i="46" s="1"/>
  <c r="F25" i="45" s="1"/>
  <c r="F37" i="45" s="1"/>
  <c r="F49" i="45" s="1"/>
  <c r="F73" i="45" s="1"/>
  <c r="F86" i="45" s="1"/>
  <c r="E34" i="46"/>
  <c r="D37" i="46" s="1"/>
  <c r="D25" i="45" s="1"/>
  <c r="L30" i="46"/>
  <c r="M30" i="46" s="1"/>
  <c r="J24" i="46"/>
  <c r="K24" i="46" s="1"/>
  <c r="G50" i="41"/>
  <c r="G26" i="15" s="1"/>
  <c r="G38" i="15" s="1"/>
  <c r="E50" i="41"/>
  <c r="E26" i="15" s="1"/>
  <c r="E38" i="15" s="1"/>
  <c r="E50" i="15" s="1"/>
  <c r="E74" i="15" s="1"/>
  <c r="E87" i="15" s="1"/>
  <c r="F51" i="41"/>
  <c r="F99" i="15" s="1"/>
  <c r="F139" i="15" s="1"/>
  <c r="H51" i="41"/>
  <c r="H99" i="15" s="1"/>
  <c r="G51" i="41"/>
  <c r="G99" i="15" s="1"/>
  <c r="G139" i="15" s="1"/>
  <c r="H50" i="41"/>
  <c r="H26" i="15" s="1"/>
  <c r="D50" i="41"/>
  <c r="E51" i="41"/>
  <c r="E99" i="15" s="1"/>
  <c r="D51" i="41"/>
  <c r="F50" i="41"/>
  <c r="F26" i="15" s="1"/>
  <c r="F38" i="15" s="1"/>
  <c r="F50" i="15" s="1"/>
  <c r="F74" i="15" s="1"/>
  <c r="F87" i="15" s="1"/>
  <c r="G97" i="46"/>
  <c r="E100" i="46" s="1"/>
  <c r="E28" i="45" s="1"/>
  <c r="E40" i="45" s="1"/>
  <c r="E52" i="45" s="1"/>
  <c r="E76" i="45" s="1"/>
  <c r="E89" i="45" s="1"/>
  <c r="E97" i="46"/>
  <c r="D100" i="46" s="1"/>
  <c r="D28" i="45" s="1"/>
  <c r="B89" i="46"/>
  <c r="H94" i="46" s="1"/>
  <c r="I94" i="46" s="1"/>
  <c r="I97" i="46"/>
  <c r="F100" i="46" s="1"/>
  <c r="F28" i="45" s="1"/>
  <c r="F40" i="45" s="1"/>
  <c r="F52" i="45" s="1"/>
  <c r="F76" i="45" s="1"/>
  <c r="F89" i="45" s="1"/>
  <c r="K97" i="46"/>
  <c r="G100" i="46" s="1"/>
  <c r="G28" i="45" s="1"/>
  <c r="G40" i="45" s="1"/>
  <c r="J88" i="46"/>
  <c r="K88" i="46" s="1"/>
  <c r="M97" i="46"/>
  <c r="H100" i="46" s="1"/>
  <c r="H28" i="45" s="1"/>
  <c r="C195" i="16"/>
  <c r="C200" i="16"/>
  <c r="E123" i="42"/>
  <c r="E29" i="43" s="1"/>
  <c r="E124" i="42"/>
  <c r="H124" i="42"/>
  <c r="H123" i="42"/>
  <c r="H29" i="43" s="1"/>
  <c r="G123" i="42"/>
  <c r="G29" i="43" s="1"/>
  <c r="F124" i="42"/>
  <c r="G124" i="42"/>
  <c r="F123" i="42"/>
  <c r="F29" i="43" s="1"/>
  <c r="D123" i="42"/>
  <c r="D124" i="42"/>
  <c r="D68" i="15"/>
  <c r="O68" i="15" s="1"/>
  <c r="O117" i="15"/>
  <c r="M55" i="46"/>
  <c r="H58" i="46" s="1"/>
  <c r="H26" i="45" s="1"/>
  <c r="B47" i="46"/>
  <c r="F49" i="46" s="1"/>
  <c r="G49" i="46" s="1"/>
  <c r="K55" i="46"/>
  <c r="G58" i="46" s="1"/>
  <c r="G26" i="45" s="1"/>
  <c r="G55" i="46"/>
  <c r="E58" i="46" s="1"/>
  <c r="E26" i="45" s="1"/>
  <c r="E38" i="45" s="1"/>
  <c r="E50" i="45" s="1"/>
  <c r="E74" i="45" s="1"/>
  <c r="E87" i="45" s="1"/>
  <c r="E55" i="46"/>
  <c r="D58" i="46" s="1"/>
  <c r="D26" i="45" s="1"/>
  <c r="I55" i="46"/>
  <c r="F58" i="46" s="1"/>
  <c r="F26" i="45" s="1"/>
  <c r="F38" i="45" s="1"/>
  <c r="F50" i="45" s="1"/>
  <c r="F74" i="45" s="1"/>
  <c r="F87" i="45" s="1"/>
  <c r="D48" i="46"/>
  <c r="E48" i="46" s="1"/>
  <c r="H47" i="46"/>
  <c r="I47" i="46" s="1"/>
  <c r="F45" i="46"/>
  <c r="G45" i="46" s="1"/>
  <c r="D44" i="46"/>
  <c r="E44" i="46" s="1"/>
  <c r="D42" i="46"/>
  <c r="E42" i="46" s="1"/>
  <c r="D50" i="46"/>
  <c r="E50" i="46" s="1"/>
  <c r="L45" i="46"/>
  <c r="M45" i="46" s="1"/>
  <c r="F50" i="46"/>
  <c r="G50" i="46" s="1"/>
  <c r="H49" i="46"/>
  <c r="I49" i="46" s="1"/>
  <c r="D71" i="15"/>
  <c r="O71" i="15" s="1"/>
  <c r="O120" i="15"/>
  <c r="E135" i="48"/>
  <c r="H132" i="46"/>
  <c r="I132" i="46" s="1"/>
  <c r="G176" i="41"/>
  <c r="G33" i="15" s="1"/>
  <c r="G45" i="15" s="1"/>
  <c r="E177" i="41"/>
  <c r="E106" i="15" s="1"/>
  <c r="E146" i="15" s="1"/>
  <c r="H176" i="41"/>
  <c r="H33" i="15" s="1"/>
  <c r="E176" i="41"/>
  <c r="E33" i="15" s="1"/>
  <c r="E45" i="15" s="1"/>
  <c r="E57" i="15" s="1"/>
  <c r="E81" i="15" s="1"/>
  <c r="E94" i="15" s="1"/>
  <c r="F176" i="41"/>
  <c r="F33" i="15" s="1"/>
  <c r="F45" i="15" s="1"/>
  <c r="F57" i="15" s="1"/>
  <c r="F81" i="15" s="1"/>
  <c r="F94" i="15" s="1"/>
  <c r="F177" i="41"/>
  <c r="F106" i="15" s="1"/>
  <c r="F146" i="15" s="1"/>
  <c r="D177" i="41"/>
  <c r="H177" i="41"/>
  <c r="H106" i="15" s="1"/>
  <c r="D176" i="41"/>
  <c r="G177" i="41"/>
  <c r="G106" i="15" s="1"/>
  <c r="G146" i="15" s="1"/>
  <c r="F20" i="10"/>
  <c r="F27" i="10" s="1"/>
  <c r="E102" i="43"/>
  <c r="E103" i="15"/>
  <c r="C95" i="16"/>
  <c r="C100" i="16"/>
  <c r="C102" i="16" s="1"/>
  <c r="C103" i="16" s="1"/>
  <c r="D99" i="16" s="1"/>
  <c r="E160" i="46"/>
  <c r="D163" i="46" s="1"/>
  <c r="D31" i="45" s="1"/>
  <c r="M160" i="46"/>
  <c r="H163" i="46" s="1"/>
  <c r="H31" i="45" s="1"/>
  <c r="I160" i="46"/>
  <c r="F163" i="46" s="1"/>
  <c r="F31" i="45" s="1"/>
  <c r="F43" i="45" s="1"/>
  <c r="F55" i="45" s="1"/>
  <c r="F79" i="45" s="1"/>
  <c r="F92" i="45" s="1"/>
  <c r="B152" i="46"/>
  <c r="J149" i="46" s="1"/>
  <c r="K149" i="46" s="1"/>
  <c r="K160" i="46"/>
  <c r="G163" i="46" s="1"/>
  <c r="G31" i="45" s="1"/>
  <c r="G43" i="45" s="1"/>
  <c r="G160" i="46"/>
  <c r="E163" i="46" s="1"/>
  <c r="E31" i="45" s="1"/>
  <c r="E43" i="45" s="1"/>
  <c r="E55" i="45" s="1"/>
  <c r="E79" i="45" s="1"/>
  <c r="E92" i="45" s="1"/>
  <c r="F151" i="46"/>
  <c r="G151" i="46" s="1"/>
  <c r="F157" i="46"/>
  <c r="G157" i="46" s="1"/>
  <c r="F148" i="46"/>
  <c r="G148" i="46" s="1"/>
  <c r="O114" i="15"/>
  <c r="D65" i="15"/>
  <c r="O65" i="15" s="1"/>
  <c r="C140" i="16"/>
  <c r="C135" i="16"/>
  <c r="C201" i="16"/>
  <c r="F141" i="41"/>
  <c r="F104" i="15" s="1"/>
  <c r="F144" i="15" s="1"/>
  <c r="G140" i="41"/>
  <c r="G31" i="15" s="1"/>
  <c r="G43" i="15" s="1"/>
  <c r="H140" i="41"/>
  <c r="H31" i="15" s="1"/>
  <c r="F140" i="41"/>
  <c r="F31" i="15" s="1"/>
  <c r="F43" i="15" s="1"/>
  <c r="F55" i="15" s="1"/>
  <c r="F79" i="15" s="1"/>
  <c r="F92" i="15" s="1"/>
  <c r="E141" i="41"/>
  <c r="E104" i="15" s="1"/>
  <c r="E144" i="15" s="1"/>
  <c r="E140" i="41"/>
  <c r="E31" i="15" s="1"/>
  <c r="E43" i="15" s="1"/>
  <c r="E55" i="15" s="1"/>
  <c r="E79" i="15" s="1"/>
  <c r="E92" i="15" s="1"/>
  <c r="H141" i="41"/>
  <c r="H104" i="15" s="1"/>
  <c r="G141" i="41"/>
  <c r="G104" i="15" s="1"/>
  <c r="G144" i="15" s="1"/>
  <c r="D141" i="41"/>
  <c r="D140" i="41"/>
  <c r="C115" i="16"/>
  <c r="C120" i="16"/>
  <c r="E131" i="48"/>
  <c r="H136" i="48"/>
  <c r="I136" i="48" s="1"/>
  <c r="D97" i="37"/>
  <c r="D98" i="37" s="1"/>
  <c r="D69" i="37"/>
  <c r="D70" i="37" s="1"/>
  <c r="D243" i="37"/>
  <c r="D244" i="37" s="1"/>
  <c r="D185" i="37"/>
  <c r="D271" i="37"/>
  <c r="D272" i="37" s="1"/>
  <c r="D215" i="37"/>
  <c r="D216" i="37" s="1"/>
  <c r="D156" i="37"/>
  <c r="D157" i="37" s="1"/>
  <c r="D327" i="37"/>
  <c r="D328" i="37" s="1"/>
  <c r="D299" i="37"/>
  <c r="D300" i="37" s="1"/>
  <c r="D128" i="37"/>
  <c r="D129" i="37" s="1"/>
  <c r="F127" i="46"/>
  <c r="G127" i="46" s="1"/>
  <c r="F130" i="46"/>
  <c r="G130" i="46" s="1"/>
  <c r="H129" i="46"/>
  <c r="I129" i="46" s="1"/>
  <c r="F136" i="46"/>
  <c r="G136" i="46" s="1"/>
  <c r="M76" i="46"/>
  <c r="H79" i="46" s="1"/>
  <c r="H27" i="45" s="1"/>
  <c r="B68" i="46"/>
  <c r="F67" i="46" s="1"/>
  <c r="G67" i="46" s="1"/>
  <c r="K76" i="46"/>
  <c r="G79" i="46" s="1"/>
  <c r="G27" i="45" s="1"/>
  <c r="G39" i="45" s="1"/>
  <c r="I76" i="46"/>
  <c r="F79" i="46" s="1"/>
  <c r="F27" i="45" s="1"/>
  <c r="F39" i="45" s="1"/>
  <c r="F51" i="45" s="1"/>
  <c r="F75" i="45" s="1"/>
  <c r="F88" i="45" s="1"/>
  <c r="G76" i="46"/>
  <c r="E79" i="46" s="1"/>
  <c r="E27" i="45" s="1"/>
  <c r="E39" i="45" s="1"/>
  <c r="E51" i="45" s="1"/>
  <c r="E75" i="45" s="1"/>
  <c r="E88" i="45" s="1"/>
  <c r="E76" i="46"/>
  <c r="D79" i="46" s="1"/>
  <c r="D27" i="45" s="1"/>
  <c r="L65" i="46"/>
  <c r="M65" i="46" s="1"/>
  <c r="F64" i="46"/>
  <c r="G64" i="46" s="1"/>
  <c r="L71" i="46"/>
  <c r="M71" i="46" s="1"/>
  <c r="I20" i="10"/>
  <c r="H103" i="15"/>
  <c r="H102" i="43"/>
  <c r="N122" i="41"/>
  <c r="E13" i="10"/>
  <c r="C21" i="16"/>
  <c r="C22" i="16" s="1"/>
  <c r="C23" i="16" s="1"/>
  <c r="D19" i="16" s="1"/>
  <c r="D30" i="15"/>
  <c r="O112" i="15"/>
  <c r="D63" i="15"/>
  <c r="O63" i="15" s="1"/>
  <c r="C141" i="16"/>
  <c r="D158" i="41"/>
  <c r="H158" i="41"/>
  <c r="H32" i="15" s="1"/>
  <c r="E159" i="41"/>
  <c r="E105" i="15" s="1"/>
  <c r="G158" i="41"/>
  <c r="G32" i="15" s="1"/>
  <c r="G44" i="15" s="1"/>
  <c r="D159" i="41"/>
  <c r="F159" i="41"/>
  <c r="F105" i="15" s="1"/>
  <c r="F145" i="15" s="1"/>
  <c r="H159" i="41"/>
  <c r="H105" i="15" s="1"/>
  <c r="E158" i="41"/>
  <c r="E32" i="15" s="1"/>
  <c r="E44" i="15" s="1"/>
  <c r="E56" i="15" s="1"/>
  <c r="E80" i="15" s="1"/>
  <c r="E93" i="15" s="1"/>
  <c r="G159" i="41"/>
  <c r="G105" i="15" s="1"/>
  <c r="G145" i="15" s="1"/>
  <c r="F158" i="41"/>
  <c r="F32" i="15" s="1"/>
  <c r="F44" i="15" s="1"/>
  <c r="F56" i="15" s="1"/>
  <c r="F80" i="15" s="1"/>
  <c r="F93" i="15" s="1"/>
  <c r="D62" i="15"/>
  <c r="O62" i="15" s="1"/>
  <c r="O111" i="15"/>
  <c r="C121" i="16"/>
  <c r="G214" i="42"/>
  <c r="G107" i="43" s="1"/>
  <c r="G147" i="43" s="1"/>
  <c r="G213" i="42"/>
  <c r="G34" i="43" s="1"/>
  <c r="G46" i="43" s="1"/>
  <c r="G195" i="42"/>
  <c r="G33" i="43" s="1"/>
  <c r="G45" i="43" s="1"/>
  <c r="G196" i="42"/>
  <c r="G106" i="43" s="1"/>
  <c r="G146" i="43" s="1"/>
  <c r="D196" i="42"/>
  <c r="D106" i="43" s="1"/>
  <c r="G88" i="42"/>
  <c r="G100" i="43" s="1"/>
  <c r="G140" i="43" s="1"/>
  <c r="E88" i="42"/>
  <c r="E100" i="43" s="1"/>
  <c r="E140" i="43" s="1"/>
  <c r="E87" i="42"/>
  <c r="E27" i="43" s="1"/>
  <c r="E39" i="43" s="1"/>
  <c r="E51" i="43" s="1"/>
  <c r="E75" i="43" s="1"/>
  <c r="E88" i="43" s="1"/>
  <c r="E178" i="42"/>
  <c r="E105" i="43" s="1"/>
  <c r="E145" i="43" s="1"/>
  <c r="F88" i="42"/>
  <c r="F100" i="43" s="1"/>
  <c r="F140" i="43" s="1"/>
  <c r="F51" i="42"/>
  <c r="F25" i="43" s="1"/>
  <c r="F37" i="43" s="1"/>
  <c r="F49" i="43" s="1"/>
  <c r="F73" i="43" s="1"/>
  <c r="F86" i="43" s="1"/>
  <c r="G33" i="42"/>
  <c r="G24" i="43" s="1"/>
  <c r="F106" i="42"/>
  <c r="F101" i="43" s="1"/>
  <c r="F141" i="43" s="1"/>
  <c r="F105" i="42"/>
  <c r="F28" i="43" s="1"/>
  <c r="F40" i="43" s="1"/>
  <c r="F52" i="43" s="1"/>
  <c r="F76" i="43" s="1"/>
  <c r="F89" i="43" s="1"/>
  <c r="E196" i="42"/>
  <c r="E106" i="43" s="1"/>
  <c r="E146" i="43" s="1"/>
  <c r="H52" i="42"/>
  <c r="H98" i="43" s="1"/>
  <c r="H214" i="42"/>
  <c r="H107" i="43" s="1"/>
  <c r="E33" i="42"/>
  <c r="E24" i="43" s="1"/>
  <c r="E36" i="43" s="1"/>
  <c r="E48" i="43" s="1"/>
  <c r="E72" i="43" s="1"/>
  <c r="E85" i="43" s="1"/>
  <c r="D106" i="42"/>
  <c r="D159" i="42"/>
  <c r="E105" i="42"/>
  <c r="E28" i="43" s="1"/>
  <c r="E40" i="43" s="1"/>
  <c r="E52" i="43" s="1"/>
  <c r="E76" i="43" s="1"/>
  <c r="E89" i="43" s="1"/>
  <c r="D87" i="42"/>
  <c r="G52" i="42"/>
  <c r="G98" i="43" s="1"/>
  <c r="G138" i="43" s="1"/>
  <c r="H160" i="42"/>
  <c r="H104" i="43" s="1"/>
  <c r="F70" i="42"/>
  <c r="F99" i="43" s="1"/>
  <c r="F139" i="43" s="1"/>
  <c r="G105" i="42"/>
  <c r="G28" i="43" s="1"/>
  <c r="G40" i="43" s="1"/>
  <c r="D70" i="42"/>
  <c r="F159" i="42"/>
  <c r="F31" i="43" s="1"/>
  <c r="F43" i="43" s="1"/>
  <c r="F55" i="43" s="1"/>
  <c r="F79" i="43" s="1"/>
  <c r="F92" i="43" s="1"/>
  <c r="D214" i="42"/>
  <c r="D107" i="43" s="1"/>
  <c r="E142" i="42"/>
  <c r="E103" i="43" s="1"/>
  <c r="E143" i="43" s="1"/>
  <c r="F69" i="42"/>
  <c r="F26" i="43" s="1"/>
  <c r="F38" i="43" s="1"/>
  <c r="F50" i="43" s="1"/>
  <c r="F74" i="43" s="1"/>
  <c r="F87" i="43" s="1"/>
  <c r="H87" i="42"/>
  <c r="H27" i="43" s="1"/>
  <c r="E106" i="42"/>
  <c r="E101" i="43" s="1"/>
  <c r="E141" i="43" s="1"/>
  <c r="G142" i="42"/>
  <c r="G103" i="43" s="1"/>
  <c r="G143" i="43" s="1"/>
  <c r="G141" i="42"/>
  <c r="G30" i="43" s="1"/>
  <c r="G42" i="43" s="1"/>
  <c r="H142" i="42"/>
  <c r="H103" i="43" s="1"/>
  <c r="F142" i="42"/>
  <c r="F103" i="43" s="1"/>
  <c r="F143" i="43" s="1"/>
  <c r="E160" i="42"/>
  <c r="E104" i="43" s="1"/>
  <c r="H69" i="42"/>
  <c r="H26" i="43" s="1"/>
  <c r="D177" i="42"/>
  <c r="D105" i="42"/>
  <c r="E214" i="42"/>
  <c r="E107" i="43" s="1"/>
  <c r="E195" i="42"/>
  <c r="E33" i="43" s="1"/>
  <c r="E45" i="43" s="1"/>
  <c r="E57" i="43" s="1"/>
  <c r="E81" i="43" s="1"/>
  <c r="E94" i="43" s="1"/>
  <c r="G177" i="42"/>
  <c r="G32" i="43" s="1"/>
  <c r="H51" i="42"/>
  <c r="H25" i="43" s="1"/>
  <c r="D141" i="42"/>
  <c r="H70" i="42"/>
  <c r="H99" i="43" s="1"/>
  <c r="G159" i="42"/>
  <c r="G31" i="43" s="1"/>
  <c r="G43" i="43" s="1"/>
  <c r="G178" i="42"/>
  <c r="G105" i="43" s="1"/>
  <c r="G145" i="43" s="1"/>
  <c r="E34" i="42"/>
  <c r="E97" i="43" s="1"/>
  <c r="F213" i="42"/>
  <c r="F34" i="43" s="1"/>
  <c r="F46" i="43" s="1"/>
  <c r="F58" i="43" s="1"/>
  <c r="F82" i="43" s="1"/>
  <c r="F95" i="43" s="1"/>
  <c r="D213" i="42"/>
  <c r="D34" i="43" s="1"/>
  <c r="F195" i="42"/>
  <c r="F33" i="43" s="1"/>
  <c r="F45" i="43" s="1"/>
  <c r="F57" i="43" s="1"/>
  <c r="F81" i="43" s="1"/>
  <c r="F94" i="43" s="1"/>
  <c r="E70" i="42"/>
  <c r="E99" i="43" s="1"/>
  <c r="E139" i="43" s="1"/>
  <c r="G51" i="42"/>
  <c r="G25" i="43" s="1"/>
  <c r="G37" i="43" s="1"/>
  <c r="D88" i="42"/>
  <c r="F34" i="42"/>
  <c r="F97" i="43" s="1"/>
  <c r="F137" i="43" s="1"/>
  <c r="G70" i="42"/>
  <c r="G99" i="43" s="1"/>
  <c r="G139" i="43" s="1"/>
  <c r="G87" i="42"/>
  <c r="G27" i="43" s="1"/>
  <c r="G39" i="43" s="1"/>
  <c r="H141" i="42"/>
  <c r="H30" i="43" s="1"/>
  <c r="H159" i="42"/>
  <c r="H31" i="43" s="1"/>
  <c r="H105" i="42"/>
  <c r="H28" i="43" s="1"/>
  <c r="H88" i="42"/>
  <c r="H100" i="43" s="1"/>
  <c r="G160" i="42"/>
  <c r="G104" i="43" s="1"/>
  <c r="G144" i="43" s="1"/>
  <c r="H195" i="42"/>
  <c r="H33" i="43" s="1"/>
  <c r="D195" i="42"/>
  <c r="D33" i="43" s="1"/>
  <c r="D69" i="42"/>
  <c r="D142" i="42"/>
  <c r="D34" i="42"/>
  <c r="H33" i="42"/>
  <c r="H24" i="43" s="1"/>
  <c r="F160" i="42"/>
  <c r="F104" i="43" s="1"/>
  <c r="F144" i="43" s="1"/>
  <c r="G69" i="42"/>
  <c r="G26" i="43" s="1"/>
  <c r="G38" i="43" s="1"/>
  <c r="D51" i="42"/>
  <c r="E159" i="42"/>
  <c r="E31" i="43" s="1"/>
  <c r="E43" i="43" s="1"/>
  <c r="E55" i="43" s="1"/>
  <c r="E79" i="43" s="1"/>
  <c r="E92" i="43" s="1"/>
  <c r="H177" i="42"/>
  <c r="H32" i="43" s="1"/>
  <c r="F33" i="42"/>
  <c r="F24" i="43" s="1"/>
  <c r="F36" i="43" s="1"/>
  <c r="F48" i="43" s="1"/>
  <c r="F72" i="43" s="1"/>
  <c r="F85" i="43" s="1"/>
  <c r="H196" i="42"/>
  <c r="H106" i="43" s="1"/>
  <c r="D178" i="42"/>
  <c r="E177" i="42"/>
  <c r="E32" i="43" s="1"/>
  <c r="E44" i="43" s="1"/>
  <c r="E56" i="43" s="1"/>
  <c r="E80" i="43" s="1"/>
  <c r="E93" i="43" s="1"/>
  <c r="D160" i="42"/>
  <c r="F214" i="42"/>
  <c r="F107" i="43" s="1"/>
  <c r="F147" i="43" s="1"/>
  <c r="E213" i="42"/>
  <c r="E34" i="43" s="1"/>
  <c r="E46" i="43" s="1"/>
  <c r="E58" i="43" s="1"/>
  <c r="E82" i="43" s="1"/>
  <c r="E95" i="43" s="1"/>
  <c r="F178" i="42"/>
  <c r="F105" i="43" s="1"/>
  <c r="F145" i="43" s="1"/>
  <c r="F141" i="42"/>
  <c r="F30" i="43" s="1"/>
  <c r="F42" i="43" s="1"/>
  <c r="F54" i="43" s="1"/>
  <c r="F78" i="43" s="1"/>
  <c r="F91" i="43" s="1"/>
  <c r="E69" i="42"/>
  <c r="E26" i="43" s="1"/>
  <c r="E38" i="43" s="1"/>
  <c r="E50" i="43" s="1"/>
  <c r="E74" i="43" s="1"/>
  <c r="E87" i="43" s="1"/>
  <c r="E52" i="42"/>
  <c r="E98" i="43" s="1"/>
  <c r="E138" i="43" s="1"/>
  <c r="G106" i="42"/>
  <c r="G101" i="43" s="1"/>
  <c r="G141" i="43" s="1"/>
  <c r="G34" i="42"/>
  <c r="G97" i="43" s="1"/>
  <c r="G137" i="43" s="1"/>
  <c r="F196" i="42"/>
  <c r="F106" i="43" s="1"/>
  <c r="F146" i="43" s="1"/>
  <c r="E51" i="42"/>
  <c r="E25" i="43" s="1"/>
  <c r="E37" i="43" s="1"/>
  <c r="E49" i="43" s="1"/>
  <c r="E73" i="43" s="1"/>
  <c r="E86" i="43" s="1"/>
  <c r="E141" i="42"/>
  <c r="E30" i="43" s="1"/>
  <c r="E42" i="43" s="1"/>
  <c r="E54" i="43" s="1"/>
  <c r="E78" i="43" s="1"/>
  <c r="E91" i="43" s="1"/>
  <c r="F52" i="42"/>
  <c r="F98" i="43" s="1"/>
  <c r="F138" i="43" s="1"/>
  <c r="F177" i="42"/>
  <c r="F32" i="43" s="1"/>
  <c r="F44" i="43" s="1"/>
  <c r="F56" i="43" s="1"/>
  <c r="F80" i="43" s="1"/>
  <c r="F93" i="43" s="1"/>
  <c r="H178" i="42"/>
  <c r="H105" i="43" s="1"/>
  <c r="H106" i="42"/>
  <c r="H101" i="43" s="1"/>
  <c r="F87" i="42"/>
  <c r="F27" i="43" s="1"/>
  <c r="F39" i="43" s="1"/>
  <c r="F51" i="43" s="1"/>
  <c r="F75" i="43" s="1"/>
  <c r="F88" i="43" s="1"/>
  <c r="D52" i="42"/>
  <c r="D33" i="42"/>
  <c r="H34" i="42"/>
  <c r="H97" i="43" s="1"/>
  <c r="H213" i="42"/>
  <c r="H34" i="43" s="1"/>
  <c r="F68" i="41"/>
  <c r="F27" i="15" s="1"/>
  <c r="F39" i="15" s="1"/>
  <c r="F51" i="15" s="1"/>
  <c r="F75" i="15" s="1"/>
  <c r="F88" i="15" s="1"/>
  <c r="E68" i="41"/>
  <c r="E27" i="15" s="1"/>
  <c r="E39" i="15" s="1"/>
  <c r="E51" i="15" s="1"/>
  <c r="E75" i="15" s="1"/>
  <c r="E88" i="15" s="1"/>
  <c r="D68" i="41"/>
  <c r="H68" i="41"/>
  <c r="H27" i="15" s="1"/>
  <c r="E69" i="41"/>
  <c r="E100" i="15" s="1"/>
  <c r="E140" i="15" s="1"/>
  <c r="F69" i="41"/>
  <c r="F100" i="15" s="1"/>
  <c r="F140" i="15" s="1"/>
  <c r="G68" i="41"/>
  <c r="G27" i="15" s="1"/>
  <c r="G39" i="15" s="1"/>
  <c r="H69" i="41"/>
  <c r="H100" i="15" s="1"/>
  <c r="D69" i="41"/>
  <c r="G69" i="41"/>
  <c r="G100" i="15" s="1"/>
  <c r="G140" i="15" s="1"/>
  <c r="E126" i="48"/>
  <c r="H125" i="48"/>
  <c r="I125" i="48" s="1"/>
  <c r="C60" i="16"/>
  <c r="C62" i="16" s="1"/>
  <c r="C63" i="16" s="1"/>
  <c r="D59" i="16" s="1"/>
  <c r="C55" i="16"/>
  <c r="L15" i="18"/>
  <c r="L17" i="18" s="1"/>
  <c r="L18" i="18" s="1"/>
  <c r="D186" i="30"/>
  <c r="D31" i="10"/>
  <c r="D32" i="10" s="1"/>
  <c r="C155" i="45"/>
  <c r="C155" i="15"/>
  <c r="C155" i="47"/>
  <c r="C154" i="43"/>
  <c r="D29" i="10"/>
  <c r="D186" i="28"/>
  <c r="F132" i="46"/>
  <c r="G132" i="46" s="1"/>
  <c r="R58" i="18"/>
  <c r="R52" i="18"/>
  <c r="R57" i="18"/>
  <c r="R61" i="18" s="1"/>
  <c r="N60" i="9"/>
  <c r="P24" i="39"/>
  <c r="J47" i="25"/>
  <c r="N84" i="11"/>
  <c r="N85" i="11"/>
  <c r="N86" i="11" s="1"/>
  <c r="N87" i="11" s="1"/>
  <c r="O83" i="11" s="1"/>
  <c r="M87" i="11"/>
  <c r="N83" i="11" s="1"/>
  <c r="P194" i="38"/>
  <c r="E122" i="18"/>
  <c r="E123" i="18" s="1"/>
  <c r="E125" i="18" s="1"/>
  <c r="P107" i="39"/>
  <c r="P51" i="38"/>
  <c r="J17" i="10"/>
  <c r="J19" i="10" s="1"/>
  <c r="P138" i="37"/>
  <c r="P79" i="37"/>
  <c r="M101" i="11"/>
  <c r="M102" i="11" s="1"/>
  <c r="L103" i="11"/>
  <c r="M99" i="11" s="1"/>
  <c r="M100" i="11"/>
  <c r="I284" i="37"/>
  <c r="P282" i="37"/>
  <c r="V209" i="46"/>
  <c r="M224" i="46" s="1"/>
  <c r="L224" i="46"/>
  <c r="F95" i="35"/>
  <c r="F266" i="35"/>
  <c r="F67" i="35"/>
  <c r="F238" i="35"/>
  <c r="F123" i="35"/>
  <c r="F210" i="35"/>
  <c r="F39" i="35"/>
  <c r="F322" i="35"/>
  <c r="F294" i="35"/>
  <c r="F151" i="35"/>
  <c r="K105" i="18"/>
  <c r="K109" i="18"/>
  <c r="F36" i="39"/>
  <c r="F120" i="39"/>
  <c r="F92" i="39"/>
  <c r="F64" i="39"/>
  <c r="F319" i="39"/>
  <c r="F291" i="39"/>
  <c r="F263" i="39"/>
  <c r="F235" i="39"/>
  <c r="F207" i="39"/>
  <c r="F175" i="39"/>
  <c r="F148" i="39"/>
  <c r="F92" i="28"/>
  <c r="F235" i="28"/>
  <c r="F36" i="28"/>
  <c r="F175" i="28"/>
  <c r="F207" i="28"/>
  <c r="F64" i="28"/>
  <c r="F319" i="28"/>
  <c r="F148" i="28"/>
  <c r="F291" i="28"/>
  <c r="F120" i="28"/>
  <c r="F263" i="28"/>
  <c r="P52" i="38"/>
  <c r="D20" i="43"/>
  <c r="E306" i="28"/>
  <c r="E250" i="28"/>
  <c r="E79" i="28"/>
  <c r="E164" i="28"/>
  <c r="E222" i="28"/>
  <c r="E23" i="28"/>
  <c r="E135" i="28"/>
  <c r="E278" i="28"/>
  <c r="E51" i="28"/>
  <c r="E194" i="28"/>
  <c r="E107" i="28"/>
  <c r="P51" i="37"/>
  <c r="G38" i="45"/>
  <c r="G36" i="43"/>
  <c r="G44" i="43"/>
  <c r="H102" i="18"/>
  <c r="N102" i="18" s="1"/>
  <c r="N90" i="18"/>
  <c r="J45" i="24"/>
  <c r="K169" i="39"/>
  <c r="K171" i="39" s="1"/>
  <c r="K173" i="39" s="1"/>
  <c r="K182" i="39" s="1"/>
  <c r="K184" i="39" s="1"/>
  <c r="K169" i="38"/>
  <c r="K171" i="38" s="1"/>
  <c r="K173" i="38" s="1"/>
  <c r="K182" i="38" s="1"/>
  <c r="K184" i="38" s="1"/>
  <c r="U213" i="46"/>
  <c r="U220" i="46"/>
  <c r="L121" i="46"/>
  <c r="L29" i="45" s="1"/>
  <c r="U70" i="46"/>
  <c r="U74" i="46"/>
  <c r="U153" i="46"/>
  <c r="U170" i="46"/>
  <c r="P111" i="37"/>
  <c r="N29" i="38"/>
  <c r="N31" i="38" s="1"/>
  <c r="N33" i="38" s="1"/>
  <c r="N42" i="38" s="1"/>
  <c r="N43" i="39" s="1"/>
  <c r="M103" i="18"/>
  <c r="AH8" i="19"/>
  <c r="AH11" i="19" s="1"/>
  <c r="AI11" i="19" s="1"/>
  <c r="AI13" i="19" s="1"/>
  <c r="AI17" i="19" s="1"/>
  <c r="M98" i="9"/>
  <c r="N9" i="10" s="1"/>
  <c r="N85" i="39"/>
  <c r="N87" i="39" s="1"/>
  <c r="N89" i="39" s="1"/>
  <c r="N98" i="39" s="1"/>
  <c r="N228" i="39"/>
  <c r="N230" i="39" s="1"/>
  <c r="N232" i="39" s="1"/>
  <c r="N241" i="39" s="1"/>
  <c r="P197" i="38"/>
  <c r="P135" i="38"/>
  <c r="F322" i="38"/>
  <c r="F210" i="38"/>
  <c r="F123" i="38"/>
  <c r="F95" i="38"/>
  <c r="F67" i="38"/>
  <c r="F151" i="38"/>
  <c r="F39" i="38"/>
  <c r="F266" i="38"/>
  <c r="F238" i="38"/>
  <c r="F294" i="38"/>
  <c r="F238" i="37"/>
  <c r="F322" i="37"/>
  <c r="F210" i="37"/>
  <c r="F151" i="37"/>
  <c r="F36" i="37"/>
  <c r="F178" i="37"/>
  <c r="F64" i="37"/>
  <c r="F294" i="37"/>
  <c r="F266" i="37"/>
  <c r="F123" i="37"/>
  <c r="F92" i="37"/>
  <c r="F35" i="34"/>
  <c r="P54" i="38"/>
  <c r="K12" i="24"/>
  <c r="K44" i="24" s="1"/>
  <c r="J28" i="25"/>
  <c r="H28" i="7"/>
  <c r="G30" i="7"/>
  <c r="G34" i="7" s="1"/>
  <c r="G35" i="7" s="1"/>
  <c r="D21" i="15"/>
  <c r="I279" i="39"/>
  <c r="P278" i="39"/>
  <c r="P23" i="38"/>
  <c r="G110" i="18"/>
  <c r="F122" i="18"/>
  <c r="F114" i="18"/>
  <c r="P306" i="38"/>
  <c r="G41" i="15"/>
  <c r="K79" i="29"/>
  <c r="K80" i="29" s="1"/>
  <c r="K82" i="29" s="1"/>
  <c r="K84" i="29" s="1"/>
  <c r="K107" i="29"/>
  <c r="K108" i="29" s="1"/>
  <c r="K110" i="29" s="1"/>
  <c r="K112" i="29" s="1"/>
  <c r="K306" i="29"/>
  <c r="K307" i="29" s="1"/>
  <c r="K309" i="29" s="1"/>
  <c r="K311" i="29" s="1"/>
  <c r="K23" i="29"/>
  <c r="K24" i="29" s="1"/>
  <c r="K26" i="29" s="1"/>
  <c r="K28" i="29" s="1"/>
  <c r="K51" i="29"/>
  <c r="K52" i="29" s="1"/>
  <c r="K54" i="29" s="1"/>
  <c r="K56" i="29" s="1"/>
  <c r="K278" i="29"/>
  <c r="K279" i="29" s="1"/>
  <c r="K281" i="29" s="1"/>
  <c r="K283" i="29" s="1"/>
  <c r="K164" i="29"/>
  <c r="K166" i="29" s="1"/>
  <c r="K168" i="29" s="1"/>
  <c r="K222" i="29"/>
  <c r="K223" i="29" s="1"/>
  <c r="K225" i="29" s="1"/>
  <c r="K227" i="29" s="1"/>
  <c r="K250" i="29"/>
  <c r="K251" i="29" s="1"/>
  <c r="K253" i="29" s="1"/>
  <c r="K255" i="29" s="1"/>
  <c r="K194" i="29"/>
  <c r="K195" i="29" s="1"/>
  <c r="K197" i="29" s="1"/>
  <c r="K199" i="29" s="1"/>
  <c r="K135" i="29"/>
  <c r="K136" i="29" s="1"/>
  <c r="K138" i="29" s="1"/>
  <c r="K140" i="29" s="1"/>
  <c r="K162" i="25"/>
  <c r="K164" i="25" s="1"/>
  <c r="K166" i="25" s="1"/>
  <c r="P80" i="38"/>
  <c r="L213" i="42"/>
  <c r="L34" i="43" s="1"/>
  <c r="L214" i="42"/>
  <c r="L107" i="43" s="1"/>
  <c r="L147" i="43" s="1"/>
  <c r="M200" i="42"/>
  <c r="L37" i="46"/>
  <c r="L25" i="45" s="1"/>
  <c r="U126" i="46"/>
  <c r="L184" i="46"/>
  <c r="L32" i="45" s="1"/>
  <c r="L183" i="46"/>
  <c r="L105" i="45" s="1"/>
  <c r="U105" i="46"/>
  <c r="U114" i="46"/>
  <c r="U242" i="46"/>
  <c r="L36" i="46"/>
  <c r="L98" i="45" s="1"/>
  <c r="U152" i="46"/>
  <c r="U179" i="46"/>
  <c r="I139" i="37"/>
  <c r="N29" i="37"/>
  <c r="N31" i="37" s="1"/>
  <c r="N33" i="37" s="1"/>
  <c r="N42" i="37" s="1"/>
  <c r="N113" i="38"/>
  <c r="N115" i="38" s="1"/>
  <c r="N117" i="38" s="1"/>
  <c r="N126" i="38" s="1"/>
  <c r="N312" i="39"/>
  <c r="N314" i="39" s="1"/>
  <c r="N316" i="39" s="1"/>
  <c r="N325" i="39" s="1"/>
  <c r="N200" i="39"/>
  <c r="N202" i="39" s="1"/>
  <c r="N204" i="39" s="1"/>
  <c r="N213" i="39" s="1"/>
  <c r="P110" i="37"/>
  <c r="M287" i="37"/>
  <c r="M289" i="37" s="1"/>
  <c r="M291" i="37" s="1"/>
  <c r="M300" i="37" s="1"/>
  <c r="M29" i="38"/>
  <c r="M31" i="38" s="1"/>
  <c r="M33" i="38" s="1"/>
  <c r="M42" i="38" s="1"/>
  <c r="M43" i="39" s="1"/>
  <c r="M85" i="37"/>
  <c r="M87" i="37" s="1"/>
  <c r="M89" i="37" s="1"/>
  <c r="M98" i="37" s="1"/>
  <c r="P254" i="37"/>
  <c r="P310" i="37"/>
  <c r="F319" i="38"/>
  <c r="F64" i="38"/>
  <c r="F291" i="38"/>
  <c r="F263" i="38"/>
  <c r="F235" i="38"/>
  <c r="F207" i="38"/>
  <c r="F148" i="38"/>
  <c r="F120" i="38"/>
  <c r="F92" i="38"/>
  <c r="F175" i="38"/>
  <c r="F36" i="38"/>
  <c r="P198" i="37"/>
  <c r="I52" i="37"/>
  <c r="E12" i="10"/>
  <c r="E164" i="39"/>
  <c r="I251" i="38"/>
  <c r="P250" i="38"/>
  <c r="P107" i="38"/>
  <c r="J44" i="24"/>
  <c r="I24" i="38"/>
  <c r="K29" i="34"/>
  <c r="K31" i="34" s="1"/>
  <c r="K33" i="34" s="1"/>
  <c r="K42" i="34" s="1"/>
  <c r="K44" i="34" s="1"/>
  <c r="K51" i="28"/>
  <c r="K52" i="28" s="1"/>
  <c r="K54" i="28" s="1"/>
  <c r="K56" i="28" s="1"/>
  <c r="K164" i="28"/>
  <c r="K166" i="28" s="1"/>
  <c r="K168" i="28" s="1"/>
  <c r="K79" i="28"/>
  <c r="K80" i="28" s="1"/>
  <c r="K82" i="28" s="1"/>
  <c r="K84" i="28" s="1"/>
  <c r="K306" i="28"/>
  <c r="K307" i="28" s="1"/>
  <c r="K309" i="28" s="1"/>
  <c r="K311" i="28" s="1"/>
  <c r="K278" i="28"/>
  <c r="K279" i="28" s="1"/>
  <c r="K281" i="28" s="1"/>
  <c r="K283" i="28" s="1"/>
  <c r="K23" i="28"/>
  <c r="K24" i="28" s="1"/>
  <c r="K26" i="28" s="1"/>
  <c r="K28" i="28" s="1"/>
  <c r="K250" i="28"/>
  <c r="K251" i="28" s="1"/>
  <c r="K253" i="28" s="1"/>
  <c r="K255" i="28" s="1"/>
  <c r="K194" i="28"/>
  <c r="K195" i="28" s="1"/>
  <c r="K197" i="28" s="1"/>
  <c r="K199" i="28" s="1"/>
  <c r="K135" i="28"/>
  <c r="K136" i="28" s="1"/>
  <c r="K138" i="28" s="1"/>
  <c r="K140" i="28" s="1"/>
  <c r="K107" i="28"/>
  <c r="K108" i="28" s="1"/>
  <c r="K110" i="28" s="1"/>
  <c r="K112" i="28" s="1"/>
  <c r="K222" i="28"/>
  <c r="K223" i="28" s="1"/>
  <c r="K225" i="28" s="1"/>
  <c r="K227" i="28" s="1"/>
  <c r="P82" i="38"/>
  <c r="K107" i="43"/>
  <c r="U128" i="46"/>
  <c r="U157" i="46"/>
  <c r="U23" i="46"/>
  <c r="L78" i="46"/>
  <c r="L100" i="45" s="1"/>
  <c r="U155" i="46"/>
  <c r="L79" i="46"/>
  <c r="L27" i="45" s="1"/>
  <c r="G106" i="18"/>
  <c r="N315" i="37"/>
  <c r="N317" i="37" s="1"/>
  <c r="N319" i="37" s="1"/>
  <c r="N328" i="37" s="1"/>
  <c r="N116" i="37"/>
  <c r="N118" i="37" s="1"/>
  <c r="N120" i="37" s="1"/>
  <c r="N129" i="37" s="1"/>
  <c r="N256" i="39"/>
  <c r="N258" i="39" s="1"/>
  <c r="N260" i="39" s="1"/>
  <c r="N269" i="39" s="1"/>
  <c r="P253" i="37"/>
  <c r="M141" i="38"/>
  <c r="M143" i="38" s="1"/>
  <c r="M145" i="38" s="1"/>
  <c r="M154" i="38" s="1"/>
  <c r="P24" i="37"/>
  <c r="P26" i="39"/>
  <c r="M113" i="39"/>
  <c r="M115" i="39" s="1"/>
  <c r="M117" i="39" s="1"/>
  <c r="M126" i="39" s="1"/>
  <c r="P26" i="37"/>
  <c r="M312" i="39"/>
  <c r="M314" i="39" s="1"/>
  <c r="M316" i="39" s="1"/>
  <c r="M325" i="39" s="1"/>
  <c r="M251" i="39"/>
  <c r="P250" i="39"/>
  <c r="M57" i="38"/>
  <c r="M59" i="38" s="1"/>
  <c r="M61" i="38" s="1"/>
  <c r="M70" i="38" s="1"/>
  <c r="M29" i="37"/>
  <c r="M31" i="37" s="1"/>
  <c r="M33" i="37" s="1"/>
  <c r="M42" i="37" s="1"/>
  <c r="P256" i="37"/>
  <c r="P226" i="37"/>
  <c r="P82" i="37"/>
  <c r="F67" i="29"/>
  <c r="F39" i="29"/>
  <c r="F322" i="29"/>
  <c r="F294" i="29"/>
  <c r="F238" i="29"/>
  <c r="F266" i="29"/>
  <c r="F210" i="29"/>
  <c r="F151" i="29"/>
  <c r="F95" i="29"/>
  <c r="F123" i="29"/>
  <c r="P312" i="37"/>
  <c r="F148" i="35"/>
  <c r="F120" i="35"/>
  <c r="F175" i="35"/>
  <c r="F92" i="35"/>
  <c r="F319" i="35"/>
  <c r="F64" i="35"/>
  <c r="F291" i="35"/>
  <c r="F36" i="35"/>
  <c r="F263" i="35"/>
  <c r="F235" i="35"/>
  <c r="F207" i="35"/>
  <c r="F52" i="15"/>
  <c r="F76" i="15" s="1"/>
  <c r="F89" i="15" s="1"/>
  <c r="P200" i="37"/>
  <c r="P222" i="38"/>
  <c r="E24" i="34"/>
  <c r="E23" i="35"/>
  <c r="E51" i="35"/>
  <c r="E222" i="35"/>
  <c r="E194" i="35"/>
  <c r="E79" i="35"/>
  <c r="E306" i="35"/>
  <c r="E250" i="35"/>
  <c r="E164" i="35"/>
  <c r="E107" i="35"/>
  <c r="E278" i="35"/>
  <c r="E135" i="35"/>
  <c r="P225" i="37"/>
  <c r="J29" i="25"/>
  <c r="K13" i="24"/>
  <c r="K45" i="24" s="1"/>
  <c r="P223" i="38"/>
  <c r="J140" i="47"/>
  <c r="H14" i="10"/>
  <c r="F85" i="26"/>
  <c r="P79" i="38"/>
  <c r="J38" i="45"/>
  <c r="J40" i="45"/>
  <c r="J46" i="45"/>
  <c r="J43" i="45"/>
  <c r="J37" i="45"/>
  <c r="J45" i="45"/>
  <c r="J39" i="45"/>
  <c r="J41" i="45"/>
  <c r="J44" i="45"/>
  <c r="J47" i="45"/>
  <c r="J46" i="15"/>
  <c r="J41" i="15"/>
  <c r="J38" i="15"/>
  <c r="J43" i="15"/>
  <c r="J37" i="15"/>
  <c r="J45" i="15"/>
  <c r="J44" i="15"/>
  <c r="J47" i="15"/>
  <c r="J40" i="15"/>
  <c r="J39" i="15"/>
  <c r="P23" i="37"/>
  <c r="L246" i="46"/>
  <c r="L108" i="45" s="1"/>
  <c r="U238" i="46"/>
  <c r="L204" i="46"/>
  <c r="L106" i="45" s="1"/>
  <c r="U148" i="46"/>
  <c r="V138" i="46"/>
  <c r="W160" i="46"/>
  <c r="M163" i="46" s="1"/>
  <c r="M31" i="45" s="1"/>
  <c r="W139" i="46"/>
  <c r="M142" i="46" s="1"/>
  <c r="M30" i="45" s="1"/>
  <c r="W223" i="46"/>
  <c r="M226" i="46" s="1"/>
  <c r="M34" i="45" s="1"/>
  <c r="W97" i="46"/>
  <c r="M100" i="46" s="1"/>
  <c r="M28" i="45" s="1"/>
  <c r="V45" i="46"/>
  <c r="V71" i="46"/>
  <c r="V85" i="46"/>
  <c r="V111" i="46"/>
  <c r="W111" i="46" s="1"/>
  <c r="V152" i="46"/>
  <c r="W152" i="46" s="1"/>
  <c r="V168" i="46"/>
  <c r="V178" i="46"/>
  <c r="V196" i="46"/>
  <c r="V231" i="46"/>
  <c r="W231" i="46" s="1"/>
  <c r="V241" i="46"/>
  <c r="W241" i="46" s="1"/>
  <c r="V30" i="46"/>
  <c r="V130" i="46"/>
  <c r="W130" i="46" s="1"/>
  <c r="V52" i="46"/>
  <c r="W52" i="46" s="1"/>
  <c r="V66" i="46"/>
  <c r="V88" i="46"/>
  <c r="V116" i="46"/>
  <c r="V153" i="46"/>
  <c r="W153" i="46" s="1"/>
  <c r="V173" i="46"/>
  <c r="V199" i="46"/>
  <c r="V236" i="46"/>
  <c r="V21" i="46"/>
  <c r="V201" i="46"/>
  <c r="M204" i="46" s="1"/>
  <c r="M106" i="45" s="1"/>
  <c r="M146" i="45" s="1"/>
  <c r="V63" i="46"/>
  <c r="V95" i="46"/>
  <c r="V214" i="46"/>
  <c r="V233" i="46"/>
  <c r="V90" i="46"/>
  <c r="V108" i="46"/>
  <c r="V155" i="46"/>
  <c r="W155" i="46" s="1"/>
  <c r="V191" i="46"/>
  <c r="V219" i="46"/>
  <c r="V23" i="46"/>
  <c r="W23" i="46" s="1"/>
  <c r="V31" i="46"/>
  <c r="V135" i="46"/>
  <c r="W135" i="46" s="1"/>
  <c r="V72" i="46"/>
  <c r="V216" i="46"/>
  <c r="W216" i="46" s="1"/>
  <c r="V33" i="46"/>
  <c r="M36" i="46" s="1"/>
  <c r="M98" i="45" s="1"/>
  <c r="M138" i="45" s="1"/>
  <c r="V65" i="46"/>
  <c r="V73" i="46"/>
  <c r="V87" i="46"/>
  <c r="W87" i="46" s="1"/>
  <c r="V105" i="46"/>
  <c r="W105" i="46" s="1"/>
  <c r="V113" i="46"/>
  <c r="W113" i="46" s="1"/>
  <c r="V154" i="46"/>
  <c r="W154" i="46" s="1"/>
  <c r="V170" i="46"/>
  <c r="W170" i="46" s="1"/>
  <c r="V190" i="46"/>
  <c r="V198" i="46"/>
  <c r="V235" i="46"/>
  <c r="V22" i="46"/>
  <c r="V32" i="46"/>
  <c r="V132" i="46"/>
  <c r="V68" i="46"/>
  <c r="V74" i="46"/>
  <c r="W74" i="46" s="1"/>
  <c r="V147" i="46"/>
  <c r="W147" i="46" s="1"/>
  <c r="V175" i="46"/>
  <c r="V211" i="46"/>
  <c r="V221" i="46"/>
  <c r="V238" i="46"/>
  <c r="W238" i="46" s="1"/>
  <c r="V127" i="46"/>
  <c r="W76" i="46"/>
  <c r="M79" i="46" s="1"/>
  <c r="M27" i="45" s="1"/>
  <c r="W55" i="46"/>
  <c r="M58" i="46" s="1"/>
  <c r="M26" i="45" s="1"/>
  <c r="V54" i="46"/>
  <c r="M57" i="46" s="1"/>
  <c r="M99" i="45" s="1"/>
  <c r="M139" i="45" s="1"/>
  <c r="V49" i="46"/>
  <c r="V89" i="46"/>
  <c r="V200" i="46"/>
  <c r="V92" i="46"/>
  <c r="W92" i="46" s="1"/>
  <c r="V110" i="46"/>
  <c r="V157" i="46"/>
  <c r="W157" i="46" s="1"/>
  <c r="V193" i="46"/>
  <c r="W193" i="46" s="1"/>
  <c r="V25" i="46"/>
  <c r="V137" i="46"/>
  <c r="W137" i="46" s="1"/>
  <c r="V180" i="46"/>
  <c r="M183" i="46" s="1"/>
  <c r="M105" i="45" s="1"/>
  <c r="M145" i="45" s="1"/>
  <c r="W34" i="46"/>
  <c r="M37" i="46" s="1"/>
  <c r="M25" i="45" s="1"/>
  <c r="W181" i="46"/>
  <c r="M184" i="46" s="1"/>
  <c r="M32" i="45" s="1"/>
  <c r="V222" i="46"/>
  <c r="V159" i="46"/>
  <c r="V67" i="46"/>
  <c r="V46" i="46"/>
  <c r="V107" i="46"/>
  <c r="V115" i="46"/>
  <c r="V156" i="46"/>
  <c r="V172" i="46"/>
  <c r="V192" i="46"/>
  <c r="W192" i="46" s="1"/>
  <c r="V218" i="46"/>
  <c r="V237" i="46"/>
  <c r="W237" i="46" s="1"/>
  <c r="V24" i="46"/>
  <c r="W24" i="46" s="1"/>
  <c r="V126" i="46"/>
  <c r="W126" i="46" s="1"/>
  <c r="V134" i="46"/>
  <c r="M35" i="46"/>
  <c r="V84" i="46"/>
  <c r="V149" i="46"/>
  <c r="W149" i="46" s="1"/>
  <c r="V177" i="46"/>
  <c r="V195" i="46"/>
  <c r="V213" i="46"/>
  <c r="W213" i="46" s="1"/>
  <c r="V232" i="46"/>
  <c r="V240" i="46"/>
  <c r="W240" i="46" s="1"/>
  <c r="V129" i="46"/>
  <c r="V44" i="46"/>
  <c r="W244" i="46"/>
  <c r="M247" i="46" s="1"/>
  <c r="M35" i="45" s="1"/>
  <c r="V243" i="46"/>
  <c r="M246" i="46" s="1"/>
  <c r="M108" i="45" s="1"/>
  <c r="M148" i="45" s="1"/>
  <c r="V51" i="46"/>
  <c r="V91" i="46"/>
  <c r="W91" i="46" s="1"/>
  <c r="V174" i="46"/>
  <c r="V210" i="46"/>
  <c r="V136" i="46"/>
  <c r="V42" i="46"/>
  <c r="V94" i="46"/>
  <c r="V112" i="46"/>
  <c r="V169" i="46"/>
  <c r="V215" i="46"/>
  <c r="W215" i="46" s="1"/>
  <c r="V27" i="46"/>
  <c r="V48" i="46"/>
  <c r="V47" i="46"/>
  <c r="V96" i="46"/>
  <c r="V43" i="46"/>
  <c r="V69" i="46"/>
  <c r="V70" i="46"/>
  <c r="W70" i="46" s="1"/>
  <c r="V109" i="46"/>
  <c r="V148" i="46"/>
  <c r="W148" i="46" s="1"/>
  <c r="V158" i="46"/>
  <c r="W158" i="46" s="1"/>
  <c r="V176" i="46"/>
  <c r="V194" i="46"/>
  <c r="V220" i="46"/>
  <c r="W220" i="46" s="1"/>
  <c r="V239" i="46"/>
  <c r="V26" i="46"/>
  <c r="W26" i="46" s="1"/>
  <c r="V128" i="46"/>
  <c r="W128" i="46" s="1"/>
  <c r="V86" i="46"/>
  <c r="V151" i="46"/>
  <c r="V171" i="46"/>
  <c r="W171" i="46" s="1"/>
  <c r="V179" i="46"/>
  <c r="W179" i="46" s="1"/>
  <c r="V197" i="46"/>
  <c r="V234" i="46"/>
  <c r="V242" i="46"/>
  <c r="W242" i="46" s="1"/>
  <c r="V131" i="46"/>
  <c r="W202" i="46"/>
  <c r="M205" i="46" s="1"/>
  <c r="M33" i="45" s="1"/>
  <c r="V75" i="46"/>
  <c r="M78" i="46" s="1"/>
  <c r="M100" i="45" s="1"/>
  <c r="M140" i="45" s="1"/>
  <c r="W118" i="46"/>
  <c r="M121" i="46" s="1"/>
  <c r="M29" i="45" s="1"/>
  <c r="V117" i="46"/>
  <c r="M120" i="46" s="1"/>
  <c r="M102" i="45" s="1"/>
  <c r="M142" i="45" s="1"/>
  <c r="V53" i="46"/>
  <c r="V93" i="46"/>
  <c r="V150" i="46"/>
  <c r="W150" i="46" s="1"/>
  <c r="V212" i="46"/>
  <c r="V28" i="46"/>
  <c r="V50" i="46"/>
  <c r="W50" i="46" s="1"/>
  <c r="V106" i="46"/>
  <c r="V114" i="46"/>
  <c r="W114" i="46" s="1"/>
  <c r="V189" i="46"/>
  <c r="V217" i="46"/>
  <c r="W217" i="46" s="1"/>
  <c r="V29" i="46"/>
  <c r="W29" i="46" s="1"/>
  <c r="V133" i="46"/>
  <c r="W133" i="46" s="1"/>
  <c r="V64" i="46"/>
  <c r="N231" i="37"/>
  <c r="N233" i="37" s="1"/>
  <c r="N235" i="37" s="1"/>
  <c r="N244" i="37" s="1"/>
  <c r="N203" i="37"/>
  <c r="N205" i="37" s="1"/>
  <c r="N207" i="37" s="1"/>
  <c r="N216" i="37" s="1"/>
  <c r="N312" i="38"/>
  <c r="N314" i="38" s="1"/>
  <c r="N316" i="38" s="1"/>
  <c r="N325" i="38" s="1"/>
  <c r="N284" i="38"/>
  <c r="N286" i="38" s="1"/>
  <c r="N288" i="38" s="1"/>
  <c r="N297" i="38" s="1"/>
  <c r="M52" i="39"/>
  <c r="P51" i="39"/>
  <c r="K98" i="48"/>
  <c r="K101" i="47" s="1"/>
  <c r="M200" i="39"/>
  <c r="M202" i="39" s="1"/>
  <c r="M204" i="39" s="1"/>
  <c r="M213" i="39" s="1"/>
  <c r="M57" i="37"/>
  <c r="M59" i="37" s="1"/>
  <c r="M61" i="37" s="1"/>
  <c r="M70" i="37" s="1"/>
  <c r="M200" i="38"/>
  <c r="M202" i="38" s="1"/>
  <c r="M204" i="38" s="1"/>
  <c r="M213" i="38" s="1"/>
  <c r="M312" i="38"/>
  <c r="M314" i="38" s="1"/>
  <c r="M316" i="38" s="1"/>
  <c r="M325" i="38" s="1"/>
  <c r="M116" i="37"/>
  <c r="M118" i="37" s="1"/>
  <c r="M120" i="37" s="1"/>
  <c r="M129" i="37" s="1"/>
  <c r="P228" i="37"/>
  <c r="P80" i="37"/>
  <c r="F266" i="39"/>
  <c r="F123" i="39"/>
  <c r="F95" i="39"/>
  <c r="F238" i="39"/>
  <c r="F67" i="39"/>
  <c r="F322" i="39"/>
  <c r="F210" i="39"/>
  <c r="F294" i="39"/>
  <c r="F151" i="39"/>
  <c r="F39" i="39"/>
  <c r="F263" i="30"/>
  <c r="F36" i="30"/>
  <c r="F235" i="30"/>
  <c r="F207" i="30"/>
  <c r="F175" i="30"/>
  <c r="F148" i="30"/>
  <c r="F120" i="30"/>
  <c r="F92" i="30"/>
  <c r="F319" i="30"/>
  <c r="F64" i="30"/>
  <c r="F291" i="30"/>
  <c r="I9" i="10"/>
  <c r="D21" i="45"/>
  <c r="E194" i="29"/>
  <c r="E306" i="29"/>
  <c r="E278" i="29"/>
  <c r="E79" i="29"/>
  <c r="E23" i="29"/>
  <c r="E222" i="29"/>
  <c r="E107" i="29"/>
  <c r="E135" i="29"/>
  <c r="E250" i="29"/>
  <c r="E164" i="29"/>
  <c r="E51" i="29"/>
  <c r="P309" i="39"/>
  <c r="I195" i="39"/>
  <c r="P194" i="39"/>
  <c r="P225" i="38"/>
  <c r="H194" i="29"/>
  <c r="H195" i="29" s="1"/>
  <c r="H197" i="29" s="1"/>
  <c r="H79" i="29"/>
  <c r="H80" i="29" s="1"/>
  <c r="H82" i="29" s="1"/>
  <c r="H306" i="29"/>
  <c r="H307" i="29" s="1"/>
  <c r="H309" i="29" s="1"/>
  <c r="H250" i="29"/>
  <c r="H251" i="29" s="1"/>
  <c r="H253" i="29" s="1"/>
  <c r="H107" i="29"/>
  <c r="H108" i="29" s="1"/>
  <c r="H110" i="29" s="1"/>
  <c r="H51" i="29"/>
  <c r="H52" i="29" s="1"/>
  <c r="H54" i="29" s="1"/>
  <c r="H278" i="29"/>
  <c r="H279" i="29" s="1"/>
  <c r="H281" i="29" s="1"/>
  <c r="H222" i="29"/>
  <c r="H223" i="29" s="1"/>
  <c r="H225" i="29" s="1"/>
  <c r="H135" i="29"/>
  <c r="H136" i="29" s="1"/>
  <c r="H138" i="29" s="1"/>
  <c r="H23" i="29"/>
  <c r="H24" i="29" s="1"/>
  <c r="H26" i="29" s="1"/>
  <c r="H164" i="29"/>
  <c r="H166" i="29" s="1"/>
  <c r="H107" i="35"/>
  <c r="H108" i="35" s="1"/>
  <c r="H110" i="35" s="1"/>
  <c r="H79" i="35"/>
  <c r="H80" i="35" s="1"/>
  <c r="H82" i="35" s="1"/>
  <c r="H135" i="35"/>
  <c r="H136" i="35" s="1"/>
  <c r="H138" i="35" s="1"/>
  <c r="H51" i="35"/>
  <c r="H52" i="35" s="1"/>
  <c r="H54" i="35" s="1"/>
  <c r="H23" i="35"/>
  <c r="H24" i="35" s="1"/>
  <c r="H26" i="35" s="1"/>
  <c r="H250" i="35"/>
  <c r="H251" i="35" s="1"/>
  <c r="H253" i="35" s="1"/>
  <c r="H278" i="35"/>
  <c r="H279" i="35" s="1"/>
  <c r="H281" i="35" s="1"/>
  <c r="H306" i="35"/>
  <c r="H307" i="35" s="1"/>
  <c r="H309" i="35" s="1"/>
  <c r="H194" i="35"/>
  <c r="H195" i="35" s="1"/>
  <c r="H197" i="35" s="1"/>
  <c r="H222" i="35"/>
  <c r="H223" i="35" s="1"/>
  <c r="H225" i="35" s="1"/>
  <c r="H164" i="35"/>
  <c r="H166" i="35" s="1"/>
  <c r="K107" i="30"/>
  <c r="K108" i="30" s="1"/>
  <c r="K110" i="30" s="1"/>
  <c r="K112" i="30" s="1"/>
  <c r="K194" i="30"/>
  <c r="K195" i="30" s="1"/>
  <c r="K197" i="30" s="1"/>
  <c r="K199" i="30" s="1"/>
  <c r="K79" i="30"/>
  <c r="K80" i="30" s="1"/>
  <c r="K82" i="30" s="1"/>
  <c r="K84" i="30" s="1"/>
  <c r="K135" i="30"/>
  <c r="K136" i="30" s="1"/>
  <c r="K138" i="30" s="1"/>
  <c r="K140" i="30" s="1"/>
  <c r="K23" i="30"/>
  <c r="K24" i="30" s="1"/>
  <c r="K26" i="30" s="1"/>
  <c r="K28" i="30" s="1"/>
  <c r="K51" i="30"/>
  <c r="K52" i="30" s="1"/>
  <c r="K54" i="30" s="1"/>
  <c r="K56" i="30" s="1"/>
  <c r="K250" i="30"/>
  <c r="K251" i="30" s="1"/>
  <c r="K253" i="30" s="1"/>
  <c r="K255" i="30" s="1"/>
  <c r="K164" i="30"/>
  <c r="K166" i="30" s="1"/>
  <c r="K168" i="30" s="1"/>
  <c r="K306" i="30"/>
  <c r="K307" i="30" s="1"/>
  <c r="K309" i="30" s="1"/>
  <c r="K311" i="30" s="1"/>
  <c r="K222" i="30"/>
  <c r="K223" i="30" s="1"/>
  <c r="K225" i="30" s="1"/>
  <c r="K227" i="30" s="1"/>
  <c r="K278" i="30"/>
  <c r="K279" i="30" s="1"/>
  <c r="K281" i="30" s="1"/>
  <c r="K283" i="30" s="1"/>
  <c r="M30" i="7"/>
  <c r="M34" i="7" s="1"/>
  <c r="L205" i="46"/>
  <c r="L33" i="45" s="1"/>
  <c r="T158" i="48"/>
  <c r="L161" i="48" s="1"/>
  <c r="L104" i="47" s="1"/>
  <c r="L144" i="47" s="1"/>
  <c r="T53" i="48"/>
  <c r="L56" i="48" s="1"/>
  <c r="L99" i="47" s="1"/>
  <c r="L139" i="47" s="1"/>
  <c r="T137" i="48"/>
  <c r="L140" i="48" s="1"/>
  <c r="L103" i="47" s="1"/>
  <c r="T32" i="48"/>
  <c r="L35" i="48" s="1"/>
  <c r="L98" i="47" s="1"/>
  <c r="L138" i="47" s="1"/>
  <c r="T116" i="48"/>
  <c r="L119" i="48" s="1"/>
  <c r="L102" i="47" s="1"/>
  <c r="L142" i="47" s="1"/>
  <c r="T242" i="48"/>
  <c r="L245" i="48" s="1"/>
  <c r="L108" i="47" s="1"/>
  <c r="L148" i="47" s="1"/>
  <c r="T95" i="48"/>
  <c r="L98" i="48" s="1"/>
  <c r="L101" i="47" s="1"/>
  <c r="L141" i="47" s="1"/>
  <c r="T74" i="48"/>
  <c r="L77" i="48" s="1"/>
  <c r="L100" i="47" s="1"/>
  <c r="L140" i="47" s="1"/>
  <c r="T221" i="48"/>
  <c r="L224" i="48" s="1"/>
  <c r="L107" i="47" s="1"/>
  <c r="L147" i="47" s="1"/>
  <c r="L141" i="46"/>
  <c r="L103" i="45" s="1"/>
  <c r="T200" i="48"/>
  <c r="L203" i="48" s="1"/>
  <c r="L106" i="47" s="1"/>
  <c r="L146" i="47" s="1"/>
  <c r="T179" i="48"/>
  <c r="U29" i="46"/>
  <c r="U50" i="46"/>
  <c r="U241" i="46"/>
  <c r="N228" i="38"/>
  <c r="N230" i="38" s="1"/>
  <c r="N232" i="38" s="1"/>
  <c r="N241" i="38" s="1"/>
  <c r="N284" i="39"/>
  <c r="N286" i="39" s="1"/>
  <c r="N288" i="39" s="1"/>
  <c r="N297" i="39" s="1"/>
  <c r="N85" i="37"/>
  <c r="N87" i="37" s="1"/>
  <c r="N89" i="37" s="1"/>
  <c r="N98" i="37" s="1"/>
  <c r="N57" i="37"/>
  <c r="N59" i="37" s="1"/>
  <c r="N61" i="37" s="1"/>
  <c r="N70" i="37" s="1"/>
  <c r="M29" i="39"/>
  <c r="M31" i="39" s="1"/>
  <c r="M33" i="39" s="1"/>
  <c r="M42" i="39" s="1"/>
  <c r="M85" i="38"/>
  <c r="M87" i="38" s="1"/>
  <c r="M89" i="38" s="1"/>
  <c r="M98" i="38" s="1"/>
  <c r="M141" i="39"/>
  <c r="M143" i="39" s="1"/>
  <c r="M145" i="39" s="1"/>
  <c r="M154" i="39" s="1"/>
  <c r="K91" i="11"/>
  <c r="K116" i="11" s="1"/>
  <c r="J119" i="11"/>
  <c r="I136" i="39"/>
  <c r="P135" i="39"/>
  <c r="J148" i="47"/>
  <c r="F266" i="28"/>
  <c r="F294" i="28"/>
  <c r="F123" i="28"/>
  <c r="F39" i="28"/>
  <c r="F238" i="28"/>
  <c r="F95" i="28"/>
  <c r="F322" i="28"/>
  <c r="F210" i="28"/>
  <c r="F67" i="28"/>
  <c r="F151" i="28"/>
  <c r="F266" i="30"/>
  <c r="F95" i="30"/>
  <c r="F238" i="30"/>
  <c r="F322" i="30"/>
  <c r="F294" i="30"/>
  <c r="F67" i="30"/>
  <c r="F123" i="30"/>
  <c r="F210" i="30"/>
  <c r="F151" i="30"/>
  <c r="F39" i="30"/>
  <c r="P307" i="38"/>
  <c r="P306" i="39"/>
  <c r="E157" i="25"/>
  <c r="E167" i="37"/>
  <c r="P307" i="39"/>
  <c r="K172" i="37"/>
  <c r="K174" i="37" s="1"/>
  <c r="K176" i="37" s="1"/>
  <c r="K185" i="37" s="1"/>
  <c r="L100" i="46"/>
  <c r="L28" i="45" s="1"/>
  <c r="U237" i="46"/>
  <c r="U133" i="46"/>
  <c r="U216" i="46"/>
  <c r="L142" i="46"/>
  <c r="L30" i="45" s="1"/>
  <c r="X139" i="46"/>
  <c r="N142" i="46" s="1"/>
  <c r="U215" i="46"/>
  <c r="U130" i="46"/>
  <c r="P23" i="39"/>
  <c r="N144" i="37"/>
  <c r="N146" i="37" s="1"/>
  <c r="N148" i="37" s="1"/>
  <c r="N157" i="37" s="1"/>
  <c r="N85" i="38"/>
  <c r="N87" i="38" s="1"/>
  <c r="N89" i="38" s="1"/>
  <c r="N98" i="38" s="1"/>
  <c r="N57" i="39"/>
  <c r="N59" i="39" s="1"/>
  <c r="N61" i="39" s="1"/>
  <c r="N70" i="39" s="1"/>
  <c r="N200" i="38"/>
  <c r="N202" i="38" s="1"/>
  <c r="N204" i="38" s="1"/>
  <c r="N213" i="38" s="1"/>
  <c r="M144" i="37"/>
  <c r="M146" i="37" s="1"/>
  <c r="M148" i="37" s="1"/>
  <c r="M157" i="37" s="1"/>
  <c r="M279" i="38"/>
  <c r="M281" i="38" s="1"/>
  <c r="M283" i="38" s="1"/>
  <c r="P278" i="38"/>
  <c r="M284" i="39"/>
  <c r="M286" i="39" s="1"/>
  <c r="M288" i="39" s="1"/>
  <c r="M297" i="39" s="1"/>
  <c r="M315" i="37"/>
  <c r="M317" i="37" s="1"/>
  <c r="M319" i="37" s="1"/>
  <c r="M328" i="37" s="1"/>
  <c r="M228" i="38"/>
  <c r="M230" i="38" s="1"/>
  <c r="M232" i="38" s="1"/>
  <c r="M241" i="38" s="1"/>
  <c r="M259" i="37"/>
  <c r="M261" i="37" s="1"/>
  <c r="M263" i="37" s="1"/>
  <c r="M272" i="37" s="1"/>
  <c r="K104" i="18"/>
  <c r="J142" i="47"/>
  <c r="G52" i="25"/>
  <c r="G51" i="25"/>
  <c r="G57" i="25"/>
  <c r="G58" i="25"/>
  <c r="G54" i="25"/>
  <c r="G55" i="25"/>
  <c r="G53" i="25"/>
  <c r="G56" i="25"/>
  <c r="G50" i="25"/>
  <c r="G49" i="25"/>
  <c r="L156" i="25"/>
  <c r="L157" i="25" s="1"/>
  <c r="L159" i="25" s="1"/>
  <c r="L161" i="25" s="1"/>
  <c r="L163" i="38"/>
  <c r="L164" i="38" s="1"/>
  <c r="L166" i="38" s="1"/>
  <c r="L168" i="38" s="1"/>
  <c r="K19" i="43"/>
  <c r="K20" i="43" s="1"/>
  <c r="K22" i="43" s="1"/>
  <c r="N25" i="7"/>
  <c r="N27" i="7" s="1"/>
  <c r="N28" i="7" s="1"/>
  <c r="K20" i="15"/>
  <c r="K21" i="15" s="1"/>
  <c r="K23" i="15" s="1"/>
  <c r="L23" i="34"/>
  <c r="L24" i="34" s="1"/>
  <c r="L26" i="34" s="1"/>
  <c r="L28" i="34" s="1"/>
  <c r="L163" i="39"/>
  <c r="L164" i="39" s="1"/>
  <c r="L166" i="39" s="1"/>
  <c r="L168" i="39" s="1"/>
  <c r="L163" i="28"/>
  <c r="L163" i="35"/>
  <c r="K20" i="47"/>
  <c r="K21" i="47" s="1"/>
  <c r="K23" i="47" s="1"/>
  <c r="L163" i="30"/>
  <c r="L163" i="29"/>
  <c r="K20" i="45"/>
  <c r="K21" i="45" s="1"/>
  <c r="K23" i="45" s="1"/>
  <c r="L166" i="37"/>
  <c r="L167" i="37" s="1"/>
  <c r="L169" i="37" s="1"/>
  <c r="L171" i="37" s="1"/>
  <c r="L10" i="10"/>
  <c r="L12" i="10" s="1"/>
  <c r="F207" i="29"/>
  <c r="F64" i="29"/>
  <c r="F291" i="29"/>
  <c r="F92" i="29"/>
  <c r="F148" i="29"/>
  <c r="F175" i="29"/>
  <c r="F36" i="29"/>
  <c r="F235" i="29"/>
  <c r="F263" i="29"/>
  <c r="F120" i="29"/>
  <c r="F319" i="29"/>
  <c r="H105" i="18"/>
  <c r="H109" i="18"/>
  <c r="F59" i="15"/>
  <c r="F83" i="15" s="1"/>
  <c r="F96" i="15" s="1"/>
  <c r="P309" i="38"/>
  <c r="J45" i="11"/>
  <c r="K44" i="11"/>
  <c r="J75" i="11"/>
  <c r="P138" i="38"/>
  <c r="P108" i="39"/>
  <c r="D21" i="47"/>
  <c r="E194" i="30"/>
  <c r="E222" i="30"/>
  <c r="E306" i="30"/>
  <c r="E23" i="30"/>
  <c r="E107" i="30"/>
  <c r="E250" i="30"/>
  <c r="E135" i="30"/>
  <c r="E164" i="30"/>
  <c r="E278" i="30"/>
  <c r="E51" i="30"/>
  <c r="E79" i="30"/>
  <c r="I80" i="39"/>
  <c r="P79" i="39"/>
  <c r="P281" i="37"/>
  <c r="D124" i="18"/>
  <c r="D125" i="18"/>
  <c r="L20" i="41"/>
  <c r="L62" i="41"/>
  <c r="L45" i="41"/>
  <c r="L97" i="41"/>
  <c r="L129" i="41"/>
  <c r="L173" i="41"/>
  <c r="L205" i="41"/>
  <c r="L78" i="41"/>
  <c r="L146" i="41"/>
  <c r="L208" i="41"/>
  <c r="L63" i="41"/>
  <c r="L113" i="41"/>
  <c r="L149" i="41"/>
  <c r="L187" i="41"/>
  <c r="L24" i="41"/>
  <c r="L130" i="41"/>
  <c r="L174" i="41"/>
  <c r="L30" i="41"/>
  <c r="L66" i="41"/>
  <c r="L57" i="41"/>
  <c r="L101" i="41"/>
  <c r="L133" i="41"/>
  <c r="L182" i="41"/>
  <c r="L209" i="41"/>
  <c r="L79" i="41"/>
  <c r="L150" i="41"/>
  <c r="L29" i="41"/>
  <c r="L81" i="41"/>
  <c r="L115" i="41"/>
  <c r="L153" i="41"/>
  <c r="L189" i="41"/>
  <c r="L42" i="41"/>
  <c r="L134" i="41"/>
  <c r="L202" i="41"/>
  <c r="L28" i="41"/>
  <c r="L76" i="41"/>
  <c r="L59" i="41"/>
  <c r="L110" i="41"/>
  <c r="L137" i="41"/>
  <c r="L184" i="41"/>
  <c r="L27" i="41"/>
  <c r="L92" i="41"/>
  <c r="L154" i="41"/>
  <c r="L23" i="41"/>
  <c r="L82" i="41"/>
  <c r="L117" i="41"/>
  <c r="L157" i="41"/>
  <c r="L191" i="41"/>
  <c r="L56" i="41"/>
  <c r="L138" i="41"/>
  <c r="L206" i="41"/>
  <c r="L26" i="41"/>
  <c r="L80" i="41"/>
  <c r="L65" i="41"/>
  <c r="L112" i="41"/>
  <c r="L147" i="41"/>
  <c r="L186" i="41"/>
  <c r="L22" i="41"/>
  <c r="L96" i="41"/>
  <c r="L164" i="41"/>
  <c r="L39" i="41"/>
  <c r="L83" i="41"/>
  <c r="L119" i="41"/>
  <c r="L167" i="41"/>
  <c r="L193" i="41"/>
  <c r="L64" i="41"/>
  <c r="L148" i="41"/>
  <c r="L210" i="41"/>
  <c r="L40" i="41"/>
  <c r="L84" i="41"/>
  <c r="L67" i="41"/>
  <c r="L114" i="41"/>
  <c r="L151" i="41"/>
  <c r="L188" i="41"/>
  <c r="L38" i="41"/>
  <c r="L100" i="41"/>
  <c r="L168" i="41"/>
  <c r="L41" i="41"/>
  <c r="L95" i="41"/>
  <c r="L121" i="41"/>
  <c r="L171" i="41"/>
  <c r="L203" i="41"/>
  <c r="L85" i="41"/>
  <c r="L152" i="41"/>
  <c r="L32" i="41"/>
  <c r="L25" i="15" s="1"/>
  <c r="L44" i="41"/>
  <c r="L25" i="41"/>
  <c r="L74" i="41"/>
  <c r="L116" i="41"/>
  <c r="L155" i="41"/>
  <c r="L190" i="41"/>
  <c r="L46" i="41"/>
  <c r="L128" i="41"/>
  <c r="L172" i="41"/>
  <c r="L47" i="41"/>
  <c r="L99" i="41"/>
  <c r="L131" i="41"/>
  <c r="L175" i="41"/>
  <c r="L207" i="41"/>
  <c r="L94" i="41"/>
  <c r="L156" i="41"/>
  <c r="L33" i="41"/>
  <c r="L48" i="41"/>
  <c r="L21" i="41"/>
  <c r="L75" i="41"/>
  <c r="L118" i="41"/>
  <c r="L165" i="41"/>
  <c r="L192" i="41"/>
  <c r="L60" i="41"/>
  <c r="L132" i="41"/>
  <c r="L200" i="41"/>
  <c r="L49" i="41"/>
  <c r="L103" i="41"/>
  <c r="L135" i="41"/>
  <c r="L183" i="41"/>
  <c r="L211" i="41"/>
  <c r="L98" i="41"/>
  <c r="L166" i="41"/>
  <c r="M19" i="41"/>
  <c r="L58" i="41"/>
  <c r="L43" i="41"/>
  <c r="L93" i="41"/>
  <c r="L120" i="41"/>
  <c r="L169" i="41"/>
  <c r="L201" i="41"/>
  <c r="L77" i="41"/>
  <c r="L136" i="41"/>
  <c r="L204" i="41"/>
  <c r="L61" i="41"/>
  <c r="L111" i="41"/>
  <c r="L139" i="41"/>
  <c r="L185" i="41"/>
  <c r="L31" i="41"/>
  <c r="L102" i="41"/>
  <c r="L170" i="41"/>
  <c r="H107" i="28"/>
  <c r="H108" i="28" s="1"/>
  <c r="H110" i="28" s="1"/>
  <c r="H135" i="28"/>
  <c r="H136" i="28" s="1"/>
  <c r="H138" i="28" s="1"/>
  <c r="H79" i="28"/>
  <c r="H80" i="28" s="1"/>
  <c r="H82" i="28" s="1"/>
  <c r="H23" i="28"/>
  <c r="H24" i="28" s="1"/>
  <c r="H26" i="28" s="1"/>
  <c r="H306" i="28"/>
  <c r="H307" i="28" s="1"/>
  <c r="H309" i="28" s="1"/>
  <c r="H51" i="28"/>
  <c r="H52" i="28" s="1"/>
  <c r="H54" i="28" s="1"/>
  <c r="H250" i="28"/>
  <c r="H251" i="28" s="1"/>
  <c r="H253" i="28" s="1"/>
  <c r="H278" i="28"/>
  <c r="H279" i="28" s="1"/>
  <c r="H281" i="28" s="1"/>
  <c r="H222" i="28"/>
  <c r="H223" i="28" s="1"/>
  <c r="H225" i="28" s="1"/>
  <c r="H194" i="28"/>
  <c r="H195" i="28" s="1"/>
  <c r="H197" i="28" s="1"/>
  <c r="H164" i="28"/>
  <c r="H166" i="28" s="1"/>
  <c r="K14" i="10"/>
  <c r="I85" i="26"/>
  <c r="I76" i="26"/>
  <c r="K51" i="35"/>
  <c r="K52" i="35" s="1"/>
  <c r="K54" i="35" s="1"/>
  <c r="K56" i="35" s="1"/>
  <c r="K222" i="35"/>
  <c r="K223" i="35" s="1"/>
  <c r="K225" i="35" s="1"/>
  <c r="K227" i="35" s="1"/>
  <c r="K107" i="35"/>
  <c r="K108" i="35" s="1"/>
  <c r="K110" i="35" s="1"/>
  <c r="K112" i="35" s="1"/>
  <c r="K306" i="35"/>
  <c r="K307" i="35" s="1"/>
  <c r="K309" i="35" s="1"/>
  <c r="K311" i="35" s="1"/>
  <c r="K135" i="35"/>
  <c r="K136" i="35" s="1"/>
  <c r="K138" i="35" s="1"/>
  <c r="K140" i="35" s="1"/>
  <c r="K79" i="35"/>
  <c r="K80" i="35" s="1"/>
  <c r="K82" i="35" s="1"/>
  <c r="K84" i="35" s="1"/>
  <c r="K164" i="35"/>
  <c r="K166" i="35" s="1"/>
  <c r="K168" i="35" s="1"/>
  <c r="K194" i="35"/>
  <c r="K195" i="35" s="1"/>
  <c r="K197" i="35" s="1"/>
  <c r="K199" i="35" s="1"/>
  <c r="K23" i="35"/>
  <c r="K24" i="35" s="1"/>
  <c r="K26" i="35" s="1"/>
  <c r="K28" i="35" s="1"/>
  <c r="K250" i="35"/>
  <c r="K251" i="35" s="1"/>
  <c r="K253" i="35" s="1"/>
  <c r="K255" i="35" s="1"/>
  <c r="K278" i="35"/>
  <c r="K279" i="35" s="1"/>
  <c r="K281" i="35" s="1"/>
  <c r="K283" i="35" s="1"/>
  <c r="I108" i="38"/>
  <c r="U231" i="46"/>
  <c r="U149" i="46"/>
  <c r="U137" i="46"/>
  <c r="U158" i="46"/>
  <c r="U147" i="46"/>
  <c r="L57" i="46"/>
  <c r="L99" i="45" s="1"/>
  <c r="L226" i="46"/>
  <c r="L34" i="45" s="1"/>
  <c r="N141" i="38"/>
  <c r="N143" i="38" s="1"/>
  <c r="N145" i="38" s="1"/>
  <c r="N154" i="38" s="1"/>
  <c r="N29" i="39"/>
  <c r="N31" i="39" s="1"/>
  <c r="N33" i="39" s="1"/>
  <c r="N42" i="39" s="1"/>
  <c r="N256" i="38"/>
  <c r="N258" i="38" s="1"/>
  <c r="N260" i="38" s="1"/>
  <c r="N269" i="38" s="1"/>
  <c r="N259" i="37"/>
  <c r="N261" i="37" s="1"/>
  <c r="N263" i="37" s="1"/>
  <c r="N272" i="37" s="1"/>
  <c r="M231" i="37"/>
  <c r="M233" i="37" s="1"/>
  <c r="M235" i="37" s="1"/>
  <c r="M244" i="37" s="1"/>
  <c r="M223" i="39"/>
  <c r="P222" i="39"/>
  <c r="K146" i="47"/>
  <c r="M203" i="37"/>
  <c r="M205" i="37" s="1"/>
  <c r="M207" i="37" s="1"/>
  <c r="M216" i="37" s="1"/>
  <c r="L119" i="46"/>
  <c r="V104" i="46"/>
  <c r="M119" i="46" s="1"/>
  <c r="L103" i="18"/>
  <c r="AE8" i="19"/>
  <c r="AE11" i="19" s="1"/>
  <c r="AF11" i="19" s="1"/>
  <c r="AF13" i="19" s="1"/>
  <c r="AF17" i="19" s="1"/>
  <c r="L98" i="9"/>
  <c r="M9" i="10" s="1"/>
  <c r="M85" i="39"/>
  <c r="M87" i="39" s="1"/>
  <c r="M89" i="39" s="1"/>
  <c r="M98" i="39" s="1"/>
  <c r="M113" i="38"/>
  <c r="M115" i="38" s="1"/>
  <c r="M117" i="38" s="1"/>
  <c r="M126" i="38" s="1"/>
  <c r="M256" i="38"/>
  <c r="M258" i="38" s="1"/>
  <c r="M260" i="38" s="1"/>
  <c r="M269" i="38" s="1"/>
  <c r="K94" i="11"/>
  <c r="P195" i="38"/>
  <c r="K141" i="45"/>
  <c r="P309" i="37"/>
  <c r="P197" i="37"/>
  <c r="F325" i="37"/>
  <c r="F67" i="37"/>
  <c r="F213" i="37"/>
  <c r="F297" i="37"/>
  <c r="F39" i="37"/>
  <c r="F126" i="37"/>
  <c r="F154" i="37"/>
  <c r="F95" i="37"/>
  <c r="F241" i="37"/>
  <c r="F269" i="37"/>
  <c r="E137" i="43"/>
  <c r="E144" i="43"/>
  <c r="E147" i="43"/>
  <c r="E141" i="15"/>
  <c r="E153" i="15" s="1"/>
  <c r="E166" i="15" s="1"/>
  <c r="E145" i="15"/>
  <c r="E139" i="15"/>
  <c r="E142" i="15"/>
  <c r="E148" i="15"/>
  <c r="J11" i="24"/>
  <c r="K15" i="7"/>
  <c r="K17" i="7" s="1"/>
  <c r="K21" i="7" s="1"/>
  <c r="K22" i="7" s="1"/>
  <c r="K33" i="7" s="1"/>
  <c r="J41" i="11"/>
  <c r="J73" i="11" s="1"/>
  <c r="I27" i="25"/>
  <c r="I146" i="25" s="1"/>
  <c r="I150" i="25" s="1"/>
  <c r="I169" i="25" s="1"/>
  <c r="I76" i="11"/>
  <c r="P136" i="38"/>
  <c r="P110" i="39"/>
  <c r="E164" i="38"/>
  <c r="H146" i="25"/>
  <c r="H150" i="25" s="1"/>
  <c r="H169" i="25" s="1"/>
  <c r="E113" i="18"/>
  <c r="M182" i="42"/>
  <c r="L195" i="42"/>
  <c r="L33" i="43" s="1"/>
  <c r="L196" i="42"/>
  <c r="L106" i="43" s="1"/>
  <c r="H23" i="30"/>
  <c r="H24" i="30" s="1"/>
  <c r="H26" i="30" s="1"/>
  <c r="H222" i="30"/>
  <c r="H223" i="30" s="1"/>
  <c r="H225" i="30" s="1"/>
  <c r="H250" i="30"/>
  <c r="H251" i="30" s="1"/>
  <c r="H253" i="30" s="1"/>
  <c r="H194" i="30"/>
  <c r="H195" i="30" s="1"/>
  <c r="H197" i="30" s="1"/>
  <c r="H135" i="30"/>
  <c r="H136" i="30" s="1"/>
  <c r="H138" i="30" s="1"/>
  <c r="H107" i="30"/>
  <c r="H108" i="30" s="1"/>
  <c r="H110" i="30" s="1"/>
  <c r="H51" i="30"/>
  <c r="H52" i="30" s="1"/>
  <c r="H54" i="30" s="1"/>
  <c r="H306" i="30"/>
  <c r="H307" i="30" s="1"/>
  <c r="H309" i="30" s="1"/>
  <c r="H79" i="30"/>
  <c r="H80" i="30" s="1"/>
  <c r="H82" i="30" s="1"/>
  <c r="H278" i="30"/>
  <c r="H279" i="30" s="1"/>
  <c r="H281" i="30" s="1"/>
  <c r="H164" i="30"/>
  <c r="H166" i="30" s="1"/>
  <c r="J40" i="43"/>
  <c r="J37" i="43"/>
  <c r="J36" i="43"/>
  <c r="J43" i="43"/>
  <c r="J42" i="43"/>
  <c r="J45" i="43"/>
  <c r="J46" i="43"/>
  <c r="J39" i="43"/>
  <c r="J44" i="43"/>
  <c r="J38" i="43"/>
  <c r="J39" i="47"/>
  <c r="J47" i="47"/>
  <c r="J40" i="47"/>
  <c r="J41" i="47"/>
  <c r="J44" i="47"/>
  <c r="J43" i="47"/>
  <c r="J37" i="47"/>
  <c r="J45" i="47"/>
  <c r="J38" i="47"/>
  <c r="J46" i="47"/>
  <c r="J56" i="25"/>
  <c r="J57" i="25"/>
  <c r="J54" i="25"/>
  <c r="J49" i="25"/>
  <c r="J53" i="25"/>
  <c r="J58" i="25"/>
  <c r="J50" i="25"/>
  <c r="J52" i="25"/>
  <c r="J51" i="25"/>
  <c r="J55" i="25"/>
  <c r="U111" i="46"/>
  <c r="U92" i="46"/>
  <c r="L120" i="46"/>
  <c r="L102" i="45" s="1"/>
  <c r="U91" i="46"/>
  <c r="U52" i="46"/>
  <c r="U24" i="46"/>
  <c r="L58" i="46"/>
  <c r="L26" i="45" s="1"/>
  <c r="U87" i="46"/>
  <c r="P113" i="37"/>
  <c r="N141" i="39"/>
  <c r="N143" i="39" s="1"/>
  <c r="N145" i="39" s="1"/>
  <c r="N154" i="39" s="1"/>
  <c r="N57" i="38"/>
  <c r="N59" i="38" s="1"/>
  <c r="N61" i="38" s="1"/>
  <c r="N70" i="38" s="1"/>
  <c r="N113" i="39"/>
  <c r="N115" i="39" s="1"/>
  <c r="N117" i="39" s="1"/>
  <c r="N126" i="39" s="1"/>
  <c r="N287" i="37"/>
  <c r="N289" i="37" s="1"/>
  <c r="N291" i="37" s="1"/>
  <c r="N300" i="37" s="1"/>
  <c r="T16" i="9"/>
  <c r="T14" i="9"/>
  <c r="X128" i="48" l="1"/>
  <c r="F154" i="15"/>
  <c r="F167" i="15" s="1"/>
  <c r="F153" i="15"/>
  <c r="F166" i="15" s="1"/>
  <c r="D69" i="43"/>
  <c r="O68" i="43"/>
  <c r="D70" i="47"/>
  <c r="O69" i="47"/>
  <c r="D70" i="45"/>
  <c r="O69" i="45"/>
  <c r="F150" i="43"/>
  <c r="F163" i="43" s="1"/>
  <c r="E159" i="43"/>
  <c r="E172" i="43" s="1"/>
  <c r="F159" i="15"/>
  <c r="F172" i="15" s="1"/>
  <c r="F157" i="43"/>
  <c r="F170" i="43" s="1"/>
  <c r="J25" i="48"/>
  <c r="K25" i="48" s="1"/>
  <c r="H24" i="48"/>
  <c r="I24" i="48" s="1"/>
  <c r="F30" i="48"/>
  <c r="G30" i="48" s="1"/>
  <c r="F157" i="15"/>
  <c r="F170" i="15" s="1"/>
  <c r="J21" i="48"/>
  <c r="K21" i="48" s="1"/>
  <c r="F155" i="43"/>
  <c r="F168" i="43" s="1"/>
  <c r="X127" i="48"/>
  <c r="F152" i="43"/>
  <c r="F165" i="43" s="1"/>
  <c r="X131" i="48"/>
  <c r="H23" i="48"/>
  <c r="I23" i="48" s="1"/>
  <c r="E156" i="15"/>
  <c r="E169" i="15" s="1"/>
  <c r="F152" i="15"/>
  <c r="F165" i="15" s="1"/>
  <c r="X181" i="46"/>
  <c r="N184" i="46" s="1"/>
  <c r="M111" i="11"/>
  <c r="N107" i="11" s="1"/>
  <c r="N108" i="11"/>
  <c r="N109" i="11"/>
  <c r="N110" i="11" s="1"/>
  <c r="E154" i="15"/>
  <c r="E167" i="15" s="1"/>
  <c r="F158" i="43"/>
  <c r="F171" i="43" s="1"/>
  <c r="F151" i="15"/>
  <c r="F164" i="15" s="1"/>
  <c r="H30" i="48"/>
  <c r="I30" i="48" s="1"/>
  <c r="X202" i="46"/>
  <c r="N205" i="46" s="1"/>
  <c r="F29" i="48"/>
  <c r="G29" i="48" s="1"/>
  <c r="X126" i="48"/>
  <c r="F151" i="43"/>
  <c r="F164" i="43" s="1"/>
  <c r="F149" i="43"/>
  <c r="F162" i="43" s="1"/>
  <c r="F153" i="43"/>
  <c r="F166" i="43" s="1"/>
  <c r="F20" i="48"/>
  <c r="G20" i="48" s="1"/>
  <c r="H21" i="48"/>
  <c r="I21" i="48" s="1"/>
  <c r="D22" i="48"/>
  <c r="E22" i="48" s="1"/>
  <c r="L25" i="48"/>
  <c r="M25" i="48" s="1"/>
  <c r="F24" i="48"/>
  <c r="G24" i="48" s="1"/>
  <c r="F21" i="48"/>
  <c r="G21" i="48" s="1"/>
  <c r="E150" i="43"/>
  <c r="E163" i="43" s="1"/>
  <c r="E151" i="43"/>
  <c r="E164" i="43" s="1"/>
  <c r="E155" i="43"/>
  <c r="E168" i="43" s="1"/>
  <c r="H151" i="46"/>
  <c r="I151" i="46" s="1"/>
  <c r="F152" i="46"/>
  <c r="G152" i="46" s="1"/>
  <c r="D43" i="46"/>
  <c r="E43" i="46" s="1"/>
  <c r="L47" i="46"/>
  <c r="M47" i="46" s="1"/>
  <c r="H53" i="46"/>
  <c r="I53" i="46" s="1"/>
  <c r="D45" i="46"/>
  <c r="E45" i="46" s="1"/>
  <c r="D47" i="46"/>
  <c r="E47" i="46" s="1"/>
  <c r="H93" i="46"/>
  <c r="I93" i="46" s="1"/>
  <c r="L28" i="46"/>
  <c r="M28" i="46" s="1"/>
  <c r="L114" i="46"/>
  <c r="M114" i="46" s="1"/>
  <c r="F212" i="46"/>
  <c r="G212" i="46" s="1"/>
  <c r="L152" i="46"/>
  <c r="M152" i="46" s="1"/>
  <c r="H156" i="46"/>
  <c r="I156" i="46" s="1"/>
  <c r="J43" i="46"/>
  <c r="K43" i="46" s="1"/>
  <c r="J48" i="46"/>
  <c r="K48" i="46" s="1"/>
  <c r="F53" i="46"/>
  <c r="G53" i="46" s="1"/>
  <c r="J51" i="46"/>
  <c r="K51" i="46" s="1"/>
  <c r="H50" i="46"/>
  <c r="I50" i="46" s="1"/>
  <c r="F86" i="46"/>
  <c r="G86" i="46" s="1"/>
  <c r="D23" i="46"/>
  <c r="E23" i="46" s="1"/>
  <c r="H26" i="46"/>
  <c r="I26" i="46" s="1"/>
  <c r="L113" i="46"/>
  <c r="M113" i="46" s="1"/>
  <c r="J157" i="46"/>
  <c r="K157" i="46" s="1"/>
  <c r="F153" i="46"/>
  <c r="G153" i="46" s="1"/>
  <c r="J52" i="46"/>
  <c r="K52" i="46" s="1"/>
  <c r="J46" i="46"/>
  <c r="K46" i="46" s="1"/>
  <c r="H44" i="46"/>
  <c r="I44" i="46" s="1"/>
  <c r="F48" i="46"/>
  <c r="G48" i="46" s="1"/>
  <c r="D21" i="46"/>
  <c r="E21" i="46" s="1"/>
  <c r="F236" i="46"/>
  <c r="G236" i="46" s="1"/>
  <c r="H158" i="46"/>
  <c r="I158" i="46" s="1"/>
  <c r="L156" i="46"/>
  <c r="M156" i="46" s="1"/>
  <c r="X135" i="48"/>
  <c r="L48" i="46"/>
  <c r="M48" i="46" s="1"/>
  <c r="L44" i="46"/>
  <c r="M44" i="46" s="1"/>
  <c r="J50" i="46"/>
  <c r="K50" i="46" s="1"/>
  <c r="J53" i="46"/>
  <c r="K53" i="46" s="1"/>
  <c r="J25" i="46"/>
  <c r="K25" i="46" s="1"/>
  <c r="D150" i="46"/>
  <c r="E150" i="46" s="1"/>
  <c r="H148" i="46"/>
  <c r="I148" i="46" s="1"/>
  <c r="X133" i="48"/>
  <c r="H42" i="46"/>
  <c r="I42" i="46" s="1"/>
  <c r="F43" i="46"/>
  <c r="G43" i="46" s="1"/>
  <c r="D46" i="46"/>
  <c r="E46" i="46" s="1"/>
  <c r="F44" i="46"/>
  <c r="G44" i="46" s="1"/>
  <c r="L21" i="46"/>
  <c r="M21" i="46" s="1"/>
  <c r="J152" i="46"/>
  <c r="K152" i="46" s="1"/>
  <c r="F46" i="46"/>
  <c r="G46" i="46" s="1"/>
  <c r="L52" i="46"/>
  <c r="M52" i="46" s="1"/>
  <c r="L51" i="46"/>
  <c r="M51" i="46" s="1"/>
  <c r="L53" i="46"/>
  <c r="M53" i="46" s="1"/>
  <c r="H30" i="46"/>
  <c r="I30" i="46" s="1"/>
  <c r="X129" i="48"/>
  <c r="X132" i="48"/>
  <c r="X76" i="46"/>
  <c r="N79" i="46" s="1"/>
  <c r="F116" i="46"/>
  <c r="G116" i="46" s="1"/>
  <c r="D110" i="46"/>
  <c r="E110" i="46" s="1"/>
  <c r="D107" i="46"/>
  <c r="E107" i="46" s="1"/>
  <c r="L116" i="46"/>
  <c r="M116" i="46" s="1"/>
  <c r="J111" i="46"/>
  <c r="K111" i="46" s="1"/>
  <c r="F109" i="46"/>
  <c r="G109" i="46" s="1"/>
  <c r="L110" i="46"/>
  <c r="M110" i="46" s="1"/>
  <c r="L220" i="46"/>
  <c r="M220" i="46" s="1"/>
  <c r="F217" i="46"/>
  <c r="G217" i="46" s="1"/>
  <c r="F220" i="46"/>
  <c r="G220" i="46" s="1"/>
  <c r="F190" i="46"/>
  <c r="G190" i="46" s="1"/>
  <c r="D200" i="46"/>
  <c r="E200" i="46" s="1"/>
  <c r="X136" i="48"/>
  <c r="F108" i="46"/>
  <c r="G108" i="46" s="1"/>
  <c r="H108" i="46"/>
  <c r="I108" i="46" s="1"/>
  <c r="J107" i="46"/>
  <c r="K107" i="46" s="1"/>
  <c r="F111" i="46"/>
  <c r="G111" i="46" s="1"/>
  <c r="H110" i="46"/>
  <c r="I110" i="46" s="1"/>
  <c r="H116" i="46"/>
  <c r="I116" i="46" s="1"/>
  <c r="D105" i="46"/>
  <c r="E105" i="46" s="1"/>
  <c r="F193" i="46"/>
  <c r="G193" i="46" s="1"/>
  <c r="D191" i="46"/>
  <c r="E191" i="46" s="1"/>
  <c r="D196" i="46"/>
  <c r="E196" i="46" s="1"/>
  <c r="F158" i="15"/>
  <c r="F171" i="15" s="1"/>
  <c r="D65" i="46"/>
  <c r="E65" i="46" s="1"/>
  <c r="H87" i="46"/>
  <c r="I87" i="46" s="1"/>
  <c r="F115" i="46"/>
  <c r="G115" i="46" s="1"/>
  <c r="L112" i="46"/>
  <c r="M112" i="46" s="1"/>
  <c r="J105" i="46"/>
  <c r="K105" i="46" s="1"/>
  <c r="D115" i="46"/>
  <c r="E115" i="46" s="1"/>
  <c r="D114" i="46"/>
  <c r="E114" i="46" s="1"/>
  <c r="H115" i="46"/>
  <c r="I115" i="46" s="1"/>
  <c r="D113" i="46"/>
  <c r="E113" i="46" s="1"/>
  <c r="H111" i="46"/>
  <c r="I111" i="46" s="1"/>
  <c r="L212" i="46"/>
  <c r="M212" i="46" s="1"/>
  <c r="H216" i="46"/>
  <c r="I216" i="46" s="1"/>
  <c r="F216" i="46"/>
  <c r="G216" i="46" s="1"/>
  <c r="H194" i="46"/>
  <c r="I194" i="46" s="1"/>
  <c r="J189" i="46"/>
  <c r="K189" i="46" s="1"/>
  <c r="H200" i="46"/>
  <c r="I200" i="46" s="1"/>
  <c r="O31" i="45"/>
  <c r="H64" i="46"/>
  <c r="I64" i="46" s="1"/>
  <c r="L93" i="46"/>
  <c r="M93" i="46" s="1"/>
  <c r="H86" i="46"/>
  <c r="I86" i="46" s="1"/>
  <c r="L105" i="46"/>
  <c r="M105" i="46" s="1"/>
  <c r="H112" i="46"/>
  <c r="I112" i="46" s="1"/>
  <c r="F114" i="46"/>
  <c r="G114" i="46" s="1"/>
  <c r="H109" i="46"/>
  <c r="I109" i="46" s="1"/>
  <c r="D108" i="46"/>
  <c r="E108" i="46" s="1"/>
  <c r="D106" i="46"/>
  <c r="E106" i="46" s="1"/>
  <c r="F106" i="46"/>
  <c r="G106" i="46" s="1"/>
  <c r="J106" i="46"/>
  <c r="K106" i="46" s="1"/>
  <c r="J214" i="46"/>
  <c r="K214" i="46" s="1"/>
  <c r="L216" i="46"/>
  <c r="M216" i="46" s="1"/>
  <c r="L217" i="46"/>
  <c r="M217" i="46" s="1"/>
  <c r="F197" i="46"/>
  <c r="G197" i="46" s="1"/>
  <c r="D193" i="46"/>
  <c r="E193" i="46" s="1"/>
  <c r="H193" i="46"/>
  <c r="I193" i="46" s="1"/>
  <c r="J45" i="46"/>
  <c r="K45" i="46" s="1"/>
  <c r="L50" i="46"/>
  <c r="M50" i="46" s="1"/>
  <c r="H46" i="46"/>
  <c r="I46" i="46" s="1"/>
  <c r="L46" i="46"/>
  <c r="M46" i="46" s="1"/>
  <c r="D51" i="46"/>
  <c r="E51" i="46" s="1"/>
  <c r="H45" i="46"/>
  <c r="I45" i="46" s="1"/>
  <c r="D52" i="46"/>
  <c r="E52" i="46" s="1"/>
  <c r="H51" i="46"/>
  <c r="I51" i="46" s="1"/>
  <c r="L89" i="46"/>
  <c r="M89" i="46" s="1"/>
  <c r="J84" i="46"/>
  <c r="K84" i="46" s="1"/>
  <c r="L31" i="46"/>
  <c r="M31" i="46" s="1"/>
  <c r="J110" i="46"/>
  <c r="K110" i="46" s="1"/>
  <c r="L108" i="46"/>
  <c r="M108" i="46" s="1"/>
  <c r="J113" i="46"/>
  <c r="K113" i="46" s="1"/>
  <c r="J109" i="46"/>
  <c r="K109" i="46" s="1"/>
  <c r="F110" i="46"/>
  <c r="G110" i="46" s="1"/>
  <c r="J114" i="46"/>
  <c r="K114" i="46" s="1"/>
  <c r="F107" i="46"/>
  <c r="G107" i="46" s="1"/>
  <c r="H220" i="46"/>
  <c r="I220" i="46" s="1"/>
  <c r="F221" i="46"/>
  <c r="G221" i="46" s="1"/>
  <c r="L219" i="46"/>
  <c r="M219" i="46" s="1"/>
  <c r="L237" i="46"/>
  <c r="M237" i="46" s="1"/>
  <c r="D236" i="46"/>
  <c r="E236" i="46" s="1"/>
  <c r="H233" i="46"/>
  <c r="I233" i="46" s="1"/>
  <c r="X233" i="46" s="1"/>
  <c r="F231" i="46"/>
  <c r="G231" i="46" s="1"/>
  <c r="J234" i="46"/>
  <c r="K234" i="46" s="1"/>
  <c r="H240" i="46"/>
  <c r="I240" i="46" s="1"/>
  <c r="H25" i="48"/>
  <c r="I25" i="48" s="1"/>
  <c r="L22" i="48"/>
  <c r="M22" i="48" s="1"/>
  <c r="D199" i="46"/>
  <c r="E199" i="46" s="1"/>
  <c r="L199" i="46"/>
  <c r="M199" i="46" s="1"/>
  <c r="F51" i="46"/>
  <c r="G51" i="46" s="1"/>
  <c r="F42" i="46"/>
  <c r="G42" i="46" s="1"/>
  <c r="L49" i="46"/>
  <c r="M49" i="46" s="1"/>
  <c r="F52" i="46"/>
  <c r="G52" i="46" s="1"/>
  <c r="D53" i="46"/>
  <c r="E53" i="46" s="1"/>
  <c r="J44" i="46"/>
  <c r="K44" i="46" s="1"/>
  <c r="L43" i="46"/>
  <c r="M43" i="46" s="1"/>
  <c r="H48" i="46"/>
  <c r="I48" i="46" s="1"/>
  <c r="J90" i="46"/>
  <c r="K90" i="46" s="1"/>
  <c r="J108" i="46"/>
  <c r="K108" i="46" s="1"/>
  <c r="L109" i="46"/>
  <c r="M109" i="46" s="1"/>
  <c r="J112" i="46"/>
  <c r="K112" i="46" s="1"/>
  <c r="D109" i="46"/>
  <c r="E109" i="46" s="1"/>
  <c r="H114" i="46"/>
  <c r="I114" i="46" s="1"/>
  <c r="F105" i="46"/>
  <c r="G105" i="46" s="1"/>
  <c r="H105" i="46"/>
  <c r="I105" i="46" s="1"/>
  <c r="H221" i="46"/>
  <c r="I221" i="46" s="1"/>
  <c r="L214" i="46"/>
  <c r="M214" i="46" s="1"/>
  <c r="D216" i="46"/>
  <c r="E216" i="46" s="1"/>
  <c r="J29" i="48"/>
  <c r="K29" i="48" s="1"/>
  <c r="D20" i="48"/>
  <c r="E20" i="48" s="1"/>
  <c r="X130" i="48"/>
  <c r="J190" i="46"/>
  <c r="K190" i="46" s="1"/>
  <c r="F195" i="46"/>
  <c r="G195" i="46" s="1"/>
  <c r="F160" i="15"/>
  <c r="F173" i="15" s="1"/>
  <c r="F65" i="46"/>
  <c r="G65" i="46" s="1"/>
  <c r="F47" i="46"/>
  <c r="G47" i="46" s="1"/>
  <c r="J42" i="46"/>
  <c r="K42" i="46" s="1"/>
  <c r="J47" i="46"/>
  <c r="K47" i="46" s="1"/>
  <c r="D49" i="46"/>
  <c r="E49" i="46" s="1"/>
  <c r="H43" i="46"/>
  <c r="I43" i="46" s="1"/>
  <c r="J49" i="46"/>
  <c r="K49" i="46" s="1"/>
  <c r="H52" i="46"/>
  <c r="I52" i="46" s="1"/>
  <c r="J89" i="46"/>
  <c r="K89" i="46" s="1"/>
  <c r="J22" i="46"/>
  <c r="K22" i="46" s="1"/>
  <c r="J27" i="46"/>
  <c r="K27" i="46" s="1"/>
  <c r="L107" i="46"/>
  <c r="M107" i="46" s="1"/>
  <c r="J116" i="46"/>
  <c r="K116" i="46" s="1"/>
  <c r="D111" i="46"/>
  <c r="E111" i="46" s="1"/>
  <c r="H106" i="46"/>
  <c r="I106" i="46" s="1"/>
  <c r="F113" i="46"/>
  <c r="G113" i="46" s="1"/>
  <c r="L115" i="46"/>
  <c r="M115" i="46" s="1"/>
  <c r="H107" i="46"/>
  <c r="I107" i="46" s="1"/>
  <c r="H177" i="46"/>
  <c r="I177" i="46" s="1"/>
  <c r="L175" i="46"/>
  <c r="M175" i="46" s="1"/>
  <c r="H213" i="46"/>
  <c r="I213" i="46" s="1"/>
  <c r="H218" i="46"/>
  <c r="I218" i="46" s="1"/>
  <c r="F214" i="46"/>
  <c r="G214" i="46" s="1"/>
  <c r="L239" i="46"/>
  <c r="M239" i="46" s="1"/>
  <c r="X239" i="46" s="1"/>
  <c r="L234" i="46"/>
  <c r="M234" i="46" s="1"/>
  <c r="J231" i="46"/>
  <c r="K231" i="46" s="1"/>
  <c r="J236" i="46"/>
  <c r="K236" i="46" s="1"/>
  <c r="D231" i="46"/>
  <c r="E231" i="46" s="1"/>
  <c r="D238" i="46"/>
  <c r="E238" i="46" s="1"/>
  <c r="H242" i="46"/>
  <c r="I242" i="46" s="1"/>
  <c r="H238" i="46"/>
  <c r="I238" i="46" s="1"/>
  <c r="F23" i="48"/>
  <c r="G23" i="48" s="1"/>
  <c r="F26" i="48"/>
  <c r="G26" i="48" s="1"/>
  <c r="F199" i="46"/>
  <c r="G199" i="46" s="1"/>
  <c r="L198" i="46"/>
  <c r="M198" i="46" s="1"/>
  <c r="H72" i="46"/>
  <c r="I72" i="46" s="1"/>
  <c r="F70" i="46"/>
  <c r="G70" i="46" s="1"/>
  <c r="J156" i="46"/>
  <c r="K156" i="46" s="1"/>
  <c r="H150" i="46"/>
  <c r="I150" i="46" s="1"/>
  <c r="D155" i="46"/>
  <c r="E155" i="46" s="1"/>
  <c r="H149" i="46"/>
  <c r="I149" i="46" s="1"/>
  <c r="L157" i="46"/>
  <c r="M157" i="46" s="1"/>
  <c r="J155" i="46"/>
  <c r="K155" i="46" s="1"/>
  <c r="L148" i="46"/>
  <c r="M148" i="46" s="1"/>
  <c r="L147" i="46"/>
  <c r="M147" i="46" s="1"/>
  <c r="L84" i="46"/>
  <c r="M84" i="46" s="1"/>
  <c r="J87" i="46"/>
  <c r="K87" i="46" s="1"/>
  <c r="F90" i="46"/>
  <c r="G90" i="46" s="1"/>
  <c r="D88" i="46"/>
  <c r="E88" i="46" s="1"/>
  <c r="D91" i="46"/>
  <c r="E91" i="46" s="1"/>
  <c r="H91" i="46"/>
  <c r="I91" i="46" s="1"/>
  <c r="D74" i="46"/>
  <c r="E74" i="46" s="1"/>
  <c r="D68" i="46"/>
  <c r="E68" i="46" s="1"/>
  <c r="J69" i="46"/>
  <c r="K69" i="46" s="1"/>
  <c r="J154" i="46"/>
  <c r="K154" i="46" s="1"/>
  <c r="F149" i="46"/>
  <c r="G149" i="46" s="1"/>
  <c r="F147" i="46"/>
  <c r="G147" i="46" s="1"/>
  <c r="L153" i="46"/>
  <c r="M153" i="46" s="1"/>
  <c r="D149" i="46"/>
  <c r="E149" i="46" s="1"/>
  <c r="D147" i="46"/>
  <c r="E147" i="46" s="1"/>
  <c r="J153" i="46"/>
  <c r="K153" i="46" s="1"/>
  <c r="L86" i="46"/>
  <c r="M86" i="46" s="1"/>
  <c r="J94" i="46"/>
  <c r="K94" i="46" s="1"/>
  <c r="F84" i="46"/>
  <c r="G84" i="46" s="1"/>
  <c r="H85" i="46"/>
  <c r="I85" i="46" s="1"/>
  <c r="H84" i="46"/>
  <c r="I84" i="46" s="1"/>
  <c r="C182" i="16"/>
  <c r="C183" i="16" s="1"/>
  <c r="D179" i="16" s="1"/>
  <c r="D180" i="16" s="1"/>
  <c r="L192" i="46"/>
  <c r="M192" i="46" s="1"/>
  <c r="J65" i="46"/>
  <c r="K65" i="46" s="1"/>
  <c r="L70" i="46"/>
  <c r="M70" i="46" s="1"/>
  <c r="J64" i="46"/>
  <c r="K64" i="46" s="1"/>
  <c r="C142" i="16"/>
  <c r="C143" i="16" s="1"/>
  <c r="D139" i="16" s="1"/>
  <c r="D140" i="16" s="1"/>
  <c r="L151" i="46"/>
  <c r="M151" i="46" s="1"/>
  <c r="D157" i="46"/>
  <c r="E157" i="46" s="1"/>
  <c r="F156" i="46"/>
  <c r="G156" i="46" s="1"/>
  <c r="F158" i="46"/>
  <c r="G158" i="46" s="1"/>
  <c r="D156" i="46"/>
  <c r="E156" i="46" s="1"/>
  <c r="D153" i="46"/>
  <c r="E153" i="46" s="1"/>
  <c r="H157" i="46"/>
  <c r="I157" i="46" s="1"/>
  <c r="L91" i="46"/>
  <c r="M91" i="46" s="1"/>
  <c r="J85" i="46"/>
  <c r="K85" i="46" s="1"/>
  <c r="D94" i="46"/>
  <c r="E94" i="46" s="1"/>
  <c r="H89" i="46"/>
  <c r="I89" i="46" s="1"/>
  <c r="D86" i="46"/>
  <c r="E86" i="46" s="1"/>
  <c r="J31" i="46"/>
  <c r="K31" i="46" s="1"/>
  <c r="H29" i="46"/>
  <c r="I29" i="46" s="1"/>
  <c r="D32" i="46"/>
  <c r="E32" i="46" s="1"/>
  <c r="L210" i="46"/>
  <c r="M210" i="46" s="1"/>
  <c r="L215" i="46"/>
  <c r="M215" i="46" s="1"/>
  <c r="D210" i="46"/>
  <c r="E210" i="46" s="1"/>
  <c r="F218" i="46"/>
  <c r="G218" i="46" s="1"/>
  <c r="L213" i="46"/>
  <c r="M213" i="46" s="1"/>
  <c r="D221" i="46"/>
  <c r="E221" i="46" s="1"/>
  <c r="H31" i="48"/>
  <c r="I31" i="48" s="1"/>
  <c r="L190" i="46"/>
  <c r="M190" i="46" s="1"/>
  <c r="H198" i="46"/>
  <c r="I198" i="46" s="1"/>
  <c r="L189" i="46"/>
  <c r="M189" i="46" s="1"/>
  <c r="J197" i="46"/>
  <c r="K197" i="46" s="1"/>
  <c r="D194" i="46"/>
  <c r="E194" i="46" s="1"/>
  <c r="L67" i="46"/>
  <c r="M67" i="46" s="1"/>
  <c r="J70" i="46"/>
  <c r="K70" i="46" s="1"/>
  <c r="J67" i="46"/>
  <c r="K67" i="46" s="1"/>
  <c r="J158" i="46"/>
  <c r="K158" i="46" s="1"/>
  <c r="H155" i="46"/>
  <c r="I155" i="46" s="1"/>
  <c r="D151" i="46"/>
  <c r="E151" i="46" s="1"/>
  <c r="J151" i="46"/>
  <c r="K151" i="46" s="1"/>
  <c r="H147" i="46"/>
  <c r="I147" i="46" s="1"/>
  <c r="D158" i="46"/>
  <c r="E158" i="46" s="1"/>
  <c r="L158" i="46"/>
  <c r="M158" i="46" s="1"/>
  <c r="L149" i="46"/>
  <c r="M149" i="46" s="1"/>
  <c r="L90" i="46"/>
  <c r="M90" i="46" s="1"/>
  <c r="L85" i="46"/>
  <c r="M85" i="46" s="1"/>
  <c r="D93" i="46"/>
  <c r="E93" i="46" s="1"/>
  <c r="D84" i="46"/>
  <c r="E84" i="46" s="1"/>
  <c r="F92" i="46"/>
  <c r="G92" i="46" s="1"/>
  <c r="D90" i="46"/>
  <c r="E90" i="46" s="1"/>
  <c r="J26" i="46"/>
  <c r="K26" i="46" s="1"/>
  <c r="L32" i="46"/>
  <c r="M32" i="46" s="1"/>
  <c r="J213" i="46"/>
  <c r="K213" i="46" s="1"/>
  <c r="D211" i="46"/>
  <c r="E211" i="46" s="1"/>
  <c r="F211" i="46"/>
  <c r="G211" i="46" s="1"/>
  <c r="H219" i="46"/>
  <c r="I219" i="46" s="1"/>
  <c r="F215" i="46"/>
  <c r="G215" i="46" s="1"/>
  <c r="J212" i="46"/>
  <c r="K212" i="46" s="1"/>
  <c r="J235" i="46"/>
  <c r="K235" i="46" s="1"/>
  <c r="H22" i="48"/>
  <c r="I22" i="48" s="1"/>
  <c r="D29" i="48"/>
  <c r="E29" i="48" s="1"/>
  <c r="D192" i="46"/>
  <c r="E192" i="46" s="1"/>
  <c r="F191" i="46"/>
  <c r="G191" i="46" s="1"/>
  <c r="L193" i="46"/>
  <c r="M193" i="46" s="1"/>
  <c r="H192" i="46"/>
  <c r="I192" i="46" s="1"/>
  <c r="J193" i="46"/>
  <c r="K193" i="46" s="1"/>
  <c r="H190" i="46"/>
  <c r="I190" i="46" s="1"/>
  <c r="H63" i="46"/>
  <c r="I63" i="46" s="1"/>
  <c r="F66" i="46"/>
  <c r="G66" i="46" s="1"/>
  <c r="J74" i="46"/>
  <c r="K74" i="46" s="1"/>
  <c r="F150" i="46"/>
  <c r="G150" i="46" s="1"/>
  <c r="F155" i="46"/>
  <c r="G155" i="46" s="1"/>
  <c r="D152" i="46"/>
  <c r="E152" i="46" s="1"/>
  <c r="D154" i="46"/>
  <c r="E154" i="46" s="1"/>
  <c r="L154" i="46"/>
  <c r="M154" i="46" s="1"/>
  <c r="H152" i="46"/>
  <c r="I152" i="46" s="1"/>
  <c r="J150" i="46"/>
  <c r="K150" i="46" s="1"/>
  <c r="L92" i="46"/>
  <c r="M92" i="46" s="1"/>
  <c r="H90" i="46"/>
  <c r="I90" i="46" s="1"/>
  <c r="D87" i="46"/>
  <c r="E87" i="46" s="1"/>
  <c r="F95" i="46"/>
  <c r="G95" i="46" s="1"/>
  <c r="J92" i="46"/>
  <c r="K92" i="46" s="1"/>
  <c r="D31" i="46"/>
  <c r="E31" i="46" s="1"/>
  <c r="H23" i="46"/>
  <c r="I23" i="46" s="1"/>
  <c r="J169" i="46"/>
  <c r="K169" i="46" s="1"/>
  <c r="H179" i="46"/>
  <c r="I179" i="46" s="1"/>
  <c r="D212" i="46"/>
  <c r="E212" i="46" s="1"/>
  <c r="D213" i="46"/>
  <c r="E213" i="46" s="1"/>
  <c r="J217" i="46"/>
  <c r="K217" i="46" s="1"/>
  <c r="J221" i="46"/>
  <c r="K221" i="46" s="1"/>
  <c r="J215" i="46"/>
  <c r="K215" i="46" s="1"/>
  <c r="H210" i="46"/>
  <c r="I210" i="46" s="1"/>
  <c r="F189" i="46"/>
  <c r="G189" i="46" s="1"/>
  <c r="J199" i="46"/>
  <c r="K199" i="46" s="1"/>
  <c r="L191" i="46"/>
  <c r="M191" i="46" s="1"/>
  <c r="H191" i="46"/>
  <c r="I191" i="46" s="1"/>
  <c r="F192" i="46"/>
  <c r="G192" i="46" s="1"/>
  <c r="F159" i="43"/>
  <c r="F172" i="43" s="1"/>
  <c r="D63" i="46"/>
  <c r="E63" i="46" s="1"/>
  <c r="J147" i="46"/>
  <c r="K147" i="46" s="1"/>
  <c r="H153" i="46"/>
  <c r="I153" i="46" s="1"/>
  <c r="F154" i="46"/>
  <c r="G154" i="46" s="1"/>
  <c r="L150" i="46"/>
  <c r="M150" i="46" s="1"/>
  <c r="L155" i="46"/>
  <c r="M155" i="46" s="1"/>
  <c r="H154" i="46"/>
  <c r="I154" i="46" s="1"/>
  <c r="D148" i="46"/>
  <c r="E148" i="46" s="1"/>
  <c r="L88" i="46"/>
  <c r="M88" i="46" s="1"/>
  <c r="J91" i="46"/>
  <c r="K91" i="46" s="1"/>
  <c r="F85" i="46"/>
  <c r="G85" i="46" s="1"/>
  <c r="F91" i="46"/>
  <c r="G91" i="46" s="1"/>
  <c r="F94" i="46"/>
  <c r="G94" i="46" s="1"/>
  <c r="L24" i="46"/>
  <c r="M24" i="46" s="1"/>
  <c r="J32" i="46"/>
  <c r="K32" i="46" s="1"/>
  <c r="H214" i="46"/>
  <c r="I214" i="46" s="1"/>
  <c r="H217" i="46"/>
  <c r="I217" i="46" s="1"/>
  <c r="J219" i="46"/>
  <c r="K219" i="46" s="1"/>
  <c r="D218" i="46"/>
  <c r="E218" i="46" s="1"/>
  <c r="F219" i="46"/>
  <c r="G219" i="46" s="1"/>
  <c r="L195" i="46"/>
  <c r="M195" i="46" s="1"/>
  <c r="H196" i="46"/>
  <c r="I196" i="46" s="1"/>
  <c r="D197" i="46"/>
  <c r="E197" i="46" s="1"/>
  <c r="F194" i="46"/>
  <c r="G194" i="46" s="1"/>
  <c r="L197" i="46"/>
  <c r="M197" i="46" s="1"/>
  <c r="D61" i="16"/>
  <c r="D60" i="16"/>
  <c r="D105" i="15"/>
  <c r="N159" i="41"/>
  <c r="D101" i="15"/>
  <c r="N87" i="41"/>
  <c r="B63" i="48"/>
  <c r="B64" i="48" s="1"/>
  <c r="B66" i="48"/>
  <c r="C8" i="48"/>
  <c r="D100" i="16"/>
  <c r="D101" i="16"/>
  <c r="D179" i="48"/>
  <c r="D182" i="48" s="1"/>
  <c r="D105" i="47" s="1"/>
  <c r="D242" i="48"/>
  <c r="D245" i="48" s="1"/>
  <c r="D108" i="47" s="1"/>
  <c r="D137" i="48"/>
  <c r="D140" i="48" s="1"/>
  <c r="D103" i="47" s="1"/>
  <c r="D32" i="48"/>
  <c r="D35" i="48" s="1"/>
  <c r="D98" i="47" s="1"/>
  <c r="D95" i="48"/>
  <c r="D98" i="48" s="1"/>
  <c r="D101" i="47" s="1"/>
  <c r="D141" i="46"/>
  <c r="D103" i="45" s="1"/>
  <c r="D158" i="48"/>
  <c r="D161" i="48" s="1"/>
  <c r="D104" i="47" s="1"/>
  <c r="D221" i="48"/>
  <c r="D224" i="48" s="1"/>
  <c r="D107" i="47" s="1"/>
  <c r="D200" i="48"/>
  <c r="D203" i="48" s="1"/>
  <c r="D106" i="47" s="1"/>
  <c r="D116" i="48"/>
  <c r="D119" i="48" s="1"/>
  <c r="D102" i="47" s="1"/>
  <c r="D53" i="48"/>
  <c r="D56" i="48" s="1"/>
  <c r="D99" i="47" s="1"/>
  <c r="D74" i="48"/>
  <c r="D77" i="48" s="1"/>
  <c r="D100" i="47" s="1"/>
  <c r="E157" i="43"/>
  <c r="E170" i="43" s="1"/>
  <c r="D105" i="43"/>
  <c r="N178" i="42"/>
  <c r="D30" i="43"/>
  <c r="O30" i="43" s="1"/>
  <c r="N141" i="42"/>
  <c r="N87" i="42"/>
  <c r="D27" i="43"/>
  <c r="O27" i="43" s="1"/>
  <c r="J63" i="46"/>
  <c r="K63" i="46" s="1"/>
  <c r="H75" i="46"/>
  <c r="F78" i="46" s="1"/>
  <c r="F100" i="45" s="1"/>
  <c r="F140" i="45" s="1"/>
  <c r="F152" i="45" s="1"/>
  <c r="F165" i="45" s="1"/>
  <c r="J75" i="46"/>
  <c r="G78" i="46" s="1"/>
  <c r="G100" i="45" s="1"/>
  <c r="G140" i="45" s="1"/>
  <c r="F75" i="46"/>
  <c r="E78" i="46" s="1"/>
  <c r="E100" i="45" s="1"/>
  <c r="E140" i="45" s="1"/>
  <c r="E152" i="45" s="1"/>
  <c r="E165" i="45" s="1"/>
  <c r="L75" i="46"/>
  <c r="H78" i="46" s="1"/>
  <c r="H100" i="45" s="1"/>
  <c r="D75" i="46"/>
  <c r="D78" i="46" s="1"/>
  <c r="D100" i="45" s="1"/>
  <c r="N51" i="41"/>
  <c r="D99" i="15"/>
  <c r="F21" i="46"/>
  <c r="G21" i="46" s="1"/>
  <c r="J33" i="46"/>
  <c r="G36" i="46" s="1"/>
  <c r="G98" i="45" s="1"/>
  <c r="G138" i="45" s="1"/>
  <c r="L33" i="46"/>
  <c r="H36" i="46" s="1"/>
  <c r="H98" i="45" s="1"/>
  <c r="F33" i="46"/>
  <c r="E36" i="46" s="1"/>
  <c r="E98" i="45" s="1"/>
  <c r="E138" i="45" s="1"/>
  <c r="E150" i="45" s="1"/>
  <c r="E163" i="45" s="1"/>
  <c r="H33" i="46"/>
  <c r="F36" i="46" s="1"/>
  <c r="F98" i="45" s="1"/>
  <c r="F138" i="45" s="1"/>
  <c r="F150" i="45" s="1"/>
  <c r="F163" i="45" s="1"/>
  <c r="D33" i="46"/>
  <c r="D36" i="46" s="1"/>
  <c r="D98" i="45" s="1"/>
  <c r="D220" i="16"/>
  <c r="D221" i="16"/>
  <c r="D40" i="16"/>
  <c r="D41" i="16"/>
  <c r="F242" i="48"/>
  <c r="E245" i="48" s="1"/>
  <c r="E108" i="47" s="1"/>
  <c r="E148" i="47" s="1"/>
  <c r="F32" i="48"/>
  <c r="E35" i="48" s="1"/>
  <c r="E98" i="47" s="1"/>
  <c r="E138" i="47" s="1"/>
  <c r="F74" i="48"/>
  <c r="E77" i="48" s="1"/>
  <c r="E100" i="47" s="1"/>
  <c r="E140" i="47" s="1"/>
  <c r="E141" i="46"/>
  <c r="E103" i="45" s="1"/>
  <c r="F158" i="48"/>
  <c r="E161" i="48" s="1"/>
  <c r="E104" i="47" s="1"/>
  <c r="E144" i="47" s="1"/>
  <c r="F200" i="48"/>
  <c r="E203" i="48" s="1"/>
  <c r="E106" i="47" s="1"/>
  <c r="E146" i="47" s="1"/>
  <c r="F221" i="48"/>
  <c r="E224" i="48" s="1"/>
  <c r="E107" i="47" s="1"/>
  <c r="E147" i="47" s="1"/>
  <c r="F95" i="48"/>
  <c r="E98" i="48" s="1"/>
  <c r="E101" i="47" s="1"/>
  <c r="E141" i="47" s="1"/>
  <c r="F137" i="48"/>
  <c r="E140" i="48" s="1"/>
  <c r="E103" i="47" s="1"/>
  <c r="F179" i="48"/>
  <c r="E182" i="48" s="1"/>
  <c r="E105" i="47" s="1"/>
  <c r="E145" i="47" s="1"/>
  <c r="F116" i="48"/>
  <c r="E119" i="48" s="1"/>
  <c r="E102" i="47" s="1"/>
  <c r="E142" i="47" s="1"/>
  <c r="F53" i="48"/>
  <c r="E56" i="48" s="1"/>
  <c r="E99" i="47" s="1"/>
  <c r="E139" i="47" s="1"/>
  <c r="O103" i="15"/>
  <c r="N176" i="41"/>
  <c r="D33" i="15"/>
  <c r="O33" i="15" s="1"/>
  <c r="F156" i="43"/>
  <c r="F169" i="43" s="1"/>
  <c r="N69" i="41"/>
  <c r="D100" i="15"/>
  <c r="D97" i="43"/>
  <c r="N34" i="42"/>
  <c r="D20" i="16"/>
  <c r="D22" i="16" s="1"/>
  <c r="D23" i="16" s="1"/>
  <c r="E19" i="16" s="1"/>
  <c r="F63" i="46"/>
  <c r="G63" i="46" s="1"/>
  <c r="H67" i="46"/>
  <c r="I67" i="46" s="1"/>
  <c r="D69" i="46"/>
  <c r="E69" i="46" s="1"/>
  <c r="L72" i="46"/>
  <c r="M72" i="46" s="1"/>
  <c r="D67" i="46"/>
  <c r="E67" i="46" s="1"/>
  <c r="J68" i="46"/>
  <c r="K68" i="46" s="1"/>
  <c r="D73" i="46"/>
  <c r="E73" i="46" s="1"/>
  <c r="H68" i="46"/>
  <c r="I68" i="46" s="1"/>
  <c r="N177" i="41"/>
  <c r="D106" i="15"/>
  <c r="F87" i="46"/>
  <c r="G87" i="46" s="1"/>
  <c r="H95" i="46"/>
  <c r="I95" i="46" s="1"/>
  <c r="H21" i="46"/>
  <c r="I21" i="46" s="1"/>
  <c r="F23" i="46"/>
  <c r="G23" i="46" s="1"/>
  <c r="D29" i="46"/>
  <c r="E29" i="46" s="1"/>
  <c r="F30" i="46"/>
  <c r="G30" i="46" s="1"/>
  <c r="F24" i="46"/>
  <c r="G24" i="46" s="1"/>
  <c r="L29" i="46"/>
  <c r="M29" i="46" s="1"/>
  <c r="D24" i="46"/>
  <c r="E24" i="46" s="1"/>
  <c r="J29" i="46"/>
  <c r="K29" i="46" s="1"/>
  <c r="H175" i="46"/>
  <c r="I175" i="46" s="1"/>
  <c r="H178" i="46"/>
  <c r="I178" i="46" s="1"/>
  <c r="D179" i="46"/>
  <c r="E179" i="46" s="1"/>
  <c r="F171" i="46"/>
  <c r="G171" i="46" s="1"/>
  <c r="L172" i="46"/>
  <c r="M172" i="46" s="1"/>
  <c r="D170" i="46"/>
  <c r="E170" i="46" s="1"/>
  <c r="D173" i="46"/>
  <c r="E173" i="46" s="1"/>
  <c r="H137" i="48"/>
  <c r="F140" i="48" s="1"/>
  <c r="F103" i="47" s="1"/>
  <c r="H158" i="48"/>
  <c r="F161" i="48" s="1"/>
  <c r="F104" i="47" s="1"/>
  <c r="F144" i="47" s="1"/>
  <c r="H32" i="48"/>
  <c r="F35" i="48" s="1"/>
  <c r="F98" i="47" s="1"/>
  <c r="F138" i="47" s="1"/>
  <c r="H179" i="48"/>
  <c r="F182" i="48" s="1"/>
  <c r="F105" i="47" s="1"/>
  <c r="F145" i="47" s="1"/>
  <c r="H200" i="48"/>
  <c r="F203" i="48" s="1"/>
  <c r="F106" i="47" s="1"/>
  <c r="F146" i="47" s="1"/>
  <c r="H95" i="48"/>
  <c r="F98" i="48" s="1"/>
  <c r="F101" i="47" s="1"/>
  <c r="F141" i="47" s="1"/>
  <c r="H53" i="48"/>
  <c r="F56" i="48" s="1"/>
  <c r="F99" i="47" s="1"/>
  <c r="F139" i="47" s="1"/>
  <c r="H221" i="48"/>
  <c r="F224" i="48" s="1"/>
  <c r="F107" i="47" s="1"/>
  <c r="F147" i="47" s="1"/>
  <c r="H74" i="48"/>
  <c r="F77" i="48" s="1"/>
  <c r="F100" i="47" s="1"/>
  <c r="F140" i="47" s="1"/>
  <c r="H242" i="48"/>
  <c r="F245" i="48" s="1"/>
  <c r="F108" i="47" s="1"/>
  <c r="F148" i="47" s="1"/>
  <c r="F141" i="46"/>
  <c r="F103" i="45" s="1"/>
  <c r="H116" i="48"/>
  <c r="F119" i="48" s="1"/>
  <c r="F102" i="47" s="1"/>
  <c r="F142" i="47" s="1"/>
  <c r="D107" i="15"/>
  <c r="N195" i="41"/>
  <c r="J26" i="48"/>
  <c r="K26" i="48" s="1"/>
  <c r="J22" i="48"/>
  <c r="K22" i="48" s="1"/>
  <c r="D24" i="48"/>
  <c r="F25" i="48"/>
  <c r="G25" i="48" s="1"/>
  <c r="H29" i="48"/>
  <c r="I29" i="48" s="1"/>
  <c r="J27" i="48"/>
  <c r="K27" i="48" s="1"/>
  <c r="L28" i="48"/>
  <c r="M28" i="48" s="1"/>
  <c r="F200" i="46"/>
  <c r="G200" i="46" s="1"/>
  <c r="X125" i="48"/>
  <c r="D29" i="15"/>
  <c r="O29" i="15" s="1"/>
  <c r="N104" i="41"/>
  <c r="E34" i="34"/>
  <c r="E174" i="29"/>
  <c r="E174" i="39"/>
  <c r="E167" i="25"/>
  <c r="E174" i="30"/>
  <c r="E174" i="35"/>
  <c r="E174" i="28"/>
  <c r="E174" i="38"/>
  <c r="E177" i="37"/>
  <c r="P20" i="10"/>
  <c r="D27" i="15"/>
  <c r="O27" i="15" s="1"/>
  <c r="N68" i="41"/>
  <c r="X97" i="46"/>
  <c r="N100" i="46" s="1"/>
  <c r="X55" i="46"/>
  <c r="N58" i="46" s="1"/>
  <c r="X223" i="46"/>
  <c r="N226" i="46" s="1"/>
  <c r="X34" i="46"/>
  <c r="N37" i="46" s="1"/>
  <c r="N142" i="42"/>
  <c r="D103" i="43"/>
  <c r="D31" i="43"/>
  <c r="O31" i="43" s="1"/>
  <c r="N159" i="42"/>
  <c r="E27" i="34"/>
  <c r="H15" i="19"/>
  <c r="H17" i="19" s="1"/>
  <c r="E167" i="30"/>
  <c r="E167" i="35"/>
  <c r="E167" i="38"/>
  <c r="E170" i="37"/>
  <c r="P13" i="10"/>
  <c r="E160" i="25"/>
  <c r="E167" i="39"/>
  <c r="E167" i="28"/>
  <c r="E167" i="29"/>
  <c r="L66" i="46"/>
  <c r="M66" i="46" s="1"/>
  <c r="H71" i="46"/>
  <c r="I71" i="46" s="1"/>
  <c r="J73" i="46"/>
  <c r="K73" i="46" s="1"/>
  <c r="L74" i="46"/>
  <c r="M74" i="46" s="1"/>
  <c r="F72" i="46"/>
  <c r="G72" i="46" s="1"/>
  <c r="F68" i="46"/>
  <c r="G68" i="46" s="1"/>
  <c r="F73" i="46"/>
  <c r="G73" i="46" s="1"/>
  <c r="F69" i="46"/>
  <c r="G69" i="46" s="1"/>
  <c r="J148" i="46"/>
  <c r="K148" i="46" s="1"/>
  <c r="L159" i="46"/>
  <c r="H162" i="46" s="1"/>
  <c r="H104" i="45" s="1"/>
  <c r="H159" i="46"/>
  <c r="F162" i="46" s="1"/>
  <c r="F104" i="45" s="1"/>
  <c r="F144" i="45" s="1"/>
  <c r="F156" i="45" s="1"/>
  <c r="F169" i="45" s="1"/>
  <c r="F159" i="46"/>
  <c r="E162" i="46" s="1"/>
  <c r="E104" i="45" s="1"/>
  <c r="E144" i="45" s="1"/>
  <c r="E156" i="45" s="1"/>
  <c r="E169" i="45" s="1"/>
  <c r="D159" i="46"/>
  <c r="D162" i="46" s="1"/>
  <c r="D104" i="45" s="1"/>
  <c r="J159" i="46"/>
  <c r="G162" i="46" s="1"/>
  <c r="G104" i="45" s="1"/>
  <c r="G144" i="45" s="1"/>
  <c r="N124" i="42"/>
  <c r="L87" i="46"/>
  <c r="M87" i="46" s="1"/>
  <c r="J95" i="46"/>
  <c r="K95" i="46" s="1"/>
  <c r="H92" i="46"/>
  <c r="I92" i="46" s="1"/>
  <c r="H88" i="46"/>
  <c r="I88" i="46" s="1"/>
  <c r="D89" i="46"/>
  <c r="E89" i="46" s="1"/>
  <c r="D95" i="46"/>
  <c r="E95" i="46" s="1"/>
  <c r="D26" i="15"/>
  <c r="O26" i="15" s="1"/>
  <c r="N50" i="41"/>
  <c r="F25" i="46"/>
  <c r="G25" i="46" s="1"/>
  <c r="D27" i="46"/>
  <c r="E27" i="46" s="1"/>
  <c r="H24" i="46"/>
  <c r="I24" i="46" s="1"/>
  <c r="L25" i="46"/>
  <c r="M25" i="46" s="1"/>
  <c r="L23" i="46"/>
  <c r="M23" i="46" s="1"/>
  <c r="D22" i="46"/>
  <c r="E22" i="46" s="1"/>
  <c r="F27" i="46"/>
  <c r="G27" i="46" s="1"/>
  <c r="H22" i="46"/>
  <c r="I22" i="46" s="1"/>
  <c r="L177" i="46"/>
  <c r="M177" i="46" s="1"/>
  <c r="D168" i="46"/>
  <c r="E168" i="46" s="1"/>
  <c r="L179" i="46"/>
  <c r="M179" i="46" s="1"/>
  <c r="F170" i="46"/>
  <c r="G170" i="46" s="1"/>
  <c r="J171" i="46"/>
  <c r="K171" i="46" s="1"/>
  <c r="D171" i="46"/>
  <c r="E171" i="46" s="1"/>
  <c r="H211" i="46"/>
  <c r="I211" i="46" s="1"/>
  <c r="F210" i="46"/>
  <c r="G210" i="46" s="1"/>
  <c r="L221" i="46"/>
  <c r="M221" i="46" s="1"/>
  <c r="D219" i="46"/>
  <c r="E219" i="46" s="1"/>
  <c r="H212" i="46"/>
  <c r="I212" i="46" s="1"/>
  <c r="H243" i="46"/>
  <c r="F246" i="46" s="1"/>
  <c r="F108" i="45" s="1"/>
  <c r="F148" i="45" s="1"/>
  <c r="F160" i="45" s="1"/>
  <c r="F173" i="45" s="1"/>
  <c r="D243" i="46"/>
  <c r="D246" i="46" s="1"/>
  <c r="D108" i="45" s="1"/>
  <c r="J243" i="46"/>
  <c r="G246" i="46" s="1"/>
  <c r="G108" i="45" s="1"/>
  <c r="G148" i="45" s="1"/>
  <c r="F243" i="46"/>
  <c r="E246" i="46" s="1"/>
  <c r="E108" i="45" s="1"/>
  <c r="E148" i="45" s="1"/>
  <c r="E160" i="45" s="1"/>
  <c r="E173" i="45" s="1"/>
  <c r="L243" i="46"/>
  <c r="H246" i="46" s="1"/>
  <c r="H108" i="45" s="1"/>
  <c r="H27" i="34"/>
  <c r="H28" i="34" s="1"/>
  <c r="H29" i="34" s="1"/>
  <c r="H31" i="34" s="1"/>
  <c r="H33" i="34" s="1"/>
  <c r="H160" i="25"/>
  <c r="H161" i="25" s="1"/>
  <c r="H162" i="25" s="1"/>
  <c r="H164" i="25" s="1"/>
  <c r="H166" i="25" s="1"/>
  <c r="H167" i="30"/>
  <c r="H168" i="30" s="1"/>
  <c r="H169" i="30" s="1"/>
  <c r="H171" i="30" s="1"/>
  <c r="H173" i="30" s="1"/>
  <c r="H167" i="28"/>
  <c r="Q15" i="19"/>
  <c r="Q17" i="19" s="1"/>
  <c r="H167" i="29"/>
  <c r="H167" i="38"/>
  <c r="H167" i="35"/>
  <c r="H168" i="35" s="1"/>
  <c r="H169" i="35" s="1"/>
  <c r="H171" i="35" s="1"/>
  <c r="H173" i="35" s="1"/>
  <c r="H167" i="39"/>
  <c r="H170" i="37"/>
  <c r="L26" i="48"/>
  <c r="M26" i="48" s="1"/>
  <c r="D26" i="48"/>
  <c r="D21" i="48"/>
  <c r="F27" i="48"/>
  <c r="G27" i="48" s="1"/>
  <c r="F28" i="48"/>
  <c r="G28" i="48" s="1"/>
  <c r="H27" i="48"/>
  <c r="I27" i="48" s="1"/>
  <c r="J24" i="48"/>
  <c r="K24" i="48" s="1"/>
  <c r="D189" i="46"/>
  <c r="E189" i="46" s="1"/>
  <c r="J191" i="46"/>
  <c r="K191" i="46" s="1"/>
  <c r="H189" i="46"/>
  <c r="I189" i="46" s="1"/>
  <c r="J192" i="46"/>
  <c r="K192" i="46" s="1"/>
  <c r="H197" i="46"/>
  <c r="I197" i="46" s="1"/>
  <c r="F198" i="46"/>
  <c r="G198" i="46" s="1"/>
  <c r="J196" i="46"/>
  <c r="K196" i="46" s="1"/>
  <c r="D126" i="39"/>
  <c r="D241" i="39"/>
  <c r="D213" i="39"/>
  <c r="D42" i="39"/>
  <c r="D70" i="39"/>
  <c r="D297" i="39"/>
  <c r="D154" i="39"/>
  <c r="D98" i="39"/>
  <c r="D325" i="39"/>
  <c r="D269" i="39"/>
  <c r="D184" i="39"/>
  <c r="D185" i="39" s="1"/>
  <c r="D35" i="15"/>
  <c r="O35" i="15" s="1"/>
  <c r="N212" i="41"/>
  <c r="N105" i="41"/>
  <c r="D102" i="15"/>
  <c r="D26" i="43"/>
  <c r="O26" i="43" s="1"/>
  <c r="N69" i="42"/>
  <c r="N70" i="42"/>
  <c r="D99" i="43"/>
  <c r="D101" i="43"/>
  <c r="N106" i="42"/>
  <c r="D32" i="15"/>
  <c r="O32" i="15" s="1"/>
  <c r="N158" i="41"/>
  <c r="F177" i="37"/>
  <c r="F174" i="38"/>
  <c r="F174" i="35"/>
  <c r="F167" i="25"/>
  <c r="F174" i="28"/>
  <c r="F174" i="29"/>
  <c r="F181" i="29" s="1"/>
  <c r="F174" i="30"/>
  <c r="F34" i="34"/>
  <c r="F41" i="34" s="1"/>
  <c r="F174" i="39"/>
  <c r="D29" i="43"/>
  <c r="N123" i="42"/>
  <c r="J176" i="46"/>
  <c r="K176" i="46" s="1"/>
  <c r="L180" i="46"/>
  <c r="H183" i="46" s="1"/>
  <c r="H105" i="45" s="1"/>
  <c r="H180" i="46"/>
  <c r="F183" i="46" s="1"/>
  <c r="F105" i="45" s="1"/>
  <c r="F145" i="45" s="1"/>
  <c r="F157" i="45" s="1"/>
  <c r="F170" i="45" s="1"/>
  <c r="D180" i="46"/>
  <c r="D183" i="46" s="1"/>
  <c r="D105" i="45" s="1"/>
  <c r="J180" i="46"/>
  <c r="G183" i="46" s="1"/>
  <c r="G105" i="45" s="1"/>
  <c r="G145" i="45" s="1"/>
  <c r="F180" i="46"/>
  <c r="E183" i="46" s="1"/>
  <c r="E105" i="45" s="1"/>
  <c r="E145" i="45" s="1"/>
  <c r="E157" i="45" s="1"/>
  <c r="E170" i="45" s="1"/>
  <c r="X134" i="48"/>
  <c r="H174" i="39"/>
  <c r="H177" i="37"/>
  <c r="H34" i="34"/>
  <c r="H41" i="34" s="1"/>
  <c r="H174" i="28"/>
  <c r="H174" i="29"/>
  <c r="H167" i="25"/>
  <c r="H174" i="30"/>
  <c r="H174" i="38"/>
  <c r="H174" i="35"/>
  <c r="H27" i="10"/>
  <c r="H181" i="28" s="1"/>
  <c r="D24" i="43"/>
  <c r="O24" i="43" s="1"/>
  <c r="N33" i="42"/>
  <c r="F74" i="46"/>
  <c r="G74" i="46" s="1"/>
  <c r="D64" i="46"/>
  <c r="E64" i="46" s="1"/>
  <c r="H70" i="46"/>
  <c r="I70" i="46" s="1"/>
  <c r="H74" i="46"/>
  <c r="I74" i="46" s="1"/>
  <c r="J71" i="46"/>
  <c r="K71" i="46" s="1"/>
  <c r="L63" i="46"/>
  <c r="M63" i="46" s="1"/>
  <c r="D72" i="46"/>
  <c r="E72" i="46" s="1"/>
  <c r="D187" i="37"/>
  <c r="D186" i="35"/>
  <c r="C122" i="16"/>
  <c r="C123" i="16" s="1"/>
  <c r="D119" i="16" s="1"/>
  <c r="C202" i="16"/>
  <c r="C203" i="16" s="1"/>
  <c r="D199" i="16" s="1"/>
  <c r="F88" i="46"/>
  <c r="G88" i="46" s="1"/>
  <c r="F96" i="46"/>
  <c r="E99" i="46" s="1"/>
  <c r="E101" i="45" s="1"/>
  <c r="E141" i="45" s="1"/>
  <c r="E153" i="45" s="1"/>
  <c r="E166" i="45" s="1"/>
  <c r="D96" i="46"/>
  <c r="D99" i="46" s="1"/>
  <c r="D101" i="45" s="1"/>
  <c r="J96" i="46"/>
  <c r="G99" i="46" s="1"/>
  <c r="G101" i="45" s="1"/>
  <c r="G141" i="45" s="1"/>
  <c r="H96" i="46"/>
  <c r="F99" i="46" s="1"/>
  <c r="F101" i="45" s="1"/>
  <c r="F141" i="45" s="1"/>
  <c r="F153" i="45" s="1"/>
  <c r="F166" i="45" s="1"/>
  <c r="L96" i="46"/>
  <c r="H99" i="46" s="1"/>
  <c r="H101" i="45" s="1"/>
  <c r="J21" i="46"/>
  <c r="K21" i="46" s="1"/>
  <c r="F31" i="46"/>
  <c r="G31" i="46" s="1"/>
  <c r="L27" i="46"/>
  <c r="M27" i="46" s="1"/>
  <c r="D26" i="46"/>
  <c r="E26" i="46" s="1"/>
  <c r="F28" i="46"/>
  <c r="G28" i="46" s="1"/>
  <c r="J30" i="46"/>
  <c r="K30" i="46" s="1"/>
  <c r="J28" i="46"/>
  <c r="K28" i="46" s="1"/>
  <c r="F167" i="29"/>
  <c r="F167" i="30"/>
  <c r="K15" i="19"/>
  <c r="K17" i="19" s="1"/>
  <c r="F167" i="39"/>
  <c r="F167" i="35"/>
  <c r="F167" i="38"/>
  <c r="F170" i="37"/>
  <c r="F27" i="34"/>
  <c r="F28" i="34" s="1"/>
  <c r="F29" i="34" s="1"/>
  <c r="F31" i="34" s="1"/>
  <c r="F33" i="34" s="1"/>
  <c r="F160" i="25"/>
  <c r="F161" i="25" s="1"/>
  <c r="F162" i="25" s="1"/>
  <c r="F164" i="25" s="1"/>
  <c r="F166" i="25" s="1"/>
  <c r="F167" i="28"/>
  <c r="D85" i="26"/>
  <c r="D76" i="26"/>
  <c r="F14" i="10"/>
  <c r="G167" i="29"/>
  <c r="G160" i="25"/>
  <c r="G161" i="25" s="1"/>
  <c r="G162" i="25" s="1"/>
  <c r="G164" i="25" s="1"/>
  <c r="G166" i="25" s="1"/>
  <c r="N15" i="19"/>
  <c r="N17" i="19" s="1"/>
  <c r="G167" i="39"/>
  <c r="G167" i="35"/>
  <c r="G167" i="38"/>
  <c r="G170" i="37"/>
  <c r="G167" i="30"/>
  <c r="G27" i="34"/>
  <c r="G28" i="34" s="1"/>
  <c r="G29" i="34" s="1"/>
  <c r="G31" i="34" s="1"/>
  <c r="G33" i="34" s="1"/>
  <c r="G167" i="28"/>
  <c r="E85" i="26"/>
  <c r="G14" i="10"/>
  <c r="G15" i="10" s="1"/>
  <c r="N19" i="19" s="1"/>
  <c r="E76" i="26"/>
  <c r="H176" i="46"/>
  <c r="I176" i="46" s="1"/>
  <c r="L169" i="46"/>
  <c r="M169" i="46" s="1"/>
  <c r="L174" i="46"/>
  <c r="M174" i="46" s="1"/>
  <c r="J175" i="46"/>
  <c r="K175" i="46" s="1"/>
  <c r="J177" i="46"/>
  <c r="K177" i="46" s="1"/>
  <c r="D175" i="46"/>
  <c r="E175" i="46" s="1"/>
  <c r="F172" i="46"/>
  <c r="G172" i="46" s="1"/>
  <c r="F169" i="46"/>
  <c r="G169" i="46" s="1"/>
  <c r="D161" i="16"/>
  <c r="D160" i="16"/>
  <c r="D215" i="46"/>
  <c r="E215" i="46" s="1"/>
  <c r="L222" i="46"/>
  <c r="H225" i="46" s="1"/>
  <c r="H107" i="45" s="1"/>
  <c r="H222" i="46"/>
  <c r="F225" i="46" s="1"/>
  <c r="F107" i="45" s="1"/>
  <c r="F147" i="45" s="1"/>
  <c r="F159" i="45" s="1"/>
  <c r="F172" i="45" s="1"/>
  <c r="D222" i="46"/>
  <c r="D225" i="46" s="1"/>
  <c r="D107" i="45" s="1"/>
  <c r="J222" i="46"/>
  <c r="G225" i="46" s="1"/>
  <c r="G107" i="45" s="1"/>
  <c r="G147" i="45" s="1"/>
  <c r="F222" i="46"/>
  <c r="E225" i="46" s="1"/>
  <c r="E107" i="45" s="1"/>
  <c r="E147" i="45" s="1"/>
  <c r="E159" i="45" s="1"/>
  <c r="E172" i="45" s="1"/>
  <c r="D34" i="15"/>
  <c r="O34" i="15" s="1"/>
  <c r="N194" i="41"/>
  <c r="L29" i="48"/>
  <c r="M29" i="48" s="1"/>
  <c r="L27" i="48"/>
  <c r="M27" i="48" s="1"/>
  <c r="L24" i="48"/>
  <c r="M24" i="48" s="1"/>
  <c r="F22" i="48"/>
  <c r="G22" i="48" s="1"/>
  <c r="L31" i="48"/>
  <c r="M31" i="48" s="1"/>
  <c r="J30" i="48"/>
  <c r="K30" i="48" s="1"/>
  <c r="D27" i="48"/>
  <c r="D198" i="46"/>
  <c r="E198" i="46" s="1"/>
  <c r="H199" i="46"/>
  <c r="I199" i="46" s="1"/>
  <c r="D108" i="15"/>
  <c r="N213" i="41"/>
  <c r="D104" i="15"/>
  <c r="N141" i="41"/>
  <c r="F156" i="15"/>
  <c r="F169" i="15" s="1"/>
  <c r="D98" i="43"/>
  <c r="N52" i="42"/>
  <c r="N51" i="42"/>
  <c r="D25" i="43"/>
  <c r="O25" i="43" s="1"/>
  <c r="D28" i="43"/>
  <c r="O28" i="43" s="1"/>
  <c r="N105" i="42"/>
  <c r="D66" i="46"/>
  <c r="E66" i="46" s="1"/>
  <c r="J72" i="46"/>
  <c r="K72" i="46" s="1"/>
  <c r="H73" i="46"/>
  <c r="I73" i="46" s="1"/>
  <c r="H69" i="46"/>
  <c r="I69" i="46" s="1"/>
  <c r="H65" i="46"/>
  <c r="I65" i="46" s="1"/>
  <c r="L73" i="46"/>
  <c r="M73" i="46" s="1"/>
  <c r="H66" i="46"/>
  <c r="I66" i="46" s="1"/>
  <c r="H25" i="46"/>
  <c r="I25" i="46" s="1"/>
  <c r="L22" i="46"/>
  <c r="M22" i="46" s="1"/>
  <c r="L26" i="46"/>
  <c r="M26" i="46" s="1"/>
  <c r="H28" i="46"/>
  <c r="I28" i="46" s="1"/>
  <c r="H32" i="46"/>
  <c r="I32" i="46" s="1"/>
  <c r="D25" i="46"/>
  <c r="E25" i="46" s="1"/>
  <c r="F26" i="46"/>
  <c r="G26" i="46" s="1"/>
  <c r="D174" i="46"/>
  <c r="E174" i="46" s="1"/>
  <c r="L171" i="46"/>
  <c r="M171" i="46" s="1"/>
  <c r="J168" i="46"/>
  <c r="K168" i="46" s="1"/>
  <c r="H172" i="46"/>
  <c r="I172" i="46" s="1"/>
  <c r="H174" i="46"/>
  <c r="I174" i="46" s="1"/>
  <c r="H168" i="46"/>
  <c r="I168" i="46" s="1"/>
  <c r="F174" i="46"/>
  <c r="G174" i="46" s="1"/>
  <c r="J179" i="46"/>
  <c r="K179" i="46" s="1"/>
  <c r="G174" i="28"/>
  <c r="G177" i="37"/>
  <c r="G174" i="29"/>
  <c r="G167" i="25"/>
  <c r="G174" i="38"/>
  <c r="G174" i="35"/>
  <c r="G34" i="34"/>
  <c r="G41" i="34" s="1"/>
  <c r="G174" i="30"/>
  <c r="G174" i="39"/>
  <c r="G27" i="10"/>
  <c r="G181" i="28" s="1"/>
  <c r="L242" i="48"/>
  <c r="H245" i="48" s="1"/>
  <c r="H108" i="47" s="1"/>
  <c r="L74" i="48"/>
  <c r="H77" i="48" s="1"/>
  <c r="H100" i="47" s="1"/>
  <c r="L137" i="48"/>
  <c r="H140" i="48" s="1"/>
  <c r="H103" i="47" s="1"/>
  <c r="L179" i="48"/>
  <c r="H182" i="48" s="1"/>
  <c r="H105" i="47" s="1"/>
  <c r="L158" i="48"/>
  <c r="H161" i="48" s="1"/>
  <c r="H104" i="47" s="1"/>
  <c r="H141" i="46"/>
  <c r="H103" i="45" s="1"/>
  <c r="L95" i="48"/>
  <c r="H98" i="48" s="1"/>
  <c r="H101" i="47" s="1"/>
  <c r="L116" i="48"/>
  <c r="H119" i="48" s="1"/>
  <c r="H102" i="47" s="1"/>
  <c r="L200" i="48"/>
  <c r="H203" i="48" s="1"/>
  <c r="H106" i="47" s="1"/>
  <c r="L221" i="48"/>
  <c r="H224" i="48" s="1"/>
  <c r="H107" i="47" s="1"/>
  <c r="L32" i="48"/>
  <c r="H35" i="48" s="1"/>
  <c r="H98" i="47" s="1"/>
  <c r="L53" i="48"/>
  <c r="H56" i="48" s="1"/>
  <c r="H99" i="47" s="1"/>
  <c r="J23" i="48"/>
  <c r="K23" i="48" s="1"/>
  <c r="L23" i="48"/>
  <c r="M23" i="48" s="1"/>
  <c r="L21" i="48"/>
  <c r="M21" i="48" s="1"/>
  <c r="J20" i="48"/>
  <c r="K20" i="48" s="1"/>
  <c r="D25" i="48"/>
  <c r="D31" i="48"/>
  <c r="J31" i="48"/>
  <c r="K31" i="48" s="1"/>
  <c r="L20" i="48"/>
  <c r="M20" i="48" s="1"/>
  <c r="D28" i="15"/>
  <c r="O28" i="15" s="1"/>
  <c r="N86" i="41"/>
  <c r="J200" i="46"/>
  <c r="K200" i="46" s="1"/>
  <c r="L201" i="46"/>
  <c r="H204" i="46" s="1"/>
  <c r="H106" i="45" s="1"/>
  <c r="J201" i="46"/>
  <c r="G204" i="46" s="1"/>
  <c r="G106" i="45" s="1"/>
  <c r="G146" i="45" s="1"/>
  <c r="F201" i="46"/>
  <c r="E204" i="46" s="1"/>
  <c r="E106" i="45" s="1"/>
  <c r="E146" i="45" s="1"/>
  <c r="E158" i="45" s="1"/>
  <c r="E171" i="45" s="1"/>
  <c r="D201" i="46"/>
  <c r="D204" i="46" s="1"/>
  <c r="D106" i="45" s="1"/>
  <c r="H201" i="46"/>
  <c r="F204" i="46" s="1"/>
  <c r="F106" i="45" s="1"/>
  <c r="F146" i="45" s="1"/>
  <c r="F158" i="45" s="1"/>
  <c r="F171" i="45" s="1"/>
  <c r="I167" i="30"/>
  <c r="I167" i="29"/>
  <c r="T15" i="19"/>
  <c r="T17" i="19" s="1"/>
  <c r="I167" i="35"/>
  <c r="I167" i="38"/>
  <c r="I167" i="39"/>
  <c r="I170" i="37"/>
  <c r="I160" i="25"/>
  <c r="I27" i="34"/>
  <c r="I167" i="28"/>
  <c r="F150" i="15"/>
  <c r="F163" i="15" s="1"/>
  <c r="X244" i="46"/>
  <c r="N247" i="46" s="1"/>
  <c r="O35" i="45"/>
  <c r="X118" i="46"/>
  <c r="N121" i="46" s="1"/>
  <c r="X160" i="46"/>
  <c r="N163" i="46" s="1"/>
  <c r="D104" i="43"/>
  <c r="N160" i="42"/>
  <c r="D100" i="43"/>
  <c r="N88" i="42"/>
  <c r="D32" i="43"/>
  <c r="O32" i="43" s="1"/>
  <c r="N177" i="42"/>
  <c r="I174" i="28"/>
  <c r="I34" i="34"/>
  <c r="I174" i="30"/>
  <c r="I167" i="25"/>
  <c r="I174" i="38"/>
  <c r="I174" i="29"/>
  <c r="I177" i="37"/>
  <c r="I174" i="39"/>
  <c r="I174" i="35"/>
  <c r="L68" i="46"/>
  <c r="M68" i="46" s="1"/>
  <c r="L69" i="46"/>
  <c r="M69" i="46" s="1"/>
  <c r="F71" i="46"/>
  <c r="G71" i="46" s="1"/>
  <c r="D70" i="46"/>
  <c r="E70" i="46" s="1"/>
  <c r="J66" i="46"/>
  <c r="K66" i="46" s="1"/>
  <c r="D71" i="46"/>
  <c r="E71" i="46" s="1"/>
  <c r="L64" i="46"/>
  <c r="M64" i="46" s="1"/>
  <c r="D31" i="15"/>
  <c r="O31" i="15" s="1"/>
  <c r="N140" i="41"/>
  <c r="L42" i="46"/>
  <c r="M42" i="46" s="1"/>
  <c r="F54" i="46"/>
  <c r="E57" i="46" s="1"/>
  <c r="E99" i="45" s="1"/>
  <c r="E139" i="45" s="1"/>
  <c r="E151" i="45" s="1"/>
  <c r="E164" i="45" s="1"/>
  <c r="D54" i="46"/>
  <c r="D57" i="46" s="1"/>
  <c r="D99" i="45" s="1"/>
  <c r="H54" i="46"/>
  <c r="F57" i="46" s="1"/>
  <c r="F99" i="45" s="1"/>
  <c r="F139" i="45" s="1"/>
  <c r="F151" i="45" s="1"/>
  <c r="F164" i="45" s="1"/>
  <c r="J54" i="46"/>
  <c r="G57" i="46" s="1"/>
  <c r="G99" i="45" s="1"/>
  <c r="G139" i="45" s="1"/>
  <c r="L54" i="46"/>
  <c r="H57" i="46" s="1"/>
  <c r="H99" i="45" s="1"/>
  <c r="L94" i="46"/>
  <c r="M94" i="46" s="1"/>
  <c r="L95" i="46"/>
  <c r="M95" i="46" s="1"/>
  <c r="J93" i="46"/>
  <c r="K93" i="46" s="1"/>
  <c r="D92" i="46"/>
  <c r="E92" i="46" s="1"/>
  <c r="D85" i="46"/>
  <c r="E85" i="46" s="1"/>
  <c r="F93" i="46"/>
  <c r="G93" i="46" s="1"/>
  <c r="F89" i="46"/>
  <c r="G89" i="46" s="1"/>
  <c r="J86" i="46"/>
  <c r="K86" i="46" s="1"/>
  <c r="D28" i="46"/>
  <c r="E28" i="46" s="1"/>
  <c r="F22" i="46"/>
  <c r="G22" i="46" s="1"/>
  <c r="J23" i="46"/>
  <c r="K23" i="46" s="1"/>
  <c r="D30" i="46"/>
  <c r="E30" i="46" s="1"/>
  <c r="F32" i="46"/>
  <c r="G32" i="46" s="1"/>
  <c r="H27" i="46"/>
  <c r="I27" i="46" s="1"/>
  <c r="F29" i="46"/>
  <c r="G29" i="46" s="1"/>
  <c r="D81" i="16"/>
  <c r="D80" i="16"/>
  <c r="D112" i="46"/>
  <c r="E112" i="46" s="1"/>
  <c r="J117" i="46"/>
  <c r="G120" i="46" s="1"/>
  <c r="G102" i="45" s="1"/>
  <c r="G142" i="45" s="1"/>
  <c r="H117" i="46"/>
  <c r="F120" i="46" s="1"/>
  <c r="F102" i="45" s="1"/>
  <c r="F142" i="45" s="1"/>
  <c r="F154" i="45" s="1"/>
  <c r="F167" i="45" s="1"/>
  <c r="F117" i="46"/>
  <c r="E120" i="46" s="1"/>
  <c r="E102" i="45" s="1"/>
  <c r="E142" i="45" s="1"/>
  <c r="E154" i="45" s="1"/>
  <c r="E167" i="45" s="1"/>
  <c r="L117" i="46"/>
  <c r="H120" i="46" s="1"/>
  <c r="H102" i="45" s="1"/>
  <c r="D117" i="46"/>
  <c r="D178" i="46"/>
  <c r="E178" i="46" s="1"/>
  <c r="H170" i="46"/>
  <c r="I170" i="46" s="1"/>
  <c r="J172" i="46"/>
  <c r="K172" i="46" s="1"/>
  <c r="F168" i="46"/>
  <c r="G168" i="46" s="1"/>
  <c r="J170" i="46"/>
  <c r="K170" i="46" s="1"/>
  <c r="F173" i="46"/>
  <c r="G173" i="46" s="1"/>
  <c r="L168" i="46"/>
  <c r="M168" i="46" s="1"/>
  <c r="L178" i="46"/>
  <c r="M178" i="46" s="1"/>
  <c r="O26" i="22"/>
  <c r="O28" i="22" s="1"/>
  <c r="O29" i="22" s="1"/>
  <c r="G22" i="2"/>
  <c r="J200" i="48"/>
  <c r="G203" i="48" s="1"/>
  <c r="G106" i="47" s="1"/>
  <c r="G146" i="47" s="1"/>
  <c r="J221" i="48"/>
  <c r="G224" i="48" s="1"/>
  <c r="G107" i="47" s="1"/>
  <c r="G147" i="47" s="1"/>
  <c r="G141" i="46"/>
  <c r="G103" i="45" s="1"/>
  <c r="J53" i="48"/>
  <c r="G56" i="48" s="1"/>
  <c r="G99" i="47" s="1"/>
  <c r="G139" i="47" s="1"/>
  <c r="J242" i="48"/>
  <c r="G245" i="48" s="1"/>
  <c r="G108" i="47" s="1"/>
  <c r="G148" i="47" s="1"/>
  <c r="J158" i="48"/>
  <c r="G161" i="48" s="1"/>
  <c r="G104" i="47" s="1"/>
  <c r="G144" i="47" s="1"/>
  <c r="J137" i="48"/>
  <c r="G140" i="48" s="1"/>
  <c r="G103" i="47" s="1"/>
  <c r="J32" i="48"/>
  <c r="G35" i="48" s="1"/>
  <c r="G98" i="47" s="1"/>
  <c r="G138" i="47" s="1"/>
  <c r="J74" i="48"/>
  <c r="G77" i="48" s="1"/>
  <c r="G100" i="47" s="1"/>
  <c r="G140" i="47" s="1"/>
  <c r="J179" i="48"/>
  <c r="G182" i="48" s="1"/>
  <c r="G105" i="47" s="1"/>
  <c r="G145" i="47" s="1"/>
  <c r="J95" i="48"/>
  <c r="G98" i="48" s="1"/>
  <c r="G101" i="47" s="1"/>
  <c r="G141" i="47" s="1"/>
  <c r="J116" i="48"/>
  <c r="G119" i="48" s="1"/>
  <c r="G102" i="47" s="1"/>
  <c r="G142" i="47" s="1"/>
  <c r="J220" i="46"/>
  <c r="K220" i="46" s="1"/>
  <c r="L211" i="46"/>
  <c r="M211" i="46" s="1"/>
  <c r="J210" i="46"/>
  <c r="K210" i="46" s="1"/>
  <c r="J211" i="46"/>
  <c r="K211" i="46" s="1"/>
  <c r="J216" i="46"/>
  <c r="K216" i="46" s="1"/>
  <c r="D214" i="46"/>
  <c r="E214" i="46" s="1"/>
  <c r="D23" i="48"/>
  <c r="F31" i="48"/>
  <c r="G31" i="48" s="1"/>
  <c r="D28" i="48"/>
  <c r="E28" i="48" s="1"/>
  <c r="H26" i="48"/>
  <c r="I26" i="48" s="1"/>
  <c r="H28" i="48"/>
  <c r="I28" i="48" s="1"/>
  <c r="D30" i="48"/>
  <c r="H20" i="48"/>
  <c r="I20" i="48" s="1"/>
  <c r="L30" i="48"/>
  <c r="M30" i="48" s="1"/>
  <c r="H195" i="46"/>
  <c r="I195" i="46" s="1"/>
  <c r="L200" i="46"/>
  <c r="M200" i="46" s="1"/>
  <c r="J198" i="46"/>
  <c r="K198" i="46" s="1"/>
  <c r="F196" i="46"/>
  <c r="G196" i="46" s="1"/>
  <c r="L196" i="46"/>
  <c r="M196" i="46" s="1"/>
  <c r="L194" i="46"/>
  <c r="M194" i="46" s="1"/>
  <c r="D190" i="46"/>
  <c r="E190" i="46" s="1"/>
  <c r="B46" i="48"/>
  <c r="F42" i="48" s="1"/>
  <c r="G42" i="48" s="1"/>
  <c r="J50" i="48"/>
  <c r="K50" i="48" s="1"/>
  <c r="D52" i="48"/>
  <c r="F52" i="48"/>
  <c r="G52" i="48" s="1"/>
  <c r="F51" i="48"/>
  <c r="G51" i="48" s="1"/>
  <c r="L52" i="48"/>
  <c r="M52" i="48" s="1"/>
  <c r="H41" i="48"/>
  <c r="I41" i="48" s="1"/>
  <c r="D41" i="48"/>
  <c r="D43" i="48"/>
  <c r="E43" i="48" s="1"/>
  <c r="J42" i="48"/>
  <c r="K42" i="48" s="1"/>
  <c r="H49" i="48"/>
  <c r="I49" i="48" s="1"/>
  <c r="O28" i="45"/>
  <c r="X241" i="46"/>
  <c r="X50" i="46"/>
  <c r="O34" i="45"/>
  <c r="D47" i="25"/>
  <c r="D49" i="25" s="1"/>
  <c r="P284" i="37"/>
  <c r="O27" i="45"/>
  <c r="X137" i="46"/>
  <c r="O32" i="45"/>
  <c r="O25" i="45"/>
  <c r="X133" i="46"/>
  <c r="X130" i="46"/>
  <c r="O26" i="45"/>
  <c r="G49" i="10"/>
  <c r="G50" i="10" s="1"/>
  <c r="J49" i="10"/>
  <c r="J50" i="10" s="1"/>
  <c r="J51" i="10" s="1"/>
  <c r="J52" i="10" s="1"/>
  <c r="F18" i="24" s="1"/>
  <c r="O84" i="11"/>
  <c r="O85" i="11"/>
  <c r="O86" i="11" s="1"/>
  <c r="O87" i="11" s="1"/>
  <c r="E124" i="18"/>
  <c r="I16" i="26"/>
  <c r="F123" i="18"/>
  <c r="F124" i="18" s="1"/>
  <c r="N103" i="18"/>
  <c r="P281" i="38"/>
  <c r="N30" i="7"/>
  <c r="N34" i="7" s="1"/>
  <c r="K201" i="25"/>
  <c r="K213" i="25" s="1"/>
  <c r="K202" i="25"/>
  <c r="K214" i="25" s="1"/>
  <c r="K196" i="25"/>
  <c r="K208" i="25" s="1"/>
  <c r="K198" i="25"/>
  <c r="K210" i="25" s="1"/>
  <c r="K203" i="25"/>
  <c r="K215" i="25" s="1"/>
  <c r="K199" i="25"/>
  <c r="K211" i="25" s="1"/>
  <c r="K204" i="25"/>
  <c r="K216" i="25" s="1"/>
  <c r="K200" i="25"/>
  <c r="K212" i="25" s="1"/>
  <c r="K205" i="25"/>
  <c r="K217" i="25" s="1"/>
  <c r="K197" i="25"/>
  <c r="K209" i="25" s="1"/>
  <c r="J59" i="47"/>
  <c r="J83" i="47" s="1"/>
  <c r="J96" i="47" s="1"/>
  <c r="J160" i="47" s="1"/>
  <c r="J173" i="47" s="1"/>
  <c r="L98" i="15"/>
  <c r="E166" i="30"/>
  <c r="D23" i="47"/>
  <c r="L44" i="11"/>
  <c r="K75" i="11"/>
  <c r="K45" i="11"/>
  <c r="F318" i="29"/>
  <c r="F206" i="29"/>
  <c r="F63" i="29"/>
  <c r="F35" i="29"/>
  <c r="F234" i="29"/>
  <c r="F147" i="29"/>
  <c r="F91" i="29"/>
  <c r="F290" i="29"/>
  <c r="F262" i="29"/>
  <c r="F119" i="29"/>
  <c r="K40" i="45"/>
  <c r="K43" i="45"/>
  <c r="K39" i="45"/>
  <c r="K37" i="45"/>
  <c r="K41" i="45"/>
  <c r="K44" i="45"/>
  <c r="K47" i="45"/>
  <c r="K46" i="45"/>
  <c r="K38" i="45"/>
  <c r="K45" i="45"/>
  <c r="K43" i="15"/>
  <c r="K38" i="15"/>
  <c r="K45" i="15"/>
  <c r="K46" i="15"/>
  <c r="K37" i="15"/>
  <c r="K41" i="15"/>
  <c r="K44" i="15"/>
  <c r="K39" i="15"/>
  <c r="K47" i="15"/>
  <c r="K40" i="15"/>
  <c r="G65" i="25"/>
  <c r="G76" i="25" s="1"/>
  <c r="I138" i="39"/>
  <c r="P136" i="39"/>
  <c r="K228" i="30"/>
  <c r="K230" i="30" s="1"/>
  <c r="K232" i="30" s="1"/>
  <c r="K241" i="30" s="1"/>
  <c r="K200" i="30"/>
  <c r="K202" i="30" s="1"/>
  <c r="K204" i="30" s="1"/>
  <c r="K213" i="30" s="1"/>
  <c r="E251" i="29"/>
  <c r="E307" i="29"/>
  <c r="F181" i="30"/>
  <c r="K141" i="47"/>
  <c r="W93" i="46"/>
  <c r="W234" i="46"/>
  <c r="X234" i="46"/>
  <c r="W239" i="46"/>
  <c r="W69" i="46"/>
  <c r="W112" i="46"/>
  <c r="W177" i="46"/>
  <c r="W218" i="46"/>
  <c r="M162" i="46"/>
  <c r="M104" i="45" s="1"/>
  <c r="W68" i="46"/>
  <c r="W72" i="46"/>
  <c r="W90" i="46"/>
  <c r="W199" i="46"/>
  <c r="W30" i="46"/>
  <c r="W85" i="46"/>
  <c r="J57" i="15"/>
  <c r="J81" i="15" s="1"/>
  <c r="J94" i="15" s="1"/>
  <c r="J158" i="15" s="1"/>
  <c r="J171" i="15" s="1"/>
  <c r="J53" i="45"/>
  <c r="J77" i="45" s="1"/>
  <c r="J90" i="45" s="1"/>
  <c r="J154" i="45" s="1"/>
  <c r="J167" i="45" s="1"/>
  <c r="E108" i="35"/>
  <c r="E52" i="35"/>
  <c r="X128" i="46"/>
  <c r="K256" i="28"/>
  <c r="K258" i="28" s="1"/>
  <c r="K260" i="28" s="1"/>
  <c r="K269" i="28" s="1"/>
  <c r="I253" i="38"/>
  <c r="P251" i="38"/>
  <c r="K29" i="29"/>
  <c r="K31" i="29" s="1"/>
  <c r="K33" i="29" s="1"/>
  <c r="K42" i="29" s="1"/>
  <c r="G49" i="15"/>
  <c r="G73" i="15" s="1"/>
  <c r="G86" i="15" s="1"/>
  <c r="G150" i="15" s="1"/>
  <c r="G163" i="15" s="1"/>
  <c r="G51" i="15"/>
  <c r="G75" i="15" s="1"/>
  <c r="G88" i="15" s="1"/>
  <c r="G152" i="15" s="1"/>
  <c r="G165" i="15" s="1"/>
  <c r="G122" i="18"/>
  <c r="H110" i="18"/>
  <c r="G115" i="18"/>
  <c r="G51" i="43"/>
  <c r="G75" i="43" s="1"/>
  <c r="G88" i="43" s="1"/>
  <c r="G152" i="43" s="1"/>
  <c r="G165" i="43" s="1"/>
  <c r="G52" i="43"/>
  <c r="G76" i="43" s="1"/>
  <c r="G89" i="43" s="1"/>
  <c r="G153" i="43" s="1"/>
  <c r="G166" i="43" s="1"/>
  <c r="G53" i="45"/>
  <c r="G77" i="45" s="1"/>
  <c r="G90" i="45" s="1"/>
  <c r="E279" i="28"/>
  <c r="D22" i="43"/>
  <c r="F147" i="28"/>
  <c r="M103" i="11"/>
  <c r="N99" i="11" s="1"/>
  <c r="N101" i="11"/>
  <c r="N102" i="11" s="1"/>
  <c r="N100" i="11"/>
  <c r="J53" i="47"/>
  <c r="J77" i="47" s="1"/>
  <c r="J90" i="47" s="1"/>
  <c r="J154" i="47" s="1"/>
  <c r="J167" i="47" s="1"/>
  <c r="J61" i="25"/>
  <c r="J72" i="25" s="1"/>
  <c r="K200" i="35"/>
  <c r="K202" i="35" s="1"/>
  <c r="K204" i="35" s="1"/>
  <c r="K213" i="35" s="1"/>
  <c r="J69" i="25"/>
  <c r="J80" i="25" s="1"/>
  <c r="J51" i="47"/>
  <c r="J75" i="47" s="1"/>
  <c r="J88" i="47" s="1"/>
  <c r="J152" i="47" s="1"/>
  <c r="J165" i="47" s="1"/>
  <c r="J48" i="43"/>
  <c r="J72" i="43" s="1"/>
  <c r="J85" i="43" s="1"/>
  <c r="J149" i="43" s="1"/>
  <c r="J162" i="43" s="1"/>
  <c r="E166" i="38"/>
  <c r="K169" i="35"/>
  <c r="K171" i="35" s="1"/>
  <c r="K173" i="35" s="1"/>
  <c r="K182" i="35" s="1"/>
  <c r="K184" i="35" s="1"/>
  <c r="E136" i="30"/>
  <c r="K11" i="24"/>
  <c r="K43" i="24" s="1"/>
  <c r="K47" i="24" s="1"/>
  <c r="J22" i="10" s="1"/>
  <c r="L15" i="7"/>
  <c r="L17" i="7" s="1"/>
  <c r="L21" i="7" s="1"/>
  <c r="L22" i="7" s="1"/>
  <c r="L33" i="7" s="1"/>
  <c r="K41" i="11"/>
  <c r="K73" i="11" s="1"/>
  <c r="J27" i="25"/>
  <c r="J76" i="11"/>
  <c r="L51" i="29"/>
  <c r="L52" i="29" s="1"/>
  <c r="L54" i="29" s="1"/>
  <c r="L56" i="29" s="1"/>
  <c r="L278" i="29"/>
  <c r="L279" i="29" s="1"/>
  <c r="L281" i="29" s="1"/>
  <c r="L283" i="29" s="1"/>
  <c r="L79" i="29"/>
  <c r="L80" i="29" s="1"/>
  <c r="L82" i="29" s="1"/>
  <c r="L84" i="29" s="1"/>
  <c r="L306" i="29"/>
  <c r="L307" i="29" s="1"/>
  <c r="L309" i="29" s="1"/>
  <c r="L311" i="29" s="1"/>
  <c r="L250" i="29"/>
  <c r="L251" i="29" s="1"/>
  <c r="L253" i="29" s="1"/>
  <c r="L255" i="29" s="1"/>
  <c r="L135" i="29"/>
  <c r="L136" i="29" s="1"/>
  <c r="L138" i="29" s="1"/>
  <c r="L140" i="29" s="1"/>
  <c r="L222" i="29"/>
  <c r="L223" i="29" s="1"/>
  <c r="L225" i="29" s="1"/>
  <c r="L227" i="29" s="1"/>
  <c r="L194" i="29"/>
  <c r="L195" i="29" s="1"/>
  <c r="L197" i="29" s="1"/>
  <c r="L199" i="29" s="1"/>
  <c r="L107" i="29"/>
  <c r="L108" i="29" s="1"/>
  <c r="L110" i="29" s="1"/>
  <c r="L112" i="29" s="1"/>
  <c r="L23" i="29"/>
  <c r="L24" i="29" s="1"/>
  <c r="L26" i="29" s="1"/>
  <c r="L28" i="29" s="1"/>
  <c r="L164" i="29"/>
  <c r="L166" i="29" s="1"/>
  <c r="L168" i="29" s="1"/>
  <c r="G69" i="25"/>
  <c r="G80" i="25" s="1"/>
  <c r="K312" i="30"/>
  <c r="K314" i="30" s="1"/>
  <c r="K316" i="30" s="1"/>
  <c r="K325" i="30" s="1"/>
  <c r="K113" i="30"/>
  <c r="K115" i="30" s="1"/>
  <c r="K117" i="30" s="1"/>
  <c r="K126" i="30" s="1"/>
  <c r="E136" i="29"/>
  <c r="E195" i="29"/>
  <c r="F206" i="30"/>
  <c r="W189" i="46"/>
  <c r="W53" i="46"/>
  <c r="W197" i="46"/>
  <c r="W43" i="46"/>
  <c r="W94" i="46"/>
  <c r="M225" i="46"/>
  <c r="M107" i="45" s="1"/>
  <c r="W110" i="46"/>
  <c r="W127" i="46"/>
  <c r="X127" i="46"/>
  <c r="W132" i="46"/>
  <c r="X132" i="46"/>
  <c r="W233" i="46"/>
  <c r="W173" i="46"/>
  <c r="W71" i="46"/>
  <c r="J49" i="15"/>
  <c r="J73" i="15" s="1"/>
  <c r="J86" i="15" s="1"/>
  <c r="J150" i="15" s="1"/>
  <c r="J163" i="15" s="1"/>
  <c r="J51" i="45"/>
  <c r="J75" i="45" s="1"/>
  <c r="J88" i="45" s="1"/>
  <c r="J152" i="45" s="1"/>
  <c r="J165" i="45" s="1"/>
  <c r="H15" i="10"/>
  <c r="Q19" i="19" s="1"/>
  <c r="E166" i="35"/>
  <c r="E24" i="35"/>
  <c r="K29" i="28"/>
  <c r="K31" i="28" s="1"/>
  <c r="K33" i="28" s="1"/>
  <c r="K42" i="28" s="1"/>
  <c r="I26" i="38"/>
  <c r="P24" i="38"/>
  <c r="I54" i="37"/>
  <c r="P52" i="37"/>
  <c r="K141" i="29"/>
  <c r="K143" i="29" s="1"/>
  <c r="K145" i="29" s="1"/>
  <c r="K154" i="29" s="1"/>
  <c r="K312" i="29"/>
  <c r="K314" i="29" s="1"/>
  <c r="K316" i="29" s="1"/>
  <c r="K325" i="29" s="1"/>
  <c r="G57" i="15"/>
  <c r="G81" i="15" s="1"/>
  <c r="G94" i="15" s="1"/>
  <c r="G158" i="15" s="1"/>
  <c r="G171" i="15" s="1"/>
  <c r="G50" i="15"/>
  <c r="G74" i="15" s="1"/>
  <c r="G87" i="15" s="1"/>
  <c r="G151" i="15" s="1"/>
  <c r="G164" i="15" s="1"/>
  <c r="O29" i="45"/>
  <c r="G50" i="43"/>
  <c r="G74" i="43" s="1"/>
  <c r="G87" i="43" s="1"/>
  <c r="G151" i="43" s="1"/>
  <c r="G164" i="43" s="1"/>
  <c r="G54" i="43"/>
  <c r="G78" i="43" s="1"/>
  <c r="G91" i="43" s="1"/>
  <c r="G155" i="43" s="1"/>
  <c r="G168" i="43" s="1"/>
  <c r="G58" i="45"/>
  <c r="G82" i="45" s="1"/>
  <c r="G95" i="45" s="1"/>
  <c r="E136" i="28"/>
  <c r="F318" i="28"/>
  <c r="E157" i="15"/>
  <c r="E170" i="15" s="1"/>
  <c r="J50" i="47"/>
  <c r="J74" i="47" s="1"/>
  <c r="J87" i="47" s="1"/>
  <c r="J151" i="47" s="1"/>
  <c r="J164" i="47" s="1"/>
  <c r="T17" i="9"/>
  <c r="J64" i="25"/>
  <c r="J75" i="25" s="1"/>
  <c r="J57" i="47"/>
  <c r="J81" i="47" s="1"/>
  <c r="J94" i="47" s="1"/>
  <c r="J158" i="47" s="1"/>
  <c r="J171" i="47" s="1"/>
  <c r="J50" i="43"/>
  <c r="J74" i="43" s="1"/>
  <c r="J87" i="43" s="1"/>
  <c r="J151" i="43" s="1"/>
  <c r="J164" i="43" s="1"/>
  <c r="J49" i="43"/>
  <c r="J73" i="43" s="1"/>
  <c r="J86" i="43" s="1"/>
  <c r="J150" i="43" s="1"/>
  <c r="J163" i="43" s="1"/>
  <c r="L146" i="43"/>
  <c r="D51" i="25"/>
  <c r="D58" i="25"/>
  <c r="D54" i="25"/>
  <c r="D55" i="25"/>
  <c r="D53" i="25"/>
  <c r="D56" i="25"/>
  <c r="D52" i="25"/>
  <c r="D57" i="25"/>
  <c r="K85" i="35"/>
  <c r="K87" i="35" s="1"/>
  <c r="K89" i="35" s="1"/>
  <c r="K98" i="35" s="1"/>
  <c r="K15" i="10"/>
  <c r="Z19" i="19" s="1"/>
  <c r="Z22" i="19" s="1"/>
  <c r="Z25" i="19" s="1"/>
  <c r="E251" i="30"/>
  <c r="L194" i="30"/>
  <c r="L195" i="30" s="1"/>
  <c r="L197" i="30" s="1"/>
  <c r="L199" i="30" s="1"/>
  <c r="L51" i="30"/>
  <c r="L52" i="30" s="1"/>
  <c r="L54" i="30" s="1"/>
  <c r="L56" i="30" s="1"/>
  <c r="L278" i="30"/>
  <c r="L279" i="30" s="1"/>
  <c r="L281" i="30" s="1"/>
  <c r="L283" i="30" s="1"/>
  <c r="L222" i="30"/>
  <c r="L223" i="30" s="1"/>
  <c r="L225" i="30" s="1"/>
  <c r="L227" i="30" s="1"/>
  <c r="L250" i="30"/>
  <c r="L251" i="30" s="1"/>
  <c r="L253" i="30" s="1"/>
  <c r="L255" i="30" s="1"/>
  <c r="L306" i="30"/>
  <c r="L307" i="30" s="1"/>
  <c r="L309" i="30" s="1"/>
  <c r="L311" i="30" s="1"/>
  <c r="L135" i="30"/>
  <c r="L136" i="30" s="1"/>
  <c r="L138" i="30" s="1"/>
  <c r="L140" i="30" s="1"/>
  <c r="L79" i="30"/>
  <c r="L80" i="30" s="1"/>
  <c r="L82" i="30" s="1"/>
  <c r="L84" i="30" s="1"/>
  <c r="L107" i="30"/>
  <c r="L108" i="30" s="1"/>
  <c r="L110" i="30" s="1"/>
  <c r="L112" i="30" s="1"/>
  <c r="L23" i="30"/>
  <c r="L24" i="30" s="1"/>
  <c r="L26" i="30" s="1"/>
  <c r="L28" i="30" s="1"/>
  <c r="L164" i="30"/>
  <c r="L166" i="30" s="1"/>
  <c r="L168" i="30" s="1"/>
  <c r="K38" i="43"/>
  <c r="K44" i="43"/>
  <c r="K39" i="43"/>
  <c r="K40" i="43"/>
  <c r="K42" i="43"/>
  <c r="K36" i="43"/>
  <c r="K43" i="43"/>
  <c r="K45" i="43"/>
  <c r="K46" i="43"/>
  <c r="K37" i="43"/>
  <c r="G68" i="25"/>
  <c r="G79" i="25" s="1"/>
  <c r="M284" i="38"/>
  <c r="M286" i="38" s="1"/>
  <c r="M288" i="38" s="1"/>
  <c r="M297" i="38" s="1"/>
  <c r="K169" i="30"/>
  <c r="K171" i="30" s="1"/>
  <c r="K173" i="30" s="1"/>
  <c r="K182" i="30" s="1"/>
  <c r="E108" i="29"/>
  <c r="D23" i="45"/>
  <c r="F290" i="30"/>
  <c r="F234" i="30"/>
  <c r="M54" i="39"/>
  <c r="P52" i="39"/>
  <c r="W194" i="46"/>
  <c r="M99" i="46"/>
  <c r="M101" i="45" s="1"/>
  <c r="W42" i="46"/>
  <c r="W44" i="46"/>
  <c r="W84" i="46"/>
  <c r="W172" i="46"/>
  <c r="W32" i="46"/>
  <c r="W31" i="46"/>
  <c r="W214" i="46"/>
  <c r="W45" i="46"/>
  <c r="J55" i="15"/>
  <c r="J79" i="15" s="1"/>
  <c r="J92" i="15" s="1"/>
  <c r="J156" i="15" s="1"/>
  <c r="J169" i="15" s="1"/>
  <c r="J57" i="45"/>
  <c r="J81" i="45" s="1"/>
  <c r="J94" i="45" s="1"/>
  <c r="J158" i="45" s="1"/>
  <c r="J171" i="45" s="1"/>
  <c r="K284" i="28"/>
  <c r="K286" i="28" s="1"/>
  <c r="K288" i="28" s="1"/>
  <c r="K297" i="28" s="1"/>
  <c r="F181" i="28"/>
  <c r="M213" i="42"/>
  <c r="M214" i="42"/>
  <c r="K200" i="29"/>
  <c r="K202" i="29" s="1"/>
  <c r="K204" i="29" s="1"/>
  <c r="K213" i="29" s="1"/>
  <c r="K113" i="29"/>
  <c r="K115" i="29" s="1"/>
  <c r="K117" i="29" s="1"/>
  <c r="K126" i="29" s="1"/>
  <c r="G59" i="15"/>
  <c r="G83" i="15" s="1"/>
  <c r="G96" i="15" s="1"/>
  <c r="G160" i="15" s="1"/>
  <c r="G173" i="15" s="1"/>
  <c r="M20" i="45"/>
  <c r="M21" i="45" s="1"/>
  <c r="M23" i="45" s="1"/>
  <c r="N23" i="34"/>
  <c r="N24" i="34" s="1"/>
  <c r="N26" i="34" s="1"/>
  <c r="N28" i="34" s="1"/>
  <c r="N163" i="29"/>
  <c r="N163" i="38"/>
  <c r="N164" i="38" s="1"/>
  <c r="N166" i="38" s="1"/>
  <c r="N168" i="38" s="1"/>
  <c r="M19" i="43"/>
  <c r="M20" i="43" s="1"/>
  <c r="M22" i="43" s="1"/>
  <c r="M20" i="15"/>
  <c r="M21" i="15" s="1"/>
  <c r="M23" i="15" s="1"/>
  <c r="M20" i="47"/>
  <c r="M21" i="47" s="1"/>
  <c r="M23" i="47" s="1"/>
  <c r="N163" i="39"/>
  <c r="N164" i="39" s="1"/>
  <c r="N166" i="39" s="1"/>
  <c r="N168" i="39" s="1"/>
  <c r="N156" i="25"/>
  <c r="N157" i="25" s="1"/>
  <c r="N159" i="25" s="1"/>
  <c r="N161" i="25" s="1"/>
  <c r="N10" i="10"/>
  <c r="N12" i="10" s="1"/>
  <c r="N163" i="35"/>
  <c r="N166" i="37"/>
  <c r="N167" i="37" s="1"/>
  <c r="N169" i="37" s="1"/>
  <c r="N171" i="37" s="1"/>
  <c r="N163" i="28"/>
  <c r="N163" i="30"/>
  <c r="P25" i="7"/>
  <c r="P27" i="7" s="1"/>
  <c r="G49" i="43"/>
  <c r="G73" i="43" s="1"/>
  <c r="G86" i="43" s="1"/>
  <c r="G150" i="43" s="1"/>
  <c r="G163" i="43" s="1"/>
  <c r="G57" i="45"/>
  <c r="G81" i="45" s="1"/>
  <c r="G94" i="45" s="1"/>
  <c r="G51" i="45"/>
  <c r="G75" i="45" s="1"/>
  <c r="G88" i="45" s="1"/>
  <c r="E24" i="28"/>
  <c r="F63" i="28"/>
  <c r="F290" i="39"/>
  <c r="F262" i="39"/>
  <c r="F234" i="39"/>
  <c r="F206" i="39"/>
  <c r="F181" i="39"/>
  <c r="F147" i="39"/>
  <c r="F35" i="39"/>
  <c r="F119" i="39"/>
  <c r="F91" i="39"/>
  <c r="F63" i="39"/>
  <c r="F318" i="39"/>
  <c r="J57" i="43"/>
  <c r="J81" i="43" s="1"/>
  <c r="J94" i="43" s="1"/>
  <c r="J158" i="43" s="1"/>
  <c r="J171" i="43" s="1"/>
  <c r="J58" i="47"/>
  <c r="J82" i="47" s="1"/>
  <c r="J95" i="47" s="1"/>
  <c r="J159" i="47" s="1"/>
  <c r="J172" i="47" s="1"/>
  <c r="J60" i="25"/>
  <c r="J71" i="25" s="1"/>
  <c r="J56" i="43"/>
  <c r="J80" i="43" s="1"/>
  <c r="J93" i="43" s="1"/>
  <c r="J157" i="43" s="1"/>
  <c r="J170" i="43" s="1"/>
  <c r="J52" i="43"/>
  <c r="J76" i="43" s="1"/>
  <c r="J89" i="43" s="1"/>
  <c r="J153" i="43" s="1"/>
  <c r="J166" i="43" s="1"/>
  <c r="K141" i="35"/>
  <c r="K143" i="35" s="1"/>
  <c r="K145" i="35" s="1"/>
  <c r="K154" i="35" s="1"/>
  <c r="I82" i="39"/>
  <c r="P80" i="39"/>
  <c r="E108" i="30"/>
  <c r="K46" i="47"/>
  <c r="K39" i="47"/>
  <c r="K47" i="47"/>
  <c r="K40" i="47"/>
  <c r="K41" i="47"/>
  <c r="K44" i="47"/>
  <c r="K37" i="47"/>
  <c r="K43" i="47"/>
  <c r="K45" i="47"/>
  <c r="K38" i="47"/>
  <c r="L169" i="38"/>
  <c r="L171" i="38" s="1"/>
  <c r="L173" i="38" s="1"/>
  <c r="L182" i="38" s="1"/>
  <c r="L184" i="38" s="1"/>
  <c r="G60" i="25"/>
  <c r="G71" i="25" s="1"/>
  <c r="G62" i="25"/>
  <c r="G73" i="25" s="1"/>
  <c r="K186" i="35"/>
  <c r="K187" i="37"/>
  <c r="K256" i="30"/>
  <c r="K258" i="30" s="1"/>
  <c r="K260" i="30" s="1"/>
  <c r="K269" i="30" s="1"/>
  <c r="F63" i="30"/>
  <c r="F35" i="30"/>
  <c r="W106" i="46"/>
  <c r="W176" i="46"/>
  <c r="W47" i="46"/>
  <c r="W136" i="46"/>
  <c r="X136" i="46"/>
  <c r="W129" i="46"/>
  <c r="X129" i="46"/>
  <c r="W156" i="46"/>
  <c r="W200" i="46"/>
  <c r="W221" i="46"/>
  <c r="W22" i="46"/>
  <c r="W95" i="46"/>
  <c r="W116" i="46"/>
  <c r="W196" i="46"/>
  <c r="L146" i="45"/>
  <c r="J50" i="15"/>
  <c r="J74" i="15" s="1"/>
  <c r="J87" i="15" s="1"/>
  <c r="J151" i="15" s="1"/>
  <c r="J164" i="15" s="1"/>
  <c r="J49" i="45"/>
  <c r="J73" i="45" s="1"/>
  <c r="J86" i="45" s="1"/>
  <c r="J150" i="45" s="1"/>
  <c r="J163" i="45" s="1"/>
  <c r="E251" i="35"/>
  <c r="E26" i="34"/>
  <c r="L140" i="45"/>
  <c r="K312" i="28"/>
  <c r="K314" i="28" s="1"/>
  <c r="K316" i="28" s="1"/>
  <c r="K325" i="28" s="1"/>
  <c r="L138" i="45"/>
  <c r="L145" i="45"/>
  <c r="K256" i="29"/>
  <c r="K258" i="29" s="1"/>
  <c r="K260" i="29" s="1"/>
  <c r="K269" i="29" s="1"/>
  <c r="K85" i="29"/>
  <c r="K87" i="29" s="1"/>
  <c r="K89" i="29" s="1"/>
  <c r="K98" i="29" s="1"/>
  <c r="G56" i="15"/>
  <c r="G80" i="15" s="1"/>
  <c r="G93" i="15" s="1"/>
  <c r="G157" i="15" s="1"/>
  <c r="G170" i="15" s="1"/>
  <c r="I281" i="39"/>
  <c r="P279" i="39"/>
  <c r="D23" i="15"/>
  <c r="E158" i="15"/>
  <c r="E171" i="15" s="1"/>
  <c r="G58" i="43"/>
  <c r="G82" i="43" s="1"/>
  <c r="G95" i="43" s="1"/>
  <c r="G159" i="43" s="1"/>
  <c r="G172" i="43" s="1"/>
  <c r="G55" i="45"/>
  <c r="G79" i="45" s="1"/>
  <c r="G92" i="45" s="1"/>
  <c r="G49" i="45"/>
  <c r="G73" i="45" s="1"/>
  <c r="G86" i="45" s="1"/>
  <c r="E223" i="28"/>
  <c r="F206" i="28"/>
  <c r="E149" i="43"/>
  <c r="E162" i="43" s="1"/>
  <c r="X135" i="46"/>
  <c r="J62" i="25"/>
  <c r="J73" i="25" s="1"/>
  <c r="J49" i="47"/>
  <c r="J73" i="47" s="1"/>
  <c r="J86" i="47" s="1"/>
  <c r="J150" i="47" s="1"/>
  <c r="J163" i="47" s="1"/>
  <c r="J65" i="25"/>
  <c r="J76" i="25" s="1"/>
  <c r="J55" i="47"/>
  <c r="J79" i="47" s="1"/>
  <c r="J92" i="47" s="1"/>
  <c r="J156" i="47" s="1"/>
  <c r="J169" i="47" s="1"/>
  <c r="J51" i="43"/>
  <c r="J75" i="43" s="1"/>
  <c r="J88" i="43" s="1"/>
  <c r="J152" i="43" s="1"/>
  <c r="J165" i="43" s="1"/>
  <c r="M196" i="42"/>
  <c r="M195" i="42"/>
  <c r="J43" i="24"/>
  <c r="J47" i="24" s="1"/>
  <c r="I110" i="38"/>
  <c r="P108" i="38"/>
  <c r="K312" i="35"/>
  <c r="K314" i="35" s="1"/>
  <c r="K316" i="35" s="1"/>
  <c r="K325" i="35" s="1"/>
  <c r="E24" i="30"/>
  <c r="L306" i="35"/>
  <c r="L307" i="35" s="1"/>
  <c r="L309" i="35" s="1"/>
  <c r="L311" i="35" s="1"/>
  <c r="L79" i="35"/>
  <c r="L80" i="35" s="1"/>
  <c r="L82" i="35" s="1"/>
  <c r="L84" i="35" s="1"/>
  <c r="L250" i="35"/>
  <c r="L251" i="35" s="1"/>
  <c r="L253" i="35" s="1"/>
  <c r="L255" i="35" s="1"/>
  <c r="L278" i="35"/>
  <c r="L279" i="35" s="1"/>
  <c r="L281" i="35" s="1"/>
  <c r="L283" i="35" s="1"/>
  <c r="L23" i="35"/>
  <c r="L24" i="35" s="1"/>
  <c r="L26" i="35" s="1"/>
  <c r="L28" i="35" s="1"/>
  <c r="L51" i="35"/>
  <c r="L52" i="35" s="1"/>
  <c r="L54" i="35" s="1"/>
  <c r="L56" i="35" s="1"/>
  <c r="L107" i="35"/>
  <c r="L108" i="35" s="1"/>
  <c r="L110" i="35" s="1"/>
  <c r="L112" i="35" s="1"/>
  <c r="L135" i="35"/>
  <c r="L136" i="35" s="1"/>
  <c r="L138" i="35" s="1"/>
  <c r="L140" i="35" s="1"/>
  <c r="L222" i="35"/>
  <c r="L223" i="35" s="1"/>
  <c r="L225" i="35" s="1"/>
  <c r="L227" i="35" s="1"/>
  <c r="L194" i="35"/>
  <c r="L195" i="35" s="1"/>
  <c r="L197" i="35" s="1"/>
  <c r="L199" i="35" s="1"/>
  <c r="L164" i="35"/>
  <c r="L166" i="35" s="1"/>
  <c r="L168" i="35" s="1"/>
  <c r="L162" i="25"/>
  <c r="L164" i="25" s="1"/>
  <c r="L166" i="25" s="1"/>
  <c r="G61" i="25"/>
  <c r="G72" i="25" s="1"/>
  <c r="G63" i="25"/>
  <c r="G74" i="25" s="1"/>
  <c r="E169" i="37"/>
  <c r="K57" i="30"/>
  <c r="K59" i="30" s="1"/>
  <c r="K61" i="30" s="1"/>
  <c r="K70" i="30" s="1"/>
  <c r="E223" i="29"/>
  <c r="N98" i="9"/>
  <c r="F318" i="30"/>
  <c r="F262" i="30"/>
  <c r="W151" i="46"/>
  <c r="W48" i="46"/>
  <c r="W210" i="46"/>
  <c r="W134" i="46"/>
  <c r="X134" i="46"/>
  <c r="W115" i="46"/>
  <c r="X115" i="46"/>
  <c r="W89" i="46"/>
  <c r="W211" i="46"/>
  <c r="W235" i="46"/>
  <c r="W73" i="46"/>
  <c r="W219" i="46"/>
  <c r="W63" i="46"/>
  <c r="W88" i="46"/>
  <c r="W178" i="46"/>
  <c r="J51" i="15"/>
  <c r="J75" i="15" s="1"/>
  <c r="J88" i="15" s="1"/>
  <c r="J152" i="15" s="1"/>
  <c r="J165" i="15" s="1"/>
  <c r="J53" i="15"/>
  <c r="J77" i="15" s="1"/>
  <c r="J90" i="15" s="1"/>
  <c r="J154" i="15" s="1"/>
  <c r="J167" i="15" s="1"/>
  <c r="J55" i="45"/>
  <c r="J79" i="45" s="1"/>
  <c r="J92" i="45" s="1"/>
  <c r="J156" i="45" s="1"/>
  <c r="J169" i="45" s="1"/>
  <c r="E307" i="35"/>
  <c r="F35" i="35"/>
  <c r="F91" i="35"/>
  <c r="F318" i="35"/>
  <c r="F63" i="35"/>
  <c r="F290" i="35"/>
  <c r="F234" i="35"/>
  <c r="F206" i="35"/>
  <c r="F147" i="35"/>
  <c r="F262" i="35"/>
  <c r="F119" i="35"/>
  <c r="F181" i="35"/>
  <c r="K147" i="43"/>
  <c r="K228" i="28"/>
  <c r="K230" i="28" s="1"/>
  <c r="K232" i="28" s="1"/>
  <c r="K241" i="28" s="1"/>
  <c r="K85" i="28"/>
  <c r="K87" i="28" s="1"/>
  <c r="K89" i="28" s="1"/>
  <c r="K98" i="28" s="1"/>
  <c r="G51" i="10"/>
  <c r="G52" i="10" s="1"/>
  <c r="F17" i="24" s="1"/>
  <c r="I141" i="37"/>
  <c r="P139" i="37"/>
  <c r="K228" i="29"/>
  <c r="K230" i="29" s="1"/>
  <c r="K232" i="29" s="1"/>
  <c r="K241" i="29" s="1"/>
  <c r="G58" i="15"/>
  <c r="G82" i="15" s="1"/>
  <c r="G95" i="15" s="1"/>
  <c r="G159" i="15" s="1"/>
  <c r="G172" i="15" s="1"/>
  <c r="M105" i="18"/>
  <c r="M109" i="18"/>
  <c r="G57" i="43"/>
  <c r="G81" i="43" s="1"/>
  <c r="G94" i="43" s="1"/>
  <c r="G158" i="43" s="1"/>
  <c r="G171" i="43" s="1"/>
  <c r="G52" i="45"/>
  <c r="G76" i="45" s="1"/>
  <c r="G89" i="45" s="1"/>
  <c r="E108" i="28"/>
  <c r="E166" i="28"/>
  <c r="J67" i="25"/>
  <c r="J78" i="25" s="1"/>
  <c r="L142" i="45"/>
  <c r="J55" i="43"/>
  <c r="J79" i="43" s="1"/>
  <c r="J92" i="43" s="1"/>
  <c r="J156" i="43" s="1"/>
  <c r="J169" i="43" s="1"/>
  <c r="J66" i="25"/>
  <c r="J77" i="25" s="1"/>
  <c r="J68" i="25"/>
  <c r="J79" i="25" s="1"/>
  <c r="J56" i="47"/>
  <c r="J80" i="47" s="1"/>
  <c r="J93" i="47" s="1"/>
  <c r="J157" i="47" s="1"/>
  <c r="J170" i="47" s="1"/>
  <c r="J58" i="43"/>
  <c r="J82" i="43" s="1"/>
  <c r="J95" i="43" s="1"/>
  <c r="J159" i="43" s="1"/>
  <c r="J172" i="43" s="1"/>
  <c r="L92" i="11"/>
  <c r="K95" i="11"/>
  <c r="L93" i="11"/>
  <c r="L117" i="11" s="1"/>
  <c r="K118" i="11"/>
  <c r="M166" i="37"/>
  <c r="M167" i="37" s="1"/>
  <c r="M169" i="37" s="1"/>
  <c r="M171" i="37" s="1"/>
  <c r="M163" i="29"/>
  <c r="M10" i="10"/>
  <c r="M12" i="10" s="1"/>
  <c r="L20" i="45"/>
  <c r="L21" i="45" s="1"/>
  <c r="L23" i="45" s="1"/>
  <c r="M163" i="28"/>
  <c r="M163" i="30"/>
  <c r="M156" i="25"/>
  <c r="M157" i="25" s="1"/>
  <c r="M159" i="25" s="1"/>
  <c r="M161" i="25" s="1"/>
  <c r="M163" i="39"/>
  <c r="M164" i="39" s="1"/>
  <c r="M166" i="39" s="1"/>
  <c r="M168" i="39" s="1"/>
  <c r="L19" i="43"/>
  <c r="L20" i="43" s="1"/>
  <c r="L22" i="43" s="1"/>
  <c r="L20" i="15"/>
  <c r="L21" i="15" s="1"/>
  <c r="L23" i="15" s="1"/>
  <c r="M23" i="34"/>
  <c r="M24" i="34" s="1"/>
  <c r="M26" i="34" s="1"/>
  <c r="M28" i="34" s="1"/>
  <c r="M163" i="38"/>
  <c r="M164" i="38" s="1"/>
  <c r="M166" i="38" s="1"/>
  <c r="M168" i="38" s="1"/>
  <c r="L20" i="47"/>
  <c r="L21" i="47" s="1"/>
  <c r="L23" i="47" s="1"/>
  <c r="O25" i="7"/>
  <c r="O27" i="7" s="1"/>
  <c r="O28" i="7" s="1"/>
  <c r="M163" i="35"/>
  <c r="K284" i="35"/>
  <c r="K286" i="35" s="1"/>
  <c r="K288" i="35" s="1"/>
  <c r="K297" i="35" s="1"/>
  <c r="K113" i="35"/>
  <c r="K115" i="35" s="1"/>
  <c r="K117" i="35" s="1"/>
  <c r="K126" i="35" s="1"/>
  <c r="E80" i="30"/>
  <c r="E307" i="30"/>
  <c r="L79" i="28"/>
  <c r="L80" i="28" s="1"/>
  <c r="L82" i="28" s="1"/>
  <c r="L84" i="28" s="1"/>
  <c r="L278" i="28"/>
  <c r="L279" i="28" s="1"/>
  <c r="L281" i="28" s="1"/>
  <c r="L283" i="28" s="1"/>
  <c r="L23" i="28"/>
  <c r="L24" i="28" s="1"/>
  <c r="L26" i="28" s="1"/>
  <c r="L28" i="28" s="1"/>
  <c r="L194" i="28"/>
  <c r="L195" i="28" s="1"/>
  <c r="L197" i="28" s="1"/>
  <c r="L199" i="28" s="1"/>
  <c r="L250" i="28"/>
  <c r="L251" i="28" s="1"/>
  <c r="L253" i="28" s="1"/>
  <c r="L255" i="28" s="1"/>
  <c r="L135" i="28"/>
  <c r="L136" i="28" s="1"/>
  <c r="L138" i="28" s="1"/>
  <c r="L140" i="28" s="1"/>
  <c r="L222" i="28"/>
  <c r="L223" i="28" s="1"/>
  <c r="L225" i="28" s="1"/>
  <c r="L227" i="28" s="1"/>
  <c r="L51" i="28"/>
  <c r="L52" i="28" s="1"/>
  <c r="L54" i="28" s="1"/>
  <c r="L56" i="28" s="1"/>
  <c r="L107" i="28"/>
  <c r="L108" i="28" s="1"/>
  <c r="L110" i="28" s="1"/>
  <c r="L112" i="28" s="1"/>
  <c r="L306" i="28"/>
  <c r="L307" i="28" s="1"/>
  <c r="L309" i="28" s="1"/>
  <c r="L311" i="28" s="1"/>
  <c r="L164" i="28"/>
  <c r="L166" i="28" s="1"/>
  <c r="L168" i="28" s="1"/>
  <c r="G67" i="25"/>
  <c r="G78" i="25" s="1"/>
  <c r="L104" i="18"/>
  <c r="M104" i="18" s="1"/>
  <c r="E156" i="43"/>
  <c r="E169" i="43" s="1"/>
  <c r="E159" i="15"/>
  <c r="E172" i="15" s="1"/>
  <c r="L182" i="48"/>
  <c r="L105" i="47" s="1"/>
  <c r="K29" i="30"/>
  <c r="K31" i="30" s="1"/>
  <c r="K33" i="30" s="1"/>
  <c r="K42" i="30" s="1"/>
  <c r="K43" i="28" s="1"/>
  <c r="E24" i="29"/>
  <c r="K25" i="7"/>
  <c r="K27" i="7" s="1"/>
  <c r="I163" i="35"/>
  <c r="I163" i="28"/>
  <c r="I166" i="37"/>
  <c r="I163" i="30"/>
  <c r="H20" i="45"/>
  <c r="I23" i="34"/>
  <c r="I163" i="29"/>
  <c r="I163" i="39"/>
  <c r="H19" i="43"/>
  <c r="H20" i="15"/>
  <c r="I156" i="25"/>
  <c r="I163" i="38"/>
  <c r="H20" i="47"/>
  <c r="I10" i="10"/>
  <c r="P9" i="10"/>
  <c r="F91" i="30"/>
  <c r="W64" i="46"/>
  <c r="W28" i="46"/>
  <c r="O33" i="45"/>
  <c r="W86" i="46"/>
  <c r="W27" i="46"/>
  <c r="W174" i="46"/>
  <c r="W232" i="46"/>
  <c r="X232" i="46"/>
  <c r="W107" i="46"/>
  <c r="X107" i="46"/>
  <c r="W49" i="46"/>
  <c r="W175" i="46"/>
  <c r="W198" i="46"/>
  <c r="W65" i="46"/>
  <c r="W191" i="46"/>
  <c r="W66" i="46"/>
  <c r="W168" i="46"/>
  <c r="O30" i="45"/>
  <c r="J52" i="15"/>
  <c r="J76" i="15" s="1"/>
  <c r="J89" i="15" s="1"/>
  <c r="J153" i="15" s="1"/>
  <c r="J166" i="15" s="1"/>
  <c r="J58" i="15"/>
  <c r="J82" i="15" s="1"/>
  <c r="J95" i="15" s="1"/>
  <c r="J159" i="15" s="1"/>
  <c r="J172" i="15" s="1"/>
  <c r="J58" i="45"/>
  <c r="J82" i="45" s="1"/>
  <c r="J95" i="45" s="1"/>
  <c r="J159" i="45" s="1"/>
  <c r="J172" i="45" s="1"/>
  <c r="E80" i="35"/>
  <c r="H106" i="18"/>
  <c r="I106" i="18" s="1"/>
  <c r="J106" i="18" s="1"/>
  <c r="K106" i="18" s="1"/>
  <c r="K113" i="28"/>
  <c r="K115" i="28" s="1"/>
  <c r="K117" i="28" s="1"/>
  <c r="K126" i="28" s="1"/>
  <c r="K169" i="28"/>
  <c r="K171" i="28" s="1"/>
  <c r="K173" i="28" s="1"/>
  <c r="K182" i="28" s="1"/>
  <c r="K184" i="28" s="1"/>
  <c r="E166" i="39"/>
  <c r="F206" i="38"/>
  <c r="F147" i="38"/>
  <c r="F119" i="38"/>
  <c r="F318" i="38"/>
  <c r="F63" i="38"/>
  <c r="F290" i="38"/>
  <c r="F35" i="38"/>
  <c r="F262" i="38"/>
  <c r="F234" i="38"/>
  <c r="F91" i="38"/>
  <c r="F181" i="38"/>
  <c r="K169" i="29"/>
  <c r="K171" i="29" s="1"/>
  <c r="K173" i="29" s="1"/>
  <c r="K182" i="29" s="1"/>
  <c r="K184" i="29" s="1"/>
  <c r="G55" i="15"/>
  <c r="G79" i="15" s="1"/>
  <c r="G92" i="15" s="1"/>
  <c r="G156" i="15" s="1"/>
  <c r="G169" i="15" s="1"/>
  <c r="G56" i="43"/>
  <c r="G80" i="43" s="1"/>
  <c r="G93" i="43" s="1"/>
  <c r="G157" i="43" s="1"/>
  <c r="G170" i="43" s="1"/>
  <c r="G50" i="45"/>
  <c r="G74" i="45" s="1"/>
  <c r="G87" i="45" s="1"/>
  <c r="E195" i="28"/>
  <c r="E80" i="28"/>
  <c r="F262" i="28"/>
  <c r="F35" i="28"/>
  <c r="E150" i="15"/>
  <c r="E163" i="15" s="1"/>
  <c r="E158" i="43"/>
  <c r="E171" i="43" s="1"/>
  <c r="E153" i="43"/>
  <c r="E166" i="43" s="1"/>
  <c r="K228" i="35"/>
  <c r="K230" i="35" s="1"/>
  <c r="K232" i="35" s="1"/>
  <c r="K241" i="35" s="1"/>
  <c r="E52" i="30"/>
  <c r="E223" i="30"/>
  <c r="L14" i="10"/>
  <c r="J76" i="26"/>
  <c r="J85" i="26"/>
  <c r="L169" i="39"/>
  <c r="L171" i="39" s="1"/>
  <c r="L173" i="39" s="1"/>
  <c r="L182" i="39" s="1"/>
  <c r="L184" i="39" s="1"/>
  <c r="G64" i="25"/>
  <c r="G75" i="25" s="1"/>
  <c r="E152" i="15"/>
  <c r="E165" i="15" s="1"/>
  <c r="E159" i="25"/>
  <c r="K141" i="30"/>
  <c r="K143" i="30" s="1"/>
  <c r="K145" i="30" s="1"/>
  <c r="K154" i="30" s="1"/>
  <c r="E52" i="29"/>
  <c r="E80" i="29"/>
  <c r="P279" i="38"/>
  <c r="F119" i="30"/>
  <c r="W212" i="46"/>
  <c r="W131" i="46"/>
  <c r="X131" i="46"/>
  <c r="W109" i="46"/>
  <c r="W46" i="46"/>
  <c r="W25" i="46"/>
  <c r="W190" i="46"/>
  <c r="W21" i="46"/>
  <c r="J59" i="15"/>
  <c r="J83" i="15" s="1"/>
  <c r="J96" i="15" s="1"/>
  <c r="J160" i="15" s="1"/>
  <c r="J173" i="15" s="1"/>
  <c r="J59" i="45"/>
  <c r="J83" i="45" s="1"/>
  <c r="J96" i="45" s="1"/>
  <c r="J160" i="45" s="1"/>
  <c r="J173" i="45" s="1"/>
  <c r="J52" i="45"/>
  <c r="J76" i="45" s="1"/>
  <c r="J89" i="45" s="1"/>
  <c r="J153" i="45" s="1"/>
  <c r="J166" i="45" s="1"/>
  <c r="E136" i="35"/>
  <c r="E195" i="35"/>
  <c r="K141" i="28"/>
  <c r="K143" i="28" s="1"/>
  <c r="K145" i="28" s="1"/>
  <c r="K154" i="28" s="1"/>
  <c r="K57" i="28"/>
  <c r="K59" i="28" s="1"/>
  <c r="K61" i="28" s="1"/>
  <c r="K70" i="28" s="1"/>
  <c r="X126" i="46"/>
  <c r="K284" i="29"/>
  <c r="K286" i="29" s="1"/>
  <c r="K288" i="29" s="1"/>
  <c r="K297" i="29" s="1"/>
  <c r="G53" i="15"/>
  <c r="G77" i="15" s="1"/>
  <c r="G90" i="15" s="1"/>
  <c r="G154" i="15" s="1"/>
  <c r="G167" i="15" s="1"/>
  <c r="I28" i="7"/>
  <c r="H30" i="7"/>
  <c r="H34" i="7" s="1"/>
  <c r="H35" i="7" s="1"/>
  <c r="F209" i="37"/>
  <c r="F91" i="37"/>
  <c r="F63" i="37"/>
  <c r="F122" i="37"/>
  <c r="F293" i="37"/>
  <c r="F150" i="37"/>
  <c r="F35" i="37"/>
  <c r="F265" i="37"/>
  <c r="F237" i="37"/>
  <c r="F321" i="37"/>
  <c r="F184" i="37"/>
  <c r="G48" i="43"/>
  <c r="G72" i="43" s="1"/>
  <c r="G85" i="43" s="1"/>
  <c r="G149" i="43" s="1"/>
  <c r="G162" i="43" s="1"/>
  <c r="G56" i="45"/>
  <c r="G80" i="45" s="1"/>
  <c r="G93" i="45" s="1"/>
  <c r="E251" i="28"/>
  <c r="F119" i="28"/>
  <c r="F234" i="28"/>
  <c r="E160" i="15"/>
  <c r="E173" i="15" s="1"/>
  <c r="E152" i="43"/>
  <c r="E165" i="43" s="1"/>
  <c r="K256" i="35"/>
  <c r="K258" i="35" s="1"/>
  <c r="K260" i="35" s="1"/>
  <c r="K269" i="35" s="1"/>
  <c r="J63" i="25"/>
  <c r="J74" i="25" s="1"/>
  <c r="J52" i="47"/>
  <c r="J76" i="47" s="1"/>
  <c r="J89" i="47" s="1"/>
  <c r="J153" i="47" s="1"/>
  <c r="J166" i="47" s="1"/>
  <c r="J54" i="43"/>
  <c r="J78" i="43" s="1"/>
  <c r="J91" i="43" s="1"/>
  <c r="J155" i="43" s="1"/>
  <c r="J168" i="43" s="1"/>
  <c r="L105" i="18"/>
  <c r="L109" i="18"/>
  <c r="M225" i="39"/>
  <c r="P223" i="39"/>
  <c r="L139" i="45"/>
  <c r="K29" i="35"/>
  <c r="K31" i="35" s="1"/>
  <c r="K33" i="35" s="1"/>
  <c r="K42" i="35" s="1"/>
  <c r="K57" i="35"/>
  <c r="K59" i="35" s="1"/>
  <c r="K61" i="35" s="1"/>
  <c r="K70" i="35" s="1"/>
  <c r="M20" i="41"/>
  <c r="N20" i="41" s="1"/>
  <c r="M24" i="41"/>
  <c r="N24" i="41" s="1"/>
  <c r="M27" i="41"/>
  <c r="N27" i="41" s="1"/>
  <c r="M41" i="41"/>
  <c r="N41" i="41" s="1"/>
  <c r="M63" i="41"/>
  <c r="N63" i="41" s="1"/>
  <c r="M92" i="41"/>
  <c r="N92" i="41" s="1"/>
  <c r="M132" i="41"/>
  <c r="N132" i="41" s="1"/>
  <c r="M154" i="41"/>
  <c r="N154" i="41" s="1"/>
  <c r="M200" i="41"/>
  <c r="N200" i="41" s="1"/>
  <c r="M44" i="41"/>
  <c r="N44" i="41" s="1"/>
  <c r="M66" i="41"/>
  <c r="N66" i="41" s="1"/>
  <c r="M95" i="41"/>
  <c r="N95" i="41" s="1"/>
  <c r="M113" i="41"/>
  <c r="N113" i="41" s="1"/>
  <c r="M207" i="41"/>
  <c r="N207" i="41" s="1"/>
  <c r="M42" i="41"/>
  <c r="N42" i="41" s="1"/>
  <c r="M98" i="41"/>
  <c r="N98" i="41" s="1"/>
  <c r="M138" i="41"/>
  <c r="N138" i="41" s="1"/>
  <c r="M166" i="41"/>
  <c r="N166" i="41" s="1"/>
  <c r="M206" i="41"/>
  <c r="N206" i="41" s="1"/>
  <c r="M48" i="41"/>
  <c r="N48" i="41" s="1"/>
  <c r="M74" i="41"/>
  <c r="N74" i="41" s="1"/>
  <c r="M97" i="41"/>
  <c r="N97" i="41" s="1"/>
  <c r="M114" i="41"/>
  <c r="N114" i="41" s="1"/>
  <c r="M129" i="41"/>
  <c r="N129" i="41" s="1"/>
  <c r="M151" i="41"/>
  <c r="N151" i="41" s="1"/>
  <c r="M173" i="41"/>
  <c r="N173" i="41" s="1"/>
  <c r="M188" i="41"/>
  <c r="N188" i="41" s="1"/>
  <c r="M205" i="41"/>
  <c r="N205" i="41" s="1"/>
  <c r="M60" i="41"/>
  <c r="N60" i="41" s="1"/>
  <c r="M131" i="41"/>
  <c r="N131" i="41" s="1"/>
  <c r="M153" i="41"/>
  <c r="N153" i="41" s="1"/>
  <c r="M175" i="41"/>
  <c r="N175" i="41" s="1"/>
  <c r="M189" i="41"/>
  <c r="N189" i="41" s="1"/>
  <c r="M30" i="41"/>
  <c r="N30" i="41" s="1"/>
  <c r="M22" i="41"/>
  <c r="N22" i="41" s="1"/>
  <c r="M25" i="41"/>
  <c r="N25" i="41" s="1"/>
  <c r="M45" i="41"/>
  <c r="N45" i="41" s="1"/>
  <c r="M67" i="41"/>
  <c r="N67" i="41" s="1"/>
  <c r="M96" i="41"/>
  <c r="N96" i="41" s="1"/>
  <c r="M136" i="41"/>
  <c r="N136" i="41" s="1"/>
  <c r="M164" i="41"/>
  <c r="N164" i="41" s="1"/>
  <c r="M204" i="41"/>
  <c r="N204" i="41" s="1"/>
  <c r="M47" i="41"/>
  <c r="N47" i="41" s="1"/>
  <c r="M82" i="41"/>
  <c r="N82" i="41" s="1"/>
  <c r="M99" i="41"/>
  <c r="N99" i="41" s="1"/>
  <c r="M115" i="41"/>
  <c r="N115" i="41" s="1"/>
  <c r="M211" i="41"/>
  <c r="N211" i="41" s="1"/>
  <c r="M33" i="41"/>
  <c r="M98" i="15" s="1"/>
  <c r="M138" i="15" s="1"/>
  <c r="M56" i="41"/>
  <c r="N56" i="41" s="1"/>
  <c r="M102" i="41"/>
  <c r="N102" i="41" s="1"/>
  <c r="M148" i="41"/>
  <c r="N148" i="41" s="1"/>
  <c r="M170" i="41"/>
  <c r="N170" i="41" s="1"/>
  <c r="M210" i="41"/>
  <c r="N210" i="41" s="1"/>
  <c r="M57" i="41"/>
  <c r="N57" i="41" s="1"/>
  <c r="M75" i="41"/>
  <c r="N75" i="41" s="1"/>
  <c r="M101" i="41"/>
  <c r="N101" i="41" s="1"/>
  <c r="M116" i="41"/>
  <c r="N116" i="41" s="1"/>
  <c r="M133" i="41"/>
  <c r="N133" i="41" s="1"/>
  <c r="M155" i="41"/>
  <c r="N155" i="41" s="1"/>
  <c r="M182" i="41"/>
  <c r="N182" i="41" s="1"/>
  <c r="M190" i="41"/>
  <c r="N190" i="41" s="1"/>
  <c r="M209" i="41"/>
  <c r="N209" i="41" s="1"/>
  <c r="M78" i="41"/>
  <c r="N78" i="41" s="1"/>
  <c r="M135" i="41"/>
  <c r="N135" i="41" s="1"/>
  <c r="M157" i="41"/>
  <c r="N157" i="41" s="1"/>
  <c r="M183" i="41"/>
  <c r="N183" i="41" s="1"/>
  <c r="M191" i="41"/>
  <c r="N191" i="41" s="1"/>
  <c r="M28" i="41"/>
  <c r="N28" i="41" s="1"/>
  <c r="M31" i="41"/>
  <c r="N31" i="41" s="1"/>
  <c r="M23" i="41"/>
  <c r="N23" i="41" s="1"/>
  <c r="M49" i="41"/>
  <c r="N49" i="41" s="1"/>
  <c r="M77" i="41"/>
  <c r="N77" i="41" s="1"/>
  <c r="M79" i="41"/>
  <c r="N79" i="41" s="1"/>
  <c r="M100" i="41"/>
  <c r="N100" i="41" s="1"/>
  <c r="M146" i="41"/>
  <c r="N146" i="41" s="1"/>
  <c r="M168" i="41"/>
  <c r="N168" i="41" s="1"/>
  <c r="M208" i="41"/>
  <c r="N208" i="41" s="1"/>
  <c r="M58" i="41"/>
  <c r="N58" i="41" s="1"/>
  <c r="M83" i="41"/>
  <c r="N83" i="41" s="1"/>
  <c r="M103" i="41"/>
  <c r="N103" i="41" s="1"/>
  <c r="M117" i="41"/>
  <c r="N117" i="41" s="1"/>
  <c r="M193" i="41"/>
  <c r="N193" i="41" s="1"/>
  <c r="M64" i="41"/>
  <c r="N64" i="41" s="1"/>
  <c r="M130" i="41"/>
  <c r="N130" i="41" s="1"/>
  <c r="M152" i="41"/>
  <c r="N152" i="41" s="1"/>
  <c r="M174" i="41"/>
  <c r="N174" i="41" s="1"/>
  <c r="M40" i="41"/>
  <c r="N40" i="41" s="1"/>
  <c r="M62" i="41"/>
  <c r="N62" i="41" s="1"/>
  <c r="M76" i="41"/>
  <c r="N76" i="41" s="1"/>
  <c r="M110" i="41"/>
  <c r="N110" i="41" s="1"/>
  <c r="M118" i="41"/>
  <c r="N118" i="41" s="1"/>
  <c r="M137" i="41"/>
  <c r="N137" i="41" s="1"/>
  <c r="M165" i="41"/>
  <c r="N165" i="41" s="1"/>
  <c r="M184" i="41"/>
  <c r="N184" i="41" s="1"/>
  <c r="M192" i="41"/>
  <c r="N192" i="41" s="1"/>
  <c r="M38" i="41"/>
  <c r="N38" i="41" s="1"/>
  <c r="M119" i="41"/>
  <c r="N119" i="41" s="1"/>
  <c r="M139" i="41"/>
  <c r="N139" i="41" s="1"/>
  <c r="M167" i="41"/>
  <c r="N167" i="41" s="1"/>
  <c r="M185" i="41"/>
  <c r="N185" i="41" s="1"/>
  <c r="M32" i="41"/>
  <c r="M25" i="15" s="1"/>
  <c r="O25" i="15" s="1"/>
  <c r="M26" i="41"/>
  <c r="N26" i="41" s="1"/>
  <c r="M29" i="41"/>
  <c r="N29" i="41" s="1"/>
  <c r="M21" i="41"/>
  <c r="N21" i="41" s="1"/>
  <c r="M59" i="41"/>
  <c r="N59" i="41" s="1"/>
  <c r="M81" i="41"/>
  <c r="N81" i="41" s="1"/>
  <c r="M80" i="41"/>
  <c r="N80" i="41" s="1"/>
  <c r="M128" i="41"/>
  <c r="N128" i="41" s="1"/>
  <c r="M150" i="41"/>
  <c r="N150" i="41" s="1"/>
  <c r="M172" i="41"/>
  <c r="N172" i="41" s="1"/>
  <c r="M39" i="41"/>
  <c r="N39" i="41" s="1"/>
  <c r="M61" i="41"/>
  <c r="N61" i="41" s="1"/>
  <c r="M84" i="41"/>
  <c r="N84" i="41" s="1"/>
  <c r="M111" i="41"/>
  <c r="N111" i="41" s="1"/>
  <c r="M203" i="41"/>
  <c r="N203" i="41" s="1"/>
  <c r="M85" i="41"/>
  <c r="N85" i="41" s="1"/>
  <c r="M94" i="41"/>
  <c r="N94" i="41" s="1"/>
  <c r="M134" i="41"/>
  <c r="N134" i="41" s="1"/>
  <c r="M156" i="41"/>
  <c r="N156" i="41" s="1"/>
  <c r="M202" i="41"/>
  <c r="N202" i="41" s="1"/>
  <c r="M43" i="41"/>
  <c r="N43" i="41" s="1"/>
  <c r="M65" i="41"/>
  <c r="N65" i="41" s="1"/>
  <c r="M93" i="41"/>
  <c r="N93" i="41" s="1"/>
  <c r="M112" i="41"/>
  <c r="N112" i="41" s="1"/>
  <c r="M120" i="41"/>
  <c r="N120" i="41" s="1"/>
  <c r="M147" i="41"/>
  <c r="N147" i="41" s="1"/>
  <c r="M169" i="41"/>
  <c r="N169" i="41" s="1"/>
  <c r="M186" i="41"/>
  <c r="N186" i="41" s="1"/>
  <c r="M201" i="41"/>
  <c r="N201" i="41" s="1"/>
  <c r="M46" i="41"/>
  <c r="N46" i="41" s="1"/>
  <c r="M121" i="41"/>
  <c r="N121" i="41" s="1"/>
  <c r="M149" i="41"/>
  <c r="N149" i="41" s="1"/>
  <c r="M171" i="41"/>
  <c r="N171" i="41" s="1"/>
  <c r="M187" i="41"/>
  <c r="N187" i="41" s="1"/>
  <c r="E279" i="30"/>
  <c r="E195" i="30"/>
  <c r="L172" i="37"/>
  <c r="L174" i="37" s="1"/>
  <c r="L176" i="37" s="1"/>
  <c r="L185" i="37" s="1"/>
  <c r="L29" i="34"/>
  <c r="L31" i="34" s="1"/>
  <c r="L33" i="34" s="1"/>
  <c r="L42" i="34" s="1"/>
  <c r="L44" i="34" s="1"/>
  <c r="G66" i="25"/>
  <c r="G77" i="25" s="1"/>
  <c r="K284" i="30"/>
  <c r="K286" i="30" s="1"/>
  <c r="K288" i="30" s="1"/>
  <c r="K297" i="30" s="1"/>
  <c r="K85" i="30"/>
  <c r="K87" i="30" s="1"/>
  <c r="K89" i="30" s="1"/>
  <c r="K98" i="30" s="1"/>
  <c r="I197" i="39"/>
  <c r="P195" i="39"/>
  <c r="E166" i="29"/>
  <c r="E279" i="29"/>
  <c r="F147" i="30"/>
  <c r="W169" i="46"/>
  <c r="W51" i="46"/>
  <c r="W195" i="46"/>
  <c r="W67" i="46"/>
  <c r="W108" i="46"/>
  <c r="W236" i="46"/>
  <c r="V221" i="48"/>
  <c r="V179" i="48"/>
  <c r="M182" i="48" s="1"/>
  <c r="M105" i="47" s="1"/>
  <c r="M145" i="47" s="1"/>
  <c r="V137" i="48"/>
  <c r="M140" i="48" s="1"/>
  <c r="M103" i="47" s="1"/>
  <c r="V53" i="48"/>
  <c r="M141" i="46"/>
  <c r="M103" i="45" s="1"/>
  <c r="V95" i="48"/>
  <c r="M98" i="48" s="1"/>
  <c r="M101" i="47" s="1"/>
  <c r="M141" i="47" s="1"/>
  <c r="V116" i="48"/>
  <c r="V200" i="48"/>
  <c r="V158" i="48"/>
  <c r="V32" i="48"/>
  <c r="V74" i="48"/>
  <c r="V242" i="48"/>
  <c r="M245" i="48" s="1"/>
  <c r="M108" i="47" s="1"/>
  <c r="X138" i="46"/>
  <c r="N141" i="46" s="1"/>
  <c r="L148" i="45"/>
  <c r="J56" i="15"/>
  <c r="J80" i="15" s="1"/>
  <c r="J93" i="15" s="1"/>
  <c r="J157" i="15" s="1"/>
  <c r="J170" i="15" s="1"/>
  <c r="J56" i="45"/>
  <c r="J80" i="45" s="1"/>
  <c r="J93" i="45" s="1"/>
  <c r="J157" i="45" s="1"/>
  <c r="J170" i="45" s="1"/>
  <c r="J50" i="45"/>
  <c r="J74" i="45" s="1"/>
  <c r="J87" i="45" s="1"/>
  <c r="J151" i="45" s="1"/>
  <c r="J164" i="45" s="1"/>
  <c r="E279" i="35"/>
  <c r="E223" i="35"/>
  <c r="M253" i="39"/>
  <c r="P251" i="39"/>
  <c r="K200" i="28"/>
  <c r="K202" i="28" s="1"/>
  <c r="K204" i="28" s="1"/>
  <c r="K213" i="28" s="1"/>
  <c r="C76" i="26"/>
  <c r="E14" i="10"/>
  <c r="C85" i="26"/>
  <c r="K57" i="29"/>
  <c r="K59" i="29" s="1"/>
  <c r="K61" i="29" s="1"/>
  <c r="K70" i="29" s="1"/>
  <c r="E151" i="15"/>
  <c r="E164" i="15" s="1"/>
  <c r="G52" i="15"/>
  <c r="G76" i="15" s="1"/>
  <c r="G89" i="15" s="1"/>
  <c r="G153" i="15" s="1"/>
  <c r="G166" i="15" s="1"/>
  <c r="G55" i="43"/>
  <c r="G79" i="43" s="1"/>
  <c r="G92" i="43" s="1"/>
  <c r="G156" i="43" s="1"/>
  <c r="G169" i="43" s="1"/>
  <c r="G59" i="45"/>
  <c r="G83" i="45" s="1"/>
  <c r="G96" i="45" s="1"/>
  <c r="G160" i="45" s="1"/>
  <c r="G173" i="45" s="1"/>
  <c r="E52" i="28"/>
  <c r="E307" i="28"/>
  <c r="F290" i="28"/>
  <c r="F91" i="28"/>
  <c r="X240" i="46"/>
  <c r="X73" i="46" l="1"/>
  <c r="X23" i="46"/>
  <c r="X151" i="46"/>
  <c r="X212" i="46"/>
  <c r="G152" i="45"/>
  <c r="G165" i="45" s="1"/>
  <c r="G153" i="45"/>
  <c r="G166" i="45" s="1"/>
  <c r="O70" i="45"/>
  <c r="D71" i="45"/>
  <c r="O71" i="45" s="1"/>
  <c r="O70" i="47"/>
  <c r="D71" i="47"/>
  <c r="O71" i="47" s="1"/>
  <c r="D70" i="43"/>
  <c r="O70" i="43" s="1"/>
  <c r="O69" i="43"/>
  <c r="H46" i="48"/>
  <c r="I46" i="48" s="1"/>
  <c r="F47" i="48"/>
  <c r="G47" i="48" s="1"/>
  <c r="Q22" i="19"/>
  <c r="Q25" i="19" s="1"/>
  <c r="H42" i="48"/>
  <c r="I42" i="48" s="1"/>
  <c r="J45" i="48"/>
  <c r="K45" i="48" s="1"/>
  <c r="G151" i="45"/>
  <c r="G164" i="45" s="1"/>
  <c r="G154" i="45"/>
  <c r="G167" i="45" s="1"/>
  <c r="J46" i="48"/>
  <c r="K46" i="48" s="1"/>
  <c r="H51" i="48"/>
  <c r="I51" i="48" s="1"/>
  <c r="J52" i="48"/>
  <c r="K52" i="48" s="1"/>
  <c r="X178" i="46"/>
  <c r="G17" i="10"/>
  <c r="F16" i="26" s="1"/>
  <c r="L41" i="48"/>
  <c r="M41" i="48" s="1"/>
  <c r="J44" i="48"/>
  <c r="K44" i="48" s="1"/>
  <c r="L47" i="48"/>
  <c r="M47" i="48" s="1"/>
  <c r="J41" i="48"/>
  <c r="K41" i="48" s="1"/>
  <c r="H48" i="48"/>
  <c r="I48" i="48" s="1"/>
  <c r="L42" i="48"/>
  <c r="M42" i="48" s="1"/>
  <c r="X147" i="46"/>
  <c r="X173" i="46"/>
  <c r="D141" i="16"/>
  <c r="D142" i="16" s="1"/>
  <c r="D143" i="16" s="1"/>
  <c r="E139" i="16" s="1"/>
  <c r="E141" i="16" s="1"/>
  <c r="X177" i="46"/>
  <c r="D50" i="25"/>
  <c r="G158" i="45"/>
  <c r="G171" i="45" s="1"/>
  <c r="X67" i="46"/>
  <c r="X195" i="46"/>
  <c r="O108" i="11"/>
  <c r="N111" i="11"/>
  <c r="O107" i="11" s="1"/>
  <c r="O109" i="11"/>
  <c r="O110" i="11" s="1"/>
  <c r="O111" i="11" s="1"/>
  <c r="G157" i="45"/>
  <c r="G170" i="45" s="1"/>
  <c r="X176" i="46"/>
  <c r="G159" i="45"/>
  <c r="G172" i="45" s="1"/>
  <c r="X24" i="46"/>
  <c r="F41" i="48"/>
  <c r="G41" i="48" s="1"/>
  <c r="X113" i="46"/>
  <c r="G150" i="45"/>
  <c r="G163" i="45" s="1"/>
  <c r="X217" i="46"/>
  <c r="X105" i="46"/>
  <c r="F45" i="48"/>
  <c r="G45" i="48" s="1"/>
  <c r="X52" i="46"/>
  <c r="X171" i="46"/>
  <c r="G156" i="45"/>
  <c r="G169" i="45" s="1"/>
  <c r="X106" i="46"/>
  <c r="N22" i="19"/>
  <c r="N25" i="19" s="1"/>
  <c r="O105" i="45"/>
  <c r="X70" i="46"/>
  <c r="X25" i="46"/>
  <c r="X65" i="46"/>
  <c r="X43" i="46"/>
  <c r="X235" i="46"/>
  <c r="X68" i="46"/>
  <c r="X84" i="46"/>
  <c r="X237" i="46"/>
  <c r="X51" i="46"/>
  <c r="O108" i="45"/>
  <c r="O103" i="45"/>
  <c r="X190" i="46"/>
  <c r="X192" i="46"/>
  <c r="X191" i="46"/>
  <c r="X193" i="46"/>
  <c r="O100" i="45"/>
  <c r="X116" i="46"/>
  <c r="X200" i="46"/>
  <c r="X47" i="46"/>
  <c r="X75" i="46"/>
  <c r="N78" i="46" s="1"/>
  <c r="X31" i="46"/>
  <c r="X42" i="46"/>
  <c r="X94" i="46"/>
  <c r="X189" i="46"/>
  <c r="X90" i="46"/>
  <c r="X91" i="46"/>
  <c r="X156" i="46"/>
  <c r="X152" i="46"/>
  <c r="X28" i="46"/>
  <c r="X179" i="46"/>
  <c r="X95" i="46"/>
  <c r="X216" i="46"/>
  <c r="X114" i="46"/>
  <c r="X88" i="46"/>
  <c r="X112" i="46"/>
  <c r="X242" i="46"/>
  <c r="X46" i="46"/>
  <c r="X236" i="46"/>
  <c r="X243" i="46"/>
  <c r="N246" i="46" s="1"/>
  <c r="X175" i="46"/>
  <c r="X174" i="46"/>
  <c r="X64" i="46"/>
  <c r="X63" i="46"/>
  <c r="X211" i="46"/>
  <c r="X210" i="46"/>
  <c r="O98" i="45"/>
  <c r="X33" i="46"/>
  <c r="N36" i="46" s="1"/>
  <c r="X110" i="46"/>
  <c r="X30" i="46"/>
  <c r="X159" i="46"/>
  <c r="N162" i="46" s="1"/>
  <c r="X220" i="46"/>
  <c r="X28" i="48"/>
  <c r="X197" i="46"/>
  <c r="O99" i="45"/>
  <c r="X21" i="46"/>
  <c r="X109" i="46"/>
  <c r="X66" i="46"/>
  <c r="X221" i="46"/>
  <c r="X214" i="46"/>
  <c r="X44" i="46"/>
  <c r="X53" i="46"/>
  <c r="X238" i="46"/>
  <c r="X111" i="46"/>
  <c r="X153" i="46"/>
  <c r="X154" i="46"/>
  <c r="X22" i="46"/>
  <c r="X45" i="46"/>
  <c r="X213" i="46"/>
  <c r="X108" i="46"/>
  <c r="X169" i="46"/>
  <c r="X157" i="46"/>
  <c r="X49" i="46"/>
  <c r="X27" i="46"/>
  <c r="X219" i="46"/>
  <c r="X89" i="46"/>
  <c r="X48" i="46"/>
  <c r="X155" i="46"/>
  <c r="X218" i="46"/>
  <c r="X150" i="46"/>
  <c r="X158" i="46"/>
  <c r="F49" i="48"/>
  <c r="G49" i="48" s="1"/>
  <c r="D162" i="16"/>
  <c r="D163" i="16" s="1"/>
  <c r="E159" i="16" s="1"/>
  <c r="E160" i="16" s="1"/>
  <c r="D102" i="16"/>
  <c r="D103" i="16" s="1"/>
  <c r="E99" i="16" s="1"/>
  <c r="E100" i="16" s="1"/>
  <c r="X231" i="46"/>
  <c r="X168" i="46"/>
  <c r="X198" i="46"/>
  <c r="D62" i="16"/>
  <c r="D63" i="16" s="1"/>
  <c r="E59" i="16" s="1"/>
  <c r="E60" i="16" s="1"/>
  <c r="X194" i="46"/>
  <c r="X148" i="46"/>
  <c r="O106" i="45"/>
  <c r="D222" i="16"/>
  <c r="D223" i="16" s="1"/>
  <c r="E219" i="16" s="1"/>
  <c r="E221" i="16" s="1"/>
  <c r="X71" i="46"/>
  <c r="D49" i="48"/>
  <c r="E49" i="48" s="1"/>
  <c r="L45" i="48"/>
  <c r="M45" i="48" s="1"/>
  <c r="D48" i="48"/>
  <c r="E48" i="48" s="1"/>
  <c r="J49" i="48"/>
  <c r="K49" i="48" s="1"/>
  <c r="L51" i="48"/>
  <c r="M51" i="48" s="1"/>
  <c r="X93" i="46"/>
  <c r="X92" i="46"/>
  <c r="D44" i="48"/>
  <c r="E44" i="48" s="1"/>
  <c r="D46" i="48"/>
  <c r="E46" i="48" s="1"/>
  <c r="X74" i="46"/>
  <c r="X215" i="46"/>
  <c r="X29" i="48"/>
  <c r="D181" i="16"/>
  <c r="D182" i="16" s="1"/>
  <c r="D183" i="16" s="1"/>
  <c r="E179" i="16" s="1"/>
  <c r="X69" i="46"/>
  <c r="X54" i="46"/>
  <c r="N57" i="46" s="1"/>
  <c r="X32" i="46"/>
  <c r="X199" i="46"/>
  <c r="L48" i="48"/>
  <c r="M48" i="48" s="1"/>
  <c r="X149" i="46"/>
  <c r="H45" i="48"/>
  <c r="I45" i="48" s="1"/>
  <c r="H47" i="48"/>
  <c r="I47" i="48" s="1"/>
  <c r="L44" i="48"/>
  <c r="M44" i="48" s="1"/>
  <c r="J43" i="48"/>
  <c r="K43" i="48" s="1"/>
  <c r="D42" i="48"/>
  <c r="E42" i="48" s="1"/>
  <c r="E20" i="16"/>
  <c r="E22" i="16" s="1"/>
  <c r="E23" i="16" s="1"/>
  <c r="F19" i="16" s="1"/>
  <c r="F20" i="16" s="1"/>
  <c r="F22" i="16" s="1"/>
  <c r="E41" i="48"/>
  <c r="D120" i="46"/>
  <c r="D102" i="45" s="1"/>
  <c r="X117" i="46"/>
  <c r="N120" i="46" s="1"/>
  <c r="I118" i="39"/>
  <c r="I146" i="39"/>
  <c r="I261" i="39"/>
  <c r="I289" i="39"/>
  <c r="I62" i="39"/>
  <c r="I205" i="39"/>
  <c r="I233" i="39"/>
  <c r="I317" i="39"/>
  <c r="I90" i="39"/>
  <c r="I34" i="39"/>
  <c r="G118" i="35"/>
  <c r="G289" i="35"/>
  <c r="G261" i="35"/>
  <c r="G205" i="35"/>
  <c r="G62" i="35"/>
  <c r="G90" i="35"/>
  <c r="G233" i="35"/>
  <c r="G181" i="35"/>
  <c r="G317" i="35"/>
  <c r="G146" i="35"/>
  <c r="G34" i="35"/>
  <c r="G226" i="30"/>
  <c r="G227" i="30" s="1"/>
  <c r="G228" i="30" s="1"/>
  <c r="G230" i="30" s="1"/>
  <c r="G232" i="30" s="1"/>
  <c r="G55" i="30"/>
  <c r="G56" i="30" s="1"/>
  <c r="G57" i="30" s="1"/>
  <c r="G59" i="30" s="1"/>
  <c r="G61" i="30" s="1"/>
  <c r="G198" i="30"/>
  <c r="G199" i="30" s="1"/>
  <c r="G200" i="30" s="1"/>
  <c r="G202" i="30" s="1"/>
  <c r="G204" i="30" s="1"/>
  <c r="G310" i="30"/>
  <c r="G311" i="30" s="1"/>
  <c r="G312" i="30" s="1"/>
  <c r="G314" i="30" s="1"/>
  <c r="G316" i="30" s="1"/>
  <c r="G27" i="30"/>
  <c r="G28" i="30" s="1"/>
  <c r="G29" i="30" s="1"/>
  <c r="G31" i="30" s="1"/>
  <c r="G33" i="30" s="1"/>
  <c r="G139" i="30"/>
  <c r="G140" i="30" s="1"/>
  <c r="G141" i="30" s="1"/>
  <c r="G143" i="30" s="1"/>
  <c r="G145" i="30" s="1"/>
  <c r="G111" i="30"/>
  <c r="G112" i="30" s="1"/>
  <c r="G113" i="30" s="1"/>
  <c r="G115" i="30" s="1"/>
  <c r="G117" i="30" s="1"/>
  <c r="G83" i="30"/>
  <c r="G84" i="30" s="1"/>
  <c r="G85" i="30" s="1"/>
  <c r="G87" i="30" s="1"/>
  <c r="G89" i="30" s="1"/>
  <c r="G254" i="30"/>
  <c r="G255" i="30" s="1"/>
  <c r="G256" i="30" s="1"/>
  <c r="G258" i="30" s="1"/>
  <c r="G260" i="30" s="1"/>
  <c r="G282" i="30"/>
  <c r="G283" i="30" s="1"/>
  <c r="G284" i="30" s="1"/>
  <c r="G286" i="30" s="1"/>
  <c r="G288" i="30" s="1"/>
  <c r="G168" i="30"/>
  <c r="G169" i="30" s="1"/>
  <c r="G171" i="30" s="1"/>
  <c r="G173" i="30" s="1"/>
  <c r="F15" i="10"/>
  <c r="K19" i="19" s="1"/>
  <c r="K22" i="19" s="1"/>
  <c r="K25" i="19" s="1"/>
  <c r="F226" i="35"/>
  <c r="F227" i="35" s="1"/>
  <c r="F228" i="35" s="1"/>
  <c r="F230" i="35" s="1"/>
  <c r="F232" i="35" s="1"/>
  <c r="F139" i="35"/>
  <c r="F140" i="35" s="1"/>
  <c r="F141" i="35" s="1"/>
  <c r="F143" i="35" s="1"/>
  <c r="F145" i="35" s="1"/>
  <c r="F282" i="35"/>
  <c r="F283" i="35" s="1"/>
  <c r="F284" i="35" s="1"/>
  <c r="F286" i="35" s="1"/>
  <c r="F288" i="35" s="1"/>
  <c r="F27" i="35"/>
  <c r="F28" i="35" s="1"/>
  <c r="F29" i="35" s="1"/>
  <c r="F31" i="35" s="1"/>
  <c r="F33" i="35" s="1"/>
  <c r="F55" i="35"/>
  <c r="F56" i="35" s="1"/>
  <c r="F57" i="35" s="1"/>
  <c r="F59" i="35" s="1"/>
  <c r="F61" i="35" s="1"/>
  <c r="F83" i="35"/>
  <c r="F84" i="35" s="1"/>
  <c r="F85" i="35" s="1"/>
  <c r="F87" i="35" s="1"/>
  <c r="F89" i="35" s="1"/>
  <c r="F111" i="35"/>
  <c r="F112" i="35" s="1"/>
  <c r="F113" i="35" s="1"/>
  <c r="F115" i="35" s="1"/>
  <c r="F117" i="35" s="1"/>
  <c r="F310" i="35"/>
  <c r="F311" i="35" s="1"/>
  <c r="F312" i="35" s="1"/>
  <c r="F314" i="35" s="1"/>
  <c r="F316" i="35" s="1"/>
  <c r="F254" i="35"/>
  <c r="F255" i="35" s="1"/>
  <c r="F256" i="35" s="1"/>
  <c r="F258" i="35" s="1"/>
  <c r="F260" i="35" s="1"/>
  <c r="F198" i="35"/>
  <c r="F199" i="35" s="1"/>
  <c r="F200" i="35" s="1"/>
  <c r="F202" i="35" s="1"/>
  <c r="F204" i="35" s="1"/>
  <c r="F168" i="35"/>
  <c r="F169" i="35" s="1"/>
  <c r="F171" i="35" s="1"/>
  <c r="F173" i="35" s="1"/>
  <c r="F182" i="35" s="1"/>
  <c r="F184" i="35" s="1"/>
  <c r="F34" i="28"/>
  <c r="F233" i="28"/>
  <c r="F240" i="28" s="1"/>
  <c r="F261" i="28"/>
  <c r="F268" i="28" s="1"/>
  <c r="F118" i="28"/>
  <c r="F317" i="28"/>
  <c r="F90" i="28"/>
  <c r="F97" i="28" s="1"/>
  <c r="F205" i="28"/>
  <c r="F289" i="28"/>
  <c r="F146" i="28"/>
  <c r="F153" i="28" s="1"/>
  <c r="F62" i="28"/>
  <c r="F69" i="28" s="1"/>
  <c r="O101" i="43"/>
  <c r="H254" i="29"/>
  <c r="H255" i="29" s="1"/>
  <c r="H256" i="29" s="1"/>
  <c r="H258" i="29" s="1"/>
  <c r="H260" i="29" s="1"/>
  <c r="H310" i="29"/>
  <c r="H311" i="29" s="1"/>
  <c r="H312" i="29" s="1"/>
  <c r="H314" i="29" s="1"/>
  <c r="H316" i="29" s="1"/>
  <c r="H111" i="29"/>
  <c r="H112" i="29" s="1"/>
  <c r="H113" i="29" s="1"/>
  <c r="H115" i="29" s="1"/>
  <c r="H117" i="29" s="1"/>
  <c r="H198" i="29"/>
  <c r="H199" i="29" s="1"/>
  <c r="H200" i="29" s="1"/>
  <c r="H202" i="29" s="1"/>
  <c r="H204" i="29" s="1"/>
  <c r="H83" i="29"/>
  <c r="H84" i="29" s="1"/>
  <c r="H85" i="29" s="1"/>
  <c r="H87" i="29" s="1"/>
  <c r="H89" i="29" s="1"/>
  <c r="H282" i="29"/>
  <c r="H283" i="29" s="1"/>
  <c r="H284" i="29" s="1"/>
  <c r="H286" i="29" s="1"/>
  <c r="H288" i="29" s="1"/>
  <c r="H226" i="29"/>
  <c r="H227" i="29" s="1"/>
  <c r="H228" i="29" s="1"/>
  <c r="H230" i="29" s="1"/>
  <c r="H232" i="29" s="1"/>
  <c r="H139" i="29"/>
  <c r="H140" i="29" s="1"/>
  <c r="H141" i="29" s="1"/>
  <c r="H143" i="29" s="1"/>
  <c r="H145" i="29" s="1"/>
  <c r="H27" i="29"/>
  <c r="H28" i="29" s="1"/>
  <c r="H29" i="29" s="1"/>
  <c r="H31" i="29" s="1"/>
  <c r="H33" i="29" s="1"/>
  <c r="H55" i="29"/>
  <c r="H56" i="29" s="1"/>
  <c r="H57" i="29" s="1"/>
  <c r="H59" i="29" s="1"/>
  <c r="H61" i="29" s="1"/>
  <c r="P160" i="25"/>
  <c r="E261" i="28"/>
  <c r="E146" i="28"/>
  <c r="E205" i="28"/>
  <c r="E34" i="28"/>
  <c r="E118" i="28"/>
  <c r="E289" i="28"/>
  <c r="E233" i="28"/>
  <c r="E62" i="28"/>
  <c r="E317" i="28"/>
  <c r="E90" i="28"/>
  <c r="P174" i="28"/>
  <c r="E52" i="48"/>
  <c r="I34" i="37"/>
  <c r="I149" i="37"/>
  <c r="I208" i="37"/>
  <c r="I121" i="37"/>
  <c r="I292" i="37"/>
  <c r="I236" i="37"/>
  <c r="I320" i="37"/>
  <c r="I264" i="37"/>
  <c r="I90" i="37"/>
  <c r="I62" i="37"/>
  <c r="I27" i="37"/>
  <c r="I28" i="37" s="1"/>
  <c r="I29" i="37" s="1"/>
  <c r="I31" i="37" s="1"/>
  <c r="I33" i="37" s="1"/>
  <c r="I142" i="37"/>
  <c r="I143" i="37" s="1"/>
  <c r="I83" i="37"/>
  <c r="I84" i="37" s="1"/>
  <c r="I85" i="37" s="1"/>
  <c r="I87" i="37" s="1"/>
  <c r="I89" i="37" s="1"/>
  <c r="I55" i="37"/>
  <c r="I56" i="37" s="1"/>
  <c r="I313" i="37"/>
  <c r="I314" i="37" s="1"/>
  <c r="I315" i="37" s="1"/>
  <c r="I317" i="37" s="1"/>
  <c r="I319" i="37" s="1"/>
  <c r="I229" i="37"/>
  <c r="I230" i="37" s="1"/>
  <c r="I231" i="37" s="1"/>
  <c r="I233" i="37" s="1"/>
  <c r="I235" i="37" s="1"/>
  <c r="I285" i="37"/>
  <c r="I286" i="37" s="1"/>
  <c r="I287" i="37" s="1"/>
  <c r="I289" i="37" s="1"/>
  <c r="I291" i="37" s="1"/>
  <c r="I201" i="37"/>
  <c r="I202" i="37" s="1"/>
  <c r="I203" i="37" s="1"/>
  <c r="I205" i="37" s="1"/>
  <c r="I207" i="37" s="1"/>
  <c r="I114" i="37"/>
  <c r="I115" i="37" s="1"/>
  <c r="I116" i="37" s="1"/>
  <c r="I118" i="37" s="1"/>
  <c r="I120" i="37" s="1"/>
  <c r="I257" i="37"/>
  <c r="I258" i="37" s="1"/>
  <c r="I259" i="37" s="1"/>
  <c r="I261" i="37" s="1"/>
  <c r="I263" i="37" s="1"/>
  <c r="G205" i="38"/>
  <c r="G289" i="38"/>
  <c r="G261" i="38"/>
  <c r="G317" i="38"/>
  <c r="G34" i="38"/>
  <c r="G118" i="38"/>
  <c r="G90" i="38"/>
  <c r="G233" i="38"/>
  <c r="G62" i="38"/>
  <c r="G146" i="38"/>
  <c r="G181" i="38"/>
  <c r="O98" i="43"/>
  <c r="G285" i="37"/>
  <c r="G286" i="37" s="1"/>
  <c r="G287" i="37" s="1"/>
  <c r="G289" i="37" s="1"/>
  <c r="G291" i="37" s="1"/>
  <c r="G142" i="37"/>
  <c r="G143" i="37" s="1"/>
  <c r="G144" i="37" s="1"/>
  <c r="G146" i="37" s="1"/>
  <c r="G148" i="37" s="1"/>
  <c r="G114" i="37"/>
  <c r="G115" i="37" s="1"/>
  <c r="G116" i="37" s="1"/>
  <c r="G118" i="37" s="1"/>
  <c r="G120" i="37" s="1"/>
  <c r="G27" i="37"/>
  <c r="G28" i="37" s="1"/>
  <c r="G29" i="37" s="1"/>
  <c r="G31" i="37" s="1"/>
  <c r="G33" i="37" s="1"/>
  <c r="G83" i="37"/>
  <c r="G84" i="37" s="1"/>
  <c r="G85" i="37" s="1"/>
  <c r="G87" i="37" s="1"/>
  <c r="G89" i="37" s="1"/>
  <c r="G257" i="37"/>
  <c r="G258" i="37" s="1"/>
  <c r="G259" i="37" s="1"/>
  <c r="G261" i="37" s="1"/>
  <c r="G263" i="37" s="1"/>
  <c r="G229" i="37"/>
  <c r="G230" i="37" s="1"/>
  <c r="G231" i="37" s="1"/>
  <c r="G233" i="37" s="1"/>
  <c r="G235" i="37" s="1"/>
  <c r="G201" i="37"/>
  <c r="G202" i="37" s="1"/>
  <c r="G203" i="37" s="1"/>
  <c r="G205" i="37" s="1"/>
  <c r="G207" i="37" s="1"/>
  <c r="G55" i="37"/>
  <c r="G56" i="37" s="1"/>
  <c r="G57" i="37" s="1"/>
  <c r="G59" i="37" s="1"/>
  <c r="G61" i="37" s="1"/>
  <c r="G313" i="37"/>
  <c r="G314" i="37" s="1"/>
  <c r="G315" i="37" s="1"/>
  <c r="G317" i="37" s="1"/>
  <c r="G319" i="37" s="1"/>
  <c r="G171" i="37"/>
  <c r="G172" i="37" s="1"/>
  <c r="G174" i="37" s="1"/>
  <c r="G176" i="37" s="1"/>
  <c r="F27" i="39"/>
  <c r="F28" i="39" s="1"/>
  <c r="F29" i="39" s="1"/>
  <c r="F31" i="39" s="1"/>
  <c r="F33" i="39" s="1"/>
  <c r="F310" i="39"/>
  <c r="F311" i="39" s="1"/>
  <c r="F312" i="39" s="1"/>
  <c r="F314" i="39" s="1"/>
  <c r="F316" i="39" s="1"/>
  <c r="F55" i="39"/>
  <c r="F56" i="39" s="1"/>
  <c r="F57" i="39" s="1"/>
  <c r="F59" i="39" s="1"/>
  <c r="F61" i="39" s="1"/>
  <c r="F254" i="39"/>
  <c r="F255" i="39" s="1"/>
  <c r="F256" i="39" s="1"/>
  <c r="F258" i="39" s="1"/>
  <c r="F260" i="39" s="1"/>
  <c r="F83" i="39"/>
  <c r="F84" i="39" s="1"/>
  <c r="F85" i="39" s="1"/>
  <c r="F87" i="39" s="1"/>
  <c r="F89" i="39" s="1"/>
  <c r="F198" i="39"/>
  <c r="F199" i="39" s="1"/>
  <c r="F200" i="39" s="1"/>
  <c r="F202" i="39" s="1"/>
  <c r="F204" i="39" s="1"/>
  <c r="F282" i="39"/>
  <c r="F283" i="39" s="1"/>
  <c r="F284" i="39" s="1"/>
  <c r="F286" i="39" s="1"/>
  <c r="F288" i="39" s="1"/>
  <c r="F226" i="39"/>
  <c r="F227" i="39" s="1"/>
  <c r="F228" i="39" s="1"/>
  <c r="F230" i="39" s="1"/>
  <c r="F232" i="39" s="1"/>
  <c r="F139" i="39"/>
  <c r="F140" i="39" s="1"/>
  <c r="F141" i="39" s="1"/>
  <c r="F143" i="39" s="1"/>
  <c r="F145" i="39" s="1"/>
  <c r="F111" i="39"/>
  <c r="F112" i="39" s="1"/>
  <c r="F113" i="39" s="1"/>
  <c r="F115" i="39" s="1"/>
  <c r="F117" i="39" s="1"/>
  <c r="F168" i="39"/>
  <c r="F169" i="39" s="1"/>
  <c r="F171" i="39" s="1"/>
  <c r="F173" i="39" s="1"/>
  <c r="F182" i="39" s="1"/>
  <c r="F184" i="39" s="1"/>
  <c r="H121" i="37"/>
  <c r="H208" i="37"/>
  <c r="H320" i="37"/>
  <c r="H292" i="37"/>
  <c r="H90" i="37"/>
  <c r="H236" i="37"/>
  <c r="H62" i="37"/>
  <c r="H264" i="37"/>
  <c r="H34" i="37"/>
  <c r="H149" i="37"/>
  <c r="H184" i="37"/>
  <c r="F192" i="25"/>
  <c r="F203" i="25" s="1"/>
  <c r="F215" i="25" s="1"/>
  <c r="F188" i="25"/>
  <c r="F199" i="25" s="1"/>
  <c r="F211" i="25" s="1"/>
  <c r="F186" i="25"/>
  <c r="F197" i="25" s="1"/>
  <c r="F209" i="25" s="1"/>
  <c r="F190" i="25"/>
  <c r="F201" i="25" s="1"/>
  <c r="F213" i="25" s="1"/>
  <c r="F187" i="25"/>
  <c r="F198" i="25" s="1"/>
  <c r="F210" i="25" s="1"/>
  <c r="F191" i="25"/>
  <c r="F202" i="25" s="1"/>
  <c r="F214" i="25" s="1"/>
  <c r="F185" i="25"/>
  <c r="F196" i="25" s="1"/>
  <c r="F208" i="25" s="1"/>
  <c r="F193" i="25"/>
  <c r="F204" i="25" s="1"/>
  <c r="F216" i="25" s="1"/>
  <c r="F194" i="25"/>
  <c r="F205" i="25" s="1"/>
  <c r="F217" i="25" s="1"/>
  <c r="F189" i="25"/>
  <c r="F200" i="25" s="1"/>
  <c r="F212" i="25" s="1"/>
  <c r="O99" i="43"/>
  <c r="E21" i="48"/>
  <c r="X21" i="48" s="1"/>
  <c r="Q167" i="39"/>
  <c r="Q167" i="38"/>
  <c r="Q167" i="30"/>
  <c r="Q167" i="28"/>
  <c r="E62" i="35"/>
  <c r="E289" i="35"/>
  <c r="E146" i="35"/>
  <c r="E233" i="35"/>
  <c r="E118" i="35"/>
  <c r="E317" i="35"/>
  <c r="E205" i="35"/>
  <c r="E261" i="35"/>
  <c r="E34" i="35"/>
  <c r="E90" i="35"/>
  <c r="P174" i="35"/>
  <c r="O106" i="15"/>
  <c r="X87" i="46"/>
  <c r="X20" i="48"/>
  <c r="F46" i="48"/>
  <c r="G46" i="48" s="1"/>
  <c r="L43" i="48"/>
  <c r="M43" i="48" s="1"/>
  <c r="H44" i="48"/>
  <c r="I44" i="48" s="1"/>
  <c r="I261" i="29"/>
  <c r="I90" i="29"/>
  <c r="I146" i="29"/>
  <c r="I233" i="29"/>
  <c r="I34" i="29"/>
  <c r="I317" i="29"/>
  <c r="I62" i="29"/>
  <c r="I118" i="29"/>
  <c r="I205" i="29"/>
  <c r="I289" i="29"/>
  <c r="I83" i="39"/>
  <c r="I84" i="39" s="1"/>
  <c r="I27" i="39"/>
  <c r="I28" i="39" s="1"/>
  <c r="I29" i="39" s="1"/>
  <c r="I31" i="39" s="1"/>
  <c r="I33" i="39" s="1"/>
  <c r="I111" i="39"/>
  <c r="I112" i="39" s="1"/>
  <c r="I113" i="39" s="1"/>
  <c r="I115" i="39" s="1"/>
  <c r="I117" i="39" s="1"/>
  <c r="I254" i="39"/>
  <c r="I255" i="39" s="1"/>
  <c r="I256" i="39" s="1"/>
  <c r="I258" i="39" s="1"/>
  <c r="I260" i="39" s="1"/>
  <c r="I310" i="39"/>
  <c r="I311" i="39" s="1"/>
  <c r="I312" i="39" s="1"/>
  <c r="I314" i="39" s="1"/>
  <c r="I316" i="39" s="1"/>
  <c r="I198" i="39"/>
  <c r="I55" i="39"/>
  <c r="I56" i="39" s="1"/>
  <c r="I57" i="39" s="1"/>
  <c r="I59" i="39" s="1"/>
  <c r="I61" i="39" s="1"/>
  <c r="I282" i="39"/>
  <c r="I283" i="39" s="1"/>
  <c r="I139" i="39"/>
  <c r="I140" i="39" s="1"/>
  <c r="I226" i="39"/>
  <c r="I227" i="39" s="1"/>
  <c r="I228" i="39" s="1"/>
  <c r="I230" i="39" s="1"/>
  <c r="I232" i="39" s="1"/>
  <c r="E31" i="48"/>
  <c r="X31" i="48" s="1"/>
  <c r="G187" i="25"/>
  <c r="G198" i="25" s="1"/>
  <c r="G210" i="25" s="1"/>
  <c r="G190" i="25"/>
  <c r="G201" i="25" s="1"/>
  <c r="G213" i="25" s="1"/>
  <c r="G188" i="25"/>
  <c r="G199" i="25" s="1"/>
  <c r="G211" i="25" s="1"/>
  <c r="G186" i="25"/>
  <c r="G197" i="25" s="1"/>
  <c r="G209" i="25" s="1"/>
  <c r="G191" i="25"/>
  <c r="G185" i="25"/>
  <c r="G196" i="25" s="1"/>
  <c r="G208" i="25" s="1"/>
  <c r="G194" i="25"/>
  <c r="G205" i="25" s="1"/>
  <c r="G217" i="25" s="1"/>
  <c r="G193" i="25"/>
  <c r="G204" i="25" s="1"/>
  <c r="G216" i="25" s="1"/>
  <c r="G189" i="25"/>
  <c r="G200" i="25" s="1"/>
  <c r="G212" i="25" s="1"/>
  <c r="G192" i="25"/>
  <c r="G203" i="25" s="1"/>
  <c r="G215" i="25" s="1"/>
  <c r="E27" i="48"/>
  <c r="X27" i="48" s="1"/>
  <c r="G226" i="38"/>
  <c r="G227" i="38" s="1"/>
  <c r="G228" i="38" s="1"/>
  <c r="G230" i="38" s="1"/>
  <c r="G232" i="38" s="1"/>
  <c r="G27" i="38"/>
  <c r="G28" i="38" s="1"/>
  <c r="G29" i="38" s="1"/>
  <c r="G31" i="38" s="1"/>
  <c r="G33" i="38" s="1"/>
  <c r="G198" i="38"/>
  <c r="G199" i="38" s="1"/>
  <c r="G200" i="38" s="1"/>
  <c r="G202" i="38" s="1"/>
  <c r="G204" i="38" s="1"/>
  <c r="G139" i="38"/>
  <c r="G140" i="38" s="1"/>
  <c r="G141" i="38" s="1"/>
  <c r="G143" i="38" s="1"/>
  <c r="G145" i="38" s="1"/>
  <c r="G111" i="38"/>
  <c r="G112" i="38" s="1"/>
  <c r="G113" i="38" s="1"/>
  <c r="G115" i="38" s="1"/>
  <c r="G117" i="38" s="1"/>
  <c r="G83" i="38"/>
  <c r="G84" i="38" s="1"/>
  <c r="G85" i="38" s="1"/>
  <c r="G87" i="38" s="1"/>
  <c r="G89" i="38" s="1"/>
  <c r="G310" i="38"/>
  <c r="G311" i="38" s="1"/>
  <c r="G312" i="38" s="1"/>
  <c r="G314" i="38" s="1"/>
  <c r="G316" i="38" s="1"/>
  <c r="G55" i="38"/>
  <c r="G56" i="38" s="1"/>
  <c r="G57" i="38" s="1"/>
  <c r="G59" i="38" s="1"/>
  <c r="G61" i="38" s="1"/>
  <c r="G254" i="38"/>
  <c r="G255" i="38" s="1"/>
  <c r="G256" i="38" s="1"/>
  <c r="G258" i="38" s="1"/>
  <c r="G260" i="38" s="1"/>
  <c r="G282" i="38"/>
  <c r="G283" i="38" s="1"/>
  <c r="G284" i="38" s="1"/>
  <c r="G286" i="38" s="1"/>
  <c r="G288" i="38" s="1"/>
  <c r="G168" i="38"/>
  <c r="G169" i="38" s="1"/>
  <c r="G171" i="38" s="1"/>
  <c r="G173" i="38" s="1"/>
  <c r="D201" i="16"/>
  <c r="D200" i="16"/>
  <c r="H233" i="35"/>
  <c r="H34" i="35"/>
  <c r="H261" i="35"/>
  <c r="H317" i="35"/>
  <c r="H146" i="35"/>
  <c r="H118" i="35"/>
  <c r="H62" i="35"/>
  <c r="H205" i="35"/>
  <c r="H90" i="35"/>
  <c r="H289" i="35"/>
  <c r="H181" i="35"/>
  <c r="H182" i="35" s="1"/>
  <c r="H184" i="35" s="1"/>
  <c r="H233" i="39"/>
  <c r="H261" i="39"/>
  <c r="H90" i="39"/>
  <c r="H34" i="39"/>
  <c r="H205" i="39"/>
  <c r="H146" i="39"/>
  <c r="H317" i="39"/>
  <c r="H289" i="39"/>
  <c r="H62" i="39"/>
  <c r="H118" i="39"/>
  <c r="H181" i="39"/>
  <c r="F261" i="35"/>
  <c r="F90" i="35"/>
  <c r="F205" i="35"/>
  <c r="F34" i="35"/>
  <c r="F62" i="35"/>
  <c r="F289" i="35"/>
  <c r="F146" i="35"/>
  <c r="F118" i="35"/>
  <c r="F233" i="35"/>
  <c r="F317" i="35"/>
  <c r="E26" i="48"/>
  <c r="X26" i="48" s="1"/>
  <c r="H27" i="28"/>
  <c r="H28" i="28" s="1"/>
  <c r="H29" i="28" s="1"/>
  <c r="H31" i="28" s="1"/>
  <c r="H33" i="28" s="1"/>
  <c r="H139" i="28"/>
  <c r="H140" i="28" s="1"/>
  <c r="H141" i="28" s="1"/>
  <c r="H143" i="28" s="1"/>
  <c r="H145" i="28" s="1"/>
  <c r="H226" i="28"/>
  <c r="H227" i="28" s="1"/>
  <c r="H228" i="28" s="1"/>
  <c r="H230" i="28" s="1"/>
  <c r="H232" i="28" s="1"/>
  <c r="H282" i="28"/>
  <c r="H283" i="28" s="1"/>
  <c r="H284" i="28" s="1"/>
  <c r="H286" i="28" s="1"/>
  <c r="H288" i="28" s="1"/>
  <c r="H83" i="28"/>
  <c r="H84" i="28" s="1"/>
  <c r="H85" i="28" s="1"/>
  <c r="H87" i="28" s="1"/>
  <c r="H89" i="28" s="1"/>
  <c r="H198" i="28"/>
  <c r="H199" i="28" s="1"/>
  <c r="H200" i="28" s="1"/>
  <c r="H202" i="28" s="1"/>
  <c r="H204" i="28" s="1"/>
  <c r="H111" i="28"/>
  <c r="H112" i="28" s="1"/>
  <c r="H113" i="28" s="1"/>
  <c r="H115" i="28" s="1"/>
  <c r="H117" i="28" s="1"/>
  <c r="H310" i="28"/>
  <c r="H311" i="28" s="1"/>
  <c r="H312" i="28" s="1"/>
  <c r="H314" i="28" s="1"/>
  <c r="H316" i="28" s="1"/>
  <c r="H254" i="28"/>
  <c r="H255" i="28" s="1"/>
  <c r="H256" i="28" s="1"/>
  <c r="H258" i="28" s="1"/>
  <c r="H260" i="28" s="1"/>
  <c r="H55" i="28"/>
  <c r="H56" i="28" s="1"/>
  <c r="H57" i="28" s="1"/>
  <c r="H59" i="28" s="1"/>
  <c r="H61" i="28" s="1"/>
  <c r="E285" i="37"/>
  <c r="E313" i="37"/>
  <c r="E142" i="37"/>
  <c r="E257" i="37"/>
  <c r="E201" i="37"/>
  <c r="E114" i="37"/>
  <c r="E229" i="37"/>
  <c r="E55" i="37"/>
  <c r="E83" i="37"/>
  <c r="P170" i="37"/>
  <c r="E27" i="37"/>
  <c r="O103" i="43"/>
  <c r="H168" i="28"/>
  <c r="H169" i="28" s="1"/>
  <c r="H171" i="28" s="1"/>
  <c r="H173" i="28" s="1"/>
  <c r="H182" i="28" s="1"/>
  <c r="H184" i="28" s="1"/>
  <c r="E289" i="30"/>
  <c r="E34" i="30"/>
  <c r="E62" i="30"/>
  <c r="E118" i="30"/>
  <c r="E205" i="30"/>
  <c r="E90" i="30"/>
  <c r="E261" i="30"/>
  <c r="E146" i="30"/>
  <c r="E233" i="30"/>
  <c r="E317" i="30"/>
  <c r="P174" i="30"/>
  <c r="B84" i="48"/>
  <c r="B85" i="48" s="1"/>
  <c r="B87" i="48"/>
  <c r="C9" i="48"/>
  <c r="E23" i="48"/>
  <c r="X23" i="48" s="1"/>
  <c r="I62" i="38"/>
  <c r="I205" i="38"/>
  <c r="I289" i="38"/>
  <c r="I317" i="38"/>
  <c r="I118" i="38"/>
  <c r="I146" i="38"/>
  <c r="I90" i="38"/>
  <c r="I261" i="38"/>
  <c r="I233" i="38"/>
  <c r="I34" i="38"/>
  <c r="O100" i="43"/>
  <c r="I139" i="38"/>
  <c r="I140" i="38" s="1"/>
  <c r="I141" i="38" s="1"/>
  <c r="I143" i="38" s="1"/>
  <c r="I145" i="38" s="1"/>
  <c r="I282" i="38"/>
  <c r="I283" i="38" s="1"/>
  <c r="I284" i="38" s="1"/>
  <c r="I286" i="38" s="1"/>
  <c r="I288" i="38" s="1"/>
  <c r="I111" i="38"/>
  <c r="I112" i="38" s="1"/>
  <c r="I254" i="38"/>
  <c r="I83" i="38"/>
  <c r="I84" i="38" s="1"/>
  <c r="I85" i="38" s="1"/>
  <c r="I87" i="38" s="1"/>
  <c r="I89" i="38" s="1"/>
  <c r="I55" i="38"/>
  <c r="I56" i="38" s="1"/>
  <c r="I57" i="38" s="1"/>
  <c r="I59" i="38" s="1"/>
  <c r="I61" i="38" s="1"/>
  <c r="I226" i="38"/>
  <c r="I227" i="38" s="1"/>
  <c r="I228" i="38" s="1"/>
  <c r="I230" i="38" s="1"/>
  <c r="I232" i="38" s="1"/>
  <c r="I27" i="38"/>
  <c r="I198" i="38"/>
  <c r="I199" i="38" s="1"/>
  <c r="I200" i="38" s="1"/>
  <c r="I202" i="38" s="1"/>
  <c r="I204" i="38" s="1"/>
  <c r="I310" i="38"/>
  <c r="I311" i="38" s="1"/>
  <c r="I312" i="38" s="1"/>
  <c r="I314" i="38" s="1"/>
  <c r="I316" i="38" s="1"/>
  <c r="E25" i="48"/>
  <c r="X25" i="48" s="1"/>
  <c r="G90" i="29"/>
  <c r="G146" i="29"/>
  <c r="G233" i="29"/>
  <c r="G317" i="29"/>
  <c r="G261" i="29"/>
  <c r="G34" i="29"/>
  <c r="G62" i="29"/>
  <c r="G118" i="29"/>
  <c r="G289" i="29"/>
  <c r="G205" i="29"/>
  <c r="G181" i="29"/>
  <c r="G27" i="35"/>
  <c r="G28" i="35" s="1"/>
  <c r="G29" i="35" s="1"/>
  <c r="G31" i="35" s="1"/>
  <c r="G33" i="35" s="1"/>
  <c r="G282" i="35"/>
  <c r="G283" i="35" s="1"/>
  <c r="G284" i="35" s="1"/>
  <c r="G286" i="35" s="1"/>
  <c r="G288" i="35" s="1"/>
  <c r="G55" i="35"/>
  <c r="G56" i="35" s="1"/>
  <c r="G57" i="35" s="1"/>
  <c r="G59" i="35" s="1"/>
  <c r="G61" i="35" s="1"/>
  <c r="G111" i="35"/>
  <c r="G112" i="35" s="1"/>
  <c r="G113" i="35" s="1"/>
  <c r="G115" i="35" s="1"/>
  <c r="G117" i="35" s="1"/>
  <c r="G139" i="35"/>
  <c r="G140" i="35" s="1"/>
  <c r="G141" i="35" s="1"/>
  <c r="G143" i="35" s="1"/>
  <c r="G145" i="35" s="1"/>
  <c r="G254" i="35"/>
  <c r="G255" i="35" s="1"/>
  <c r="G256" i="35" s="1"/>
  <c r="G258" i="35" s="1"/>
  <c r="G260" i="35" s="1"/>
  <c r="G198" i="35"/>
  <c r="G199" i="35" s="1"/>
  <c r="G200" i="35" s="1"/>
  <c r="G202" i="35" s="1"/>
  <c r="G204" i="35" s="1"/>
  <c r="G83" i="35"/>
  <c r="G84" i="35" s="1"/>
  <c r="G85" i="35" s="1"/>
  <c r="G87" i="35" s="1"/>
  <c r="G89" i="35" s="1"/>
  <c r="G310" i="35"/>
  <c r="G311" i="35" s="1"/>
  <c r="G312" i="35" s="1"/>
  <c r="G314" i="35" s="1"/>
  <c r="G316" i="35" s="1"/>
  <c r="G226" i="35"/>
  <c r="G227" i="35" s="1"/>
  <c r="G228" i="35" s="1"/>
  <c r="G230" i="35" s="1"/>
  <c r="G232" i="35" s="1"/>
  <c r="G168" i="35"/>
  <c r="G169" i="35" s="1"/>
  <c r="G171" i="35" s="1"/>
  <c r="G173" i="35" s="1"/>
  <c r="F27" i="28"/>
  <c r="F28" i="28" s="1"/>
  <c r="F29" i="28" s="1"/>
  <c r="F31" i="28" s="1"/>
  <c r="F33" i="28" s="1"/>
  <c r="F254" i="28"/>
  <c r="F255" i="28" s="1"/>
  <c r="F256" i="28" s="1"/>
  <c r="F258" i="28" s="1"/>
  <c r="F260" i="28" s="1"/>
  <c r="F111" i="28"/>
  <c r="F112" i="28" s="1"/>
  <c r="F113" i="28" s="1"/>
  <c r="F115" i="28" s="1"/>
  <c r="F117" i="28" s="1"/>
  <c r="F282" i="28"/>
  <c r="F283" i="28" s="1"/>
  <c r="F284" i="28" s="1"/>
  <c r="F286" i="28" s="1"/>
  <c r="F288" i="28" s="1"/>
  <c r="F55" i="28"/>
  <c r="F56" i="28" s="1"/>
  <c r="F57" i="28" s="1"/>
  <c r="F59" i="28" s="1"/>
  <c r="F61" i="28" s="1"/>
  <c r="F226" i="28"/>
  <c r="F227" i="28" s="1"/>
  <c r="F228" i="28" s="1"/>
  <c r="F230" i="28" s="1"/>
  <c r="F232" i="28" s="1"/>
  <c r="F139" i="28"/>
  <c r="F140" i="28" s="1"/>
  <c r="F141" i="28" s="1"/>
  <c r="F143" i="28" s="1"/>
  <c r="F145" i="28" s="1"/>
  <c r="F310" i="28"/>
  <c r="F311" i="28" s="1"/>
  <c r="F312" i="28" s="1"/>
  <c r="F314" i="28" s="1"/>
  <c r="F316" i="28" s="1"/>
  <c r="F198" i="28"/>
  <c r="F199" i="28" s="1"/>
  <c r="F200" i="28" s="1"/>
  <c r="F202" i="28" s="1"/>
  <c r="F204" i="28" s="1"/>
  <c r="F83" i="28"/>
  <c r="F84" i="28" s="1"/>
  <c r="F85" i="28" s="1"/>
  <c r="F87" i="28" s="1"/>
  <c r="F89" i="28" s="1"/>
  <c r="F168" i="28"/>
  <c r="F169" i="28" s="1"/>
  <c r="F171" i="28" s="1"/>
  <c r="F173" i="28" s="1"/>
  <c r="F182" i="28" s="1"/>
  <c r="F184" i="28" s="1"/>
  <c r="F139" i="30"/>
  <c r="F140" i="30" s="1"/>
  <c r="F141" i="30" s="1"/>
  <c r="F143" i="30" s="1"/>
  <c r="F145" i="30" s="1"/>
  <c r="F27" i="30"/>
  <c r="F28" i="30" s="1"/>
  <c r="F29" i="30" s="1"/>
  <c r="F31" i="30" s="1"/>
  <c r="F33" i="30" s="1"/>
  <c r="F226" i="30"/>
  <c r="F227" i="30" s="1"/>
  <c r="F228" i="30" s="1"/>
  <c r="F230" i="30" s="1"/>
  <c r="F232" i="30" s="1"/>
  <c r="F282" i="30"/>
  <c r="F283" i="30" s="1"/>
  <c r="F284" i="30" s="1"/>
  <c r="F286" i="30" s="1"/>
  <c r="F288" i="30" s="1"/>
  <c r="F55" i="30"/>
  <c r="F56" i="30" s="1"/>
  <c r="F57" i="30" s="1"/>
  <c r="F59" i="30" s="1"/>
  <c r="F61" i="30" s="1"/>
  <c r="F111" i="30"/>
  <c r="F112" i="30" s="1"/>
  <c r="F113" i="30" s="1"/>
  <c r="F115" i="30" s="1"/>
  <c r="F117" i="30" s="1"/>
  <c r="F198" i="30"/>
  <c r="F199" i="30" s="1"/>
  <c r="F200" i="30" s="1"/>
  <c r="F202" i="30" s="1"/>
  <c r="F204" i="30" s="1"/>
  <c r="F254" i="30"/>
  <c r="F255" i="30" s="1"/>
  <c r="F256" i="30" s="1"/>
  <c r="F258" i="30" s="1"/>
  <c r="F260" i="30" s="1"/>
  <c r="F83" i="30"/>
  <c r="F84" i="30" s="1"/>
  <c r="F85" i="30" s="1"/>
  <c r="F87" i="30" s="1"/>
  <c r="F89" i="30" s="1"/>
  <c r="F310" i="30"/>
  <c r="F311" i="30" s="1"/>
  <c r="F312" i="30" s="1"/>
  <c r="F314" i="30" s="1"/>
  <c r="F316" i="30" s="1"/>
  <c r="F168" i="30"/>
  <c r="F169" i="30" s="1"/>
  <c r="F171" i="30" s="1"/>
  <c r="F173" i="30" s="1"/>
  <c r="F182" i="30" s="1"/>
  <c r="D121" i="16"/>
  <c r="D120" i="16"/>
  <c r="H34" i="38"/>
  <c r="H90" i="38"/>
  <c r="H233" i="38"/>
  <c r="H62" i="38"/>
  <c r="H205" i="38"/>
  <c r="H146" i="38"/>
  <c r="H289" i="38"/>
  <c r="H118" i="38"/>
  <c r="H317" i="38"/>
  <c r="H261" i="38"/>
  <c r="H181" i="38"/>
  <c r="F205" i="38"/>
  <c r="F118" i="38"/>
  <c r="F34" i="38"/>
  <c r="F146" i="38"/>
  <c r="F62" i="38"/>
  <c r="F317" i="38"/>
  <c r="F90" i="38"/>
  <c r="F233" i="38"/>
  <c r="F261" i="38"/>
  <c r="F289" i="38"/>
  <c r="H198" i="30"/>
  <c r="H199" i="30" s="1"/>
  <c r="H200" i="30" s="1"/>
  <c r="H202" i="30" s="1"/>
  <c r="H204" i="30" s="1"/>
  <c r="H254" i="30"/>
  <c r="H255" i="30" s="1"/>
  <c r="H256" i="30" s="1"/>
  <c r="H258" i="30" s="1"/>
  <c r="H260" i="30" s="1"/>
  <c r="H310" i="30"/>
  <c r="H311" i="30" s="1"/>
  <c r="H312" i="30" s="1"/>
  <c r="H314" i="30" s="1"/>
  <c r="H316" i="30" s="1"/>
  <c r="H139" i="30"/>
  <c r="H140" i="30" s="1"/>
  <c r="H141" i="30" s="1"/>
  <c r="H143" i="30" s="1"/>
  <c r="H145" i="30" s="1"/>
  <c r="H282" i="30"/>
  <c r="H283" i="30" s="1"/>
  <c r="H284" i="30" s="1"/>
  <c r="H286" i="30" s="1"/>
  <c r="H288" i="30" s="1"/>
  <c r="H27" i="30"/>
  <c r="H28" i="30" s="1"/>
  <c r="H29" i="30" s="1"/>
  <c r="H31" i="30" s="1"/>
  <c r="H33" i="30" s="1"/>
  <c r="H55" i="30"/>
  <c r="H56" i="30" s="1"/>
  <c r="H57" i="30" s="1"/>
  <c r="H59" i="30" s="1"/>
  <c r="H61" i="30" s="1"/>
  <c r="H83" i="30"/>
  <c r="H84" i="30" s="1"/>
  <c r="H85" i="30" s="1"/>
  <c r="H87" i="30" s="1"/>
  <c r="H89" i="30" s="1"/>
  <c r="H111" i="30"/>
  <c r="H112" i="30" s="1"/>
  <c r="H113" i="30" s="1"/>
  <c r="H115" i="30" s="1"/>
  <c r="H117" i="30" s="1"/>
  <c r="H226" i="30"/>
  <c r="H227" i="30" s="1"/>
  <c r="H228" i="30" s="1"/>
  <c r="H230" i="30" s="1"/>
  <c r="H232" i="30" s="1"/>
  <c r="E83" i="38"/>
  <c r="E27" i="38"/>
  <c r="E254" i="38"/>
  <c r="E198" i="38"/>
  <c r="E310" i="38"/>
  <c r="E111" i="38"/>
  <c r="E282" i="38"/>
  <c r="E55" i="38"/>
  <c r="E226" i="38"/>
  <c r="P167" i="38"/>
  <c r="E139" i="38"/>
  <c r="P167" i="25"/>
  <c r="E188" i="25"/>
  <c r="E189" i="25"/>
  <c r="E186" i="25"/>
  <c r="E190" i="25"/>
  <c r="E193" i="25"/>
  <c r="E194" i="25"/>
  <c r="E192" i="25"/>
  <c r="E185" i="25"/>
  <c r="E191" i="25"/>
  <c r="E187" i="25"/>
  <c r="O107" i="15"/>
  <c r="H168" i="29"/>
  <c r="H169" i="29" s="1"/>
  <c r="H171" i="29" s="1"/>
  <c r="H173" i="29" s="1"/>
  <c r="B67" i="48"/>
  <c r="H64" i="48" s="1"/>
  <c r="I64" i="48" s="1"/>
  <c r="X29" i="46"/>
  <c r="I83" i="35"/>
  <c r="I226" i="35"/>
  <c r="I254" i="35"/>
  <c r="I27" i="35"/>
  <c r="I111" i="35"/>
  <c r="I139" i="35"/>
  <c r="I55" i="35"/>
  <c r="I282" i="35"/>
  <c r="I310" i="35"/>
  <c r="I198" i="35"/>
  <c r="G292" i="37"/>
  <c r="G149" i="37"/>
  <c r="G264" i="37"/>
  <c r="G236" i="37"/>
  <c r="G34" i="37"/>
  <c r="G121" i="37"/>
  <c r="G320" i="37"/>
  <c r="G208" i="37"/>
  <c r="G90" i="37"/>
  <c r="G62" i="37"/>
  <c r="G184" i="37"/>
  <c r="G254" i="39"/>
  <c r="G255" i="39" s="1"/>
  <c r="G256" i="39" s="1"/>
  <c r="G258" i="39" s="1"/>
  <c r="G260" i="39" s="1"/>
  <c r="G111" i="39"/>
  <c r="G112" i="39" s="1"/>
  <c r="G113" i="39" s="1"/>
  <c r="G115" i="39" s="1"/>
  <c r="G117" i="39" s="1"/>
  <c r="G27" i="39"/>
  <c r="G28" i="39" s="1"/>
  <c r="G29" i="39" s="1"/>
  <c r="G31" i="39" s="1"/>
  <c r="G33" i="39" s="1"/>
  <c r="G139" i="39"/>
  <c r="G140" i="39" s="1"/>
  <c r="G141" i="39" s="1"/>
  <c r="G143" i="39" s="1"/>
  <c r="G145" i="39" s="1"/>
  <c r="G198" i="39"/>
  <c r="G199" i="39" s="1"/>
  <c r="G200" i="39" s="1"/>
  <c r="G202" i="39" s="1"/>
  <c r="G204" i="39" s="1"/>
  <c r="G55" i="39"/>
  <c r="G56" i="39" s="1"/>
  <c r="G57" i="39" s="1"/>
  <c r="G59" i="39" s="1"/>
  <c r="G61" i="39" s="1"/>
  <c r="G282" i="39"/>
  <c r="G283" i="39" s="1"/>
  <c r="G284" i="39" s="1"/>
  <c r="G286" i="39" s="1"/>
  <c r="G288" i="39" s="1"/>
  <c r="G226" i="39"/>
  <c r="G227" i="39" s="1"/>
  <c r="G228" i="39" s="1"/>
  <c r="G230" i="39" s="1"/>
  <c r="G232" i="39" s="1"/>
  <c r="G83" i="39"/>
  <c r="G84" i="39" s="1"/>
  <c r="G85" i="39" s="1"/>
  <c r="G87" i="39" s="1"/>
  <c r="G89" i="39" s="1"/>
  <c r="G310" i="39"/>
  <c r="G311" i="39" s="1"/>
  <c r="G312" i="39" s="1"/>
  <c r="G314" i="39" s="1"/>
  <c r="G316" i="39" s="1"/>
  <c r="G168" i="39"/>
  <c r="G169" i="39" s="1"/>
  <c r="G171" i="39" s="1"/>
  <c r="G173" i="39" s="1"/>
  <c r="F55" i="29"/>
  <c r="F56" i="29" s="1"/>
  <c r="F57" i="29" s="1"/>
  <c r="F59" i="29" s="1"/>
  <c r="F61" i="29" s="1"/>
  <c r="F254" i="29"/>
  <c r="F255" i="29" s="1"/>
  <c r="F256" i="29" s="1"/>
  <c r="F258" i="29" s="1"/>
  <c r="F260" i="29" s="1"/>
  <c r="F111" i="29"/>
  <c r="F112" i="29" s="1"/>
  <c r="F113" i="29" s="1"/>
  <c r="F115" i="29" s="1"/>
  <c r="F117" i="29" s="1"/>
  <c r="F310" i="29"/>
  <c r="F311" i="29" s="1"/>
  <c r="F312" i="29" s="1"/>
  <c r="F314" i="29" s="1"/>
  <c r="F316" i="29" s="1"/>
  <c r="F198" i="29"/>
  <c r="F199" i="29" s="1"/>
  <c r="F200" i="29" s="1"/>
  <c r="F202" i="29" s="1"/>
  <c r="F204" i="29" s="1"/>
  <c r="F282" i="29"/>
  <c r="F283" i="29" s="1"/>
  <c r="F284" i="29" s="1"/>
  <c r="F286" i="29" s="1"/>
  <c r="F288" i="29" s="1"/>
  <c r="F27" i="29"/>
  <c r="F28" i="29" s="1"/>
  <c r="F29" i="29" s="1"/>
  <c r="F31" i="29" s="1"/>
  <c r="F33" i="29" s="1"/>
  <c r="F83" i="29"/>
  <c r="F84" i="29" s="1"/>
  <c r="F85" i="29" s="1"/>
  <c r="F87" i="29" s="1"/>
  <c r="F89" i="29" s="1"/>
  <c r="F139" i="29"/>
  <c r="F140" i="29" s="1"/>
  <c r="F141" i="29" s="1"/>
  <c r="F143" i="29" s="1"/>
  <c r="F145" i="29" s="1"/>
  <c r="F226" i="29"/>
  <c r="F227" i="29" s="1"/>
  <c r="F228" i="29" s="1"/>
  <c r="F230" i="29" s="1"/>
  <c r="F232" i="29" s="1"/>
  <c r="F168" i="29"/>
  <c r="F169" i="29" s="1"/>
  <c r="F171" i="29" s="1"/>
  <c r="F173" i="29" s="1"/>
  <c r="F182" i="29" s="1"/>
  <c r="F184" i="29" s="1"/>
  <c r="H289" i="30"/>
  <c r="H296" i="30" s="1"/>
  <c r="H146" i="30"/>
  <c r="H153" i="30" s="1"/>
  <c r="H118" i="30"/>
  <c r="H125" i="30" s="1"/>
  <c r="H62" i="30"/>
  <c r="H69" i="30" s="1"/>
  <c r="H205" i="30"/>
  <c r="H212" i="30" s="1"/>
  <c r="H317" i="30"/>
  <c r="H324" i="30" s="1"/>
  <c r="H233" i="30"/>
  <c r="H240" i="30" s="1"/>
  <c r="H261" i="30"/>
  <c r="H268" i="30" s="1"/>
  <c r="H34" i="30"/>
  <c r="H41" i="30" s="1"/>
  <c r="H90" i="30"/>
  <c r="H97" i="30" s="1"/>
  <c r="H181" i="30"/>
  <c r="H182" i="30" s="1"/>
  <c r="F317" i="39"/>
  <c r="F34" i="39"/>
  <c r="F62" i="39"/>
  <c r="F233" i="39"/>
  <c r="F90" i="39"/>
  <c r="F146" i="39"/>
  <c r="F118" i="39"/>
  <c r="F289" i="39"/>
  <c r="F261" i="39"/>
  <c r="F205" i="39"/>
  <c r="F264" i="37"/>
  <c r="F292" i="37"/>
  <c r="F34" i="37"/>
  <c r="F149" i="37"/>
  <c r="F320" i="37"/>
  <c r="F121" i="37"/>
  <c r="F62" i="37"/>
  <c r="F208" i="37"/>
  <c r="F236" i="37"/>
  <c r="F90" i="37"/>
  <c r="H229" i="37"/>
  <c r="H230" i="37" s="1"/>
  <c r="H231" i="37" s="1"/>
  <c r="H233" i="37" s="1"/>
  <c r="H235" i="37" s="1"/>
  <c r="H201" i="37"/>
  <c r="H202" i="37" s="1"/>
  <c r="H203" i="37" s="1"/>
  <c r="H205" i="37" s="1"/>
  <c r="H207" i="37" s="1"/>
  <c r="H142" i="37"/>
  <c r="H143" i="37" s="1"/>
  <c r="H144" i="37" s="1"/>
  <c r="H146" i="37" s="1"/>
  <c r="H148" i="37" s="1"/>
  <c r="H313" i="37"/>
  <c r="H314" i="37" s="1"/>
  <c r="H315" i="37" s="1"/>
  <c r="H317" i="37" s="1"/>
  <c r="H319" i="37" s="1"/>
  <c r="H114" i="37"/>
  <c r="H115" i="37" s="1"/>
  <c r="H116" i="37" s="1"/>
  <c r="H118" i="37" s="1"/>
  <c r="H120" i="37" s="1"/>
  <c r="H55" i="37"/>
  <c r="H56" i="37" s="1"/>
  <c r="H57" i="37" s="1"/>
  <c r="H59" i="37" s="1"/>
  <c r="H61" i="37" s="1"/>
  <c r="H83" i="37"/>
  <c r="H84" i="37" s="1"/>
  <c r="H85" i="37" s="1"/>
  <c r="H87" i="37" s="1"/>
  <c r="H89" i="37" s="1"/>
  <c r="H27" i="37"/>
  <c r="H28" i="37" s="1"/>
  <c r="H29" i="37" s="1"/>
  <c r="H31" i="37" s="1"/>
  <c r="H33" i="37" s="1"/>
  <c r="H285" i="37"/>
  <c r="H286" i="37" s="1"/>
  <c r="H287" i="37" s="1"/>
  <c r="H289" i="37" s="1"/>
  <c r="H291" i="37" s="1"/>
  <c r="H257" i="37"/>
  <c r="H258" i="37" s="1"/>
  <c r="H259" i="37" s="1"/>
  <c r="H261" i="37" s="1"/>
  <c r="H263" i="37" s="1"/>
  <c r="H171" i="37"/>
  <c r="H172" i="37" s="1"/>
  <c r="H174" i="37" s="1"/>
  <c r="H176" i="37" s="1"/>
  <c r="E310" i="35"/>
  <c r="E111" i="35"/>
  <c r="E83" i="35"/>
  <c r="P167" i="35"/>
  <c r="E198" i="35"/>
  <c r="E27" i="35"/>
  <c r="E282" i="35"/>
  <c r="E254" i="35"/>
  <c r="E139" i="35"/>
  <c r="E226" i="35"/>
  <c r="E55" i="35"/>
  <c r="E62" i="39"/>
  <c r="E118" i="39"/>
  <c r="E233" i="39"/>
  <c r="E261" i="39"/>
  <c r="E90" i="39"/>
  <c r="E317" i="39"/>
  <c r="E146" i="39"/>
  <c r="E289" i="39"/>
  <c r="E34" i="39"/>
  <c r="E205" i="39"/>
  <c r="P174" i="39"/>
  <c r="O105" i="43"/>
  <c r="O105" i="15"/>
  <c r="H43" i="48"/>
  <c r="I43" i="48" s="1"/>
  <c r="D50" i="48"/>
  <c r="E50" i="48" s="1"/>
  <c r="F50" i="48"/>
  <c r="G50" i="48" s="1"/>
  <c r="I261" i="30"/>
  <c r="I146" i="30"/>
  <c r="I289" i="30"/>
  <c r="I90" i="30"/>
  <c r="I233" i="30"/>
  <c r="I62" i="30"/>
  <c r="I205" i="30"/>
  <c r="I118" i="30"/>
  <c r="I317" i="30"/>
  <c r="I34" i="30"/>
  <c r="O104" i="43"/>
  <c r="G289" i="39"/>
  <c r="G118" i="39"/>
  <c r="G205" i="39"/>
  <c r="G317" i="39"/>
  <c r="G62" i="39"/>
  <c r="G90" i="39"/>
  <c r="G34" i="39"/>
  <c r="G146" i="39"/>
  <c r="G261" i="39"/>
  <c r="G233" i="39"/>
  <c r="G181" i="39"/>
  <c r="G205" i="28"/>
  <c r="G212" i="28" s="1"/>
  <c r="G118" i="28"/>
  <c r="G125" i="28" s="1"/>
  <c r="G317" i="28"/>
  <c r="G324" i="28" s="1"/>
  <c r="G90" i="28"/>
  <c r="G97" i="28" s="1"/>
  <c r="G261" i="28"/>
  <c r="G268" i="28" s="1"/>
  <c r="G233" i="28"/>
  <c r="G240" i="28" s="1"/>
  <c r="G62" i="28"/>
  <c r="G69" i="28" s="1"/>
  <c r="G34" i="28"/>
  <c r="G41" i="28" s="1"/>
  <c r="G146" i="28"/>
  <c r="G153" i="28" s="1"/>
  <c r="G289" i="28"/>
  <c r="G296" i="28" s="1"/>
  <c r="O104" i="15"/>
  <c r="D100" i="37"/>
  <c r="D188" i="37"/>
  <c r="D101" i="37" s="1"/>
  <c r="H83" i="39"/>
  <c r="H84" i="39" s="1"/>
  <c r="H85" i="39" s="1"/>
  <c r="H87" i="39" s="1"/>
  <c r="H89" i="39" s="1"/>
  <c r="H226" i="39"/>
  <c r="H227" i="39" s="1"/>
  <c r="H228" i="39" s="1"/>
  <c r="H230" i="39" s="1"/>
  <c r="H232" i="39" s="1"/>
  <c r="H310" i="39"/>
  <c r="H311" i="39" s="1"/>
  <c r="H312" i="39" s="1"/>
  <c r="H314" i="39" s="1"/>
  <c r="H316" i="39" s="1"/>
  <c r="H254" i="39"/>
  <c r="H255" i="39" s="1"/>
  <c r="H256" i="39" s="1"/>
  <c r="H258" i="39" s="1"/>
  <c r="H260" i="39" s="1"/>
  <c r="H198" i="39"/>
  <c r="H199" i="39" s="1"/>
  <c r="H200" i="39" s="1"/>
  <c r="H202" i="39" s="1"/>
  <c r="H204" i="39" s="1"/>
  <c r="H55" i="39"/>
  <c r="H56" i="39" s="1"/>
  <c r="H57" i="39" s="1"/>
  <c r="H59" i="39" s="1"/>
  <c r="H61" i="39" s="1"/>
  <c r="H139" i="39"/>
  <c r="H140" i="39" s="1"/>
  <c r="H141" i="39" s="1"/>
  <c r="H143" i="39" s="1"/>
  <c r="H145" i="39" s="1"/>
  <c r="H27" i="39"/>
  <c r="H28" i="39" s="1"/>
  <c r="H29" i="39" s="1"/>
  <c r="H31" i="39" s="1"/>
  <c r="H33" i="39" s="1"/>
  <c r="H111" i="39"/>
  <c r="H112" i="39" s="1"/>
  <c r="H113" i="39" s="1"/>
  <c r="H115" i="39" s="1"/>
  <c r="H117" i="39" s="1"/>
  <c r="H282" i="39"/>
  <c r="H283" i="39" s="1"/>
  <c r="H284" i="39" s="1"/>
  <c r="H286" i="39" s="1"/>
  <c r="H288" i="39" s="1"/>
  <c r="H168" i="39"/>
  <c r="H169" i="39" s="1"/>
  <c r="H171" i="39" s="1"/>
  <c r="H173" i="39" s="1"/>
  <c r="H42" i="34"/>
  <c r="H44" i="34" s="1"/>
  <c r="E111" i="29"/>
  <c r="E310" i="29"/>
  <c r="E198" i="29"/>
  <c r="P167" i="29"/>
  <c r="E282" i="29"/>
  <c r="E27" i="29"/>
  <c r="E83" i="29"/>
  <c r="E139" i="29"/>
  <c r="E55" i="29"/>
  <c r="E226" i="29"/>
  <c r="E254" i="29"/>
  <c r="E226" i="30"/>
  <c r="E282" i="30"/>
  <c r="E55" i="30"/>
  <c r="E111" i="30"/>
  <c r="E198" i="30"/>
  <c r="E27" i="30"/>
  <c r="E254" i="30"/>
  <c r="E83" i="30"/>
  <c r="E310" i="30"/>
  <c r="E139" i="30"/>
  <c r="P167" i="30"/>
  <c r="P34" i="39"/>
  <c r="Q174" i="39"/>
  <c r="Q174" i="38"/>
  <c r="Q174" i="28"/>
  <c r="Q174" i="30"/>
  <c r="E34" i="29"/>
  <c r="E118" i="29"/>
  <c r="E261" i="29"/>
  <c r="E205" i="29"/>
  <c r="E317" i="29"/>
  <c r="E90" i="29"/>
  <c r="E146" i="29"/>
  <c r="E233" i="29"/>
  <c r="E289" i="29"/>
  <c r="E62" i="29"/>
  <c r="P174" i="29"/>
  <c r="X86" i="46"/>
  <c r="X196" i="46"/>
  <c r="X180" i="46"/>
  <c r="N183" i="46" s="1"/>
  <c r="X201" i="46"/>
  <c r="N204" i="46" s="1"/>
  <c r="X170" i="46"/>
  <c r="X85" i="46"/>
  <c r="X72" i="46"/>
  <c r="L46" i="48"/>
  <c r="M46" i="48" s="1"/>
  <c r="D47" i="48"/>
  <c r="D51" i="48"/>
  <c r="J48" i="48"/>
  <c r="K48" i="48" s="1"/>
  <c r="H52" i="48"/>
  <c r="I52" i="48" s="1"/>
  <c r="H50" i="48"/>
  <c r="I50" i="48" s="1"/>
  <c r="J51" i="48"/>
  <c r="K51" i="48" s="1"/>
  <c r="E30" i="48"/>
  <c r="X30" i="48" s="1"/>
  <c r="G23" i="2"/>
  <c r="G24" i="2" s="1"/>
  <c r="G25" i="2" s="1"/>
  <c r="H21" i="2" s="1"/>
  <c r="I198" i="28"/>
  <c r="I310" i="28"/>
  <c r="I139" i="28"/>
  <c r="I254" i="28"/>
  <c r="I83" i="28"/>
  <c r="I282" i="28"/>
  <c r="I55" i="28"/>
  <c r="I27" i="28"/>
  <c r="I226" i="28"/>
  <c r="I111" i="28"/>
  <c r="I139" i="29"/>
  <c r="I27" i="29"/>
  <c r="I83" i="29"/>
  <c r="I226" i="29"/>
  <c r="I282" i="29"/>
  <c r="I55" i="29"/>
  <c r="I310" i="29"/>
  <c r="I198" i="29"/>
  <c r="I111" i="29"/>
  <c r="I254" i="29"/>
  <c r="G34" i="30"/>
  <c r="G41" i="30" s="1"/>
  <c r="G233" i="30"/>
  <c r="G240" i="30" s="1"/>
  <c r="G146" i="30"/>
  <c r="G153" i="30" s="1"/>
  <c r="G90" i="30"/>
  <c r="G97" i="30" s="1"/>
  <c r="G289" i="30"/>
  <c r="G296" i="30" s="1"/>
  <c r="G317" i="30"/>
  <c r="G324" i="30" s="1"/>
  <c r="G62" i="30"/>
  <c r="G69" i="30" s="1"/>
  <c r="G118" i="30"/>
  <c r="G125" i="30" s="1"/>
  <c r="G205" i="30"/>
  <c r="G212" i="30" s="1"/>
  <c r="G261" i="30"/>
  <c r="G268" i="30" s="1"/>
  <c r="G181" i="30"/>
  <c r="G83" i="28"/>
  <c r="G84" i="28" s="1"/>
  <c r="G85" i="28" s="1"/>
  <c r="G87" i="28" s="1"/>
  <c r="G89" i="28" s="1"/>
  <c r="G226" i="28"/>
  <c r="G227" i="28" s="1"/>
  <c r="G228" i="28" s="1"/>
  <c r="G230" i="28" s="1"/>
  <c r="G232" i="28" s="1"/>
  <c r="G27" i="28"/>
  <c r="G28" i="28" s="1"/>
  <c r="G29" i="28" s="1"/>
  <c r="G31" i="28" s="1"/>
  <c r="G33" i="28" s="1"/>
  <c r="G282" i="28"/>
  <c r="G283" i="28" s="1"/>
  <c r="G284" i="28" s="1"/>
  <c r="G286" i="28" s="1"/>
  <c r="G288" i="28" s="1"/>
  <c r="G55" i="28"/>
  <c r="G56" i="28" s="1"/>
  <c r="G57" i="28" s="1"/>
  <c r="G59" i="28" s="1"/>
  <c r="G61" i="28" s="1"/>
  <c r="G198" i="28"/>
  <c r="G199" i="28" s="1"/>
  <c r="G200" i="28" s="1"/>
  <c r="G202" i="28" s="1"/>
  <c r="G204" i="28" s="1"/>
  <c r="G139" i="28"/>
  <c r="G140" i="28" s="1"/>
  <c r="G141" i="28" s="1"/>
  <c r="G143" i="28" s="1"/>
  <c r="G145" i="28" s="1"/>
  <c r="G111" i="28"/>
  <c r="G112" i="28" s="1"/>
  <c r="G113" i="28" s="1"/>
  <c r="G115" i="28" s="1"/>
  <c r="G117" i="28" s="1"/>
  <c r="G310" i="28"/>
  <c r="G311" i="28" s="1"/>
  <c r="G312" i="28" s="1"/>
  <c r="G314" i="28" s="1"/>
  <c r="G316" i="28" s="1"/>
  <c r="G254" i="28"/>
  <c r="G255" i="28" s="1"/>
  <c r="G256" i="28" s="1"/>
  <c r="G258" i="28" s="1"/>
  <c r="G260" i="28" s="1"/>
  <c r="G168" i="28"/>
  <c r="G169" i="28" s="1"/>
  <c r="G171" i="28" s="1"/>
  <c r="G173" i="28" s="1"/>
  <c r="G182" i="28" s="1"/>
  <c r="G184" i="28" s="1"/>
  <c r="G202" i="25"/>
  <c r="G214" i="25" s="1"/>
  <c r="F201" i="37"/>
  <c r="F202" i="37" s="1"/>
  <c r="F203" i="37" s="1"/>
  <c r="F205" i="37" s="1"/>
  <c r="F207" i="37" s="1"/>
  <c r="F257" i="37"/>
  <c r="F258" i="37" s="1"/>
  <c r="F259" i="37" s="1"/>
  <c r="F261" i="37" s="1"/>
  <c r="F263" i="37" s="1"/>
  <c r="F27" i="37"/>
  <c r="F28" i="37" s="1"/>
  <c r="F29" i="37" s="1"/>
  <c r="F31" i="37" s="1"/>
  <c r="F33" i="37" s="1"/>
  <c r="F285" i="37"/>
  <c r="F286" i="37" s="1"/>
  <c r="F287" i="37" s="1"/>
  <c r="F289" i="37" s="1"/>
  <c r="F291" i="37" s="1"/>
  <c r="F114" i="37"/>
  <c r="F115" i="37" s="1"/>
  <c r="F116" i="37" s="1"/>
  <c r="F118" i="37" s="1"/>
  <c r="F120" i="37" s="1"/>
  <c r="F229" i="37"/>
  <c r="F230" i="37" s="1"/>
  <c r="F231" i="37" s="1"/>
  <c r="F233" i="37" s="1"/>
  <c r="F235" i="37" s="1"/>
  <c r="F55" i="37"/>
  <c r="F56" i="37" s="1"/>
  <c r="F57" i="37" s="1"/>
  <c r="F59" i="37" s="1"/>
  <c r="F61" i="37" s="1"/>
  <c r="F313" i="37"/>
  <c r="F314" i="37" s="1"/>
  <c r="F315" i="37" s="1"/>
  <c r="F317" i="37" s="1"/>
  <c r="F319" i="37" s="1"/>
  <c r="F83" i="37"/>
  <c r="F84" i="37" s="1"/>
  <c r="F85" i="37" s="1"/>
  <c r="F87" i="37" s="1"/>
  <c r="F89" i="37" s="1"/>
  <c r="F142" i="37"/>
  <c r="F143" i="37" s="1"/>
  <c r="F144" i="37" s="1"/>
  <c r="F146" i="37" s="1"/>
  <c r="F148" i="37" s="1"/>
  <c r="F171" i="37"/>
  <c r="F172" i="37" s="1"/>
  <c r="F174" i="37" s="1"/>
  <c r="F176" i="37" s="1"/>
  <c r="F185" i="37" s="1"/>
  <c r="H146" i="29"/>
  <c r="H233" i="29"/>
  <c r="H317" i="29"/>
  <c r="H261" i="29"/>
  <c r="H62" i="29"/>
  <c r="H118" i="29"/>
  <c r="H205" i="29"/>
  <c r="H289" i="29"/>
  <c r="H34" i="29"/>
  <c r="H90" i="29"/>
  <c r="H181" i="29"/>
  <c r="F62" i="30"/>
  <c r="F69" i="30" s="1"/>
  <c r="F118" i="30"/>
  <c r="F125" i="30" s="1"/>
  <c r="F205" i="30"/>
  <c r="F212" i="30" s="1"/>
  <c r="F34" i="30"/>
  <c r="F41" i="30" s="1"/>
  <c r="F261" i="30"/>
  <c r="F268" i="30" s="1"/>
  <c r="F90" i="30"/>
  <c r="F97" i="30" s="1"/>
  <c r="F317" i="30"/>
  <c r="F324" i="30" s="1"/>
  <c r="F146" i="30"/>
  <c r="F153" i="30" s="1"/>
  <c r="F233" i="30"/>
  <c r="F240" i="30" s="1"/>
  <c r="F289" i="30"/>
  <c r="F296" i="30" s="1"/>
  <c r="H310" i="35"/>
  <c r="H311" i="35" s="1"/>
  <c r="H312" i="35" s="1"/>
  <c r="H314" i="35" s="1"/>
  <c r="H316" i="35" s="1"/>
  <c r="H226" i="35"/>
  <c r="H227" i="35" s="1"/>
  <c r="H228" i="35" s="1"/>
  <c r="H230" i="35" s="1"/>
  <c r="H232" i="35" s="1"/>
  <c r="H254" i="35"/>
  <c r="H255" i="35" s="1"/>
  <c r="H256" i="35" s="1"/>
  <c r="H258" i="35" s="1"/>
  <c r="H260" i="35" s="1"/>
  <c r="H198" i="35"/>
  <c r="H199" i="35" s="1"/>
  <c r="H200" i="35" s="1"/>
  <c r="H202" i="35" s="1"/>
  <c r="H204" i="35" s="1"/>
  <c r="H27" i="35"/>
  <c r="H28" i="35" s="1"/>
  <c r="H29" i="35" s="1"/>
  <c r="H31" i="35" s="1"/>
  <c r="H33" i="35" s="1"/>
  <c r="H282" i="35"/>
  <c r="H283" i="35" s="1"/>
  <c r="H284" i="35" s="1"/>
  <c r="H286" i="35" s="1"/>
  <c r="H288" i="35" s="1"/>
  <c r="H139" i="35"/>
  <c r="H140" i="35" s="1"/>
  <c r="H141" i="35" s="1"/>
  <c r="H143" i="35" s="1"/>
  <c r="H145" i="35" s="1"/>
  <c r="H111" i="35"/>
  <c r="H112" i="35" s="1"/>
  <c r="H113" i="35" s="1"/>
  <c r="H115" i="35" s="1"/>
  <c r="H117" i="35" s="1"/>
  <c r="H55" i="35"/>
  <c r="H56" i="35" s="1"/>
  <c r="H57" i="35" s="1"/>
  <c r="H59" i="35" s="1"/>
  <c r="H61" i="35" s="1"/>
  <c r="H83" i="35"/>
  <c r="H84" i="35" s="1"/>
  <c r="H85" i="35" s="1"/>
  <c r="H87" i="35" s="1"/>
  <c r="H89" i="35" s="1"/>
  <c r="E198" i="28"/>
  <c r="E254" i="28"/>
  <c r="E27" i="28"/>
  <c r="E310" i="28"/>
  <c r="E111" i="28"/>
  <c r="P167" i="28"/>
  <c r="E282" i="28"/>
  <c r="E226" i="28"/>
  <c r="E55" i="28"/>
  <c r="E139" i="28"/>
  <c r="E83" i="28"/>
  <c r="E121" i="37"/>
  <c r="E264" i="37"/>
  <c r="E90" i="37"/>
  <c r="E34" i="37"/>
  <c r="E149" i="37"/>
  <c r="E208" i="37"/>
  <c r="E320" i="37"/>
  <c r="E292" i="37"/>
  <c r="E62" i="37"/>
  <c r="E236" i="37"/>
  <c r="P177" i="37"/>
  <c r="P34" i="34"/>
  <c r="O97" i="43"/>
  <c r="X22" i="48"/>
  <c r="D42" i="16"/>
  <c r="D43" i="16" s="1"/>
  <c r="E39" i="16" s="1"/>
  <c r="O101" i="15"/>
  <c r="X172" i="46"/>
  <c r="X96" i="46"/>
  <c r="N99" i="46" s="1"/>
  <c r="X222" i="46"/>
  <c r="N225" i="46" s="1"/>
  <c r="X26" i="46"/>
  <c r="L50" i="48"/>
  <c r="M50" i="48" s="1"/>
  <c r="D45" i="48"/>
  <c r="F44" i="48"/>
  <c r="G44" i="48" s="1"/>
  <c r="F48" i="48"/>
  <c r="G48" i="48" s="1"/>
  <c r="J47" i="48"/>
  <c r="K47" i="48" s="1"/>
  <c r="F43" i="48"/>
  <c r="G43" i="48" s="1"/>
  <c r="L49" i="48"/>
  <c r="M49" i="48" s="1"/>
  <c r="D82" i="16"/>
  <c r="D83" i="16" s="1"/>
  <c r="E79" i="16" s="1"/>
  <c r="I90" i="35"/>
  <c r="I146" i="35"/>
  <c r="I118" i="35"/>
  <c r="I233" i="35"/>
  <c r="I261" i="35"/>
  <c r="I34" i="35"/>
  <c r="I205" i="35"/>
  <c r="I317" i="35"/>
  <c r="I289" i="35"/>
  <c r="I62" i="35"/>
  <c r="I233" i="28"/>
  <c r="I146" i="28"/>
  <c r="I261" i="28"/>
  <c r="I34" i="28"/>
  <c r="I62" i="28"/>
  <c r="I205" i="28"/>
  <c r="I289" i="28"/>
  <c r="I118" i="28"/>
  <c r="I317" i="28"/>
  <c r="I90" i="28"/>
  <c r="I55" i="30"/>
  <c r="I83" i="30"/>
  <c r="I198" i="30"/>
  <c r="I282" i="30"/>
  <c r="I310" i="30"/>
  <c r="I226" i="30"/>
  <c r="I139" i="30"/>
  <c r="I111" i="30"/>
  <c r="I27" i="30"/>
  <c r="I254" i="30"/>
  <c r="O108" i="15"/>
  <c r="G42" i="34"/>
  <c r="G44" i="34" s="1"/>
  <c r="G27" i="29"/>
  <c r="G28" i="29" s="1"/>
  <c r="G29" i="29" s="1"/>
  <c r="G31" i="29" s="1"/>
  <c r="G33" i="29" s="1"/>
  <c r="G226" i="29"/>
  <c r="G227" i="29" s="1"/>
  <c r="G228" i="29" s="1"/>
  <c r="G230" i="29" s="1"/>
  <c r="G232" i="29" s="1"/>
  <c r="G139" i="29"/>
  <c r="G140" i="29" s="1"/>
  <c r="G141" i="29" s="1"/>
  <c r="G143" i="29" s="1"/>
  <c r="G145" i="29" s="1"/>
  <c r="G282" i="29"/>
  <c r="G283" i="29" s="1"/>
  <c r="G284" i="29" s="1"/>
  <c r="G286" i="29" s="1"/>
  <c r="G288" i="29" s="1"/>
  <c r="G55" i="29"/>
  <c r="G56" i="29" s="1"/>
  <c r="G57" i="29" s="1"/>
  <c r="G59" i="29" s="1"/>
  <c r="G61" i="29" s="1"/>
  <c r="G111" i="29"/>
  <c r="G112" i="29" s="1"/>
  <c r="G113" i="29" s="1"/>
  <c r="G115" i="29" s="1"/>
  <c r="G117" i="29" s="1"/>
  <c r="G198" i="29"/>
  <c r="G199" i="29" s="1"/>
  <c r="G200" i="29" s="1"/>
  <c r="G202" i="29" s="1"/>
  <c r="G204" i="29" s="1"/>
  <c r="G310" i="29"/>
  <c r="G311" i="29" s="1"/>
  <c r="G312" i="29" s="1"/>
  <c r="G314" i="29" s="1"/>
  <c r="G316" i="29" s="1"/>
  <c r="G254" i="29"/>
  <c r="G255" i="29" s="1"/>
  <c r="G256" i="29" s="1"/>
  <c r="G258" i="29" s="1"/>
  <c r="G260" i="29" s="1"/>
  <c r="G83" i="29"/>
  <c r="G84" i="29" s="1"/>
  <c r="G85" i="29" s="1"/>
  <c r="G87" i="29" s="1"/>
  <c r="G89" i="29" s="1"/>
  <c r="G168" i="29"/>
  <c r="G169" i="29" s="1"/>
  <c r="G171" i="29" s="1"/>
  <c r="G173" i="29" s="1"/>
  <c r="F254" i="38"/>
  <c r="F255" i="38" s="1"/>
  <c r="F256" i="38" s="1"/>
  <c r="F258" i="38" s="1"/>
  <c r="F260" i="38" s="1"/>
  <c r="F55" i="38"/>
  <c r="F56" i="38" s="1"/>
  <c r="F57" i="38" s="1"/>
  <c r="F59" i="38" s="1"/>
  <c r="F61" i="38" s="1"/>
  <c r="F226" i="38"/>
  <c r="F227" i="38" s="1"/>
  <c r="F228" i="38" s="1"/>
  <c r="F230" i="38" s="1"/>
  <c r="F232" i="38" s="1"/>
  <c r="F139" i="38"/>
  <c r="F140" i="38" s="1"/>
  <c r="F141" i="38" s="1"/>
  <c r="F143" i="38" s="1"/>
  <c r="F145" i="38" s="1"/>
  <c r="F198" i="38"/>
  <c r="F199" i="38" s="1"/>
  <c r="F200" i="38" s="1"/>
  <c r="F202" i="38" s="1"/>
  <c r="F204" i="38" s="1"/>
  <c r="F310" i="38"/>
  <c r="F311" i="38" s="1"/>
  <c r="F312" i="38" s="1"/>
  <c r="F314" i="38" s="1"/>
  <c r="F316" i="38" s="1"/>
  <c r="F282" i="38"/>
  <c r="F283" i="38" s="1"/>
  <c r="F284" i="38" s="1"/>
  <c r="F286" i="38" s="1"/>
  <c r="F288" i="38" s="1"/>
  <c r="F27" i="38"/>
  <c r="F28" i="38" s="1"/>
  <c r="F29" i="38" s="1"/>
  <c r="F31" i="38" s="1"/>
  <c r="F33" i="38" s="1"/>
  <c r="F111" i="38"/>
  <c r="F112" i="38" s="1"/>
  <c r="F113" i="38" s="1"/>
  <c r="F115" i="38" s="1"/>
  <c r="F117" i="38" s="1"/>
  <c r="F83" i="38"/>
  <c r="F84" i="38" s="1"/>
  <c r="F85" i="38" s="1"/>
  <c r="F87" i="38" s="1"/>
  <c r="F89" i="38" s="1"/>
  <c r="F168" i="38"/>
  <c r="F169" i="38" s="1"/>
  <c r="F171" i="38" s="1"/>
  <c r="F173" i="38" s="1"/>
  <c r="F182" i="38" s="1"/>
  <c r="F184" i="38" s="1"/>
  <c r="H261" i="28"/>
  <c r="H268" i="28" s="1"/>
  <c r="H205" i="28"/>
  <c r="H212" i="28" s="1"/>
  <c r="H146" i="28"/>
  <c r="H153" i="28" s="1"/>
  <c r="H317" i="28"/>
  <c r="H324" i="28" s="1"/>
  <c r="H90" i="28"/>
  <c r="H97" i="28" s="1"/>
  <c r="H34" i="28"/>
  <c r="H41" i="28" s="1"/>
  <c r="H233" i="28"/>
  <c r="H240" i="28" s="1"/>
  <c r="H62" i="28"/>
  <c r="H69" i="28" s="1"/>
  <c r="H289" i="28"/>
  <c r="H296" i="28" s="1"/>
  <c r="H118" i="28"/>
  <c r="H125" i="28" s="1"/>
  <c r="F62" i="29"/>
  <c r="F261" i="29"/>
  <c r="F118" i="29"/>
  <c r="F317" i="29"/>
  <c r="F205" i="29"/>
  <c r="F90" i="29"/>
  <c r="F146" i="29"/>
  <c r="F233" i="29"/>
  <c r="F289" i="29"/>
  <c r="F34" i="29"/>
  <c r="O102" i="15"/>
  <c r="H198" i="38"/>
  <c r="H199" i="38" s="1"/>
  <c r="H200" i="38" s="1"/>
  <c r="H202" i="38" s="1"/>
  <c r="H204" i="38" s="1"/>
  <c r="H27" i="38"/>
  <c r="H28" i="38" s="1"/>
  <c r="H29" i="38" s="1"/>
  <c r="H31" i="38" s="1"/>
  <c r="H33" i="38" s="1"/>
  <c r="H139" i="38"/>
  <c r="H140" i="38" s="1"/>
  <c r="H141" i="38" s="1"/>
  <c r="H143" i="38" s="1"/>
  <c r="H145" i="38" s="1"/>
  <c r="H111" i="38"/>
  <c r="H112" i="38" s="1"/>
  <c r="H113" i="38" s="1"/>
  <c r="H115" i="38" s="1"/>
  <c r="H117" i="38" s="1"/>
  <c r="H282" i="38"/>
  <c r="H283" i="38" s="1"/>
  <c r="H284" i="38" s="1"/>
  <c r="H286" i="38" s="1"/>
  <c r="H288" i="38" s="1"/>
  <c r="H310" i="38"/>
  <c r="H311" i="38" s="1"/>
  <c r="H312" i="38" s="1"/>
  <c r="H314" i="38" s="1"/>
  <c r="H316" i="38" s="1"/>
  <c r="H55" i="38"/>
  <c r="H56" i="38" s="1"/>
  <c r="H57" i="38" s="1"/>
  <c r="H59" i="38" s="1"/>
  <c r="H61" i="38" s="1"/>
  <c r="H83" i="38"/>
  <c r="H84" i="38" s="1"/>
  <c r="H85" i="38" s="1"/>
  <c r="H87" i="38" s="1"/>
  <c r="H89" i="38" s="1"/>
  <c r="H254" i="38"/>
  <c r="H255" i="38" s="1"/>
  <c r="H256" i="38" s="1"/>
  <c r="H258" i="38" s="1"/>
  <c r="H260" i="38" s="1"/>
  <c r="H226" i="38"/>
  <c r="H227" i="38" s="1"/>
  <c r="H228" i="38" s="1"/>
  <c r="H230" i="38" s="1"/>
  <c r="H232" i="38" s="1"/>
  <c r="H168" i="38"/>
  <c r="H169" i="38" s="1"/>
  <c r="H171" i="38" s="1"/>
  <c r="H173" i="38" s="1"/>
  <c r="E226" i="39"/>
  <c r="E139" i="39"/>
  <c r="E27" i="39"/>
  <c r="E55" i="39"/>
  <c r="E83" i="39"/>
  <c r="E111" i="39"/>
  <c r="E310" i="39"/>
  <c r="P167" i="39"/>
  <c r="E254" i="39"/>
  <c r="E198" i="39"/>
  <c r="E282" i="39"/>
  <c r="P27" i="34"/>
  <c r="E289" i="38"/>
  <c r="E34" i="38"/>
  <c r="E146" i="38"/>
  <c r="E62" i="38"/>
  <c r="E205" i="38"/>
  <c r="E261" i="38"/>
  <c r="E317" i="38"/>
  <c r="E90" i="38"/>
  <c r="E118" i="38"/>
  <c r="E233" i="38"/>
  <c r="P174" i="38"/>
  <c r="E24" i="48"/>
  <c r="X24" i="48" s="1"/>
  <c r="O100" i="15"/>
  <c r="O99" i="15"/>
  <c r="D49" i="10"/>
  <c r="D50" i="10" s="1"/>
  <c r="L94" i="11"/>
  <c r="L95" i="11" s="1"/>
  <c r="F125" i="18"/>
  <c r="G123" i="18"/>
  <c r="G124" i="18" s="1"/>
  <c r="H109" i="25"/>
  <c r="I109" i="25"/>
  <c r="J18" i="24"/>
  <c r="K18" i="24"/>
  <c r="H120" i="25"/>
  <c r="I120" i="25"/>
  <c r="H102" i="25"/>
  <c r="I102" i="25"/>
  <c r="H100" i="25"/>
  <c r="I100" i="25"/>
  <c r="H103" i="25"/>
  <c r="I103" i="25"/>
  <c r="H111" i="25"/>
  <c r="I111" i="25"/>
  <c r="H101" i="25"/>
  <c r="I101" i="25"/>
  <c r="H107" i="25"/>
  <c r="I107" i="25"/>
  <c r="H105" i="25"/>
  <c r="I105" i="25"/>
  <c r="H118" i="25"/>
  <c r="I118" i="25"/>
  <c r="H116" i="25"/>
  <c r="I116" i="25"/>
  <c r="H114" i="25"/>
  <c r="I114" i="25"/>
  <c r="J17" i="24"/>
  <c r="K17" i="24"/>
  <c r="H108" i="25"/>
  <c r="I108" i="25"/>
  <c r="H112" i="25"/>
  <c r="I112" i="25"/>
  <c r="H106" i="25"/>
  <c r="I106" i="25"/>
  <c r="H104" i="25"/>
  <c r="I104" i="25"/>
  <c r="H119" i="25"/>
  <c r="I119" i="25"/>
  <c r="H115" i="25"/>
  <c r="I115" i="25"/>
  <c r="H117" i="25"/>
  <c r="I117" i="25"/>
  <c r="H113" i="25"/>
  <c r="I113" i="25"/>
  <c r="J176" i="35"/>
  <c r="J176" i="39"/>
  <c r="J179" i="37"/>
  <c r="J176" i="38"/>
  <c r="I120" i="43"/>
  <c r="J21" i="10"/>
  <c r="J36" i="34"/>
  <c r="J35" i="34" s="1"/>
  <c r="I121" i="47"/>
  <c r="J176" i="29"/>
  <c r="I121" i="45"/>
  <c r="J176" i="28"/>
  <c r="I121" i="15"/>
  <c r="J176" i="30"/>
  <c r="K17" i="10"/>
  <c r="K19" i="10" s="1"/>
  <c r="K28" i="10" s="1"/>
  <c r="N109" i="18"/>
  <c r="P109" i="18" s="1"/>
  <c r="N105" i="18"/>
  <c r="O100" i="11"/>
  <c r="O101" i="11"/>
  <c r="O102" i="11" s="1"/>
  <c r="O103" i="11" s="1"/>
  <c r="N103" i="11"/>
  <c r="O99" i="11" s="1"/>
  <c r="L199" i="25"/>
  <c r="L211" i="25" s="1"/>
  <c r="L203" i="25"/>
  <c r="L215" i="25" s="1"/>
  <c r="L200" i="25"/>
  <c r="L212" i="25" s="1"/>
  <c r="L204" i="25"/>
  <c r="L216" i="25" s="1"/>
  <c r="L201" i="25"/>
  <c r="L213" i="25" s="1"/>
  <c r="L197" i="25"/>
  <c r="L209" i="25" s="1"/>
  <c r="L205" i="25"/>
  <c r="L217" i="25" s="1"/>
  <c r="L198" i="25"/>
  <c r="L210" i="25" s="1"/>
  <c r="L202" i="25"/>
  <c r="L214" i="25" s="1"/>
  <c r="L196" i="25"/>
  <c r="L208" i="25" s="1"/>
  <c r="L186" i="35"/>
  <c r="L187" i="37"/>
  <c r="O30" i="7"/>
  <c r="O34" i="7" s="1"/>
  <c r="P28" i="7"/>
  <c r="P30" i="7" s="1"/>
  <c r="P34" i="7" s="1"/>
  <c r="E309" i="28"/>
  <c r="M161" i="48"/>
  <c r="M104" i="47" s="1"/>
  <c r="X158" i="48"/>
  <c r="N161" i="48" s="1"/>
  <c r="M224" i="48"/>
  <c r="M107" i="47" s="1"/>
  <c r="X221" i="48"/>
  <c r="N224" i="48" s="1"/>
  <c r="I199" i="39"/>
  <c r="P197" i="39"/>
  <c r="M227" i="39"/>
  <c r="P225" i="39"/>
  <c r="E138" i="35"/>
  <c r="E54" i="30"/>
  <c r="E82" i="28"/>
  <c r="E168" i="39"/>
  <c r="H21" i="15"/>
  <c r="O20" i="15"/>
  <c r="I51" i="28"/>
  <c r="I306" i="28"/>
  <c r="I222" i="28"/>
  <c r="I135" i="28"/>
  <c r="I107" i="28"/>
  <c r="I79" i="28"/>
  <c r="I23" i="28"/>
  <c r="I278" i="28"/>
  <c r="I194" i="28"/>
  <c r="I250" i="28"/>
  <c r="I164" i="28"/>
  <c r="P163" i="28"/>
  <c r="X179" i="48"/>
  <c r="N182" i="48" s="1"/>
  <c r="L57" i="28"/>
  <c r="L59" i="28" s="1"/>
  <c r="L61" i="28" s="1"/>
  <c r="L70" i="28" s="1"/>
  <c r="M278" i="30"/>
  <c r="M279" i="30" s="1"/>
  <c r="M281" i="30" s="1"/>
  <c r="M283" i="30" s="1"/>
  <c r="M222" i="30"/>
  <c r="M223" i="30" s="1"/>
  <c r="M225" i="30" s="1"/>
  <c r="M227" i="30" s="1"/>
  <c r="M194" i="30"/>
  <c r="M195" i="30" s="1"/>
  <c r="M197" i="30" s="1"/>
  <c r="M199" i="30" s="1"/>
  <c r="M107" i="30"/>
  <c r="M108" i="30" s="1"/>
  <c r="M110" i="30" s="1"/>
  <c r="M112" i="30" s="1"/>
  <c r="M135" i="30"/>
  <c r="M136" i="30" s="1"/>
  <c r="M138" i="30" s="1"/>
  <c r="M140" i="30" s="1"/>
  <c r="M164" i="30"/>
  <c r="M166" i="30" s="1"/>
  <c r="M168" i="30" s="1"/>
  <c r="M51" i="30"/>
  <c r="M52" i="30" s="1"/>
  <c r="M54" i="30" s="1"/>
  <c r="M56" i="30" s="1"/>
  <c r="M23" i="30"/>
  <c r="M24" i="30" s="1"/>
  <c r="M26" i="30" s="1"/>
  <c r="M28" i="30" s="1"/>
  <c r="M79" i="30"/>
  <c r="M80" i="30" s="1"/>
  <c r="M82" i="30" s="1"/>
  <c r="M84" i="30" s="1"/>
  <c r="M306" i="30"/>
  <c r="M307" i="30" s="1"/>
  <c r="M309" i="30" s="1"/>
  <c r="M311" i="30" s="1"/>
  <c r="M250" i="30"/>
  <c r="M251" i="30" s="1"/>
  <c r="M253" i="30" s="1"/>
  <c r="M255" i="30" s="1"/>
  <c r="L91" i="11"/>
  <c r="L116" i="11" s="1"/>
  <c r="K119" i="11"/>
  <c r="L29" i="35"/>
  <c r="L31" i="35" s="1"/>
  <c r="L33" i="35" s="1"/>
  <c r="L42" i="35" s="1"/>
  <c r="P110" i="38"/>
  <c r="M106" i="43"/>
  <c r="N196" i="42"/>
  <c r="F212" i="28"/>
  <c r="D46" i="15"/>
  <c r="D43" i="15"/>
  <c r="D44" i="15"/>
  <c r="D47" i="15"/>
  <c r="D45" i="15"/>
  <c r="D37" i="15"/>
  <c r="D38" i="15"/>
  <c r="D39" i="15"/>
  <c r="D40" i="15"/>
  <c r="D41" i="15"/>
  <c r="E253" i="35"/>
  <c r="K57" i="47"/>
  <c r="K81" i="47" s="1"/>
  <c r="K94" i="47" s="1"/>
  <c r="K158" i="47" s="1"/>
  <c r="K171" i="47" s="1"/>
  <c r="K58" i="47"/>
  <c r="K82" i="47" s="1"/>
  <c r="K95" i="47" s="1"/>
  <c r="K159" i="47" s="1"/>
  <c r="K172" i="47" s="1"/>
  <c r="N14" i="10"/>
  <c r="L76" i="26"/>
  <c r="L85" i="26"/>
  <c r="N29" i="34"/>
  <c r="N31" i="34" s="1"/>
  <c r="N33" i="34" s="1"/>
  <c r="N42" i="34" s="1"/>
  <c r="N44" i="34" s="1"/>
  <c r="K58" i="43"/>
  <c r="K82" i="43" s="1"/>
  <c r="K95" i="43" s="1"/>
  <c r="K159" i="43" s="1"/>
  <c r="K172" i="43" s="1"/>
  <c r="K50" i="43"/>
  <c r="K74" i="43" s="1"/>
  <c r="K87" i="43" s="1"/>
  <c r="K151" i="43" s="1"/>
  <c r="K164" i="43" s="1"/>
  <c r="L228" i="30"/>
  <c r="L230" i="30" s="1"/>
  <c r="L232" i="30" s="1"/>
  <c r="L241" i="30" s="1"/>
  <c r="D60" i="25"/>
  <c r="D71" i="25" s="1"/>
  <c r="E168" i="35"/>
  <c r="E138" i="29"/>
  <c r="L29" i="29"/>
  <c r="L31" i="29" s="1"/>
  <c r="L33" i="29" s="1"/>
  <c r="L42" i="29" s="1"/>
  <c r="L284" i="29"/>
  <c r="L286" i="29" s="1"/>
  <c r="L288" i="29" s="1"/>
  <c r="L297" i="29" s="1"/>
  <c r="K49" i="15"/>
  <c r="K73" i="15" s="1"/>
  <c r="K86" i="15" s="1"/>
  <c r="K150" i="15" s="1"/>
  <c r="K163" i="15" s="1"/>
  <c r="K59" i="45"/>
  <c r="K83" i="45" s="1"/>
  <c r="K96" i="45" s="1"/>
  <c r="K160" i="45" s="1"/>
  <c r="K173" i="45" s="1"/>
  <c r="F212" i="29"/>
  <c r="F125" i="29"/>
  <c r="F69" i="29"/>
  <c r="F268" i="29"/>
  <c r="F324" i="29"/>
  <c r="F97" i="29"/>
  <c r="F240" i="29"/>
  <c r="F41" i="29"/>
  <c r="F153" i="29"/>
  <c r="F296" i="29"/>
  <c r="E225" i="35"/>
  <c r="M203" i="48"/>
  <c r="M106" i="47" s="1"/>
  <c r="X200" i="48"/>
  <c r="N203" i="48" s="1"/>
  <c r="I30" i="7"/>
  <c r="I34" i="7" s="1"/>
  <c r="I35" i="7" s="1"/>
  <c r="J28" i="7"/>
  <c r="E54" i="29"/>
  <c r="E161" i="25"/>
  <c r="L15" i="10"/>
  <c r="AC19" i="19" s="1"/>
  <c r="AC22" i="19" s="1"/>
  <c r="AC25" i="19" s="1"/>
  <c r="H20" i="43"/>
  <c r="O19" i="43"/>
  <c r="I194" i="35"/>
  <c r="I222" i="35"/>
  <c r="I79" i="35"/>
  <c r="I107" i="35"/>
  <c r="I135" i="35"/>
  <c r="I51" i="35"/>
  <c r="I306" i="35"/>
  <c r="I250" i="35"/>
  <c r="I278" i="35"/>
  <c r="I23" i="35"/>
  <c r="I164" i="35"/>
  <c r="P163" i="35"/>
  <c r="L145" i="47"/>
  <c r="O105" i="47"/>
  <c r="L228" i="28"/>
  <c r="L230" i="28" s="1"/>
  <c r="L232" i="28" s="1"/>
  <c r="L241" i="28" s="1"/>
  <c r="L40" i="47"/>
  <c r="L41" i="47"/>
  <c r="L44" i="47"/>
  <c r="L43" i="47"/>
  <c r="L45" i="47"/>
  <c r="L37" i="47"/>
  <c r="L47" i="47"/>
  <c r="L39" i="47"/>
  <c r="L46" i="47"/>
  <c r="L38" i="47"/>
  <c r="M107" i="28"/>
  <c r="M108" i="28" s="1"/>
  <c r="M110" i="28" s="1"/>
  <c r="M112" i="28" s="1"/>
  <c r="M79" i="28"/>
  <c r="M80" i="28" s="1"/>
  <c r="M82" i="28" s="1"/>
  <c r="M84" i="28" s="1"/>
  <c r="M306" i="28"/>
  <c r="M307" i="28" s="1"/>
  <c r="M309" i="28" s="1"/>
  <c r="M311" i="28" s="1"/>
  <c r="M23" i="28"/>
  <c r="M24" i="28" s="1"/>
  <c r="M26" i="28" s="1"/>
  <c r="M28" i="28" s="1"/>
  <c r="M278" i="28"/>
  <c r="M279" i="28" s="1"/>
  <c r="M281" i="28" s="1"/>
  <c r="M283" i="28" s="1"/>
  <c r="M164" i="28"/>
  <c r="M166" i="28" s="1"/>
  <c r="M168" i="28" s="1"/>
  <c r="M194" i="28"/>
  <c r="M195" i="28" s="1"/>
  <c r="M197" i="28" s="1"/>
  <c r="M199" i="28" s="1"/>
  <c r="M250" i="28"/>
  <c r="M251" i="28" s="1"/>
  <c r="M253" i="28" s="1"/>
  <c r="M255" i="28" s="1"/>
  <c r="M222" i="28"/>
  <c r="M223" i="28" s="1"/>
  <c r="M225" i="28" s="1"/>
  <c r="M227" i="28" s="1"/>
  <c r="M135" i="28"/>
  <c r="M136" i="28" s="1"/>
  <c r="M138" i="28" s="1"/>
  <c r="M140" i="28" s="1"/>
  <c r="M51" i="28"/>
  <c r="M52" i="28" s="1"/>
  <c r="M54" i="28" s="1"/>
  <c r="M56" i="28" s="1"/>
  <c r="L284" i="35"/>
  <c r="L286" i="35" s="1"/>
  <c r="L288" i="35" s="1"/>
  <c r="L297" i="35" s="1"/>
  <c r="E225" i="28"/>
  <c r="K55" i="47"/>
  <c r="K79" i="47" s="1"/>
  <c r="K92" i="47" s="1"/>
  <c r="K156" i="47" s="1"/>
  <c r="K169" i="47" s="1"/>
  <c r="N162" i="25"/>
  <c r="N164" i="25" s="1"/>
  <c r="N166" i="25" s="1"/>
  <c r="M47" i="45"/>
  <c r="M45" i="45"/>
  <c r="M41" i="45"/>
  <c r="M46" i="45"/>
  <c r="M40" i="45"/>
  <c r="M39" i="45"/>
  <c r="M37" i="45"/>
  <c r="M43" i="45"/>
  <c r="M44" i="45"/>
  <c r="M38" i="45"/>
  <c r="K57" i="43"/>
  <c r="K81" i="43" s="1"/>
  <c r="K94" i="43" s="1"/>
  <c r="K158" i="43" s="1"/>
  <c r="K171" i="43" s="1"/>
  <c r="L169" i="30"/>
  <c r="L171" i="30" s="1"/>
  <c r="L173" i="30" s="1"/>
  <c r="L182" i="30" s="1"/>
  <c r="L284" i="30"/>
  <c r="L286" i="30" s="1"/>
  <c r="L288" i="30" s="1"/>
  <c r="L297" i="30" s="1"/>
  <c r="D65" i="25"/>
  <c r="D76" i="25" s="1"/>
  <c r="L113" i="29"/>
  <c r="L115" i="29" s="1"/>
  <c r="L117" i="29" s="1"/>
  <c r="L126" i="29" s="1"/>
  <c r="L57" i="29"/>
  <c r="L59" i="29" s="1"/>
  <c r="L61" i="29" s="1"/>
  <c r="L70" i="29" s="1"/>
  <c r="E138" i="30"/>
  <c r="D42" i="43"/>
  <c r="D43" i="43"/>
  <c r="D44" i="43"/>
  <c r="D45" i="43"/>
  <c r="D37" i="43"/>
  <c r="D46" i="43"/>
  <c r="D38" i="43"/>
  <c r="D36" i="43"/>
  <c r="D39" i="43"/>
  <c r="D40" i="43"/>
  <c r="P138" i="39"/>
  <c r="K58" i="15"/>
  <c r="K82" i="15" s="1"/>
  <c r="K95" i="15" s="1"/>
  <c r="K159" i="15" s="1"/>
  <c r="K172" i="15" s="1"/>
  <c r="K56" i="45"/>
  <c r="K80" i="45" s="1"/>
  <c r="K93" i="45" s="1"/>
  <c r="K157" i="45" s="1"/>
  <c r="K170" i="45" s="1"/>
  <c r="E168" i="30"/>
  <c r="M255" i="39"/>
  <c r="P253" i="39"/>
  <c r="E54" i="28"/>
  <c r="F42" i="34"/>
  <c r="F44" i="34" s="1"/>
  <c r="E281" i="35"/>
  <c r="M119" i="48"/>
  <c r="M102" i="47" s="1"/>
  <c r="X116" i="48"/>
  <c r="N119" i="48" s="1"/>
  <c r="E197" i="30"/>
  <c r="F125" i="28"/>
  <c r="F41" i="28"/>
  <c r="E197" i="28"/>
  <c r="L106" i="18"/>
  <c r="M106" i="18" s="1"/>
  <c r="D75" i="18" s="1"/>
  <c r="I164" i="39"/>
  <c r="P163" i="39"/>
  <c r="L141" i="28"/>
  <c r="L143" i="28" s="1"/>
  <c r="L145" i="28" s="1"/>
  <c r="L154" i="28" s="1"/>
  <c r="E309" i="30"/>
  <c r="M169" i="38"/>
  <c r="M171" i="38" s="1"/>
  <c r="M173" i="38" s="1"/>
  <c r="M182" i="38" s="1"/>
  <c r="M184" i="38" s="1"/>
  <c r="L44" i="45"/>
  <c r="L47" i="45"/>
  <c r="L38" i="45"/>
  <c r="L40" i="45"/>
  <c r="L43" i="45"/>
  <c r="L46" i="45"/>
  <c r="L45" i="45"/>
  <c r="L41" i="45"/>
  <c r="L37" i="45"/>
  <c r="L39" i="45"/>
  <c r="M92" i="11"/>
  <c r="M93" i="11"/>
  <c r="M117" i="11" s="1"/>
  <c r="L118" i="11"/>
  <c r="F324" i="35"/>
  <c r="F41" i="35"/>
  <c r="F125" i="35"/>
  <c r="F69" i="35"/>
  <c r="F268" i="35"/>
  <c r="F153" i="35"/>
  <c r="F97" i="35"/>
  <c r="F212" i="35"/>
  <c r="F296" i="35"/>
  <c r="F240" i="35"/>
  <c r="E171" i="37"/>
  <c r="L169" i="35"/>
  <c r="L171" i="35" s="1"/>
  <c r="L173" i="35" s="1"/>
  <c r="L182" i="35" s="1"/>
  <c r="L184" i="35" s="1"/>
  <c r="L256" i="35"/>
  <c r="L258" i="35" s="1"/>
  <c r="L260" i="35" s="1"/>
  <c r="L269" i="35" s="1"/>
  <c r="P281" i="39"/>
  <c r="K49" i="47"/>
  <c r="K73" i="47" s="1"/>
  <c r="K86" i="47" s="1"/>
  <c r="K150" i="47" s="1"/>
  <c r="K163" i="47" s="1"/>
  <c r="P82" i="39"/>
  <c r="N169" i="39"/>
  <c r="N171" i="39" s="1"/>
  <c r="N173" i="39" s="1"/>
  <c r="N182" i="39" s="1"/>
  <c r="N184" i="39" s="1"/>
  <c r="G19" i="10"/>
  <c r="G28" i="10" s="1"/>
  <c r="D46" i="45"/>
  <c r="D40" i="45"/>
  <c r="D37" i="45"/>
  <c r="D43" i="45"/>
  <c r="D39" i="45"/>
  <c r="D45" i="45"/>
  <c r="D41" i="45"/>
  <c r="D44" i="45"/>
  <c r="D47" i="45"/>
  <c r="D38" i="45"/>
  <c r="K55" i="43"/>
  <c r="K79" i="43" s="1"/>
  <c r="K92" i="43" s="1"/>
  <c r="K156" i="43" s="1"/>
  <c r="K169" i="43" s="1"/>
  <c r="L29" i="30"/>
  <c r="L31" i="30" s="1"/>
  <c r="L33" i="30" s="1"/>
  <c r="L42" i="30" s="1"/>
  <c r="L43" i="28" s="1"/>
  <c r="L57" i="30"/>
  <c r="L59" i="30" s="1"/>
  <c r="L61" i="30" s="1"/>
  <c r="L70" i="30" s="1"/>
  <c r="D68" i="25"/>
  <c r="D79" i="25" s="1"/>
  <c r="D69" i="25"/>
  <c r="D80" i="25" s="1"/>
  <c r="F324" i="28"/>
  <c r="P54" i="37"/>
  <c r="H17" i="10"/>
  <c r="L200" i="29"/>
  <c r="L202" i="29" s="1"/>
  <c r="L204" i="29" s="1"/>
  <c r="L213" i="29" s="1"/>
  <c r="E309" i="29"/>
  <c r="K57" i="15"/>
  <c r="K81" i="15" s="1"/>
  <c r="K94" i="15" s="1"/>
  <c r="K158" i="15" s="1"/>
  <c r="K171" i="15" s="1"/>
  <c r="K53" i="45"/>
  <c r="K77" i="45" s="1"/>
  <c r="K90" i="45" s="1"/>
  <c r="K154" i="45" s="1"/>
  <c r="K167" i="45" s="1"/>
  <c r="N33" i="41"/>
  <c r="E281" i="29"/>
  <c r="E253" i="28"/>
  <c r="F324" i="38"/>
  <c r="F296" i="38"/>
  <c r="F268" i="38"/>
  <c r="F240" i="38"/>
  <c r="F153" i="38"/>
  <c r="F212" i="38"/>
  <c r="F125" i="38"/>
  <c r="F41" i="38"/>
  <c r="F97" i="38"/>
  <c r="F69" i="38"/>
  <c r="Q163" i="28"/>
  <c r="Q163" i="30"/>
  <c r="Q163" i="39"/>
  <c r="Q163" i="38"/>
  <c r="I107" i="29"/>
  <c r="I194" i="29"/>
  <c r="I79" i="29"/>
  <c r="I135" i="29"/>
  <c r="I250" i="29"/>
  <c r="I306" i="29"/>
  <c r="I222" i="29"/>
  <c r="I278" i="29"/>
  <c r="I51" i="29"/>
  <c r="I23" i="29"/>
  <c r="I164" i="29"/>
  <c r="P163" i="29"/>
  <c r="L256" i="28"/>
  <c r="L258" i="28" s="1"/>
  <c r="L260" i="28" s="1"/>
  <c r="L269" i="28" s="1"/>
  <c r="M29" i="34"/>
  <c r="M31" i="34" s="1"/>
  <c r="M33" i="34" s="1"/>
  <c r="M42" i="34" s="1"/>
  <c r="M44" i="34" s="1"/>
  <c r="M14" i="10"/>
  <c r="K76" i="26"/>
  <c r="K85" i="26"/>
  <c r="E168" i="28"/>
  <c r="L200" i="35"/>
  <c r="L202" i="35" s="1"/>
  <c r="L204" i="35" s="1"/>
  <c r="L213" i="35" s="1"/>
  <c r="L85" i="35"/>
  <c r="L87" i="35" s="1"/>
  <c r="L89" i="35" s="1"/>
  <c r="L98" i="35" s="1"/>
  <c r="K56" i="47"/>
  <c r="K80" i="47" s="1"/>
  <c r="K93" i="47" s="1"/>
  <c r="K157" i="47" s="1"/>
  <c r="K170" i="47" s="1"/>
  <c r="E26" i="28"/>
  <c r="M40" i="47"/>
  <c r="M44" i="47"/>
  <c r="M47" i="47"/>
  <c r="M46" i="47"/>
  <c r="M43" i="47"/>
  <c r="M41" i="47"/>
  <c r="M39" i="47"/>
  <c r="M45" i="47"/>
  <c r="M37" i="47"/>
  <c r="M38" i="47"/>
  <c r="M107" i="43"/>
  <c r="N214" i="42"/>
  <c r="M56" i="39"/>
  <c r="P54" i="39"/>
  <c r="E110" i="29"/>
  <c r="K48" i="43"/>
  <c r="K72" i="43" s="1"/>
  <c r="K85" i="43" s="1"/>
  <c r="K149" i="43" s="1"/>
  <c r="K162" i="43" s="1"/>
  <c r="L113" i="30"/>
  <c r="L115" i="30" s="1"/>
  <c r="L117" i="30" s="1"/>
  <c r="L126" i="30" s="1"/>
  <c r="L200" i="30"/>
  <c r="L202" i="30" s="1"/>
  <c r="L204" i="30" s="1"/>
  <c r="L213" i="30" s="1"/>
  <c r="D63" i="25"/>
  <c r="D74" i="25" s="1"/>
  <c r="D62" i="25"/>
  <c r="D73" i="25" s="1"/>
  <c r="E138" i="28"/>
  <c r="L228" i="29"/>
  <c r="L230" i="29" s="1"/>
  <c r="L232" i="29" s="1"/>
  <c r="L241" i="29" s="1"/>
  <c r="E281" i="28"/>
  <c r="I255" i="38"/>
  <c r="P253" i="38"/>
  <c r="O101" i="47"/>
  <c r="K52" i="15"/>
  <c r="K76" i="15" s="1"/>
  <c r="K89" i="15" s="1"/>
  <c r="K153" i="15" s="1"/>
  <c r="K166" i="15" s="1"/>
  <c r="K50" i="15"/>
  <c r="K74" i="15" s="1"/>
  <c r="K87" i="15" s="1"/>
  <c r="K151" i="15" s="1"/>
  <c r="K164" i="15" s="1"/>
  <c r="K49" i="45"/>
  <c r="K73" i="45" s="1"/>
  <c r="K86" i="45" s="1"/>
  <c r="K150" i="45" s="1"/>
  <c r="K163" i="45" s="1"/>
  <c r="M15" i="7"/>
  <c r="M17" i="7" s="1"/>
  <c r="M21" i="7" s="1"/>
  <c r="M22" i="7" s="1"/>
  <c r="M33" i="7" s="1"/>
  <c r="M35" i="7" s="1"/>
  <c r="L11" i="24"/>
  <c r="K76" i="11"/>
  <c r="L41" i="11"/>
  <c r="L73" i="11" s="1"/>
  <c r="K27" i="25"/>
  <c r="L138" i="15"/>
  <c r="O98" i="15"/>
  <c r="E281" i="30"/>
  <c r="F271" i="37"/>
  <c r="F243" i="37"/>
  <c r="F156" i="37"/>
  <c r="F128" i="37"/>
  <c r="F97" i="37"/>
  <c r="F41" i="37"/>
  <c r="F69" i="37"/>
  <c r="F327" i="37"/>
  <c r="F215" i="37"/>
  <c r="F299" i="37"/>
  <c r="I12" i="10"/>
  <c r="P10" i="10"/>
  <c r="I24" i="34"/>
  <c r="P23" i="34"/>
  <c r="E26" i="29"/>
  <c r="L200" i="28"/>
  <c r="L202" i="28" s="1"/>
  <c r="L204" i="28" s="1"/>
  <c r="L213" i="28" s="1"/>
  <c r="E82" i="30"/>
  <c r="L37" i="15"/>
  <c r="L44" i="15"/>
  <c r="L47" i="15"/>
  <c r="L46" i="15"/>
  <c r="L43" i="15"/>
  <c r="L40" i="15"/>
  <c r="L39" i="15"/>
  <c r="L41" i="15"/>
  <c r="L38" i="15"/>
  <c r="L45" i="15"/>
  <c r="M278" i="29"/>
  <c r="M279" i="29" s="1"/>
  <c r="M281" i="29" s="1"/>
  <c r="M283" i="29" s="1"/>
  <c r="M306" i="29"/>
  <c r="M307" i="29" s="1"/>
  <c r="M309" i="29" s="1"/>
  <c r="M311" i="29" s="1"/>
  <c r="M250" i="29"/>
  <c r="M251" i="29" s="1"/>
  <c r="M253" i="29" s="1"/>
  <c r="M255" i="29" s="1"/>
  <c r="M222" i="29"/>
  <c r="M223" i="29" s="1"/>
  <c r="M225" i="29" s="1"/>
  <c r="M227" i="29" s="1"/>
  <c r="M135" i="29"/>
  <c r="M136" i="29" s="1"/>
  <c r="M138" i="29" s="1"/>
  <c r="M140" i="29" s="1"/>
  <c r="M194" i="29"/>
  <c r="M195" i="29" s="1"/>
  <c r="M197" i="29" s="1"/>
  <c r="M199" i="29" s="1"/>
  <c r="M107" i="29"/>
  <c r="M108" i="29" s="1"/>
  <c r="M110" i="29" s="1"/>
  <c r="M112" i="29" s="1"/>
  <c r="M79" i="29"/>
  <c r="M80" i="29" s="1"/>
  <c r="M82" i="29" s="1"/>
  <c r="M84" i="29" s="1"/>
  <c r="M23" i="29"/>
  <c r="M24" i="29" s="1"/>
  <c r="M26" i="29" s="1"/>
  <c r="M28" i="29" s="1"/>
  <c r="M164" i="29"/>
  <c r="M166" i="29" s="1"/>
  <c r="M168" i="29" s="1"/>
  <c r="M51" i="29"/>
  <c r="M52" i="29" s="1"/>
  <c r="M54" i="29" s="1"/>
  <c r="M56" i="29" s="1"/>
  <c r="E110" i="28"/>
  <c r="E225" i="29"/>
  <c r="L228" i="35"/>
  <c r="L230" i="35" s="1"/>
  <c r="L232" i="35" s="1"/>
  <c r="L241" i="35" s="1"/>
  <c r="L312" i="35"/>
  <c r="L314" i="35" s="1"/>
  <c r="L316" i="35" s="1"/>
  <c r="L325" i="35" s="1"/>
  <c r="K53" i="47"/>
  <c r="K77" i="47" s="1"/>
  <c r="K90" i="47" s="1"/>
  <c r="K154" i="47" s="1"/>
  <c r="K167" i="47" s="1"/>
  <c r="F97" i="39"/>
  <c r="F324" i="39"/>
  <c r="F296" i="39"/>
  <c r="F268" i="39"/>
  <c r="F240" i="39"/>
  <c r="F212" i="39"/>
  <c r="F153" i="39"/>
  <c r="F125" i="39"/>
  <c r="F41" i="39"/>
  <c r="F69" i="39"/>
  <c r="N222" i="30"/>
  <c r="N223" i="30" s="1"/>
  <c r="N225" i="30" s="1"/>
  <c r="N227" i="30" s="1"/>
  <c r="N135" i="30"/>
  <c r="N136" i="30" s="1"/>
  <c r="N138" i="30" s="1"/>
  <c r="N140" i="30" s="1"/>
  <c r="N51" i="30"/>
  <c r="N52" i="30" s="1"/>
  <c r="N54" i="30" s="1"/>
  <c r="N56" i="30" s="1"/>
  <c r="N79" i="30"/>
  <c r="N80" i="30" s="1"/>
  <c r="N82" i="30" s="1"/>
  <c r="N84" i="30" s="1"/>
  <c r="N306" i="30"/>
  <c r="N307" i="30" s="1"/>
  <c r="N309" i="30" s="1"/>
  <c r="N311" i="30" s="1"/>
  <c r="N107" i="30"/>
  <c r="N108" i="30" s="1"/>
  <c r="N110" i="30" s="1"/>
  <c r="N112" i="30" s="1"/>
  <c r="N23" i="30"/>
  <c r="N24" i="30" s="1"/>
  <c r="N26" i="30" s="1"/>
  <c r="N28" i="30" s="1"/>
  <c r="N278" i="30"/>
  <c r="N279" i="30" s="1"/>
  <c r="N281" i="30" s="1"/>
  <c r="N283" i="30" s="1"/>
  <c r="N194" i="30"/>
  <c r="N195" i="30" s="1"/>
  <c r="N197" i="30" s="1"/>
  <c r="N199" i="30" s="1"/>
  <c r="N250" i="30"/>
  <c r="N251" i="30" s="1"/>
  <c r="N253" i="30" s="1"/>
  <c r="N255" i="30" s="1"/>
  <c r="N164" i="30"/>
  <c r="N166" i="30" s="1"/>
  <c r="N168" i="30" s="1"/>
  <c r="M37" i="15"/>
  <c r="M46" i="15"/>
  <c r="M47" i="15"/>
  <c r="M43" i="15"/>
  <c r="M44" i="15"/>
  <c r="M45" i="15"/>
  <c r="M40" i="15"/>
  <c r="M38" i="15"/>
  <c r="M41" i="15"/>
  <c r="M39" i="15"/>
  <c r="M34" i="43"/>
  <c r="O34" i="43" s="1"/>
  <c r="N213" i="42"/>
  <c r="K54" i="43"/>
  <c r="K78" i="43" s="1"/>
  <c r="K91" i="43" s="1"/>
  <c r="K155" i="43" s="1"/>
  <c r="K168" i="43" s="1"/>
  <c r="L85" i="30"/>
  <c r="L87" i="30" s="1"/>
  <c r="L89" i="30" s="1"/>
  <c r="L98" i="30" s="1"/>
  <c r="D67" i="25"/>
  <c r="D78" i="25" s="1"/>
  <c r="L141" i="29"/>
  <c r="L143" i="29" s="1"/>
  <c r="L145" i="29" s="1"/>
  <c r="L154" i="29" s="1"/>
  <c r="E54" i="35"/>
  <c r="M144" i="45"/>
  <c r="O104" i="45"/>
  <c r="E253" i="29"/>
  <c r="K59" i="15"/>
  <c r="K83" i="15" s="1"/>
  <c r="K96" i="15" s="1"/>
  <c r="K160" i="15" s="1"/>
  <c r="K173" i="15" s="1"/>
  <c r="K55" i="15"/>
  <c r="K79" i="15" s="1"/>
  <c r="K92" i="15" s="1"/>
  <c r="K156" i="15" s="1"/>
  <c r="K169" i="15" s="1"/>
  <c r="K51" i="45"/>
  <c r="K75" i="45" s="1"/>
  <c r="K88" i="45" s="1"/>
  <c r="K152" i="45" s="1"/>
  <c r="K165" i="45" s="1"/>
  <c r="M56" i="48"/>
  <c r="M99" i="47" s="1"/>
  <c r="X53" i="48"/>
  <c r="N56" i="48" s="1"/>
  <c r="H21" i="47"/>
  <c r="O20" i="47"/>
  <c r="H21" i="45"/>
  <c r="O20" i="45"/>
  <c r="L169" i="28"/>
  <c r="L171" i="28" s="1"/>
  <c r="L173" i="28" s="1"/>
  <c r="L182" i="28" s="1"/>
  <c r="L184" i="28" s="1"/>
  <c r="L29" i="28"/>
  <c r="L31" i="28" s="1"/>
  <c r="L33" i="28" s="1"/>
  <c r="L42" i="28" s="1"/>
  <c r="L42" i="43"/>
  <c r="L45" i="43"/>
  <c r="L39" i="43"/>
  <c r="L37" i="43"/>
  <c r="L40" i="43"/>
  <c r="L46" i="43"/>
  <c r="L36" i="43"/>
  <c r="L43" i="43"/>
  <c r="L38" i="43"/>
  <c r="L44" i="43"/>
  <c r="M172" i="37"/>
  <c r="M174" i="37" s="1"/>
  <c r="M176" i="37" s="1"/>
  <c r="M185" i="37" s="1"/>
  <c r="L141" i="35"/>
  <c r="L143" i="35" s="1"/>
  <c r="L145" i="35" s="1"/>
  <c r="L154" i="35" s="1"/>
  <c r="D51" i="10"/>
  <c r="D52" i="10" s="1"/>
  <c r="F16" i="24" s="1"/>
  <c r="F22" i="24" s="1"/>
  <c r="E25" i="10" s="1"/>
  <c r="K52" i="47"/>
  <c r="K76" i="47" s="1"/>
  <c r="K89" i="47" s="1"/>
  <c r="K153" i="47" s="1"/>
  <c r="K166" i="47" s="1"/>
  <c r="N278" i="28"/>
  <c r="N279" i="28" s="1"/>
  <c r="N281" i="28" s="1"/>
  <c r="N283" i="28" s="1"/>
  <c r="N250" i="28"/>
  <c r="N251" i="28" s="1"/>
  <c r="N253" i="28" s="1"/>
  <c r="N255" i="28" s="1"/>
  <c r="N194" i="28"/>
  <c r="N195" i="28" s="1"/>
  <c r="N197" i="28" s="1"/>
  <c r="N199" i="28" s="1"/>
  <c r="N222" i="28"/>
  <c r="N223" i="28" s="1"/>
  <c r="N225" i="28" s="1"/>
  <c r="N227" i="28" s="1"/>
  <c r="N135" i="28"/>
  <c r="N136" i="28" s="1"/>
  <c r="N138" i="28" s="1"/>
  <c r="N140" i="28" s="1"/>
  <c r="N107" i="28"/>
  <c r="N108" i="28" s="1"/>
  <c r="N110" i="28" s="1"/>
  <c r="N112" i="28" s="1"/>
  <c r="N51" i="28"/>
  <c r="N52" i="28" s="1"/>
  <c r="N54" i="28" s="1"/>
  <c r="N56" i="28" s="1"/>
  <c r="N79" i="28"/>
  <c r="N80" i="28" s="1"/>
  <c r="N82" i="28" s="1"/>
  <c r="N84" i="28" s="1"/>
  <c r="N306" i="28"/>
  <c r="N307" i="28" s="1"/>
  <c r="N309" i="28" s="1"/>
  <c r="N311" i="28" s="1"/>
  <c r="N23" i="28"/>
  <c r="N24" i="28" s="1"/>
  <c r="N26" i="28" s="1"/>
  <c r="N28" i="28" s="1"/>
  <c r="N164" i="28"/>
  <c r="N166" i="28" s="1"/>
  <c r="N168" i="28" s="1"/>
  <c r="M38" i="43"/>
  <c r="M39" i="43"/>
  <c r="M37" i="43"/>
  <c r="M40" i="43"/>
  <c r="M44" i="43"/>
  <c r="M36" i="43"/>
  <c r="M42" i="43"/>
  <c r="M43" i="43"/>
  <c r="K52" i="43"/>
  <c r="K76" i="43" s="1"/>
  <c r="K89" i="43" s="1"/>
  <c r="K153" i="43" s="1"/>
  <c r="K166" i="43" s="1"/>
  <c r="L141" i="30"/>
  <c r="L143" i="30" s="1"/>
  <c r="L145" i="30" s="1"/>
  <c r="L154" i="30" s="1"/>
  <c r="E253" i="30"/>
  <c r="D64" i="25"/>
  <c r="D75" i="25" s="1"/>
  <c r="M147" i="45"/>
  <c r="O107" i="45"/>
  <c r="L256" i="29"/>
  <c r="L258" i="29" s="1"/>
  <c r="L260" i="29" s="1"/>
  <c r="L269" i="29" s="1"/>
  <c r="K51" i="15"/>
  <c r="K75" i="15" s="1"/>
  <c r="K88" i="15" s="1"/>
  <c r="K152" i="15" s="1"/>
  <c r="K165" i="15" s="1"/>
  <c r="K57" i="45"/>
  <c r="K81" i="45" s="1"/>
  <c r="K94" i="45" s="1"/>
  <c r="K158" i="45" s="1"/>
  <c r="K171" i="45" s="1"/>
  <c r="K55" i="45"/>
  <c r="K79" i="45" s="1"/>
  <c r="K92" i="45" s="1"/>
  <c r="K156" i="45" s="1"/>
  <c r="K169" i="45" s="1"/>
  <c r="M44" i="11"/>
  <c r="L75" i="11"/>
  <c r="L45" i="11"/>
  <c r="E15" i="10"/>
  <c r="E17" i="10" s="1"/>
  <c r="M77" i="48"/>
  <c r="M100" i="47" s="1"/>
  <c r="X74" i="48"/>
  <c r="N77" i="48" s="1"/>
  <c r="I164" i="38"/>
  <c r="P163" i="38"/>
  <c r="I135" i="30"/>
  <c r="I23" i="30"/>
  <c r="I194" i="30"/>
  <c r="I107" i="30"/>
  <c r="I79" i="30"/>
  <c r="I278" i="30"/>
  <c r="I51" i="30"/>
  <c r="I306" i="30"/>
  <c r="I250" i="30"/>
  <c r="I222" i="30"/>
  <c r="I164" i="30"/>
  <c r="P163" i="30"/>
  <c r="L312" i="28"/>
  <c r="L314" i="28" s="1"/>
  <c r="L316" i="28" s="1"/>
  <c r="L325" i="28" s="1"/>
  <c r="L284" i="28"/>
  <c r="L286" i="28" s="1"/>
  <c r="L288" i="28" s="1"/>
  <c r="L297" i="28" s="1"/>
  <c r="M169" i="39"/>
  <c r="M171" i="39" s="1"/>
  <c r="M173" i="39" s="1"/>
  <c r="M182" i="39" s="1"/>
  <c r="M184" i="39" s="1"/>
  <c r="X137" i="48"/>
  <c r="N140" i="48" s="1"/>
  <c r="L113" i="35"/>
  <c r="L115" i="35" s="1"/>
  <c r="L117" i="35" s="1"/>
  <c r="L126" i="35" s="1"/>
  <c r="I22" i="10"/>
  <c r="AC10" i="22"/>
  <c r="AC12" i="22" s="1"/>
  <c r="AC14" i="22" s="1"/>
  <c r="Z10" i="22"/>
  <c r="Z12" i="22" s="1"/>
  <c r="Z14" i="22" s="1"/>
  <c r="AF10" i="22"/>
  <c r="AF12" i="22" s="1"/>
  <c r="AF14" i="22" s="1"/>
  <c r="W10" i="22"/>
  <c r="W12" i="22" s="1"/>
  <c r="W14" i="22" s="1"/>
  <c r="AI10" i="22"/>
  <c r="AI12" i="22" s="1"/>
  <c r="AI14" i="22" s="1"/>
  <c r="K59" i="47"/>
  <c r="K83" i="47" s="1"/>
  <c r="K96" i="47" s="1"/>
  <c r="K160" i="47" s="1"/>
  <c r="K173" i="47" s="1"/>
  <c r="N32" i="41"/>
  <c r="N172" i="37"/>
  <c r="N174" i="37" s="1"/>
  <c r="N176" i="37" s="1"/>
  <c r="N185" i="37" s="1"/>
  <c r="N169" i="38"/>
  <c r="N171" i="38" s="1"/>
  <c r="N173" i="38" s="1"/>
  <c r="N182" i="38" s="1"/>
  <c r="N184" i="38" s="1"/>
  <c r="K51" i="43"/>
  <c r="K75" i="43" s="1"/>
  <c r="K88" i="43" s="1"/>
  <c r="K152" i="43" s="1"/>
  <c r="K165" i="43" s="1"/>
  <c r="L312" i="30"/>
  <c r="L314" i="30" s="1"/>
  <c r="L316" i="30" s="1"/>
  <c r="L325" i="30" s="1"/>
  <c r="D66" i="25"/>
  <c r="D77" i="25" s="1"/>
  <c r="I28" i="38"/>
  <c r="P26" i="38"/>
  <c r="E197" i="29"/>
  <c r="L312" i="29"/>
  <c r="L314" i="29" s="1"/>
  <c r="L316" i="29" s="1"/>
  <c r="L325" i="29" s="1"/>
  <c r="E168" i="38"/>
  <c r="E110" i="35"/>
  <c r="K56" i="15"/>
  <c r="K80" i="15" s="1"/>
  <c r="K93" i="15" s="1"/>
  <c r="K157" i="15" s="1"/>
  <c r="K170" i="15" s="1"/>
  <c r="K50" i="45"/>
  <c r="K74" i="45" s="1"/>
  <c r="K87" i="45" s="1"/>
  <c r="K151" i="45" s="1"/>
  <c r="K164" i="45" s="1"/>
  <c r="K52" i="45"/>
  <c r="K76" i="45" s="1"/>
  <c r="K89" i="45" s="1"/>
  <c r="K153" i="45" s="1"/>
  <c r="K166" i="45" s="1"/>
  <c r="M148" i="47"/>
  <c r="O108" i="47"/>
  <c r="X95" i="48"/>
  <c r="N98" i="48" s="1"/>
  <c r="E168" i="29"/>
  <c r="F296" i="28"/>
  <c r="M35" i="48"/>
  <c r="M98" i="47" s="1"/>
  <c r="X32" i="48"/>
  <c r="N35" i="48" s="1"/>
  <c r="X242" i="48"/>
  <c r="N245" i="48" s="1"/>
  <c r="E197" i="35"/>
  <c r="E82" i="29"/>
  <c r="E225" i="30"/>
  <c r="E82" i="35"/>
  <c r="I157" i="25"/>
  <c r="P156" i="25"/>
  <c r="I167" i="37"/>
  <c r="P166" i="37"/>
  <c r="L113" i="28"/>
  <c r="L115" i="28" s="1"/>
  <c r="L117" i="28" s="1"/>
  <c r="L126" i="28" s="1"/>
  <c r="L85" i="28"/>
  <c r="L87" i="28" s="1"/>
  <c r="L89" i="28" s="1"/>
  <c r="L98" i="28" s="1"/>
  <c r="M194" i="35"/>
  <c r="M195" i="35" s="1"/>
  <c r="M197" i="35" s="1"/>
  <c r="M199" i="35" s="1"/>
  <c r="M250" i="35"/>
  <c r="M251" i="35" s="1"/>
  <c r="M253" i="35" s="1"/>
  <c r="M255" i="35" s="1"/>
  <c r="M135" i="35"/>
  <c r="M136" i="35" s="1"/>
  <c r="M138" i="35" s="1"/>
  <c r="M140" i="35" s="1"/>
  <c r="M79" i="35"/>
  <c r="M80" i="35" s="1"/>
  <c r="M82" i="35" s="1"/>
  <c r="M84" i="35" s="1"/>
  <c r="M51" i="35"/>
  <c r="M52" i="35" s="1"/>
  <c r="M54" i="35" s="1"/>
  <c r="M56" i="35" s="1"/>
  <c r="M107" i="35"/>
  <c r="M108" i="35" s="1"/>
  <c r="M110" i="35" s="1"/>
  <c r="M112" i="35" s="1"/>
  <c r="M164" i="35"/>
  <c r="M166" i="35" s="1"/>
  <c r="M168" i="35" s="1"/>
  <c r="M306" i="35"/>
  <c r="M307" i="35" s="1"/>
  <c r="M309" i="35" s="1"/>
  <c r="M311" i="35" s="1"/>
  <c r="M23" i="35"/>
  <c r="M24" i="35" s="1"/>
  <c r="M26" i="35" s="1"/>
  <c r="M28" i="35" s="1"/>
  <c r="M278" i="35"/>
  <c r="M279" i="35" s="1"/>
  <c r="M281" i="35" s="1"/>
  <c r="M283" i="35" s="1"/>
  <c r="M222" i="35"/>
  <c r="M223" i="35" s="1"/>
  <c r="M225" i="35" s="1"/>
  <c r="M227" i="35" s="1"/>
  <c r="M162" i="25"/>
  <c r="M164" i="25" s="1"/>
  <c r="M166" i="25" s="1"/>
  <c r="P141" i="37"/>
  <c r="E309" i="35"/>
  <c r="L57" i="35"/>
  <c r="L59" i="35" s="1"/>
  <c r="L61" i="35" s="1"/>
  <c r="L70" i="35" s="1"/>
  <c r="E26" i="30"/>
  <c r="M33" i="43"/>
  <c r="O33" i="43" s="1"/>
  <c r="N195" i="42"/>
  <c r="E28" i="34"/>
  <c r="K100" i="37"/>
  <c r="K50" i="47"/>
  <c r="K74" i="47" s="1"/>
  <c r="K87" i="47" s="1"/>
  <c r="K151" i="47" s="1"/>
  <c r="K164" i="47" s="1"/>
  <c r="K51" i="47"/>
  <c r="K75" i="47" s="1"/>
  <c r="K88" i="47" s="1"/>
  <c r="K152" i="47" s="1"/>
  <c r="K165" i="47" s="1"/>
  <c r="E110" i="30"/>
  <c r="N194" i="35"/>
  <c r="N195" i="35" s="1"/>
  <c r="N197" i="35" s="1"/>
  <c r="N199" i="35" s="1"/>
  <c r="N222" i="35"/>
  <c r="N223" i="35" s="1"/>
  <c r="N225" i="35" s="1"/>
  <c r="N227" i="35" s="1"/>
  <c r="N278" i="35"/>
  <c r="N279" i="35" s="1"/>
  <c r="N281" i="35" s="1"/>
  <c r="N283" i="35" s="1"/>
  <c r="N250" i="35"/>
  <c r="N251" i="35" s="1"/>
  <c r="N253" i="35" s="1"/>
  <c r="N255" i="35" s="1"/>
  <c r="N51" i="35"/>
  <c r="N52" i="35" s="1"/>
  <c r="N54" i="35" s="1"/>
  <c r="N56" i="35" s="1"/>
  <c r="N79" i="35"/>
  <c r="N80" i="35" s="1"/>
  <c r="N82" i="35" s="1"/>
  <c r="N84" i="35" s="1"/>
  <c r="N135" i="35"/>
  <c r="N136" i="35" s="1"/>
  <c r="N138" i="35" s="1"/>
  <c r="N140" i="35" s="1"/>
  <c r="N306" i="35"/>
  <c r="N307" i="35" s="1"/>
  <c r="N309" i="35" s="1"/>
  <c r="N311" i="35" s="1"/>
  <c r="N107" i="35"/>
  <c r="N108" i="35" s="1"/>
  <c r="N110" i="35" s="1"/>
  <c r="N112" i="35" s="1"/>
  <c r="N23" i="35"/>
  <c r="N24" i="35" s="1"/>
  <c r="N26" i="35" s="1"/>
  <c r="N28" i="35" s="1"/>
  <c r="N164" i="35"/>
  <c r="N166" i="35" s="1"/>
  <c r="N168" i="35" s="1"/>
  <c r="N79" i="29"/>
  <c r="N80" i="29" s="1"/>
  <c r="N82" i="29" s="1"/>
  <c r="N84" i="29" s="1"/>
  <c r="N23" i="29"/>
  <c r="N24" i="29" s="1"/>
  <c r="N26" i="29" s="1"/>
  <c r="N28" i="29" s="1"/>
  <c r="N306" i="29"/>
  <c r="N307" i="29" s="1"/>
  <c r="N309" i="29" s="1"/>
  <c r="N311" i="29" s="1"/>
  <c r="N135" i="29"/>
  <c r="N136" i="29" s="1"/>
  <c r="N138" i="29" s="1"/>
  <c r="N140" i="29" s="1"/>
  <c r="N250" i="29"/>
  <c r="N251" i="29" s="1"/>
  <c r="N253" i="29" s="1"/>
  <c r="N255" i="29" s="1"/>
  <c r="N164" i="29"/>
  <c r="N166" i="29" s="1"/>
  <c r="N168" i="29" s="1"/>
  <c r="N194" i="29"/>
  <c r="N195" i="29" s="1"/>
  <c r="N197" i="29" s="1"/>
  <c r="N199" i="29" s="1"/>
  <c r="N222" i="29"/>
  <c r="N223" i="29" s="1"/>
  <c r="N225" i="29" s="1"/>
  <c r="N227" i="29" s="1"/>
  <c r="N278" i="29"/>
  <c r="N279" i="29" s="1"/>
  <c r="N281" i="29" s="1"/>
  <c r="N283" i="29" s="1"/>
  <c r="N107" i="29"/>
  <c r="N108" i="29" s="1"/>
  <c r="N110" i="29" s="1"/>
  <c r="N112" i="29" s="1"/>
  <c r="N51" i="29"/>
  <c r="N52" i="29" s="1"/>
  <c r="N54" i="29" s="1"/>
  <c r="N56" i="29" s="1"/>
  <c r="M141" i="45"/>
  <c r="O101" i="45"/>
  <c r="K49" i="43"/>
  <c r="K73" i="43" s="1"/>
  <c r="K86" i="43" s="1"/>
  <c r="K150" i="43" s="1"/>
  <c r="K163" i="43" s="1"/>
  <c r="K56" i="43"/>
  <c r="K80" i="43" s="1"/>
  <c r="K93" i="43" s="1"/>
  <c r="K157" i="43" s="1"/>
  <c r="K170" i="43" s="1"/>
  <c r="L256" i="30"/>
  <c r="L258" i="30" s="1"/>
  <c r="L260" i="30" s="1"/>
  <c r="L269" i="30" s="1"/>
  <c r="D61" i="25"/>
  <c r="D72" i="25" s="1"/>
  <c r="E26" i="35"/>
  <c r="L169" i="29"/>
  <c r="L171" i="29" s="1"/>
  <c r="L173" i="29" s="1"/>
  <c r="L182" i="29" s="1"/>
  <c r="L184" i="29" s="1"/>
  <c r="L85" i="29"/>
  <c r="L87" i="29" s="1"/>
  <c r="L89" i="29" s="1"/>
  <c r="L98" i="29" s="1"/>
  <c r="H122" i="18"/>
  <c r="I110" i="18"/>
  <c r="H116" i="18"/>
  <c r="K53" i="15"/>
  <c r="K77" i="15" s="1"/>
  <c r="K90" i="15" s="1"/>
  <c r="K154" i="15" s="1"/>
  <c r="K167" i="15" s="1"/>
  <c r="K58" i="45"/>
  <c r="K82" i="45" s="1"/>
  <c r="K95" i="45" s="1"/>
  <c r="K159" i="45" s="1"/>
  <c r="K172" i="45" s="1"/>
  <c r="H182" i="38" l="1"/>
  <c r="H184" i="38" s="1"/>
  <c r="F42" i="39"/>
  <c r="P90" i="38"/>
  <c r="X42" i="48"/>
  <c r="G154" i="28"/>
  <c r="E220" i="16"/>
  <c r="E222" i="16" s="1"/>
  <c r="E223" i="16" s="1"/>
  <c r="F219" i="16" s="1"/>
  <c r="F220" i="16" s="1"/>
  <c r="F221" i="16" s="1"/>
  <c r="X41" i="48"/>
  <c r="G70" i="28"/>
  <c r="E101" i="16"/>
  <c r="E102" i="16" s="1"/>
  <c r="E103" i="16" s="1"/>
  <c r="F99" i="16" s="1"/>
  <c r="F100" i="16" s="1"/>
  <c r="F101" i="16" s="1"/>
  <c r="F102" i="16" s="1"/>
  <c r="F103" i="16" s="1"/>
  <c r="G99" i="16" s="1"/>
  <c r="E140" i="16"/>
  <c r="H185" i="37"/>
  <c r="H186" i="35" s="1"/>
  <c r="E179" i="38"/>
  <c r="D135" i="45"/>
  <c r="D142" i="45" s="1"/>
  <c r="E179" i="29"/>
  <c r="E179" i="35"/>
  <c r="E179" i="30"/>
  <c r="D135" i="15"/>
  <c r="E179" i="39"/>
  <c r="E179" i="28"/>
  <c r="D134" i="43"/>
  <c r="E39" i="34"/>
  <c r="E41" i="34" s="1"/>
  <c r="E182" i="37"/>
  <c r="D135" i="47"/>
  <c r="E27" i="10"/>
  <c r="E181" i="28" s="1"/>
  <c r="H182" i="39"/>
  <c r="H184" i="39" s="1"/>
  <c r="G325" i="28"/>
  <c r="E161" i="16"/>
  <c r="P317" i="38"/>
  <c r="G126" i="28"/>
  <c r="F64" i="48"/>
  <c r="G64" i="48" s="1"/>
  <c r="L70" i="48"/>
  <c r="M70" i="48" s="1"/>
  <c r="G269" i="28"/>
  <c r="D65" i="48"/>
  <c r="E65" i="48" s="1"/>
  <c r="F68" i="48"/>
  <c r="G68" i="48" s="1"/>
  <c r="L67" i="48"/>
  <c r="M67" i="48" s="1"/>
  <c r="G98" i="28"/>
  <c r="L71" i="48"/>
  <c r="M71" i="48" s="1"/>
  <c r="P121" i="37"/>
  <c r="L69" i="48"/>
  <c r="M69" i="48" s="1"/>
  <c r="D64" i="48"/>
  <c r="E64" i="48" s="1"/>
  <c r="H70" i="30"/>
  <c r="P233" i="38"/>
  <c r="G241" i="28"/>
  <c r="D66" i="48"/>
  <c r="E66" i="48" s="1"/>
  <c r="G182" i="35"/>
  <c r="G184" i="35" s="1"/>
  <c r="P236" i="37"/>
  <c r="H73" i="48"/>
  <c r="I73" i="48" s="1"/>
  <c r="H213" i="30"/>
  <c r="E142" i="16"/>
  <c r="E143" i="16" s="1"/>
  <c r="F139" i="16" s="1"/>
  <c r="F140" i="16" s="1"/>
  <c r="F141" i="16" s="1"/>
  <c r="F142" i="16" s="1"/>
  <c r="L73" i="48"/>
  <c r="M73" i="48" s="1"/>
  <c r="E162" i="16"/>
  <c r="E163" i="16" s="1"/>
  <c r="F159" i="16" s="1"/>
  <c r="F160" i="16" s="1"/>
  <c r="F161" i="16" s="1"/>
  <c r="F162" i="16" s="1"/>
  <c r="F163" i="16" s="1"/>
  <c r="G159" i="16" s="1"/>
  <c r="G160" i="16" s="1"/>
  <c r="G161" i="16" s="1"/>
  <c r="G162" i="16" s="1"/>
  <c r="G163" i="16" s="1"/>
  <c r="H159" i="16" s="1"/>
  <c r="H160" i="16" s="1"/>
  <c r="H161" i="16" s="1"/>
  <c r="E61" i="16"/>
  <c r="E62" i="16" s="1"/>
  <c r="E63" i="16" s="1"/>
  <c r="F59" i="16" s="1"/>
  <c r="F60" i="16" s="1"/>
  <c r="F61" i="16" s="1"/>
  <c r="P83" i="28"/>
  <c r="P27" i="28"/>
  <c r="G213" i="28"/>
  <c r="F69" i="48"/>
  <c r="G69" i="48" s="1"/>
  <c r="J66" i="48"/>
  <c r="K66" i="48" s="1"/>
  <c r="G182" i="38"/>
  <c r="G184" i="38" s="1"/>
  <c r="P208" i="37"/>
  <c r="P198" i="28"/>
  <c r="P226" i="28"/>
  <c r="P282" i="28"/>
  <c r="J70" i="48"/>
  <c r="K70" i="48" s="1"/>
  <c r="D69" i="48"/>
  <c r="E69" i="48" s="1"/>
  <c r="P146" i="38"/>
  <c r="P320" i="37"/>
  <c r="P282" i="35"/>
  <c r="F17" i="10"/>
  <c r="E16" i="26" s="1"/>
  <c r="P34" i="38"/>
  <c r="P205" i="35"/>
  <c r="G185" i="37"/>
  <c r="G187" i="37" s="1"/>
  <c r="G100" i="37" s="1"/>
  <c r="P118" i="38"/>
  <c r="P55" i="30"/>
  <c r="X50" i="48"/>
  <c r="P118" i="39"/>
  <c r="P198" i="35"/>
  <c r="P90" i="37"/>
  <c r="X48" i="48"/>
  <c r="P264" i="37"/>
  <c r="D122" i="16"/>
  <c r="D123" i="16" s="1"/>
  <c r="E119" i="16" s="1"/>
  <c r="E120" i="16" s="1"/>
  <c r="X46" i="48"/>
  <c r="H70" i="28"/>
  <c r="H154" i="28"/>
  <c r="H22" i="2"/>
  <c r="H23" i="2" s="1"/>
  <c r="H24" i="2" s="1"/>
  <c r="H25" i="2" s="1"/>
  <c r="I21" i="2" s="1"/>
  <c r="R26" i="22"/>
  <c r="R28" i="22" s="1"/>
  <c r="R29" i="22" s="1"/>
  <c r="P27" i="39"/>
  <c r="E28" i="39"/>
  <c r="P261" i="29"/>
  <c r="G268" i="29"/>
  <c r="G269" i="29" s="1"/>
  <c r="G41" i="29"/>
  <c r="G42" i="29" s="1"/>
  <c r="G69" i="29"/>
  <c r="G70" i="29" s="1"/>
  <c r="G153" i="29"/>
  <c r="G154" i="29" s="1"/>
  <c r="G212" i="29"/>
  <c r="G213" i="29" s="1"/>
  <c r="G97" i="29"/>
  <c r="G98" i="29" s="1"/>
  <c r="G240" i="29"/>
  <c r="G241" i="29" s="1"/>
  <c r="G324" i="29"/>
  <c r="G325" i="29" s="1"/>
  <c r="G296" i="29"/>
  <c r="G297" i="29" s="1"/>
  <c r="G125" i="29"/>
  <c r="G126" i="29" s="1"/>
  <c r="P34" i="30"/>
  <c r="E181" i="16"/>
  <c r="E180" i="16"/>
  <c r="P310" i="39"/>
  <c r="E311" i="39"/>
  <c r="P139" i="28"/>
  <c r="P254" i="28"/>
  <c r="E51" i="48"/>
  <c r="X51" i="48" s="1"/>
  <c r="P90" i="29"/>
  <c r="P254" i="30"/>
  <c r="P226" i="29"/>
  <c r="P310" i="29"/>
  <c r="P317" i="39"/>
  <c r="P139" i="35"/>
  <c r="P310" i="35"/>
  <c r="G182" i="39"/>
  <c r="G184" i="39" s="1"/>
  <c r="J65" i="48"/>
  <c r="K65" i="48" s="1"/>
  <c r="J69" i="48"/>
  <c r="K69" i="48" s="1"/>
  <c r="L62" i="48"/>
  <c r="M62" i="48" s="1"/>
  <c r="J67" i="48"/>
  <c r="K67" i="48" s="1"/>
  <c r="H71" i="48"/>
  <c r="I71" i="48" s="1"/>
  <c r="H70" i="48"/>
  <c r="I70" i="48" s="1"/>
  <c r="J72" i="48"/>
  <c r="K72" i="48" s="1"/>
  <c r="H182" i="29"/>
  <c r="H184" i="29" s="1"/>
  <c r="P226" i="38"/>
  <c r="E227" i="38"/>
  <c r="P83" i="38"/>
  <c r="E84" i="38"/>
  <c r="H325" i="30"/>
  <c r="B88" i="48"/>
  <c r="D94" i="48" s="1"/>
  <c r="H87" i="48"/>
  <c r="I87" i="48" s="1"/>
  <c r="J93" i="48"/>
  <c r="K93" i="48" s="1"/>
  <c r="P90" i="30"/>
  <c r="P257" i="37"/>
  <c r="E258" i="37"/>
  <c r="H213" i="28"/>
  <c r="P205" i="28"/>
  <c r="G297" i="30"/>
  <c r="G70" i="30"/>
  <c r="O102" i="45"/>
  <c r="P111" i="39"/>
  <c r="E112" i="39"/>
  <c r="P55" i="28"/>
  <c r="E47" i="48"/>
  <c r="X47" i="48" s="1"/>
  <c r="P27" i="30"/>
  <c r="P55" i="29"/>
  <c r="P111" i="29"/>
  <c r="P90" i="39"/>
  <c r="P254" i="35"/>
  <c r="L63" i="48"/>
  <c r="M63" i="48" s="1"/>
  <c r="F67" i="48"/>
  <c r="G67" i="48" s="1"/>
  <c r="F70" i="48"/>
  <c r="G70" i="48" s="1"/>
  <c r="J64" i="48"/>
  <c r="K64" i="48" s="1"/>
  <c r="H65" i="48"/>
  <c r="I65" i="48" s="1"/>
  <c r="D68" i="48"/>
  <c r="F72" i="48"/>
  <c r="G72" i="48" s="1"/>
  <c r="P55" i="38"/>
  <c r="E56" i="38"/>
  <c r="H241" i="30"/>
  <c r="H269" i="30"/>
  <c r="P205" i="30"/>
  <c r="P27" i="37"/>
  <c r="E28" i="37"/>
  <c r="P142" i="37"/>
  <c r="E143" i="37"/>
  <c r="P143" i="37" s="1"/>
  <c r="H98" i="28"/>
  <c r="D202" i="16"/>
  <c r="D203" i="16" s="1"/>
  <c r="E199" i="16" s="1"/>
  <c r="P90" i="35"/>
  <c r="P146" i="35"/>
  <c r="P90" i="28"/>
  <c r="P146" i="28"/>
  <c r="G269" i="30"/>
  <c r="G241" i="30"/>
  <c r="P27" i="29"/>
  <c r="P310" i="38"/>
  <c r="E311" i="38"/>
  <c r="P289" i="38"/>
  <c r="P83" i="39"/>
  <c r="E84" i="39"/>
  <c r="E85" i="39" s="1"/>
  <c r="E87" i="39" s="1"/>
  <c r="E89" i="39" s="1"/>
  <c r="P149" i="37"/>
  <c r="P317" i="29"/>
  <c r="P198" i="30"/>
  <c r="P139" i="29"/>
  <c r="P261" i="39"/>
  <c r="X43" i="48"/>
  <c r="D70" i="48"/>
  <c r="F73" i="48"/>
  <c r="G73" i="48" s="1"/>
  <c r="F63" i="48"/>
  <c r="G63" i="48" s="1"/>
  <c r="D73" i="48"/>
  <c r="F71" i="48"/>
  <c r="G71" i="48" s="1"/>
  <c r="J63" i="48"/>
  <c r="K63" i="48" s="1"/>
  <c r="J71" i="48"/>
  <c r="K71" i="48" s="1"/>
  <c r="P282" i="38"/>
  <c r="E283" i="38"/>
  <c r="H126" i="30"/>
  <c r="P118" i="30"/>
  <c r="P313" i="37"/>
  <c r="E314" i="37"/>
  <c r="H297" i="28"/>
  <c r="H69" i="39"/>
  <c r="H70" i="39" s="1"/>
  <c r="H153" i="39"/>
  <c r="H154" i="39" s="1"/>
  <c r="H41" i="39"/>
  <c r="H42" i="39" s="1"/>
  <c r="H296" i="39"/>
  <c r="H297" i="39" s="1"/>
  <c r="H97" i="39"/>
  <c r="H98" i="39" s="1"/>
  <c r="H240" i="39"/>
  <c r="H241" i="39" s="1"/>
  <c r="H324" i="39"/>
  <c r="H325" i="39" s="1"/>
  <c r="H268" i="39"/>
  <c r="H269" i="39" s="1"/>
  <c r="H125" i="39"/>
  <c r="H126" i="39" s="1"/>
  <c r="H212" i="39"/>
  <c r="H213" i="39" s="1"/>
  <c r="P34" i="35"/>
  <c r="P289" i="35"/>
  <c r="P317" i="28"/>
  <c r="P261" i="28"/>
  <c r="G98" i="30"/>
  <c r="P205" i="39"/>
  <c r="P55" i="39"/>
  <c r="E56" i="39"/>
  <c r="E57" i="39" s="1"/>
  <c r="E59" i="39" s="1"/>
  <c r="E61" i="39" s="1"/>
  <c r="G182" i="29"/>
  <c r="G184" i="29" s="1"/>
  <c r="P205" i="29"/>
  <c r="P111" i="30"/>
  <c r="P83" i="29"/>
  <c r="P233" i="39"/>
  <c r="P27" i="35"/>
  <c r="P34" i="37"/>
  <c r="G243" i="37"/>
  <c r="G244" i="37" s="1"/>
  <c r="G327" i="37"/>
  <c r="G328" i="37" s="1"/>
  <c r="G215" i="37"/>
  <c r="G216" i="37" s="1"/>
  <c r="G271" i="37"/>
  <c r="G272" i="37" s="1"/>
  <c r="G128" i="37"/>
  <c r="G129" i="37" s="1"/>
  <c r="G299" i="37"/>
  <c r="G300" i="37" s="1"/>
  <c r="G156" i="37"/>
  <c r="G157" i="37" s="1"/>
  <c r="G69" i="37"/>
  <c r="G70" i="37" s="1"/>
  <c r="G41" i="37"/>
  <c r="G42" i="37" s="1"/>
  <c r="G97" i="37"/>
  <c r="G98" i="37" s="1"/>
  <c r="H72" i="48"/>
  <c r="I72" i="48" s="1"/>
  <c r="D67" i="48"/>
  <c r="J73" i="48"/>
  <c r="K73" i="48" s="1"/>
  <c r="F62" i="48"/>
  <c r="G62" i="48" s="1"/>
  <c r="L64" i="48"/>
  <c r="M64" i="48" s="1"/>
  <c r="L72" i="48"/>
  <c r="M72" i="48" s="1"/>
  <c r="J68" i="48"/>
  <c r="K68" i="48" s="1"/>
  <c r="P111" i="38"/>
  <c r="E112" i="38"/>
  <c r="E113" i="38" s="1"/>
  <c r="E115" i="38" s="1"/>
  <c r="E117" i="38" s="1"/>
  <c r="H98" i="30"/>
  <c r="P62" i="30"/>
  <c r="P83" i="37"/>
  <c r="E84" i="37"/>
  <c r="P285" i="37"/>
  <c r="E286" i="37"/>
  <c r="H241" i="28"/>
  <c r="P261" i="35"/>
  <c r="P62" i="35"/>
  <c r="X52" i="48"/>
  <c r="P62" i="28"/>
  <c r="G126" i="30"/>
  <c r="X49" i="48"/>
  <c r="G41" i="38"/>
  <c r="G42" i="38" s="1"/>
  <c r="G43" i="39" s="1"/>
  <c r="G97" i="38"/>
  <c r="G98" i="38" s="1"/>
  <c r="G324" i="38"/>
  <c r="G325" i="38" s="1"/>
  <c r="G296" i="38"/>
  <c r="G297" i="38" s="1"/>
  <c r="G268" i="38"/>
  <c r="G269" i="38" s="1"/>
  <c r="G153" i="38"/>
  <c r="G154" i="38" s="1"/>
  <c r="G240" i="38"/>
  <c r="G241" i="38" s="1"/>
  <c r="G125" i="38"/>
  <c r="G126" i="38" s="1"/>
  <c r="G69" i="38"/>
  <c r="G70" i="38" s="1"/>
  <c r="G212" i="38"/>
  <c r="G213" i="38" s="1"/>
  <c r="P233" i="28"/>
  <c r="G154" i="30"/>
  <c r="G125" i="39"/>
  <c r="G126" i="39" s="1"/>
  <c r="G212" i="39"/>
  <c r="G213" i="39" s="1"/>
  <c r="G296" i="39"/>
  <c r="G297" i="39" s="1"/>
  <c r="G240" i="39"/>
  <c r="G241" i="39" s="1"/>
  <c r="G153" i="39"/>
  <c r="G154" i="39" s="1"/>
  <c r="G41" i="39"/>
  <c r="G42" i="39" s="1"/>
  <c r="G97" i="39"/>
  <c r="G98" i="39" s="1"/>
  <c r="G324" i="39"/>
  <c r="G325" i="39" s="1"/>
  <c r="G268" i="39"/>
  <c r="G269" i="39" s="1"/>
  <c r="G69" i="39"/>
  <c r="G70" i="39" s="1"/>
  <c r="P261" i="38"/>
  <c r="P198" i="39"/>
  <c r="E199" i="39"/>
  <c r="E200" i="39" s="1"/>
  <c r="E202" i="39" s="1"/>
  <c r="E204" i="39" s="1"/>
  <c r="P139" i="39"/>
  <c r="E140" i="39"/>
  <c r="E141" i="39" s="1"/>
  <c r="E143" i="39" s="1"/>
  <c r="E145" i="39" s="1"/>
  <c r="E45" i="48"/>
  <c r="X45" i="48" s="1"/>
  <c r="E40" i="16"/>
  <c r="E41" i="16"/>
  <c r="P111" i="28"/>
  <c r="G297" i="28"/>
  <c r="P289" i="29"/>
  <c r="P118" i="29"/>
  <c r="P139" i="30"/>
  <c r="P282" i="30"/>
  <c r="P282" i="29"/>
  <c r="P62" i="39"/>
  <c r="H62" i="48"/>
  <c r="I62" i="48" s="1"/>
  <c r="H68" i="48"/>
  <c r="I68" i="48" s="1"/>
  <c r="H69" i="48"/>
  <c r="I69" i="48" s="1"/>
  <c r="J62" i="48"/>
  <c r="K62" i="48" s="1"/>
  <c r="L66" i="48"/>
  <c r="M66" i="48" s="1"/>
  <c r="F65" i="48"/>
  <c r="G65" i="48" s="1"/>
  <c r="D62" i="48"/>
  <c r="H66" i="48"/>
  <c r="I66" i="48" s="1"/>
  <c r="P198" i="38"/>
  <c r="E199" i="38"/>
  <c r="H42" i="30"/>
  <c r="H43" i="28" s="1"/>
  <c r="H153" i="38"/>
  <c r="H154" i="38" s="1"/>
  <c r="H296" i="38"/>
  <c r="H297" i="38" s="1"/>
  <c r="H212" i="38"/>
  <c r="H213" i="38" s="1"/>
  <c r="H125" i="38"/>
  <c r="H126" i="38" s="1"/>
  <c r="H97" i="38"/>
  <c r="H98" i="38" s="1"/>
  <c r="H324" i="38"/>
  <c r="H325" i="38" s="1"/>
  <c r="H268" i="38"/>
  <c r="H269" i="38" s="1"/>
  <c r="H240" i="38"/>
  <c r="H241" i="38" s="1"/>
  <c r="H69" i="38"/>
  <c r="H70" i="38" s="1"/>
  <c r="H41" i="38"/>
  <c r="H42" i="38" s="1"/>
  <c r="H43" i="39" s="1"/>
  <c r="X44" i="48"/>
  <c r="P233" i="30"/>
  <c r="P289" i="30"/>
  <c r="P229" i="37"/>
  <c r="E230" i="37"/>
  <c r="H269" i="28"/>
  <c r="H42" i="28"/>
  <c r="H268" i="35"/>
  <c r="H269" i="35" s="1"/>
  <c r="H41" i="35"/>
  <c r="H42" i="35" s="1"/>
  <c r="H324" i="35"/>
  <c r="H325" i="35" s="1"/>
  <c r="H296" i="35"/>
  <c r="H297" i="35" s="1"/>
  <c r="H97" i="35"/>
  <c r="H98" i="35" s="1"/>
  <c r="H212" i="35"/>
  <c r="H213" i="35" s="1"/>
  <c r="H69" i="35"/>
  <c r="H70" i="35" s="1"/>
  <c r="H125" i="35"/>
  <c r="H126" i="35" s="1"/>
  <c r="H153" i="35"/>
  <c r="H154" i="35" s="1"/>
  <c r="H240" i="35"/>
  <c r="H241" i="35" s="1"/>
  <c r="P317" i="35"/>
  <c r="P289" i="28"/>
  <c r="G42" i="30"/>
  <c r="G43" i="28" s="1"/>
  <c r="G153" i="35"/>
  <c r="G154" i="35" s="1"/>
  <c r="G212" i="35"/>
  <c r="G213" i="35" s="1"/>
  <c r="G125" i="35"/>
  <c r="G126" i="35" s="1"/>
  <c r="G240" i="35"/>
  <c r="G241" i="35" s="1"/>
  <c r="G268" i="35"/>
  <c r="G269" i="35" s="1"/>
  <c r="G324" i="35"/>
  <c r="G325" i="35" s="1"/>
  <c r="G69" i="35"/>
  <c r="G70" i="35" s="1"/>
  <c r="G296" i="35"/>
  <c r="G297" i="35" s="1"/>
  <c r="G41" i="35"/>
  <c r="G42" i="35" s="1"/>
  <c r="G97" i="35"/>
  <c r="G98" i="35" s="1"/>
  <c r="P282" i="39"/>
  <c r="E283" i="39"/>
  <c r="E284" i="39" s="1"/>
  <c r="E286" i="39" s="1"/>
  <c r="E288" i="39" s="1"/>
  <c r="P62" i="29"/>
  <c r="P205" i="38"/>
  <c r="P254" i="39"/>
  <c r="E255" i="39"/>
  <c r="E256" i="39" s="1"/>
  <c r="E258" i="39" s="1"/>
  <c r="E260" i="39" s="1"/>
  <c r="P226" i="39"/>
  <c r="E227" i="39"/>
  <c r="E228" i="39" s="1"/>
  <c r="E230" i="39" s="1"/>
  <c r="E232" i="39" s="1"/>
  <c r="P62" i="37"/>
  <c r="P310" i="28"/>
  <c r="H69" i="29"/>
  <c r="H70" i="29" s="1"/>
  <c r="H268" i="29"/>
  <c r="H269" i="29" s="1"/>
  <c r="H212" i="29"/>
  <c r="H213" i="29" s="1"/>
  <c r="H125" i="29"/>
  <c r="H126" i="29" s="1"/>
  <c r="H324" i="29"/>
  <c r="H325" i="29" s="1"/>
  <c r="H41" i="29"/>
  <c r="H42" i="29" s="1"/>
  <c r="H153" i="29"/>
  <c r="H154" i="29" s="1"/>
  <c r="H97" i="29"/>
  <c r="H98" i="29" s="1"/>
  <c r="H296" i="29"/>
  <c r="H297" i="29" s="1"/>
  <c r="H240" i="29"/>
  <c r="H241" i="29" s="1"/>
  <c r="G42" i="28"/>
  <c r="P233" i="29"/>
  <c r="P34" i="29"/>
  <c r="P310" i="30"/>
  <c r="P226" i="30"/>
  <c r="P289" i="39"/>
  <c r="P55" i="35"/>
  <c r="P83" i="35"/>
  <c r="L65" i="48"/>
  <c r="M65" i="48" s="1"/>
  <c r="D72" i="48"/>
  <c r="F66" i="48"/>
  <c r="G66" i="48" s="1"/>
  <c r="H63" i="48"/>
  <c r="I63" i="48" s="1"/>
  <c r="D63" i="48"/>
  <c r="E63" i="48" s="1"/>
  <c r="L68" i="48"/>
  <c r="M68" i="48" s="1"/>
  <c r="H67" i="48"/>
  <c r="I67" i="48" s="1"/>
  <c r="D71" i="48"/>
  <c r="P139" i="38"/>
  <c r="E140" i="38"/>
  <c r="P254" i="38"/>
  <c r="E255" i="38"/>
  <c r="E256" i="38" s="1"/>
  <c r="E258" i="38" s="1"/>
  <c r="E260" i="38" s="1"/>
  <c r="H297" i="30"/>
  <c r="P146" i="30"/>
  <c r="P114" i="37"/>
  <c r="E115" i="37"/>
  <c r="H325" i="28"/>
  <c r="P118" i="35"/>
  <c r="H215" i="37"/>
  <c r="H216" i="37" s="1"/>
  <c r="H156" i="37"/>
  <c r="H157" i="37" s="1"/>
  <c r="H128" i="37"/>
  <c r="H129" i="37" s="1"/>
  <c r="H41" i="37"/>
  <c r="H42" i="37" s="1"/>
  <c r="H327" i="37"/>
  <c r="H328" i="37" s="1"/>
  <c r="H299" i="37"/>
  <c r="H300" i="37" s="1"/>
  <c r="H97" i="37"/>
  <c r="H98" i="37" s="1"/>
  <c r="H271" i="37"/>
  <c r="H272" i="37" s="1"/>
  <c r="H69" i="37"/>
  <c r="H70" i="37" s="1"/>
  <c r="H243" i="37"/>
  <c r="H244" i="37" s="1"/>
  <c r="P118" i="28"/>
  <c r="G325" i="30"/>
  <c r="P317" i="30"/>
  <c r="P55" i="37"/>
  <c r="E56" i="37"/>
  <c r="P56" i="37" s="1"/>
  <c r="P62" i="38"/>
  <c r="E80" i="16"/>
  <c r="E81" i="16"/>
  <c r="P292" i="37"/>
  <c r="P146" i="29"/>
  <c r="P83" i="30"/>
  <c r="P254" i="29"/>
  <c r="P198" i="29"/>
  <c r="P146" i="39"/>
  <c r="P226" i="35"/>
  <c r="P111" i="35"/>
  <c r="P27" i="38"/>
  <c r="E28" i="38"/>
  <c r="E29" i="38" s="1"/>
  <c r="E31" i="38" s="1"/>
  <c r="E33" i="38" s="1"/>
  <c r="H154" i="30"/>
  <c r="B108" i="48"/>
  <c r="B105" i="48"/>
  <c r="B106" i="48" s="1"/>
  <c r="C10" i="48"/>
  <c r="C11" i="48" s="1"/>
  <c r="P261" i="30"/>
  <c r="P201" i="37"/>
  <c r="E202" i="37"/>
  <c r="H126" i="28"/>
  <c r="P233" i="35"/>
  <c r="P34" i="28"/>
  <c r="G182" i="30"/>
  <c r="G213" i="30"/>
  <c r="H123" i="18"/>
  <c r="H124" i="18" s="1"/>
  <c r="G125" i="18"/>
  <c r="M94" i="11"/>
  <c r="N93" i="11" s="1"/>
  <c r="N117" i="11" s="1"/>
  <c r="J16" i="26"/>
  <c r="H94" i="25"/>
  <c r="H138" i="25" s="1"/>
  <c r="H178" i="25" s="1"/>
  <c r="H190" i="25" s="1"/>
  <c r="I94" i="25"/>
  <c r="I138" i="25" s="1"/>
  <c r="I178" i="25" s="1"/>
  <c r="I190" i="25" s="1"/>
  <c r="H90" i="25"/>
  <c r="H134" i="25" s="1"/>
  <c r="H174" i="25" s="1"/>
  <c r="H186" i="25" s="1"/>
  <c r="I90" i="25"/>
  <c r="I134" i="25" s="1"/>
  <c r="I174" i="25" s="1"/>
  <c r="I186" i="25" s="1"/>
  <c r="H96" i="25"/>
  <c r="H140" i="25" s="1"/>
  <c r="H180" i="25" s="1"/>
  <c r="I96" i="25"/>
  <c r="I140" i="25" s="1"/>
  <c r="I180" i="25" s="1"/>
  <c r="I192" i="25" s="1"/>
  <c r="H93" i="25"/>
  <c r="H137" i="25" s="1"/>
  <c r="H177" i="25" s="1"/>
  <c r="I93" i="25"/>
  <c r="I137" i="25" s="1"/>
  <c r="I177" i="25" s="1"/>
  <c r="I189" i="25" s="1"/>
  <c r="J16" i="24"/>
  <c r="J22" i="24" s="1"/>
  <c r="I25" i="10" s="1"/>
  <c r="I179" i="30" s="1"/>
  <c r="K16" i="24"/>
  <c r="K22" i="24" s="1"/>
  <c r="J25" i="10" s="1"/>
  <c r="J27" i="10" s="1"/>
  <c r="H91" i="25"/>
  <c r="H135" i="25" s="1"/>
  <c r="H175" i="25" s="1"/>
  <c r="H187" i="25" s="1"/>
  <c r="I91" i="25"/>
  <c r="I135" i="25" s="1"/>
  <c r="I175" i="25" s="1"/>
  <c r="I187" i="25" s="1"/>
  <c r="J235" i="30"/>
  <c r="J234" i="30" s="1"/>
  <c r="J207" i="30"/>
  <c r="J206" i="30" s="1"/>
  <c r="J92" i="30"/>
  <c r="J91" i="30" s="1"/>
  <c r="J120" i="30"/>
  <c r="J119" i="30" s="1"/>
  <c r="J319" i="30"/>
  <c r="J318" i="30" s="1"/>
  <c r="J148" i="30"/>
  <c r="J147" i="30" s="1"/>
  <c r="J64" i="30"/>
  <c r="J63" i="30" s="1"/>
  <c r="J175" i="30"/>
  <c r="J291" i="30"/>
  <c r="J290" i="30" s="1"/>
  <c r="J263" i="30"/>
  <c r="J262" i="30" s="1"/>
  <c r="J36" i="30"/>
  <c r="J35" i="30" s="1"/>
  <c r="H95" i="25"/>
  <c r="H139" i="25" s="1"/>
  <c r="H179" i="25" s="1"/>
  <c r="I95" i="25"/>
  <c r="I139" i="25" s="1"/>
  <c r="I179" i="25" s="1"/>
  <c r="I191" i="25" s="1"/>
  <c r="H92" i="25"/>
  <c r="H136" i="25" s="1"/>
  <c r="H176" i="25" s="1"/>
  <c r="H188" i="25" s="1"/>
  <c r="I92" i="25"/>
  <c r="I136" i="25" s="1"/>
  <c r="I176" i="25" s="1"/>
  <c r="I188" i="25" s="1"/>
  <c r="H98" i="25"/>
  <c r="H142" i="25" s="1"/>
  <c r="H182" i="25" s="1"/>
  <c r="H194" i="25" s="1"/>
  <c r="I98" i="25"/>
  <c r="I142" i="25" s="1"/>
  <c r="I182" i="25" s="1"/>
  <c r="I194" i="25" s="1"/>
  <c r="J64" i="38"/>
  <c r="J263" i="38"/>
  <c r="J291" i="38"/>
  <c r="J120" i="38"/>
  <c r="J148" i="38"/>
  <c r="J36" i="38"/>
  <c r="J175" i="38"/>
  <c r="J235" i="38"/>
  <c r="J92" i="38"/>
  <c r="J319" i="38"/>
  <c r="J207" i="38"/>
  <c r="H97" i="25"/>
  <c r="H141" i="25" s="1"/>
  <c r="H181" i="25" s="1"/>
  <c r="H193" i="25" s="1"/>
  <c r="I97" i="25"/>
  <c r="I141" i="25" s="1"/>
  <c r="I181" i="25" s="1"/>
  <c r="I193" i="25" s="1"/>
  <c r="J263" i="28"/>
  <c r="J262" i="28" s="1"/>
  <c r="J148" i="28"/>
  <c r="J147" i="28" s="1"/>
  <c r="J207" i="28"/>
  <c r="J206" i="28" s="1"/>
  <c r="J120" i="28"/>
  <c r="J119" i="28" s="1"/>
  <c r="J235" i="28"/>
  <c r="J234" i="28" s="1"/>
  <c r="J36" i="28"/>
  <c r="J35" i="28" s="1"/>
  <c r="J175" i="28"/>
  <c r="J92" i="28"/>
  <c r="J91" i="28" s="1"/>
  <c r="J319" i="28"/>
  <c r="J318" i="28" s="1"/>
  <c r="J64" i="28"/>
  <c r="J63" i="28" s="1"/>
  <c r="J291" i="28"/>
  <c r="J290" i="28" s="1"/>
  <c r="J64" i="37"/>
  <c r="J294" i="37"/>
  <c r="J151" i="37"/>
  <c r="J36" i="37"/>
  <c r="J238" i="37"/>
  <c r="J266" i="37"/>
  <c r="J92" i="37"/>
  <c r="J123" i="37"/>
  <c r="J322" i="37"/>
  <c r="J178" i="37"/>
  <c r="J210" i="37"/>
  <c r="J64" i="39"/>
  <c r="J36" i="39"/>
  <c r="J291" i="39"/>
  <c r="J319" i="39"/>
  <c r="J148" i="39"/>
  <c r="J207" i="39"/>
  <c r="J263" i="39"/>
  <c r="J175" i="39"/>
  <c r="J120" i="39"/>
  <c r="J92" i="39"/>
  <c r="J235" i="39"/>
  <c r="H89" i="25"/>
  <c r="H133" i="25" s="1"/>
  <c r="H173" i="25" s="1"/>
  <c r="H185" i="25" s="1"/>
  <c r="I89" i="25"/>
  <c r="I133" i="25" s="1"/>
  <c r="I173" i="25" s="1"/>
  <c r="I185" i="25" s="1"/>
  <c r="J92" i="29"/>
  <c r="J291" i="29"/>
  <c r="J263" i="29"/>
  <c r="J36" i="29"/>
  <c r="J148" i="29"/>
  <c r="J175" i="29"/>
  <c r="J319" i="29"/>
  <c r="J64" i="29"/>
  <c r="J235" i="29"/>
  <c r="J120" i="29"/>
  <c r="J207" i="29"/>
  <c r="J148" i="35"/>
  <c r="J207" i="35"/>
  <c r="J235" i="35"/>
  <c r="J263" i="35"/>
  <c r="J64" i="35"/>
  <c r="J319" i="35"/>
  <c r="J291" i="35"/>
  <c r="J92" i="35"/>
  <c r="J36" i="35"/>
  <c r="J120" i="35"/>
  <c r="J175" i="35"/>
  <c r="M45" i="43"/>
  <c r="M57" i="43" s="1"/>
  <c r="M81" i="43" s="1"/>
  <c r="M94" i="43" s="1"/>
  <c r="L17" i="10"/>
  <c r="L19" i="10" s="1"/>
  <c r="L28" i="10" s="1"/>
  <c r="M197" i="25"/>
  <c r="M209" i="25" s="1"/>
  <c r="M205" i="25"/>
  <c r="M217" i="25" s="1"/>
  <c r="M199" i="25"/>
  <c r="M211" i="25" s="1"/>
  <c r="M202" i="25"/>
  <c r="M214" i="25" s="1"/>
  <c r="M196" i="25"/>
  <c r="M208" i="25" s="1"/>
  <c r="M200" i="25"/>
  <c r="M212" i="25" s="1"/>
  <c r="M203" i="25"/>
  <c r="M215" i="25" s="1"/>
  <c r="M201" i="25"/>
  <c r="M213" i="25" s="1"/>
  <c r="M204" i="25"/>
  <c r="M216" i="25" s="1"/>
  <c r="M198" i="25"/>
  <c r="M210" i="25" s="1"/>
  <c r="F23" i="16"/>
  <c r="G19" i="16" s="1"/>
  <c r="N186" i="35"/>
  <c r="N187" i="37"/>
  <c r="N85" i="29"/>
  <c r="N87" i="29" s="1"/>
  <c r="N89" i="29" s="1"/>
  <c r="N98" i="29" s="1"/>
  <c r="E227" i="30"/>
  <c r="H121" i="45"/>
  <c r="H121" i="15"/>
  <c r="I176" i="35"/>
  <c r="I179" i="37"/>
  <c r="H120" i="43"/>
  <c r="H121" i="47"/>
  <c r="I36" i="34"/>
  <c r="I176" i="28"/>
  <c r="I176" i="30"/>
  <c r="I176" i="29"/>
  <c r="I176" i="39"/>
  <c r="I176" i="38"/>
  <c r="I21" i="10"/>
  <c r="P22" i="10"/>
  <c r="H23" i="45"/>
  <c r="O21" i="45"/>
  <c r="N228" i="30"/>
  <c r="N230" i="30" s="1"/>
  <c r="N232" i="30" s="1"/>
  <c r="N241" i="30" s="1"/>
  <c r="F241" i="39"/>
  <c r="M29" i="29"/>
  <c r="M31" i="29" s="1"/>
  <c r="M33" i="29" s="1"/>
  <c r="M42" i="29" s="1"/>
  <c r="F129" i="37"/>
  <c r="M57" i="47"/>
  <c r="M81" i="47" s="1"/>
  <c r="M94" i="47" s="1"/>
  <c r="E169" i="28"/>
  <c r="I251" i="29"/>
  <c r="P250" i="29"/>
  <c r="F213" i="38"/>
  <c r="E255" i="28"/>
  <c r="D51" i="45"/>
  <c r="D75" i="45" s="1"/>
  <c r="F241" i="35"/>
  <c r="F42" i="35"/>
  <c r="L49" i="45"/>
  <c r="L73" i="45" s="1"/>
  <c r="L86" i="45" s="1"/>
  <c r="L150" i="45" s="1"/>
  <c r="L163" i="45" s="1"/>
  <c r="L56" i="45"/>
  <c r="L80" i="45" s="1"/>
  <c r="L93" i="45" s="1"/>
  <c r="L157" i="45" s="1"/>
  <c r="L170" i="45" s="1"/>
  <c r="I166" i="39"/>
  <c r="P164" i="39"/>
  <c r="D48" i="43"/>
  <c r="D72" i="43" s="1"/>
  <c r="E140" i="30"/>
  <c r="M58" i="45"/>
  <c r="M82" i="45" s="1"/>
  <c r="M95" i="45" s="1"/>
  <c r="M159" i="45" s="1"/>
  <c r="M172" i="45" s="1"/>
  <c r="M141" i="28"/>
  <c r="M143" i="28" s="1"/>
  <c r="M145" i="28" s="1"/>
  <c r="M154" i="28" s="1"/>
  <c r="M85" i="28"/>
  <c r="M87" i="28" s="1"/>
  <c r="M89" i="28" s="1"/>
  <c r="M98" i="28" s="1"/>
  <c r="L55" i="47"/>
  <c r="L79" i="47" s="1"/>
  <c r="L92" i="47" s="1"/>
  <c r="L156" i="47" s="1"/>
  <c r="L169" i="47" s="1"/>
  <c r="I108" i="35"/>
  <c r="P107" i="35"/>
  <c r="F269" i="29"/>
  <c r="F297" i="30"/>
  <c r="D51" i="15"/>
  <c r="D75" i="15" s="1"/>
  <c r="D58" i="15"/>
  <c r="D82" i="15" s="1"/>
  <c r="M85" i="30"/>
  <c r="M87" i="30" s="1"/>
  <c r="M89" i="30" s="1"/>
  <c r="M98" i="30" s="1"/>
  <c r="M284" i="30"/>
  <c r="M286" i="30" s="1"/>
  <c r="M288" i="30" s="1"/>
  <c r="M297" i="30" s="1"/>
  <c r="I251" i="28"/>
  <c r="P250" i="28"/>
  <c r="I307" i="28"/>
  <c r="P306" i="28"/>
  <c r="E84" i="28"/>
  <c r="F241" i="28"/>
  <c r="M200" i="35"/>
  <c r="M202" i="35" s="1"/>
  <c r="M204" i="35" s="1"/>
  <c r="M213" i="35" s="1"/>
  <c r="I136" i="30"/>
  <c r="P135" i="30"/>
  <c r="M140" i="47"/>
  <c r="O100" i="47"/>
  <c r="E28" i="28"/>
  <c r="F297" i="35"/>
  <c r="F325" i="35"/>
  <c r="L53" i="45"/>
  <c r="L77" i="45" s="1"/>
  <c r="L90" i="45" s="1"/>
  <c r="L154" i="45" s="1"/>
  <c r="L167" i="45" s="1"/>
  <c r="D50" i="43"/>
  <c r="D74" i="43" s="1"/>
  <c r="M53" i="45"/>
  <c r="M77" i="45" s="1"/>
  <c r="M90" i="45" s="1"/>
  <c r="M154" i="45" s="1"/>
  <c r="M167" i="45" s="1"/>
  <c r="M228" i="28"/>
  <c r="M230" i="28" s="1"/>
  <c r="M232" i="28" s="1"/>
  <c r="M241" i="28" s="1"/>
  <c r="M113" i="28"/>
  <c r="M115" i="28" s="1"/>
  <c r="M117" i="28" s="1"/>
  <c r="M126" i="28" s="1"/>
  <c r="L56" i="47"/>
  <c r="L80" i="47" s="1"/>
  <c r="L93" i="47" s="1"/>
  <c r="L157" i="47" s="1"/>
  <c r="L170" i="47" s="1"/>
  <c r="I166" i="35"/>
  <c r="P164" i="35"/>
  <c r="I80" i="35"/>
  <c r="P79" i="35"/>
  <c r="E56" i="29"/>
  <c r="F70" i="29"/>
  <c r="D50" i="15"/>
  <c r="D74" i="15" s="1"/>
  <c r="F213" i="28"/>
  <c r="M29" i="30"/>
  <c r="M31" i="30" s="1"/>
  <c r="M33" i="30" s="1"/>
  <c r="M42" i="30" s="1"/>
  <c r="M43" i="28" s="1"/>
  <c r="I195" i="28"/>
  <c r="P194" i="28"/>
  <c r="I52" i="28"/>
  <c r="P51" i="28"/>
  <c r="M144" i="47"/>
  <c r="O104" i="47"/>
  <c r="M186" i="35"/>
  <c r="M187" i="37"/>
  <c r="M312" i="35"/>
  <c r="M314" i="35" s="1"/>
  <c r="M316" i="35" s="1"/>
  <c r="M325" i="35" s="1"/>
  <c r="N169" i="28"/>
  <c r="N171" i="28" s="1"/>
  <c r="N173" i="28" s="1"/>
  <c r="N182" i="28" s="1"/>
  <c r="N184" i="28" s="1"/>
  <c r="M139" i="47"/>
  <c r="O99" i="47"/>
  <c r="M85" i="29"/>
  <c r="M87" i="29" s="1"/>
  <c r="M89" i="29" s="1"/>
  <c r="M98" i="29" s="1"/>
  <c r="N200" i="29"/>
  <c r="N202" i="29" s="1"/>
  <c r="N204" i="29" s="1"/>
  <c r="N213" i="29" s="1"/>
  <c r="N29" i="35"/>
  <c r="N31" i="35" s="1"/>
  <c r="N33" i="35" s="1"/>
  <c r="N42" i="35" s="1"/>
  <c r="N228" i="35"/>
  <c r="N230" i="35" s="1"/>
  <c r="N232" i="35" s="1"/>
  <c r="N241" i="35" s="1"/>
  <c r="M169" i="35"/>
  <c r="M171" i="35" s="1"/>
  <c r="M173" i="35" s="1"/>
  <c r="M182" i="35" s="1"/>
  <c r="M184" i="35" s="1"/>
  <c r="I159" i="25"/>
  <c r="P157" i="25"/>
  <c r="F98" i="28"/>
  <c r="I52" i="30"/>
  <c r="P51" i="30"/>
  <c r="I166" i="38"/>
  <c r="P164" i="38"/>
  <c r="E255" i="30"/>
  <c r="M56" i="43"/>
  <c r="M80" i="43" s="1"/>
  <c r="M93" i="43" s="1"/>
  <c r="M157" i="43" s="1"/>
  <c r="M170" i="43" s="1"/>
  <c r="N29" i="28"/>
  <c r="N31" i="28" s="1"/>
  <c r="N33" i="28" s="1"/>
  <c r="N42" i="28" s="1"/>
  <c r="N256" i="28"/>
  <c r="N258" i="28" s="1"/>
  <c r="N260" i="28" s="1"/>
  <c r="N269" i="28" s="1"/>
  <c r="L50" i="43"/>
  <c r="L74" i="43" s="1"/>
  <c r="L87" i="43" s="1"/>
  <c r="L151" i="43" s="1"/>
  <c r="L164" i="43" s="1"/>
  <c r="L54" i="43"/>
  <c r="L78" i="43" s="1"/>
  <c r="L91" i="43" s="1"/>
  <c r="L155" i="43" s="1"/>
  <c r="L168" i="43" s="1"/>
  <c r="H23" i="47"/>
  <c r="O21" i="47"/>
  <c r="M55" i="15"/>
  <c r="M79" i="15" s="1"/>
  <c r="M92" i="15" s="1"/>
  <c r="M156" i="15" s="1"/>
  <c r="M169" i="15" s="1"/>
  <c r="N29" i="30"/>
  <c r="N31" i="30" s="1"/>
  <c r="N33" i="30" s="1"/>
  <c r="N42" i="30" s="1"/>
  <c r="N43" i="28" s="1"/>
  <c r="F297" i="39"/>
  <c r="M113" i="29"/>
  <c r="M115" i="29" s="1"/>
  <c r="M117" i="29" s="1"/>
  <c r="M126" i="29" s="1"/>
  <c r="L50" i="15"/>
  <c r="L74" i="15" s="1"/>
  <c r="L87" i="15" s="1"/>
  <c r="L151" i="15" s="1"/>
  <c r="L164" i="15" s="1"/>
  <c r="L49" i="15"/>
  <c r="L73" i="15" s="1"/>
  <c r="L86" i="15" s="1"/>
  <c r="L150" i="15" s="1"/>
  <c r="L163" i="15" s="1"/>
  <c r="I26" i="34"/>
  <c r="P24" i="34"/>
  <c r="F300" i="37"/>
  <c r="F244" i="37"/>
  <c r="M53" i="47"/>
  <c r="M77" i="47" s="1"/>
  <c r="M90" i="47" s="1"/>
  <c r="I166" i="29"/>
  <c r="P164" i="29"/>
  <c r="I80" i="29"/>
  <c r="P79" i="29"/>
  <c r="F241" i="38"/>
  <c r="H19" i="10"/>
  <c r="H28" i="10" s="1"/>
  <c r="G16" i="26"/>
  <c r="D50" i="45"/>
  <c r="D74" i="45" s="1"/>
  <c r="D49" i="45"/>
  <c r="D73" i="45" s="1"/>
  <c r="F42" i="30"/>
  <c r="F43" i="28" s="1"/>
  <c r="E172" i="37"/>
  <c r="F213" i="35"/>
  <c r="L57" i="45"/>
  <c r="L81" i="45" s="1"/>
  <c r="L94" i="45" s="1"/>
  <c r="L158" i="45" s="1"/>
  <c r="L171" i="45" s="1"/>
  <c r="F98" i="30"/>
  <c r="E199" i="30"/>
  <c r="E169" i="30"/>
  <c r="E171" i="30" s="1"/>
  <c r="I141" i="39"/>
  <c r="D58" i="43"/>
  <c r="M50" i="45"/>
  <c r="M74" i="45" s="1"/>
  <c r="M87" i="45" s="1"/>
  <c r="M151" i="45" s="1"/>
  <c r="M164" i="45" s="1"/>
  <c r="M57" i="45"/>
  <c r="M81" i="45" s="1"/>
  <c r="M94" i="45" s="1"/>
  <c r="M158" i="45" s="1"/>
  <c r="M171" i="45" s="1"/>
  <c r="E227" i="28"/>
  <c r="M256" i="28"/>
  <c r="M258" i="28" s="1"/>
  <c r="M260" i="28" s="1"/>
  <c r="M269" i="28" s="1"/>
  <c r="L50" i="47"/>
  <c r="L74" i="47" s="1"/>
  <c r="L87" i="47" s="1"/>
  <c r="L151" i="47" s="1"/>
  <c r="L164" i="47" s="1"/>
  <c r="L53" i="47"/>
  <c r="L77" i="47" s="1"/>
  <c r="L90" i="47" s="1"/>
  <c r="L154" i="47" s="1"/>
  <c r="L167" i="47" s="1"/>
  <c r="I24" i="35"/>
  <c r="P23" i="35"/>
  <c r="I223" i="35"/>
  <c r="P222" i="35"/>
  <c r="F297" i="29"/>
  <c r="F126" i="29"/>
  <c r="D49" i="15"/>
  <c r="D73" i="15" s="1"/>
  <c r="F269" i="30"/>
  <c r="M57" i="30"/>
  <c r="M59" i="30" s="1"/>
  <c r="M61" i="30" s="1"/>
  <c r="M70" i="30" s="1"/>
  <c r="I279" i="28"/>
  <c r="P278" i="28"/>
  <c r="E56" i="30"/>
  <c r="M228" i="39"/>
  <c r="I251" i="30"/>
  <c r="P250" i="30"/>
  <c r="N228" i="28"/>
  <c r="N230" i="28" s="1"/>
  <c r="N232" i="28" s="1"/>
  <c r="N241" i="28" s="1"/>
  <c r="N200" i="30"/>
  <c r="N202" i="30" s="1"/>
  <c r="N204" i="30" s="1"/>
  <c r="N213" i="30" s="1"/>
  <c r="L59" i="15"/>
  <c r="L83" i="15" s="1"/>
  <c r="L96" i="15" s="1"/>
  <c r="L160" i="15" s="1"/>
  <c r="L173" i="15" s="1"/>
  <c r="N169" i="35"/>
  <c r="N171" i="35" s="1"/>
  <c r="N173" i="35" s="1"/>
  <c r="N182" i="35" s="1"/>
  <c r="N184" i="35" s="1"/>
  <c r="I29" i="38"/>
  <c r="P28" i="38"/>
  <c r="M48" i="43"/>
  <c r="M72" i="43" s="1"/>
  <c r="M85" i="43" s="1"/>
  <c r="M149" i="43" s="1"/>
  <c r="M162" i="43" s="1"/>
  <c r="M56" i="15"/>
  <c r="M80" i="15" s="1"/>
  <c r="M93" i="15" s="1"/>
  <c r="M157" i="15" s="1"/>
  <c r="M170" i="15" s="1"/>
  <c r="F269" i="39"/>
  <c r="E112" i="29"/>
  <c r="N200" i="35"/>
  <c r="N202" i="35" s="1"/>
  <c r="N204" i="35" s="1"/>
  <c r="N213" i="35" s="1"/>
  <c r="M113" i="35"/>
  <c r="M115" i="35" s="1"/>
  <c r="M117" i="35" s="1"/>
  <c r="M126" i="35" s="1"/>
  <c r="E84" i="29"/>
  <c r="E169" i="29"/>
  <c r="I279" i="30"/>
  <c r="P278" i="30"/>
  <c r="E19" i="10"/>
  <c r="D16" i="26"/>
  <c r="F213" i="30"/>
  <c r="M52" i="43"/>
  <c r="M76" i="43" s="1"/>
  <c r="M89" i="43" s="1"/>
  <c r="M153" i="43" s="1"/>
  <c r="M166" i="43" s="1"/>
  <c r="N312" i="28"/>
  <c r="N314" i="28" s="1"/>
  <c r="N316" i="28" s="1"/>
  <c r="N325" i="28" s="1"/>
  <c r="N284" i="28"/>
  <c r="N286" i="28" s="1"/>
  <c r="N288" i="28" s="1"/>
  <c r="N297" i="28" s="1"/>
  <c r="L55" i="43"/>
  <c r="L79" i="43" s="1"/>
  <c r="L92" i="43" s="1"/>
  <c r="L156" i="43" s="1"/>
  <c r="L169" i="43" s="1"/>
  <c r="M59" i="15"/>
  <c r="M83" i="15" s="1"/>
  <c r="M96" i="15" s="1"/>
  <c r="M160" i="15" s="1"/>
  <c r="M173" i="15" s="1"/>
  <c r="N113" i="30"/>
  <c r="N115" i="30" s="1"/>
  <c r="N117" i="30" s="1"/>
  <c r="N126" i="30" s="1"/>
  <c r="F70" i="39"/>
  <c r="F325" i="39"/>
  <c r="M200" i="29"/>
  <c r="M202" i="29" s="1"/>
  <c r="M204" i="29" s="1"/>
  <c r="M213" i="29" s="1"/>
  <c r="L53" i="15"/>
  <c r="L77" i="15" s="1"/>
  <c r="L90" i="15" s="1"/>
  <c r="L154" i="15" s="1"/>
  <c r="L167" i="15" s="1"/>
  <c r="Q164" i="38"/>
  <c r="Q164" i="28"/>
  <c r="Q164" i="30"/>
  <c r="Q164" i="39"/>
  <c r="F216" i="37"/>
  <c r="F186" i="35"/>
  <c r="F187" i="37"/>
  <c r="I256" i="38"/>
  <c r="E140" i="28"/>
  <c r="M57" i="39"/>
  <c r="M55" i="47"/>
  <c r="M79" i="47" s="1"/>
  <c r="M92" i="47" s="1"/>
  <c r="I24" i="29"/>
  <c r="P23" i="29"/>
  <c r="I195" i="29"/>
  <c r="P194" i="29"/>
  <c r="F269" i="38"/>
  <c r="D52" i="45"/>
  <c r="D76" i="45" s="1"/>
  <c r="F70" i="28"/>
  <c r="F98" i="35"/>
  <c r="L58" i="45"/>
  <c r="L82" i="45" s="1"/>
  <c r="L95" i="45" s="1"/>
  <c r="L159" i="45" s="1"/>
  <c r="L172" i="45" s="1"/>
  <c r="D79" i="18"/>
  <c r="D76" i="18" s="1"/>
  <c r="D77" i="18" s="1"/>
  <c r="E75" i="18"/>
  <c r="E56" i="28"/>
  <c r="D49" i="43"/>
  <c r="D73" i="43" s="1"/>
  <c r="J155" i="15"/>
  <c r="J154" i="43"/>
  <c r="J155" i="47"/>
  <c r="K186" i="28"/>
  <c r="S15" i="18"/>
  <c r="S17" i="18" s="1"/>
  <c r="K186" i="30"/>
  <c r="K31" i="10"/>
  <c r="J155" i="45"/>
  <c r="M56" i="45"/>
  <c r="M80" i="45" s="1"/>
  <c r="M93" i="45" s="1"/>
  <c r="M157" i="45" s="1"/>
  <c r="M170" i="45" s="1"/>
  <c r="M59" i="45"/>
  <c r="M83" i="45" s="1"/>
  <c r="M96" i="45" s="1"/>
  <c r="M160" i="45" s="1"/>
  <c r="M173" i="45" s="1"/>
  <c r="M200" i="28"/>
  <c r="M202" i="28" s="1"/>
  <c r="M204" i="28" s="1"/>
  <c r="M213" i="28" s="1"/>
  <c r="L58" i="47"/>
  <c r="L82" i="47" s="1"/>
  <c r="L95" i="47" s="1"/>
  <c r="L159" i="47" s="1"/>
  <c r="L172" i="47" s="1"/>
  <c r="L52" i="47"/>
  <c r="L76" i="47" s="1"/>
  <c r="L89" i="47" s="1"/>
  <c r="L153" i="47" s="1"/>
  <c r="L166" i="47" s="1"/>
  <c r="I279" i="35"/>
  <c r="P278" i="35"/>
  <c r="I195" i="35"/>
  <c r="P194" i="35"/>
  <c r="F154" i="29"/>
  <c r="F213" i="29"/>
  <c r="D57" i="15"/>
  <c r="D81" i="15" s="1"/>
  <c r="M169" i="30"/>
  <c r="M171" i="30" s="1"/>
  <c r="M173" i="30" s="1"/>
  <c r="M182" i="30" s="1"/>
  <c r="I24" i="28"/>
  <c r="P23" i="28"/>
  <c r="H23" i="15"/>
  <c r="O21" i="15"/>
  <c r="E140" i="35"/>
  <c r="E311" i="28"/>
  <c r="N256" i="35"/>
  <c r="N258" i="35" s="1"/>
  <c r="N260" i="35" s="1"/>
  <c r="N269" i="35" s="1"/>
  <c r="I169" i="37"/>
  <c r="P167" i="37"/>
  <c r="F241" i="30"/>
  <c r="M54" i="43"/>
  <c r="M78" i="43" s="1"/>
  <c r="M91" i="43" s="1"/>
  <c r="M155" i="43" s="1"/>
  <c r="M168" i="43" s="1"/>
  <c r="M284" i="29"/>
  <c r="M286" i="29" s="1"/>
  <c r="M288" i="29" s="1"/>
  <c r="M297" i="29" s="1"/>
  <c r="I307" i="30"/>
  <c r="P306" i="30"/>
  <c r="L57" i="43"/>
  <c r="L81" i="43" s="1"/>
  <c r="L94" i="43" s="1"/>
  <c r="L158" i="43" s="1"/>
  <c r="L171" i="43" s="1"/>
  <c r="N113" i="35"/>
  <c r="N115" i="35" s="1"/>
  <c r="N117" i="35" s="1"/>
  <c r="N126" i="35" s="1"/>
  <c r="I144" i="37"/>
  <c r="J110" i="18"/>
  <c r="I122" i="18"/>
  <c r="I117" i="18"/>
  <c r="N256" i="29"/>
  <c r="N258" i="29" s="1"/>
  <c r="N260" i="29" s="1"/>
  <c r="N269" i="29" s="1"/>
  <c r="N312" i="35"/>
  <c r="N314" i="35" s="1"/>
  <c r="N316" i="35" s="1"/>
  <c r="N325" i="35" s="1"/>
  <c r="E28" i="30"/>
  <c r="M57" i="35"/>
  <c r="M59" i="35" s="1"/>
  <c r="M61" i="35" s="1"/>
  <c r="M70" i="35" s="1"/>
  <c r="E84" i="35"/>
  <c r="I80" i="30"/>
  <c r="P79" i="30"/>
  <c r="H19" i="19"/>
  <c r="H22" i="19" s="1"/>
  <c r="H25" i="19" s="1"/>
  <c r="I33" i="22" s="1"/>
  <c r="M49" i="43"/>
  <c r="M73" i="43" s="1"/>
  <c r="M86" i="43" s="1"/>
  <c r="M150" i="43" s="1"/>
  <c r="M163" i="43" s="1"/>
  <c r="N85" i="28"/>
  <c r="N87" i="28" s="1"/>
  <c r="N89" i="28" s="1"/>
  <c r="N98" i="28" s="1"/>
  <c r="L48" i="43"/>
  <c r="L72" i="43" s="1"/>
  <c r="L85" i="43" s="1"/>
  <c r="L149" i="43" s="1"/>
  <c r="L162" i="43" s="1"/>
  <c r="E255" i="29"/>
  <c r="M51" i="15"/>
  <c r="M75" i="15" s="1"/>
  <c r="M88" i="15" s="1"/>
  <c r="M152" i="15" s="1"/>
  <c r="M165" i="15" s="1"/>
  <c r="M58" i="15"/>
  <c r="M82" i="15" s="1"/>
  <c r="M95" i="15" s="1"/>
  <c r="M159" i="15" s="1"/>
  <c r="M172" i="15" s="1"/>
  <c r="N312" i="30"/>
  <c r="N314" i="30" s="1"/>
  <c r="N316" i="30" s="1"/>
  <c r="N325" i="30" s="1"/>
  <c r="F98" i="39"/>
  <c r="E112" i="28"/>
  <c r="M141" i="29"/>
  <c r="M143" i="29" s="1"/>
  <c r="M145" i="29" s="1"/>
  <c r="M154" i="29" s="1"/>
  <c r="L51" i="15"/>
  <c r="L75" i="15" s="1"/>
  <c r="L88" i="15" s="1"/>
  <c r="L152" i="15" s="1"/>
  <c r="L165" i="15" s="1"/>
  <c r="E84" i="30"/>
  <c r="I14" i="10"/>
  <c r="G85" i="26"/>
  <c r="G76" i="26"/>
  <c r="P12" i="10"/>
  <c r="F328" i="37"/>
  <c r="F272" i="37"/>
  <c r="E283" i="28"/>
  <c r="M58" i="47"/>
  <c r="M82" i="47" s="1"/>
  <c r="M95" i="47" s="1"/>
  <c r="M15" i="10"/>
  <c r="AF19" i="19" s="1"/>
  <c r="AF22" i="19" s="1"/>
  <c r="AF25" i="19" s="1"/>
  <c r="I52" i="29"/>
  <c r="P51" i="29"/>
  <c r="I108" i="29"/>
  <c r="P107" i="29"/>
  <c r="F70" i="38"/>
  <c r="F297" i="38"/>
  <c r="E283" i="29"/>
  <c r="I57" i="37"/>
  <c r="D59" i="45"/>
  <c r="D58" i="45"/>
  <c r="D82" i="45" s="1"/>
  <c r="I284" i="39"/>
  <c r="P284" i="39" s="1"/>
  <c r="F325" i="30"/>
  <c r="F154" i="35"/>
  <c r="L55" i="45"/>
  <c r="L79" i="45" s="1"/>
  <c r="L92" i="45" s="1"/>
  <c r="L156" i="45" s="1"/>
  <c r="L169" i="45" s="1"/>
  <c r="E311" i="30"/>
  <c r="F154" i="30"/>
  <c r="D57" i="43"/>
  <c r="M55" i="45"/>
  <c r="M79" i="45" s="1"/>
  <c r="M92" i="45" s="1"/>
  <c r="M156" i="45" s="1"/>
  <c r="M169" i="45" s="1"/>
  <c r="N200" i="25"/>
  <c r="N212" i="25" s="1"/>
  <c r="N197" i="25"/>
  <c r="N209" i="25" s="1"/>
  <c r="N202" i="25"/>
  <c r="N214" i="25" s="1"/>
  <c r="N203" i="25"/>
  <c r="N215" i="25" s="1"/>
  <c r="N204" i="25"/>
  <c r="N216" i="25" s="1"/>
  <c r="N201" i="25"/>
  <c r="N213" i="25" s="1"/>
  <c r="N205" i="25"/>
  <c r="N217" i="25" s="1"/>
  <c r="N198" i="25"/>
  <c r="N210" i="25" s="1"/>
  <c r="N196" i="25"/>
  <c r="N208" i="25" s="1"/>
  <c r="N199" i="25"/>
  <c r="N211" i="25" s="1"/>
  <c r="M169" i="28"/>
  <c r="M171" i="28" s="1"/>
  <c r="M173" i="28" s="1"/>
  <c r="M182" i="28" s="1"/>
  <c r="M184" i="28" s="1"/>
  <c r="L51" i="47"/>
  <c r="L75" i="47" s="1"/>
  <c r="L88" i="47" s="1"/>
  <c r="L152" i="47" s="1"/>
  <c r="L165" i="47" s="1"/>
  <c r="I251" i="35"/>
  <c r="P250" i="35"/>
  <c r="M146" i="47"/>
  <c r="O106" i="47"/>
  <c r="F42" i="29"/>
  <c r="E140" i="29"/>
  <c r="E255" i="35"/>
  <c r="D59" i="15"/>
  <c r="D83" i="15" s="1"/>
  <c r="M146" i="43"/>
  <c r="O106" i="43"/>
  <c r="M141" i="30"/>
  <c r="M143" i="30" s="1"/>
  <c r="M145" i="30" s="1"/>
  <c r="M154" i="30" s="1"/>
  <c r="I80" i="28"/>
  <c r="P79" i="28"/>
  <c r="L100" i="37"/>
  <c r="E311" i="35"/>
  <c r="F70" i="30"/>
  <c r="N228" i="29"/>
  <c r="N230" i="29" s="1"/>
  <c r="N232" i="29" s="1"/>
  <c r="N241" i="29" s="1"/>
  <c r="N44" i="11"/>
  <c r="M75" i="11"/>
  <c r="M45" i="11"/>
  <c r="F126" i="30"/>
  <c r="L56" i="15"/>
  <c r="L80" i="15" s="1"/>
  <c r="L93" i="15" s="1"/>
  <c r="L157" i="15" s="1"/>
  <c r="L170" i="15" s="1"/>
  <c r="F157" i="37"/>
  <c r="I136" i="29"/>
  <c r="P135" i="29"/>
  <c r="F154" i="38"/>
  <c r="D55" i="45"/>
  <c r="D79" i="45" s="1"/>
  <c r="M85" i="35"/>
  <c r="M87" i="35" s="1"/>
  <c r="M89" i="35" s="1"/>
  <c r="M98" i="35" s="1"/>
  <c r="I108" i="30"/>
  <c r="P107" i="30"/>
  <c r="M51" i="43"/>
  <c r="M75" i="43" s="1"/>
  <c r="M88" i="43" s="1"/>
  <c r="M152" i="43" s="1"/>
  <c r="M165" i="43" s="1"/>
  <c r="N57" i="28"/>
  <c r="N59" i="28" s="1"/>
  <c r="N61" i="28" s="1"/>
  <c r="N70" i="28" s="1"/>
  <c r="L58" i="43"/>
  <c r="L82" i="43" s="1"/>
  <c r="L95" i="43" s="1"/>
  <c r="L159" i="43" s="1"/>
  <c r="L172" i="43" s="1"/>
  <c r="M53" i="15"/>
  <c r="M77" i="15" s="1"/>
  <c r="M90" i="15" s="1"/>
  <c r="M154" i="15" s="1"/>
  <c r="M167" i="15" s="1"/>
  <c r="M49" i="15"/>
  <c r="M73" i="15" s="1"/>
  <c r="M86" i="15" s="1"/>
  <c r="M150" i="15" s="1"/>
  <c r="M163" i="15" s="1"/>
  <c r="N85" i="30"/>
  <c r="N87" i="30" s="1"/>
  <c r="N89" i="30" s="1"/>
  <c r="N98" i="30" s="1"/>
  <c r="F126" i="39"/>
  <c r="M228" i="29"/>
  <c r="M230" i="29" s="1"/>
  <c r="M232" i="29" s="1"/>
  <c r="M241" i="29" s="1"/>
  <c r="L52" i="15"/>
  <c r="L76" i="15" s="1"/>
  <c r="L89" i="15" s="1"/>
  <c r="L153" i="15" s="1"/>
  <c r="L166" i="15" s="1"/>
  <c r="F70" i="37"/>
  <c r="M147" i="43"/>
  <c r="O107" i="43"/>
  <c r="M59" i="47"/>
  <c r="M83" i="47" s="1"/>
  <c r="M96" i="47" s="1"/>
  <c r="M160" i="47" s="1"/>
  <c r="M173" i="47" s="1"/>
  <c r="I279" i="29"/>
  <c r="P278" i="29"/>
  <c r="F98" i="38"/>
  <c r="F325" i="38"/>
  <c r="E311" i="29"/>
  <c r="D56" i="45"/>
  <c r="F269" i="35"/>
  <c r="L52" i="45"/>
  <c r="L76" i="45" s="1"/>
  <c r="L89" i="45" s="1"/>
  <c r="L153" i="45" s="1"/>
  <c r="L166" i="45" s="1"/>
  <c r="E199" i="28"/>
  <c r="D52" i="43"/>
  <c r="D76" i="43" s="1"/>
  <c r="D56" i="43"/>
  <c r="D80" i="43" s="1"/>
  <c r="M49" i="45"/>
  <c r="M73" i="45" s="1"/>
  <c r="M86" i="45" s="1"/>
  <c r="M150" i="45" s="1"/>
  <c r="M163" i="45" s="1"/>
  <c r="M284" i="28"/>
  <c r="M286" i="28" s="1"/>
  <c r="M288" i="28" s="1"/>
  <c r="M297" i="28" s="1"/>
  <c r="L59" i="47"/>
  <c r="L83" i="47" s="1"/>
  <c r="L96" i="47" s="1"/>
  <c r="L160" i="47" s="1"/>
  <c r="L173" i="47" s="1"/>
  <c r="I307" i="35"/>
  <c r="P306" i="35"/>
  <c r="H22" i="43"/>
  <c r="O20" i="43"/>
  <c r="F241" i="29"/>
  <c r="F154" i="28"/>
  <c r="E169" i="35"/>
  <c r="E171" i="35" s="1"/>
  <c r="N15" i="10"/>
  <c r="AI19" i="19" s="1"/>
  <c r="AI22" i="19" s="1"/>
  <c r="AI25" i="19" s="1"/>
  <c r="D56" i="15"/>
  <c r="D80" i="15" s="1"/>
  <c r="M113" i="30"/>
  <c r="M115" i="30" s="1"/>
  <c r="M117" i="30" s="1"/>
  <c r="M126" i="30" s="1"/>
  <c r="I108" i="28"/>
  <c r="P107" i="28"/>
  <c r="E169" i="39"/>
  <c r="I200" i="39"/>
  <c r="N284" i="29"/>
  <c r="N286" i="29" s="1"/>
  <c r="N288" i="29" s="1"/>
  <c r="N297" i="29" s="1"/>
  <c r="L51" i="43"/>
  <c r="L75" i="43" s="1"/>
  <c r="L88" i="43" s="1"/>
  <c r="L152" i="43" s="1"/>
  <c r="L165" i="43" s="1"/>
  <c r="M57" i="15"/>
  <c r="M81" i="15" s="1"/>
  <c r="M94" i="15" s="1"/>
  <c r="M158" i="15" s="1"/>
  <c r="M171" i="15" s="1"/>
  <c r="E28" i="29"/>
  <c r="N284" i="35"/>
  <c r="N286" i="35" s="1"/>
  <c r="N288" i="35" s="1"/>
  <c r="N297" i="35" s="1"/>
  <c r="E169" i="38"/>
  <c r="E171" i="38" s="1"/>
  <c r="L56" i="43"/>
  <c r="L80" i="43" s="1"/>
  <c r="L93" i="43" s="1"/>
  <c r="L157" i="43" s="1"/>
  <c r="L170" i="43" s="1"/>
  <c r="N141" i="35"/>
  <c r="N143" i="35" s="1"/>
  <c r="N145" i="35" s="1"/>
  <c r="N154" i="35" s="1"/>
  <c r="N312" i="29"/>
  <c r="N314" i="29" s="1"/>
  <c r="N316" i="29" s="1"/>
  <c r="N325" i="29" s="1"/>
  <c r="E112" i="30"/>
  <c r="M141" i="35"/>
  <c r="M143" i="35" s="1"/>
  <c r="M145" i="35" s="1"/>
  <c r="M154" i="35" s="1"/>
  <c r="M138" i="47"/>
  <c r="O98" i="47"/>
  <c r="I166" i="30"/>
  <c r="P164" i="30"/>
  <c r="I195" i="30"/>
  <c r="P194" i="30"/>
  <c r="M50" i="43"/>
  <c r="M74" i="43" s="1"/>
  <c r="M87" i="43" s="1"/>
  <c r="M151" i="43" s="1"/>
  <c r="M164" i="43" s="1"/>
  <c r="N113" i="28"/>
  <c r="N115" i="28" s="1"/>
  <c r="N117" i="28" s="1"/>
  <c r="N126" i="28" s="1"/>
  <c r="L52" i="43"/>
  <c r="L76" i="43" s="1"/>
  <c r="L89" i="43" s="1"/>
  <c r="L153" i="43" s="1"/>
  <c r="L166" i="43" s="1"/>
  <c r="M50" i="15"/>
  <c r="M74" i="15" s="1"/>
  <c r="M87" i="15" s="1"/>
  <c r="M151" i="15" s="1"/>
  <c r="M164" i="15" s="1"/>
  <c r="N169" i="30"/>
  <c r="N171" i="30" s="1"/>
  <c r="N173" i="30" s="1"/>
  <c r="N182" i="30" s="1"/>
  <c r="N57" i="30"/>
  <c r="N59" i="30" s="1"/>
  <c r="N61" i="30" s="1"/>
  <c r="N70" i="30" s="1"/>
  <c r="F154" i="39"/>
  <c r="M57" i="29"/>
  <c r="M59" i="29" s="1"/>
  <c r="M61" i="29" s="1"/>
  <c r="M70" i="29" s="1"/>
  <c r="M256" i="29"/>
  <c r="M258" i="29" s="1"/>
  <c r="M260" i="29" s="1"/>
  <c r="M269" i="29" s="1"/>
  <c r="L55" i="15"/>
  <c r="L79" i="15" s="1"/>
  <c r="L92" i="15" s="1"/>
  <c r="L156" i="15" s="1"/>
  <c r="L169" i="15" s="1"/>
  <c r="F269" i="28"/>
  <c r="F42" i="37"/>
  <c r="E283" i="30"/>
  <c r="M50" i="47"/>
  <c r="M74" i="47" s="1"/>
  <c r="M87" i="47" s="1"/>
  <c r="M56" i="47"/>
  <c r="M80" i="47" s="1"/>
  <c r="M93" i="47" s="1"/>
  <c r="M157" i="47" s="1"/>
  <c r="M170" i="47" s="1"/>
  <c r="I223" i="29"/>
  <c r="P222" i="29"/>
  <c r="F42" i="38"/>
  <c r="F43" i="39" s="1"/>
  <c r="F325" i="28"/>
  <c r="D53" i="45"/>
  <c r="D77" i="45" s="1"/>
  <c r="F155" i="47"/>
  <c r="G31" i="10"/>
  <c r="F155" i="45"/>
  <c r="F155" i="15"/>
  <c r="F154" i="43"/>
  <c r="G186" i="28"/>
  <c r="G186" i="30"/>
  <c r="O15" i="18"/>
  <c r="O17" i="18" s="1"/>
  <c r="I85" i="39"/>
  <c r="F70" i="35"/>
  <c r="M91" i="11"/>
  <c r="M116" i="11" s="1"/>
  <c r="L119" i="11"/>
  <c r="L50" i="45"/>
  <c r="L74" i="45" s="1"/>
  <c r="L87" i="45" s="1"/>
  <c r="L151" i="45" s="1"/>
  <c r="L164" i="45" s="1"/>
  <c r="F126" i="28"/>
  <c r="M142" i="47"/>
  <c r="O102" i="47"/>
  <c r="M256" i="39"/>
  <c r="D55" i="43"/>
  <c r="D79" i="43" s="1"/>
  <c r="M51" i="45"/>
  <c r="M75" i="45" s="1"/>
  <c r="M88" i="45" s="1"/>
  <c r="M152" i="45" s="1"/>
  <c r="M165" i="45" s="1"/>
  <c r="M29" i="28"/>
  <c r="M31" i="28" s="1"/>
  <c r="M33" i="28" s="1"/>
  <c r="M42" i="28" s="1"/>
  <c r="L49" i="47"/>
  <c r="L73" i="47" s="1"/>
  <c r="L86" i="47" s="1"/>
  <c r="L150" i="47" s="1"/>
  <c r="L163" i="47" s="1"/>
  <c r="I52" i="35"/>
  <c r="P51" i="35"/>
  <c r="K28" i="7"/>
  <c r="J30" i="7"/>
  <c r="J34" i="7" s="1"/>
  <c r="J35" i="7" s="1"/>
  <c r="E227" i="35"/>
  <c r="F98" i="29"/>
  <c r="D53" i="15"/>
  <c r="D77" i="15" s="1"/>
  <c r="I113" i="38"/>
  <c r="M256" i="30"/>
  <c r="M258" i="30" s="1"/>
  <c r="M260" i="30" s="1"/>
  <c r="M269" i="30" s="1"/>
  <c r="M200" i="30"/>
  <c r="M202" i="30" s="1"/>
  <c r="M204" i="30" s="1"/>
  <c r="M213" i="30" s="1"/>
  <c r="I136" i="28"/>
  <c r="P135" i="28"/>
  <c r="M29" i="35"/>
  <c r="M31" i="35" s="1"/>
  <c r="M33" i="35" s="1"/>
  <c r="M42" i="35" s="1"/>
  <c r="N200" i="28"/>
  <c r="N202" i="28" s="1"/>
  <c r="N204" i="28" s="1"/>
  <c r="N213" i="28" s="1"/>
  <c r="N284" i="30"/>
  <c r="N286" i="30" s="1"/>
  <c r="N288" i="30" s="1"/>
  <c r="N297" i="30" s="1"/>
  <c r="L57" i="15"/>
  <c r="L81" i="15" s="1"/>
  <c r="L94" i="15" s="1"/>
  <c r="L158" i="15" s="1"/>
  <c r="L171" i="15" s="1"/>
  <c r="M51" i="47"/>
  <c r="M75" i="47" s="1"/>
  <c r="M88" i="47" s="1"/>
  <c r="E28" i="35"/>
  <c r="N169" i="29"/>
  <c r="N171" i="29" s="1"/>
  <c r="N173" i="29" s="1"/>
  <c r="N182" i="29" s="1"/>
  <c r="N184" i="29" s="1"/>
  <c r="N141" i="29"/>
  <c r="N143" i="29" s="1"/>
  <c r="N145" i="29" s="1"/>
  <c r="N154" i="29" s="1"/>
  <c r="N57" i="29"/>
  <c r="N59" i="29" s="1"/>
  <c r="N61" i="29" s="1"/>
  <c r="N70" i="29" s="1"/>
  <c r="N85" i="35"/>
  <c r="N87" i="35" s="1"/>
  <c r="N89" i="35" s="1"/>
  <c r="N98" i="35" s="1"/>
  <c r="M228" i="35"/>
  <c r="M230" i="35" s="1"/>
  <c r="M232" i="35" s="1"/>
  <c r="M241" i="35" s="1"/>
  <c r="E199" i="35"/>
  <c r="N113" i="29"/>
  <c r="N115" i="29" s="1"/>
  <c r="N117" i="29" s="1"/>
  <c r="N126" i="29" s="1"/>
  <c r="N29" i="29"/>
  <c r="N31" i="29" s="1"/>
  <c r="N33" i="29" s="1"/>
  <c r="N42" i="29" s="1"/>
  <c r="N57" i="35"/>
  <c r="N59" i="35" s="1"/>
  <c r="N61" i="35" s="1"/>
  <c r="N70" i="35" s="1"/>
  <c r="E29" i="34"/>
  <c r="E31" i="34" s="1"/>
  <c r="M284" i="35"/>
  <c r="M286" i="35" s="1"/>
  <c r="M288" i="35" s="1"/>
  <c r="M297" i="35" s="1"/>
  <c r="M256" i="35"/>
  <c r="M258" i="35" s="1"/>
  <c r="M260" i="35" s="1"/>
  <c r="M269" i="35" s="1"/>
  <c r="F297" i="28"/>
  <c r="E112" i="35"/>
  <c r="E199" i="29"/>
  <c r="I223" i="30"/>
  <c r="P222" i="30"/>
  <c r="I24" i="30"/>
  <c r="P23" i="30"/>
  <c r="N15" i="7"/>
  <c r="N17" i="7" s="1"/>
  <c r="N21" i="7" s="1"/>
  <c r="N22" i="7" s="1"/>
  <c r="N33" i="7" s="1"/>
  <c r="N35" i="7" s="1"/>
  <c r="M41" i="11"/>
  <c r="M73" i="11" s="1"/>
  <c r="M11" i="24"/>
  <c r="L27" i="25"/>
  <c r="L76" i="11"/>
  <c r="M55" i="43"/>
  <c r="M79" i="43" s="1"/>
  <c r="M92" i="43" s="1"/>
  <c r="M156" i="43" s="1"/>
  <c r="M169" i="43" s="1"/>
  <c r="M46" i="43"/>
  <c r="N141" i="28"/>
  <c r="N143" i="28" s="1"/>
  <c r="N145" i="28" s="1"/>
  <c r="N154" i="28" s="1"/>
  <c r="L49" i="43"/>
  <c r="L73" i="43" s="1"/>
  <c r="L86" i="43" s="1"/>
  <c r="L150" i="43" s="1"/>
  <c r="L163" i="43" s="1"/>
  <c r="E56" i="35"/>
  <c r="M52" i="15"/>
  <c r="M76" i="15" s="1"/>
  <c r="M89" i="15" s="1"/>
  <c r="M153" i="15" s="1"/>
  <c r="M166" i="15" s="1"/>
  <c r="N256" i="30"/>
  <c r="N258" i="30" s="1"/>
  <c r="N260" i="30" s="1"/>
  <c r="N269" i="30" s="1"/>
  <c r="N141" i="30"/>
  <c r="N143" i="30" s="1"/>
  <c r="N145" i="30" s="1"/>
  <c r="N154" i="30" s="1"/>
  <c r="F213" i="39"/>
  <c r="E227" i="29"/>
  <c r="M169" i="29"/>
  <c r="M171" i="29" s="1"/>
  <c r="M173" i="29" s="1"/>
  <c r="M182" i="29" s="1"/>
  <c r="M184" i="29" s="1"/>
  <c r="M312" i="29"/>
  <c r="M314" i="29" s="1"/>
  <c r="M316" i="29" s="1"/>
  <c r="M325" i="29" s="1"/>
  <c r="L58" i="15"/>
  <c r="L82" i="15" s="1"/>
  <c r="L95" i="15" s="1"/>
  <c r="L159" i="15" s="1"/>
  <c r="L172" i="15" s="1"/>
  <c r="F98" i="37"/>
  <c r="M49" i="47"/>
  <c r="M73" i="47" s="1"/>
  <c r="M86" i="47" s="1"/>
  <c r="M52" i="47"/>
  <c r="M76" i="47" s="1"/>
  <c r="M89" i="47" s="1"/>
  <c r="M153" i="47" s="1"/>
  <c r="M166" i="47" s="1"/>
  <c r="I307" i="29"/>
  <c r="P306" i="29"/>
  <c r="F126" i="38"/>
  <c r="D57" i="45"/>
  <c r="D81" i="45" s="1"/>
  <c r="F126" i="35"/>
  <c r="L51" i="45"/>
  <c r="L75" i="45" s="1"/>
  <c r="L88" i="45" s="1"/>
  <c r="L152" i="45" s="1"/>
  <c r="L165" i="45" s="1"/>
  <c r="L59" i="45"/>
  <c r="L83" i="45" s="1"/>
  <c r="L96" i="45" s="1"/>
  <c r="L160" i="45" s="1"/>
  <c r="L173" i="45" s="1"/>
  <c r="F42" i="28"/>
  <c r="E283" i="35"/>
  <c r="D51" i="43"/>
  <c r="D75" i="43" s="1"/>
  <c r="D54" i="43"/>
  <c r="D78" i="43" s="1"/>
  <c r="M52" i="45"/>
  <c r="M76" i="45" s="1"/>
  <c r="M89" i="45" s="1"/>
  <c r="M153" i="45" s="1"/>
  <c r="M166" i="45" s="1"/>
  <c r="M57" i="28"/>
  <c r="M59" i="28" s="1"/>
  <c r="M61" i="28" s="1"/>
  <c r="M70" i="28" s="1"/>
  <c r="M312" i="28"/>
  <c r="M314" i="28" s="1"/>
  <c r="M316" i="28" s="1"/>
  <c r="M325" i="28" s="1"/>
  <c r="L57" i="47"/>
  <c r="L81" i="47" s="1"/>
  <c r="L94" i="47" s="1"/>
  <c r="L158" i="47" s="1"/>
  <c r="L171" i="47" s="1"/>
  <c r="I136" i="35"/>
  <c r="P135" i="35"/>
  <c r="E162" i="25"/>
  <c r="E164" i="25" s="1"/>
  <c r="F325" i="29"/>
  <c r="D52" i="15"/>
  <c r="D76" i="15" s="1"/>
  <c r="D55" i="15"/>
  <c r="D79" i="15" s="1"/>
  <c r="M312" i="30"/>
  <c r="M314" i="30" s="1"/>
  <c r="M316" i="30" s="1"/>
  <c r="M325" i="30" s="1"/>
  <c r="M228" i="30"/>
  <c r="M230" i="30" s="1"/>
  <c r="M232" i="30" s="1"/>
  <c r="M241" i="30" s="1"/>
  <c r="I166" i="28"/>
  <c r="P164" i="28"/>
  <c r="I223" i="28"/>
  <c r="P222" i="28"/>
  <c r="M147" i="47"/>
  <c r="O107" i="47"/>
  <c r="F19" i="10" l="1"/>
  <c r="F28" i="10" s="1"/>
  <c r="E154" i="43" s="1"/>
  <c r="P85" i="39"/>
  <c r="P84" i="39"/>
  <c r="H125" i="18"/>
  <c r="P199" i="39"/>
  <c r="P200" i="39"/>
  <c r="P112" i="38"/>
  <c r="H187" i="37"/>
  <c r="H100" i="37" s="1"/>
  <c r="D93" i="48"/>
  <c r="P141" i="39"/>
  <c r="H93" i="48"/>
  <c r="I93" i="48" s="1"/>
  <c r="F93" i="48"/>
  <c r="G93" i="48" s="1"/>
  <c r="J87" i="48"/>
  <c r="K87" i="48" s="1"/>
  <c r="P283" i="39"/>
  <c r="D92" i="48"/>
  <c r="H89" i="48"/>
  <c r="I89" i="48" s="1"/>
  <c r="F84" i="48"/>
  <c r="G84" i="48" s="1"/>
  <c r="L90" i="48"/>
  <c r="M90" i="48" s="1"/>
  <c r="J94" i="48"/>
  <c r="K94" i="48" s="1"/>
  <c r="P140" i="39"/>
  <c r="F88" i="48"/>
  <c r="G88" i="48" s="1"/>
  <c r="F87" i="48"/>
  <c r="G87" i="48" s="1"/>
  <c r="L93" i="48"/>
  <c r="M93" i="48" s="1"/>
  <c r="J91" i="48"/>
  <c r="K91" i="48" s="1"/>
  <c r="J88" i="48"/>
  <c r="K88" i="48" s="1"/>
  <c r="H91" i="48"/>
  <c r="I91" i="48" s="1"/>
  <c r="F90" i="48"/>
  <c r="G90" i="48" s="1"/>
  <c r="H83" i="48"/>
  <c r="I83" i="48" s="1"/>
  <c r="D85" i="48"/>
  <c r="E85" i="48" s="1"/>
  <c r="F86" i="48"/>
  <c r="G86" i="48" s="1"/>
  <c r="L94" i="48"/>
  <c r="M94" i="48" s="1"/>
  <c r="P255" i="38"/>
  <c r="P227" i="39"/>
  <c r="P256" i="38"/>
  <c r="P228" i="39"/>
  <c r="P256" i="39"/>
  <c r="H94" i="48"/>
  <c r="I94" i="48" s="1"/>
  <c r="H86" i="48"/>
  <c r="I86" i="48" s="1"/>
  <c r="P255" i="39"/>
  <c r="X65" i="48"/>
  <c r="P29" i="38"/>
  <c r="F85" i="48"/>
  <c r="G85" i="48" s="1"/>
  <c r="D91" i="48"/>
  <c r="F91" i="48"/>
  <c r="G91" i="48" s="1"/>
  <c r="H90" i="48"/>
  <c r="I90" i="48" s="1"/>
  <c r="J89" i="48"/>
  <c r="K89" i="48" s="1"/>
  <c r="L84" i="48"/>
  <c r="M84" i="48" s="1"/>
  <c r="D83" i="48"/>
  <c r="E83" i="48" s="1"/>
  <c r="L91" i="48"/>
  <c r="M91" i="48" s="1"/>
  <c r="H88" i="48"/>
  <c r="I88" i="48" s="1"/>
  <c r="H84" i="48"/>
  <c r="I84" i="48" s="1"/>
  <c r="E39" i="39"/>
  <c r="E238" i="39"/>
  <c r="E95" i="39"/>
  <c r="E322" i="39"/>
  <c r="E294" i="39"/>
  <c r="E67" i="39"/>
  <c r="E123" i="39"/>
  <c r="E210" i="39"/>
  <c r="E266" i="39"/>
  <c r="E151" i="39"/>
  <c r="E181" i="39"/>
  <c r="D138" i="15"/>
  <c r="D142" i="15"/>
  <c r="D139" i="15"/>
  <c r="D148" i="15"/>
  <c r="D144" i="15"/>
  <c r="D146" i="15"/>
  <c r="D145" i="15"/>
  <c r="D140" i="15"/>
  <c r="D147" i="15"/>
  <c r="D141" i="15"/>
  <c r="E294" i="30"/>
  <c r="E296" i="30" s="1"/>
  <c r="E322" i="30"/>
  <c r="E324" i="30" s="1"/>
  <c r="E151" i="30"/>
  <c r="E153" i="30" s="1"/>
  <c r="E123" i="30"/>
  <c r="E125" i="30" s="1"/>
  <c r="E67" i="30"/>
  <c r="E69" i="30" s="1"/>
  <c r="E210" i="30"/>
  <c r="E212" i="30" s="1"/>
  <c r="E238" i="30"/>
  <c r="E240" i="30" s="1"/>
  <c r="E266" i="30"/>
  <c r="E268" i="30" s="1"/>
  <c r="E95" i="30"/>
  <c r="E97" i="30" s="1"/>
  <c r="E39" i="30"/>
  <c r="E41" i="30" s="1"/>
  <c r="E181" i="30"/>
  <c r="D147" i="47"/>
  <c r="D138" i="47"/>
  <c r="D144" i="47"/>
  <c r="D146" i="47"/>
  <c r="D141" i="47"/>
  <c r="D139" i="47"/>
  <c r="D145" i="47"/>
  <c r="D142" i="47"/>
  <c r="D148" i="47"/>
  <c r="D140" i="47"/>
  <c r="E210" i="35"/>
  <c r="E123" i="35"/>
  <c r="E67" i="35"/>
  <c r="E39" i="35"/>
  <c r="E151" i="35"/>
  <c r="E238" i="35"/>
  <c r="E294" i="35"/>
  <c r="E95" i="35"/>
  <c r="E322" i="35"/>
  <c r="E266" i="35"/>
  <c r="E181" i="35"/>
  <c r="E67" i="37"/>
  <c r="E126" i="37"/>
  <c r="E154" i="37"/>
  <c r="E325" i="37"/>
  <c r="E39" i="37"/>
  <c r="E213" i="37"/>
  <c r="E241" i="37"/>
  <c r="E95" i="37"/>
  <c r="E297" i="37"/>
  <c r="E269" i="37"/>
  <c r="E184" i="37"/>
  <c r="E39" i="29"/>
  <c r="E123" i="29"/>
  <c r="E238" i="29"/>
  <c r="E322" i="29"/>
  <c r="E266" i="29"/>
  <c r="E294" i="29"/>
  <c r="E210" i="29"/>
  <c r="E67" i="29"/>
  <c r="E95" i="29"/>
  <c r="E151" i="29"/>
  <c r="E181" i="29"/>
  <c r="D138" i="45"/>
  <c r="D146" i="45"/>
  <c r="D147" i="45"/>
  <c r="D140" i="45"/>
  <c r="D148" i="45"/>
  <c r="D139" i="45"/>
  <c r="D145" i="45"/>
  <c r="D144" i="45"/>
  <c r="D141" i="45"/>
  <c r="D147" i="43"/>
  <c r="D146" i="43"/>
  <c r="D143" i="43"/>
  <c r="D141" i="43"/>
  <c r="D139" i="43"/>
  <c r="D137" i="43"/>
  <c r="D145" i="43"/>
  <c r="D144" i="43"/>
  <c r="D138" i="43"/>
  <c r="D140" i="43"/>
  <c r="E39" i="38"/>
  <c r="E238" i="38"/>
  <c r="E210" i="38"/>
  <c r="E95" i="38"/>
  <c r="E67" i="38"/>
  <c r="E322" i="38"/>
  <c r="E266" i="38"/>
  <c r="E294" i="38"/>
  <c r="E123" i="38"/>
  <c r="E151" i="38"/>
  <c r="E181" i="38"/>
  <c r="E238" i="28"/>
  <c r="E240" i="28" s="1"/>
  <c r="E322" i="28"/>
  <c r="E324" i="28" s="1"/>
  <c r="E266" i="28"/>
  <c r="E268" i="28" s="1"/>
  <c r="E123" i="28"/>
  <c r="E125" i="28" s="1"/>
  <c r="E151" i="28"/>
  <c r="E153" i="28" s="1"/>
  <c r="E39" i="28"/>
  <c r="E41" i="28" s="1"/>
  <c r="E95" i="28"/>
  <c r="E97" i="28" s="1"/>
  <c r="E210" i="28"/>
  <c r="E212" i="28" s="1"/>
  <c r="E294" i="28"/>
  <c r="E296" i="28" s="1"/>
  <c r="E67" i="28"/>
  <c r="E69" i="28" s="1"/>
  <c r="E82" i="16"/>
  <c r="E83" i="16" s="1"/>
  <c r="F79" i="16" s="1"/>
  <c r="F80" i="16" s="1"/>
  <c r="F81" i="16" s="1"/>
  <c r="F82" i="16" s="1"/>
  <c r="F83" i="16" s="1"/>
  <c r="G79" i="16" s="1"/>
  <c r="G80" i="16" s="1"/>
  <c r="F89" i="48"/>
  <c r="G89" i="48" s="1"/>
  <c r="D89" i="48"/>
  <c r="E89" i="48" s="1"/>
  <c r="X64" i="48"/>
  <c r="G186" i="35"/>
  <c r="J90" i="48"/>
  <c r="K90" i="48" s="1"/>
  <c r="F94" i="48"/>
  <c r="G94" i="48" s="1"/>
  <c r="H92" i="48"/>
  <c r="I92" i="48" s="1"/>
  <c r="E42" i="16"/>
  <c r="E43" i="16" s="1"/>
  <c r="F39" i="16" s="1"/>
  <c r="F40" i="16" s="1"/>
  <c r="F41" i="16" s="1"/>
  <c r="F42" i="16" s="1"/>
  <c r="F43" i="16" s="1"/>
  <c r="G39" i="16" s="1"/>
  <c r="G40" i="16" s="1"/>
  <c r="G41" i="16" s="1"/>
  <c r="H162" i="16"/>
  <c r="H163" i="16" s="1"/>
  <c r="I159" i="16" s="1"/>
  <c r="I160" i="16" s="1"/>
  <c r="I161" i="16" s="1"/>
  <c r="I162" i="16" s="1"/>
  <c r="I163" i="16" s="1"/>
  <c r="J159" i="16" s="1"/>
  <c r="J160" i="16" s="1"/>
  <c r="J161" i="16" s="1"/>
  <c r="L86" i="48"/>
  <c r="M86" i="48" s="1"/>
  <c r="L88" i="48"/>
  <c r="M88" i="48" s="1"/>
  <c r="E182" i="16"/>
  <c r="E183" i="16" s="1"/>
  <c r="F179" i="16" s="1"/>
  <c r="F180" i="16" s="1"/>
  <c r="F181" i="16" s="1"/>
  <c r="F182" i="16" s="1"/>
  <c r="E121" i="16"/>
  <c r="E122" i="16" s="1"/>
  <c r="E123" i="16" s="1"/>
  <c r="F119" i="16" s="1"/>
  <c r="F120" i="16" s="1"/>
  <c r="F121" i="16" s="1"/>
  <c r="F122" i="16" s="1"/>
  <c r="F123" i="16" s="1"/>
  <c r="G119" i="16" s="1"/>
  <c r="D90" i="48"/>
  <c r="E90" i="48" s="1"/>
  <c r="H85" i="48"/>
  <c r="I85" i="48" s="1"/>
  <c r="D84" i="48"/>
  <c r="E84" i="48" s="1"/>
  <c r="J85" i="48"/>
  <c r="K85" i="48" s="1"/>
  <c r="X66" i="48"/>
  <c r="D88" i="48"/>
  <c r="E88" i="48" s="1"/>
  <c r="L85" i="48"/>
  <c r="M85" i="48" s="1"/>
  <c r="F92" i="48"/>
  <c r="G92" i="48" s="1"/>
  <c r="L89" i="48"/>
  <c r="M89" i="48" s="1"/>
  <c r="L83" i="48"/>
  <c r="M83" i="48" s="1"/>
  <c r="L87" i="48"/>
  <c r="M87" i="48" s="1"/>
  <c r="F83" i="48"/>
  <c r="G83" i="48" s="1"/>
  <c r="D87" i="48"/>
  <c r="E87" i="48" s="1"/>
  <c r="J84" i="48"/>
  <c r="K84" i="48" s="1"/>
  <c r="D86" i="48"/>
  <c r="E86" i="48" s="1"/>
  <c r="J92" i="48"/>
  <c r="K92" i="48" s="1"/>
  <c r="J83" i="48"/>
  <c r="K83" i="48" s="1"/>
  <c r="L92" i="48"/>
  <c r="M92" i="48" s="1"/>
  <c r="F222" i="16"/>
  <c r="F223" i="16" s="1"/>
  <c r="G219" i="16" s="1"/>
  <c r="G220" i="16" s="1"/>
  <c r="G221" i="16" s="1"/>
  <c r="E57" i="37"/>
  <c r="E59" i="37" s="1"/>
  <c r="E61" i="37" s="1"/>
  <c r="E85" i="37"/>
  <c r="P85" i="37" s="1"/>
  <c r="P84" i="37"/>
  <c r="P283" i="38"/>
  <c r="E284" i="38"/>
  <c r="P284" i="38" s="1"/>
  <c r="E70" i="48"/>
  <c r="X70" i="48" s="1"/>
  <c r="E29" i="37"/>
  <c r="P29" i="37" s="1"/>
  <c r="P28" i="37"/>
  <c r="P112" i="39"/>
  <c r="E113" i="39"/>
  <c r="P113" i="39" s="1"/>
  <c r="E93" i="48"/>
  <c r="E85" i="38"/>
  <c r="P85" i="38" s="1"/>
  <c r="P84" i="38"/>
  <c r="P56" i="39"/>
  <c r="E203" i="37"/>
  <c r="P203" i="37" s="1"/>
  <c r="P202" i="37"/>
  <c r="E71" i="48"/>
  <c r="X71" i="48" s="1"/>
  <c r="E62" i="48"/>
  <c r="X62" i="48" s="1"/>
  <c r="X69" i="48"/>
  <c r="E315" i="37"/>
  <c r="P315" i="37" s="1"/>
  <c r="P314" i="37"/>
  <c r="P57" i="39"/>
  <c r="E68" i="48"/>
  <c r="X68" i="48" s="1"/>
  <c r="E91" i="48"/>
  <c r="E228" i="38"/>
  <c r="P228" i="38" s="1"/>
  <c r="P227" i="38"/>
  <c r="E141" i="38"/>
  <c r="P141" i="38" s="1"/>
  <c r="P140" i="38"/>
  <c r="E57" i="38"/>
  <c r="P57" i="38" s="1"/>
  <c r="P56" i="38"/>
  <c r="P113" i="38"/>
  <c r="P230" i="37"/>
  <c r="E231" i="37"/>
  <c r="P231" i="37" s="1"/>
  <c r="B109" i="48"/>
  <c r="H106" i="48" s="1"/>
  <c r="I106" i="48" s="1"/>
  <c r="P115" i="37"/>
  <c r="E116" i="37"/>
  <c r="P116" i="37" s="1"/>
  <c r="X63" i="48"/>
  <c r="E201" i="16"/>
  <c r="E200" i="16"/>
  <c r="E92" i="48"/>
  <c r="P311" i="39"/>
  <c r="E312" i="39"/>
  <c r="P312" i="39" s="1"/>
  <c r="E72" i="48"/>
  <c r="X72" i="48" s="1"/>
  <c r="C12" i="48"/>
  <c r="B150" i="48"/>
  <c r="B147" i="48"/>
  <c r="B148" i="48" s="1"/>
  <c r="E73" i="48"/>
  <c r="X73" i="48" s="1"/>
  <c r="E94" i="48"/>
  <c r="E155" i="45"/>
  <c r="E155" i="15"/>
  <c r="N15" i="18"/>
  <c r="N17" i="18" s="1"/>
  <c r="E155" i="47"/>
  <c r="F186" i="30"/>
  <c r="F31" i="10"/>
  <c r="E200" i="38"/>
  <c r="P200" i="38" s="1"/>
  <c r="P199" i="38"/>
  <c r="E287" i="37"/>
  <c r="P286" i="37"/>
  <c r="E67" i="48"/>
  <c r="X67" i="48" s="1"/>
  <c r="E312" i="38"/>
  <c r="P312" i="38" s="1"/>
  <c r="P311" i="38"/>
  <c r="E144" i="37"/>
  <c r="P144" i="37" s="1"/>
  <c r="P258" i="37"/>
  <c r="E259" i="37"/>
  <c r="P259" i="37" s="1"/>
  <c r="J86" i="48"/>
  <c r="K86" i="48" s="1"/>
  <c r="E29" i="39"/>
  <c r="P29" i="39" s="1"/>
  <c r="P28" i="39"/>
  <c r="I22" i="2"/>
  <c r="I23" i="2" s="1"/>
  <c r="U26" i="22"/>
  <c r="U28" i="22" s="1"/>
  <c r="U29" i="22" s="1"/>
  <c r="I123" i="18"/>
  <c r="I124" i="18" s="1"/>
  <c r="M118" i="11"/>
  <c r="N92" i="11"/>
  <c r="M95" i="11"/>
  <c r="K16" i="26"/>
  <c r="I179" i="38"/>
  <c r="I238" i="38" s="1"/>
  <c r="I179" i="35"/>
  <c r="I294" i="35" s="1"/>
  <c r="P179" i="25"/>
  <c r="M152" i="47"/>
  <c r="M165" i="47" s="1"/>
  <c r="P175" i="25"/>
  <c r="H191" i="25"/>
  <c r="P191" i="25" s="1"/>
  <c r="I39" i="34"/>
  <c r="H134" i="43"/>
  <c r="H138" i="43" s="1"/>
  <c r="I182" i="37"/>
  <c r="I95" i="37" s="1"/>
  <c r="P180" i="25"/>
  <c r="H192" i="25"/>
  <c r="P192" i="25" s="1"/>
  <c r="P181" i="25"/>
  <c r="M151" i="47"/>
  <c r="M164" i="47" s="1"/>
  <c r="P178" i="25"/>
  <c r="P25" i="10"/>
  <c r="Q179" i="28" s="1"/>
  <c r="I179" i="29"/>
  <c r="I67" i="29" s="1"/>
  <c r="I179" i="28"/>
  <c r="I294" i="28" s="1"/>
  <c r="H135" i="45"/>
  <c r="H147" i="45" s="1"/>
  <c r="H135" i="47"/>
  <c r="H139" i="47" s="1"/>
  <c r="H135" i="15"/>
  <c r="H139" i="15" s="1"/>
  <c r="I179" i="39"/>
  <c r="I123" i="39" s="1"/>
  <c r="P174" i="25"/>
  <c r="M150" i="47"/>
  <c r="M163" i="47" s="1"/>
  <c r="M156" i="47"/>
  <c r="M169" i="47" s="1"/>
  <c r="P182" i="25"/>
  <c r="P173" i="25"/>
  <c r="M158" i="43"/>
  <c r="M171" i="43" s="1"/>
  <c r="P177" i="25"/>
  <c r="H189" i="25"/>
  <c r="H200" i="25" s="1"/>
  <c r="H212" i="25" s="1"/>
  <c r="P176" i="25"/>
  <c r="J181" i="28"/>
  <c r="J182" i="28" s="1"/>
  <c r="J184" i="28" s="1"/>
  <c r="J28" i="10"/>
  <c r="J209" i="37"/>
  <c r="J91" i="37"/>
  <c r="J122" i="37"/>
  <c r="J35" i="37"/>
  <c r="J265" i="37"/>
  <c r="J237" i="37"/>
  <c r="J321" i="37"/>
  <c r="J150" i="37"/>
  <c r="J293" i="37"/>
  <c r="J63" i="37"/>
  <c r="J290" i="35"/>
  <c r="J206" i="35"/>
  <c r="J35" i="35"/>
  <c r="J63" i="35"/>
  <c r="J262" i="35"/>
  <c r="J234" i="35"/>
  <c r="J147" i="35"/>
  <c r="J119" i="35"/>
  <c r="J91" i="35"/>
  <c r="J318" i="35"/>
  <c r="J234" i="29"/>
  <c r="J147" i="29"/>
  <c r="J91" i="29"/>
  <c r="J35" i="29"/>
  <c r="J63" i="29"/>
  <c r="J318" i="29"/>
  <c r="J262" i="29"/>
  <c r="J206" i="29"/>
  <c r="J119" i="29"/>
  <c r="J290" i="29"/>
  <c r="J39" i="34"/>
  <c r="J41" i="34" s="1"/>
  <c r="J42" i="34" s="1"/>
  <c r="J44" i="34" s="1"/>
  <c r="J179" i="39"/>
  <c r="J181" i="39" s="1"/>
  <c r="J179" i="28"/>
  <c r="I135" i="15"/>
  <c r="J179" i="35"/>
  <c r="I135" i="47"/>
  <c r="J179" i="29"/>
  <c r="J182" i="37"/>
  <c r="J184" i="37" s="1"/>
  <c r="J179" i="30"/>
  <c r="P179" i="30" s="1"/>
  <c r="I134" i="43"/>
  <c r="I135" i="45"/>
  <c r="J179" i="38"/>
  <c r="J181" i="38" s="1"/>
  <c r="J234" i="38"/>
  <c r="J262" i="38"/>
  <c r="J91" i="38"/>
  <c r="J119" i="38"/>
  <c r="J318" i="38"/>
  <c r="J290" i="38"/>
  <c r="J206" i="38"/>
  <c r="J147" i="38"/>
  <c r="J63" i="38"/>
  <c r="J35" i="38"/>
  <c r="J234" i="39"/>
  <c r="J63" i="39"/>
  <c r="J147" i="39"/>
  <c r="J119" i="39"/>
  <c r="J318" i="39"/>
  <c r="J290" i="39"/>
  <c r="J206" i="39"/>
  <c r="J35" i="39"/>
  <c r="J91" i="39"/>
  <c r="J262" i="39"/>
  <c r="M154" i="47"/>
  <c r="M167" i="47" s="1"/>
  <c r="M158" i="47"/>
  <c r="M171" i="47" s="1"/>
  <c r="M159" i="47"/>
  <c r="M172" i="47" s="1"/>
  <c r="M17" i="10"/>
  <c r="L16" i="26" s="1"/>
  <c r="M258" i="39"/>
  <c r="M260" i="39" s="1"/>
  <c r="I286" i="39"/>
  <c r="I288" i="39" s="1"/>
  <c r="P288" i="39" s="1"/>
  <c r="I202" i="39"/>
  <c r="I204" i="39" s="1"/>
  <c r="P204" i="39" s="1"/>
  <c r="I143" i="39"/>
  <c r="I145" i="39" s="1"/>
  <c r="P145" i="39" s="1"/>
  <c r="I87" i="39"/>
  <c r="I89" i="39" s="1"/>
  <c r="P89" i="39" s="1"/>
  <c r="I59" i="37"/>
  <c r="I146" i="37"/>
  <c r="I258" i="38"/>
  <c r="I260" i="38" s="1"/>
  <c r="P260" i="38" s="1"/>
  <c r="E173" i="35"/>
  <c r="D92" i="45"/>
  <c r="D86" i="45"/>
  <c r="D92" i="15"/>
  <c r="D86" i="15"/>
  <c r="D90" i="45"/>
  <c r="D88" i="45"/>
  <c r="E33" i="34"/>
  <c r="D93" i="43"/>
  <c r="D88" i="43"/>
  <c r="D93" i="15"/>
  <c r="E256" i="29"/>
  <c r="E258" i="29" s="1"/>
  <c r="I34" i="22"/>
  <c r="I35" i="22" s="1"/>
  <c r="L33" i="22"/>
  <c r="I309" i="30"/>
  <c r="P307" i="30"/>
  <c r="I171" i="37"/>
  <c r="P169" i="37"/>
  <c r="E141" i="35"/>
  <c r="D94" i="15"/>
  <c r="E79" i="18"/>
  <c r="E76" i="18" s="1"/>
  <c r="E77" i="18" s="1"/>
  <c r="F75" i="18"/>
  <c r="F100" i="37"/>
  <c r="M230" i="39"/>
  <c r="I26" i="35"/>
  <c r="P24" i="35"/>
  <c r="D87" i="45"/>
  <c r="I82" i="29"/>
  <c r="P80" i="29"/>
  <c r="D87" i="43"/>
  <c r="P185" i="25"/>
  <c r="H196" i="25"/>
  <c r="H208" i="25" s="1"/>
  <c r="I263" i="29"/>
  <c r="P263" i="29" s="1"/>
  <c r="I148" i="29"/>
  <c r="P148" i="29" s="1"/>
  <c r="I319" i="29"/>
  <c r="P319" i="29" s="1"/>
  <c r="I64" i="29"/>
  <c r="P64" i="29" s="1"/>
  <c r="I235" i="29"/>
  <c r="P235" i="29" s="1"/>
  <c r="I120" i="29"/>
  <c r="P120" i="29" s="1"/>
  <c r="I291" i="29"/>
  <c r="P291" i="29" s="1"/>
  <c r="I36" i="29"/>
  <c r="P36" i="29" s="1"/>
  <c r="I92" i="29"/>
  <c r="P92" i="29" s="1"/>
  <c r="I207" i="29"/>
  <c r="P207" i="29" s="1"/>
  <c r="I175" i="29"/>
  <c r="P176" i="29"/>
  <c r="O121" i="15"/>
  <c r="G100" i="16"/>
  <c r="E113" i="29"/>
  <c r="E115" i="29" s="1"/>
  <c r="F62" i="16"/>
  <c r="I161" i="25"/>
  <c r="P159" i="25"/>
  <c r="D87" i="15"/>
  <c r="E29" i="28"/>
  <c r="I309" i="28"/>
  <c r="P307" i="28"/>
  <c r="D95" i="15"/>
  <c r="E141" i="30"/>
  <c r="E143" i="30" s="1"/>
  <c r="I168" i="39"/>
  <c r="P166" i="39"/>
  <c r="I36" i="30"/>
  <c r="I319" i="30"/>
  <c r="I64" i="30"/>
  <c r="I291" i="30"/>
  <c r="I263" i="30"/>
  <c r="I235" i="30"/>
  <c r="I207" i="30"/>
  <c r="I148" i="30"/>
  <c r="I92" i="30"/>
  <c r="I120" i="30"/>
  <c r="I175" i="30"/>
  <c r="P176" i="30"/>
  <c r="O121" i="45"/>
  <c r="P188" i="25"/>
  <c r="H199" i="25"/>
  <c r="H211" i="25" s="1"/>
  <c r="D90" i="15"/>
  <c r="E113" i="30"/>
  <c r="E115" i="30" s="1"/>
  <c r="I281" i="29"/>
  <c r="P279" i="29"/>
  <c r="I253" i="35"/>
  <c r="P251" i="35"/>
  <c r="D83" i="45"/>
  <c r="D86" i="43"/>
  <c r="E228" i="29"/>
  <c r="E230" i="29" s="1"/>
  <c r="I26" i="30"/>
  <c r="P24" i="30"/>
  <c r="E284" i="30"/>
  <c r="E286" i="30" s="1"/>
  <c r="I168" i="30"/>
  <c r="P166" i="30"/>
  <c r="E29" i="29"/>
  <c r="E31" i="29" s="1"/>
  <c r="H45" i="43"/>
  <c r="H46" i="43"/>
  <c r="H38" i="43"/>
  <c r="H39" i="43"/>
  <c r="H40" i="43"/>
  <c r="H42" i="43"/>
  <c r="H37" i="43"/>
  <c r="H43" i="43"/>
  <c r="H44" i="43"/>
  <c r="H36" i="43"/>
  <c r="O22" i="43"/>
  <c r="O15" i="7"/>
  <c r="O17" i="7" s="1"/>
  <c r="O21" i="7" s="1"/>
  <c r="O22" i="7" s="1"/>
  <c r="O33" i="7" s="1"/>
  <c r="O35" i="7" s="1"/>
  <c r="N41" i="11"/>
  <c r="N73" i="11" s="1"/>
  <c r="N11" i="24"/>
  <c r="M76" i="11"/>
  <c r="M27" i="25"/>
  <c r="E29" i="30"/>
  <c r="E31" i="30" s="1"/>
  <c r="K110" i="18"/>
  <c r="J122" i="18"/>
  <c r="J118" i="18"/>
  <c r="H39" i="15"/>
  <c r="H40" i="15"/>
  <c r="H41" i="15"/>
  <c r="H43" i="15"/>
  <c r="H44" i="15"/>
  <c r="H46" i="15"/>
  <c r="H45" i="15"/>
  <c r="H37" i="15"/>
  <c r="H47" i="15"/>
  <c r="H38" i="15"/>
  <c r="O23" i="15"/>
  <c r="M59" i="39"/>
  <c r="E28" i="10"/>
  <c r="E57" i="30"/>
  <c r="E59" i="30" s="1"/>
  <c r="I168" i="29"/>
  <c r="P166" i="29"/>
  <c r="I28" i="34"/>
  <c r="P26" i="34"/>
  <c r="I54" i="28"/>
  <c r="P52" i="28"/>
  <c r="I253" i="29"/>
  <c r="P251" i="29"/>
  <c r="I64" i="28"/>
  <c r="I235" i="28"/>
  <c r="I263" i="28"/>
  <c r="I291" i="28"/>
  <c r="I319" i="28"/>
  <c r="I92" i="28"/>
  <c r="I36" i="28"/>
  <c r="I120" i="28"/>
  <c r="I148" i="28"/>
  <c r="I207" i="28"/>
  <c r="I175" i="28"/>
  <c r="P175" i="28" s="1"/>
  <c r="P176" i="28"/>
  <c r="E228" i="30"/>
  <c r="E230" i="30" s="1"/>
  <c r="F143" i="16"/>
  <c r="G139" i="16" s="1"/>
  <c r="M58" i="43"/>
  <c r="M82" i="43" s="1"/>
  <c r="M95" i="43" s="1"/>
  <c r="M159" i="43" s="1"/>
  <c r="M172" i="43" s="1"/>
  <c r="I138" i="29"/>
  <c r="P136" i="29"/>
  <c r="I225" i="28"/>
  <c r="P223" i="28"/>
  <c r="I309" i="29"/>
  <c r="P307" i="29"/>
  <c r="E57" i="35"/>
  <c r="E59" i="35" s="1"/>
  <c r="E312" i="29"/>
  <c r="E314" i="29" s="1"/>
  <c r="D81" i="43"/>
  <c r="Q166" i="39"/>
  <c r="Q166" i="28"/>
  <c r="Q166" i="30"/>
  <c r="Q166" i="38"/>
  <c r="I197" i="35"/>
  <c r="P195" i="35"/>
  <c r="I197" i="29"/>
  <c r="P195" i="29"/>
  <c r="E85" i="29"/>
  <c r="E87" i="29" s="1"/>
  <c r="I31" i="38"/>
  <c r="H31" i="10"/>
  <c r="G155" i="45"/>
  <c r="G155" i="15"/>
  <c r="G154" i="43"/>
  <c r="G155" i="47"/>
  <c r="H186" i="28"/>
  <c r="P15" i="18"/>
  <c r="P17" i="18" s="1"/>
  <c r="H186" i="30"/>
  <c r="O23" i="47"/>
  <c r="I168" i="38"/>
  <c r="P166" i="38"/>
  <c r="M100" i="37"/>
  <c r="I82" i="35"/>
  <c r="P80" i="35"/>
  <c r="I253" i="28"/>
  <c r="P251" i="28"/>
  <c r="H37" i="45"/>
  <c r="H45" i="45"/>
  <c r="H39" i="45"/>
  <c r="H41" i="45"/>
  <c r="H44" i="45"/>
  <c r="H47" i="45"/>
  <c r="H38" i="45"/>
  <c r="H46" i="45"/>
  <c r="H40" i="45"/>
  <c r="H43" i="45"/>
  <c r="O23" i="45"/>
  <c r="I35" i="34"/>
  <c r="P36" i="34"/>
  <c r="N100" i="37"/>
  <c r="G20" i="16"/>
  <c r="G22" i="16" s="1"/>
  <c r="G23" i="16" s="1"/>
  <c r="H19" i="16" s="1"/>
  <c r="E284" i="35"/>
  <c r="E286" i="35" s="1"/>
  <c r="P193" i="25"/>
  <c r="H204" i="25"/>
  <c r="H216" i="25" s="1"/>
  <c r="I309" i="35"/>
  <c r="P307" i="35"/>
  <c r="O44" i="11"/>
  <c r="N75" i="11"/>
  <c r="N45" i="11"/>
  <c r="D96" i="15"/>
  <c r="D95" i="45"/>
  <c r="I110" i="29"/>
  <c r="P108" i="29"/>
  <c r="E312" i="28"/>
  <c r="E314" i="28" s="1"/>
  <c r="I26" i="28"/>
  <c r="P24" i="28"/>
  <c r="E57" i="28"/>
  <c r="E59" i="28" s="1"/>
  <c r="E141" i="28"/>
  <c r="E143" i="28" s="1"/>
  <c r="I281" i="30"/>
  <c r="P279" i="30"/>
  <c r="E173" i="30"/>
  <c r="I197" i="28"/>
  <c r="P195" i="28"/>
  <c r="D88" i="15"/>
  <c r="D85" i="43"/>
  <c r="Q176" i="28"/>
  <c r="Q176" i="30"/>
  <c r="Q176" i="39"/>
  <c r="Q176" i="38"/>
  <c r="P36" i="39"/>
  <c r="P169" i="25"/>
  <c r="P168" i="25" s="1"/>
  <c r="O121" i="47"/>
  <c r="E113" i="35"/>
  <c r="E115" i="35" s="1"/>
  <c r="I54" i="35"/>
  <c r="P52" i="35"/>
  <c r="E141" i="29"/>
  <c r="E143" i="29" s="1"/>
  <c r="E312" i="30"/>
  <c r="E314" i="30" s="1"/>
  <c r="I225" i="30"/>
  <c r="P223" i="30"/>
  <c r="I225" i="29"/>
  <c r="P223" i="29"/>
  <c r="E173" i="38"/>
  <c r="I168" i="28"/>
  <c r="P166" i="28"/>
  <c r="I115" i="38"/>
  <c r="E228" i="35"/>
  <c r="E230" i="35" s="1"/>
  <c r="E171" i="39"/>
  <c r="N17" i="10"/>
  <c r="I281" i="35"/>
  <c r="P279" i="35"/>
  <c r="D89" i="45"/>
  <c r="I26" i="29"/>
  <c r="P24" i="29"/>
  <c r="I281" i="28"/>
  <c r="P279" i="28"/>
  <c r="I54" i="30"/>
  <c r="P52" i="30"/>
  <c r="I168" i="35"/>
  <c r="P166" i="35"/>
  <c r="E171" i="28"/>
  <c r="I27" i="10"/>
  <c r="P21" i="10"/>
  <c r="O120" i="43"/>
  <c r="P186" i="25"/>
  <c r="H197" i="25"/>
  <c r="H209" i="25" s="1"/>
  <c r="D92" i="43"/>
  <c r="E200" i="28"/>
  <c r="E202" i="28" s="1"/>
  <c r="E166" i="25"/>
  <c r="E200" i="35"/>
  <c r="E202" i="35" s="1"/>
  <c r="D94" i="45"/>
  <c r="D89" i="43"/>
  <c r="I39" i="30"/>
  <c r="I95" i="30"/>
  <c r="I151" i="30"/>
  <c r="I67" i="30"/>
  <c r="I238" i="30"/>
  <c r="I123" i="30"/>
  <c r="I294" i="30"/>
  <c r="I210" i="30"/>
  <c r="I266" i="30"/>
  <c r="I322" i="30"/>
  <c r="I82" i="28"/>
  <c r="P80" i="28"/>
  <c r="E284" i="29"/>
  <c r="I54" i="29"/>
  <c r="P52" i="29"/>
  <c r="E284" i="28"/>
  <c r="E286" i="28" s="1"/>
  <c r="I15" i="10"/>
  <c r="I17" i="10" s="1"/>
  <c r="P14" i="10"/>
  <c r="E113" i="28"/>
  <c r="E115" i="28" s="1"/>
  <c r="I82" i="30"/>
  <c r="P80" i="30"/>
  <c r="N94" i="11"/>
  <c r="I253" i="30"/>
  <c r="P251" i="30"/>
  <c r="I225" i="35"/>
  <c r="P223" i="35"/>
  <c r="E256" i="30"/>
  <c r="E258" i="30" s="1"/>
  <c r="I138" i="30"/>
  <c r="P136" i="30"/>
  <c r="E85" i="28"/>
  <c r="E87" i="28" s="1"/>
  <c r="I110" i="35"/>
  <c r="P108" i="35"/>
  <c r="E256" i="28"/>
  <c r="I263" i="38"/>
  <c r="P263" i="38" s="1"/>
  <c r="I120" i="38"/>
  <c r="P120" i="38" s="1"/>
  <c r="I36" i="38"/>
  <c r="P36" i="38" s="1"/>
  <c r="I235" i="38"/>
  <c r="P235" i="38" s="1"/>
  <c r="I92" i="38"/>
  <c r="P92" i="38" s="1"/>
  <c r="I319" i="38"/>
  <c r="P319" i="38" s="1"/>
  <c r="I207" i="38"/>
  <c r="P207" i="38" s="1"/>
  <c r="I64" i="38"/>
  <c r="P64" i="38" s="1"/>
  <c r="I291" i="38"/>
  <c r="P291" i="38" s="1"/>
  <c r="I148" i="38"/>
  <c r="P148" i="38" s="1"/>
  <c r="I175" i="38"/>
  <c r="P176" i="38"/>
  <c r="I322" i="37"/>
  <c r="P322" i="37" s="1"/>
  <c r="I210" i="37"/>
  <c r="P210" i="37" s="1"/>
  <c r="I64" i="37"/>
  <c r="P64" i="37" s="1"/>
  <c r="I294" i="37"/>
  <c r="P294" i="37" s="1"/>
  <c r="I151" i="37"/>
  <c r="P151" i="37" s="1"/>
  <c r="I36" i="37"/>
  <c r="P36" i="37" s="1"/>
  <c r="I266" i="37"/>
  <c r="P266" i="37" s="1"/>
  <c r="I123" i="37"/>
  <c r="P123" i="37" s="1"/>
  <c r="I238" i="37"/>
  <c r="P238" i="37" s="1"/>
  <c r="I92" i="37"/>
  <c r="P92" i="37" s="1"/>
  <c r="I178" i="37"/>
  <c r="P179" i="37"/>
  <c r="P194" i="25"/>
  <c r="H205" i="25"/>
  <c r="H217" i="25" s="1"/>
  <c r="E29" i="35"/>
  <c r="E31" i="35" s="1"/>
  <c r="I197" i="30"/>
  <c r="P195" i="30"/>
  <c r="E312" i="35"/>
  <c r="D91" i="43"/>
  <c r="D89" i="15"/>
  <c r="I138" i="35"/>
  <c r="P136" i="35"/>
  <c r="E200" i="29"/>
  <c r="I138" i="28"/>
  <c r="P136" i="28"/>
  <c r="K30" i="7"/>
  <c r="K34" i="7" s="1"/>
  <c r="K35" i="7" s="1"/>
  <c r="L28" i="7"/>
  <c r="L30" i="7" s="1"/>
  <c r="L34" i="7" s="1"/>
  <c r="L35" i="7" s="1"/>
  <c r="I110" i="28"/>
  <c r="P108" i="28"/>
  <c r="D80" i="45"/>
  <c r="P187" i="25"/>
  <c r="H198" i="25"/>
  <c r="H210" i="25" s="1"/>
  <c r="I110" i="30"/>
  <c r="P108" i="30"/>
  <c r="E256" i="35"/>
  <c r="E258" i="35" s="1"/>
  <c r="L186" i="30"/>
  <c r="T15" i="18"/>
  <c r="T17" i="18" s="1"/>
  <c r="L186" i="28"/>
  <c r="L31" i="10"/>
  <c r="K155" i="45"/>
  <c r="K155" i="15"/>
  <c r="K154" i="43"/>
  <c r="K155" i="47"/>
  <c r="E85" i="30"/>
  <c r="E87" i="30" s="1"/>
  <c r="E85" i="35"/>
  <c r="E87" i="35" s="1"/>
  <c r="N91" i="11"/>
  <c r="N116" i="11" s="1"/>
  <c r="M119" i="11"/>
  <c r="E171" i="29"/>
  <c r="E228" i="28"/>
  <c r="E230" i="28" s="1"/>
  <c r="D82" i="43"/>
  <c r="E200" i="30"/>
  <c r="E202" i="30" s="1"/>
  <c r="E174" i="37"/>
  <c r="E57" i="29"/>
  <c r="E59" i="29" s="1"/>
  <c r="P190" i="25"/>
  <c r="H201" i="25"/>
  <c r="H213" i="25" s="1"/>
  <c r="I291" i="39"/>
  <c r="P291" i="39" s="1"/>
  <c r="I148" i="39"/>
  <c r="P148" i="39" s="1"/>
  <c r="I263" i="39"/>
  <c r="P263" i="39" s="1"/>
  <c r="I120" i="39"/>
  <c r="P120" i="39" s="1"/>
  <c r="I92" i="39"/>
  <c r="P92" i="39" s="1"/>
  <c r="I235" i="39"/>
  <c r="P235" i="39" s="1"/>
  <c r="I64" i="39"/>
  <c r="P64" i="39" s="1"/>
  <c r="I319" i="39"/>
  <c r="P319" i="39" s="1"/>
  <c r="I207" i="39"/>
  <c r="P207" i="39" s="1"/>
  <c r="I36" i="39"/>
  <c r="I175" i="39"/>
  <c r="P176" i="39"/>
  <c r="I36" i="35"/>
  <c r="P36" i="35" s="1"/>
  <c r="I291" i="35"/>
  <c r="P291" i="35" s="1"/>
  <c r="I64" i="35"/>
  <c r="P64" i="35" s="1"/>
  <c r="I319" i="35"/>
  <c r="P319" i="35" s="1"/>
  <c r="I92" i="35"/>
  <c r="P92" i="35" s="1"/>
  <c r="I120" i="35"/>
  <c r="P120" i="35" s="1"/>
  <c r="I148" i="35"/>
  <c r="P148" i="35" s="1"/>
  <c r="I207" i="35"/>
  <c r="P207" i="35" s="1"/>
  <c r="I235" i="35"/>
  <c r="P235" i="35" s="1"/>
  <c r="I263" i="35"/>
  <c r="P263" i="35" s="1"/>
  <c r="I175" i="35"/>
  <c r="P176" i="35"/>
  <c r="F186" i="28" l="1"/>
  <c r="X91" i="48"/>
  <c r="X90" i="48"/>
  <c r="X93" i="48"/>
  <c r="X88" i="48"/>
  <c r="I123" i="38"/>
  <c r="I39" i="28"/>
  <c r="F115" i="48"/>
  <c r="G115" i="48" s="1"/>
  <c r="I95" i="38"/>
  <c r="I39" i="38"/>
  <c r="E271" i="37"/>
  <c r="E156" i="37"/>
  <c r="E243" i="37"/>
  <c r="E97" i="37"/>
  <c r="E128" i="37"/>
  <c r="E327" i="37"/>
  <c r="E41" i="37"/>
  <c r="E69" i="37"/>
  <c r="E70" i="37" s="1"/>
  <c r="E299" i="37"/>
  <c r="E215" i="37"/>
  <c r="E41" i="35"/>
  <c r="E69" i="35"/>
  <c r="E324" i="35"/>
  <c r="E97" i="35"/>
  <c r="E125" i="35"/>
  <c r="E153" i="35"/>
  <c r="E212" i="35"/>
  <c r="E268" i="35"/>
  <c r="E240" i="35"/>
  <c r="E296" i="35"/>
  <c r="E97" i="29"/>
  <c r="E153" i="29"/>
  <c r="E296" i="29"/>
  <c r="E41" i="29"/>
  <c r="E69" i="29"/>
  <c r="E212" i="29"/>
  <c r="E268" i="29"/>
  <c r="E324" i="29"/>
  <c r="E240" i="29"/>
  <c r="E125" i="29"/>
  <c r="E212" i="39"/>
  <c r="E213" i="39" s="1"/>
  <c r="E125" i="39"/>
  <c r="E153" i="39"/>
  <c r="E154" i="39" s="1"/>
  <c r="E69" i="39"/>
  <c r="E70" i="39" s="1"/>
  <c r="E41" i="39"/>
  <c r="E296" i="39"/>
  <c r="E297" i="39" s="1"/>
  <c r="E240" i="39"/>
  <c r="E241" i="39" s="1"/>
  <c r="E97" i="39"/>
  <c r="E98" i="39" s="1"/>
  <c r="E268" i="39"/>
  <c r="E269" i="39" s="1"/>
  <c r="E324" i="39"/>
  <c r="E268" i="38"/>
  <c r="E269" i="38" s="1"/>
  <c r="E41" i="38"/>
  <c r="E42" i="38" s="1"/>
  <c r="E43" i="39" s="1"/>
  <c r="E324" i="38"/>
  <c r="E125" i="38"/>
  <c r="E126" i="38" s="1"/>
  <c r="E153" i="38"/>
  <c r="E97" i="38"/>
  <c r="E296" i="38"/>
  <c r="E240" i="38"/>
  <c r="E69" i="38"/>
  <c r="E212" i="38"/>
  <c r="X94" i="48"/>
  <c r="F112" i="48"/>
  <c r="G112" i="48" s="1"/>
  <c r="X87" i="48"/>
  <c r="X89" i="48"/>
  <c r="H112" i="48"/>
  <c r="I112" i="48" s="1"/>
  <c r="H113" i="48"/>
  <c r="I113" i="48" s="1"/>
  <c r="D106" i="48"/>
  <c r="E106" i="48" s="1"/>
  <c r="E87" i="38"/>
  <c r="E89" i="38" s="1"/>
  <c r="E314" i="38"/>
  <c r="E316" i="38" s="1"/>
  <c r="H114" i="48"/>
  <c r="I114" i="48" s="1"/>
  <c r="I125" i="18"/>
  <c r="D107" i="48"/>
  <c r="E107" i="48" s="1"/>
  <c r="J123" i="18"/>
  <c r="J124" i="18" s="1"/>
  <c r="H115" i="48"/>
  <c r="I115" i="48" s="1"/>
  <c r="E59" i="38"/>
  <c r="E61" i="38" s="1"/>
  <c r="E314" i="39"/>
  <c r="E316" i="39" s="1"/>
  <c r="E261" i="37"/>
  <c r="E263" i="37" s="1"/>
  <c r="F104" i="48"/>
  <c r="G104" i="48" s="1"/>
  <c r="J109" i="48"/>
  <c r="K109" i="48" s="1"/>
  <c r="H108" i="48"/>
  <c r="I108" i="48" s="1"/>
  <c r="L115" i="48"/>
  <c r="M115" i="48" s="1"/>
  <c r="X92" i="48"/>
  <c r="D109" i="48"/>
  <c r="E109" i="48" s="1"/>
  <c r="D108" i="48"/>
  <c r="E108" i="48" s="1"/>
  <c r="E202" i="16"/>
  <c r="E203" i="16" s="1"/>
  <c r="F199" i="16" s="1"/>
  <c r="F200" i="16" s="1"/>
  <c r="F201" i="16" s="1"/>
  <c r="F202" i="16" s="1"/>
  <c r="F203" i="16" s="1"/>
  <c r="G199" i="16" s="1"/>
  <c r="G200" i="16" s="1"/>
  <c r="G201" i="16" s="1"/>
  <c r="J114" i="48"/>
  <c r="K114" i="48" s="1"/>
  <c r="L109" i="48"/>
  <c r="M109" i="48" s="1"/>
  <c r="F114" i="48"/>
  <c r="G114" i="48" s="1"/>
  <c r="E118" i="37"/>
  <c r="E120" i="37" s="1"/>
  <c r="F109" i="48"/>
  <c r="G109" i="48" s="1"/>
  <c r="L107" i="48"/>
  <c r="M107" i="48" s="1"/>
  <c r="H111" i="48"/>
  <c r="I111" i="48" s="1"/>
  <c r="X84" i="48"/>
  <c r="E87" i="37"/>
  <c r="E89" i="37" s="1"/>
  <c r="H109" i="48"/>
  <c r="I109" i="48" s="1"/>
  <c r="L108" i="48"/>
  <c r="M108" i="48" s="1"/>
  <c r="X83" i="48"/>
  <c r="E317" i="37"/>
  <c r="P317" i="37" s="1"/>
  <c r="E205" i="37"/>
  <c r="E207" i="37" s="1"/>
  <c r="X86" i="48"/>
  <c r="X85" i="48"/>
  <c r="G222" i="16"/>
  <c r="G223" i="16" s="1"/>
  <c r="H219" i="16" s="1"/>
  <c r="H220" i="16" s="1"/>
  <c r="H221" i="16" s="1"/>
  <c r="H222" i="16" s="1"/>
  <c r="H223" i="16" s="1"/>
  <c r="I219" i="16" s="1"/>
  <c r="E31" i="39"/>
  <c r="P31" i="39" s="1"/>
  <c r="E146" i="37"/>
  <c r="E148" i="37" s="1"/>
  <c r="P57" i="37"/>
  <c r="E31" i="37"/>
  <c r="P31" i="37" s="1"/>
  <c r="D113" i="48"/>
  <c r="J115" i="48"/>
  <c r="K115" i="48" s="1"/>
  <c r="L106" i="48"/>
  <c r="M106" i="48" s="1"/>
  <c r="F110" i="48"/>
  <c r="G110" i="48" s="1"/>
  <c r="F108" i="48"/>
  <c r="G108" i="48" s="1"/>
  <c r="J110" i="48"/>
  <c r="K110" i="48" s="1"/>
  <c r="J112" i="48"/>
  <c r="K112" i="48" s="1"/>
  <c r="E289" i="37"/>
  <c r="P287" i="37"/>
  <c r="J111" i="48"/>
  <c r="K111" i="48" s="1"/>
  <c r="F111" i="48"/>
  <c r="G111" i="48" s="1"/>
  <c r="L112" i="48"/>
  <c r="M112" i="48" s="1"/>
  <c r="L105" i="48"/>
  <c r="M105" i="48" s="1"/>
  <c r="L113" i="48"/>
  <c r="M113" i="48" s="1"/>
  <c r="L114" i="48"/>
  <c r="M114" i="48" s="1"/>
  <c r="J107" i="48"/>
  <c r="K107" i="48" s="1"/>
  <c r="E143" i="38"/>
  <c r="E202" i="38"/>
  <c r="J105" i="48"/>
  <c r="K105" i="48" s="1"/>
  <c r="D114" i="48"/>
  <c r="H105" i="48"/>
  <c r="I105" i="48" s="1"/>
  <c r="F107" i="48"/>
  <c r="G107" i="48" s="1"/>
  <c r="D115" i="48"/>
  <c r="J106" i="48"/>
  <c r="K106" i="48" s="1"/>
  <c r="J108" i="48"/>
  <c r="K108" i="48" s="1"/>
  <c r="E233" i="37"/>
  <c r="I24" i="2"/>
  <c r="I25" i="2" s="1"/>
  <c r="J21" i="2" s="1"/>
  <c r="B151" i="48"/>
  <c r="F151" i="48" s="1"/>
  <c r="G151" i="48" s="1"/>
  <c r="D104" i="48"/>
  <c r="E104" i="48" s="1"/>
  <c r="J113" i="48"/>
  <c r="K113" i="48" s="1"/>
  <c r="J104" i="48"/>
  <c r="K104" i="48" s="1"/>
  <c r="D110" i="48"/>
  <c r="L104" i="48"/>
  <c r="M104" i="48" s="1"/>
  <c r="D105" i="48"/>
  <c r="E105" i="48" s="1"/>
  <c r="H104" i="48"/>
  <c r="I104" i="48" s="1"/>
  <c r="H110" i="48"/>
  <c r="I110" i="48" s="1"/>
  <c r="E230" i="38"/>
  <c r="B168" i="48"/>
  <c r="B169" i="48" s="1"/>
  <c r="B171" i="48"/>
  <c r="C13" i="48"/>
  <c r="F105" i="48"/>
  <c r="G105" i="48" s="1"/>
  <c r="F113" i="48"/>
  <c r="G113" i="48" s="1"/>
  <c r="L111" i="48"/>
  <c r="M111" i="48" s="1"/>
  <c r="D112" i="48"/>
  <c r="L110" i="48"/>
  <c r="M110" i="48" s="1"/>
  <c r="F106" i="48"/>
  <c r="G106" i="48" s="1"/>
  <c r="H107" i="48"/>
  <c r="I107" i="48" s="1"/>
  <c r="D111" i="48"/>
  <c r="E115" i="39"/>
  <c r="E286" i="38"/>
  <c r="I151" i="29"/>
  <c r="I67" i="35"/>
  <c r="H137" i="43"/>
  <c r="I154" i="37"/>
  <c r="I297" i="37"/>
  <c r="I67" i="37"/>
  <c r="I322" i="38"/>
  <c r="I151" i="35"/>
  <c r="I266" i="38"/>
  <c r="I322" i="35"/>
  <c r="I67" i="38"/>
  <c r="I210" i="35"/>
  <c r="P179" i="35"/>
  <c r="G42" i="16"/>
  <c r="G43" i="16" s="1"/>
  <c r="H39" i="16" s="1"/>
  <c r="I151" i="38"/>
  <c r="I39" i="35"/>
  <c r="I39" i="37"/>
  <c r="I266" i="35"/>
  <c r="I123" i="35"/>
  <c r="I210" i="38"/>
  <c r="I294" i="38"/>
  <c r="I238" i="35"/>
  <c r="I95" i="35"/>
  <c r="H144" i="47"/>
  <c r="H141" i="47"/>
  <c r="I322" i="39"/>
  <c r="I238" i="39"/>
  <c r="H139" i="43"/>
  <c r="I210" i="29"/>
  <c r="H144" i="43"/>
  <c r="I238" i="29"/>
  <c r="H147" i="43"/>
  <c r="I294" i="29"/>
  <c r="H202" i="25"/>
  <c r="H214" i="25" s="1"/>
  <c r="H146" i="43"/>
  <c r="I123" i="29"/>
  <c r="H143" i="43"/>
  <c r="I266" i="29"/>
  <c r="H141" i="43"/>
  <c r="Q179" i="38"/>
  <c r="H140" i="43"/>
  <c r="Q179" i="30"/>
  <c r="I322" i="28"/>
  <c r="H148" i="15"/>
  <c r="I213" i="37"/>
  <c r="I325" i="37"/>
  <c r="I67" i="28"/>
  <c r="H146" i="15"/>
  <c r="I269" i="37"/>
  <c r="I126" i="37"/>
  <c r="H145" i="47"/>
  <c r="I241" i="37"/>
  <c r="H145" i="43"/>
  <c r="H142" i="47"/>
  <c r="Q179" i="39"/>
  <c r="O134" i="43"/>
  <c r="P258" i="39"/>
  <c r="H140" i="47"/>
  <c r="P39" i="39"/>
  <c r="H203" i="25"/>
  <c r="H215" i="25" s="1"/>
  <c r="P189" i="25"/>
  <c r="I266" i="39"/>
  <c r="I151" i="39"/>
  <c r="I322" i="29"/>
  <c r="P179" i="29"/>
  <c r="I39" i="29"/>
  <c r="I238" i="28"/>
  <c r="I95" i="29"/>
  <c r="H144" i="15"/>
  <c r="H146" i="45"/>
  <c r="P258" i="38"/>
  <c r="I95" i="28"/>
  <c r="H145" i="45"/>
  <c r="O135" i="45"/>
  <c r="I266" i="28"/>
  <c r="H144" i="45"/>
  <c r="M19" i="10"/>
  <c r="M28" i="10" s="1"/>
  <c r="M186" i="30" s="1"/>
  <c r="I123" i="28"/>
  <c r="H138" i="45"/>
  <c r="H140" i="45"/>
  <c r="H139" i="45"/>
  <c r="I151" i="28"/>
  <c r="H141" i="45"/>
  <c r="H142" i="45"/>
  <c r="I210" i="28"/>
  <c r="H148" i="45"/>
  <c r="P179" i="38"/>
  <c r="P179" i="28"/>
  <c r="I95" i="39"/>
  <c r="H148" i="47"/>
  <c r="P87" i="39"/>
  <c r="H145" i="15"/>
  <c r="I39" i="39"/>
  <c r="I294" i="39"/>
  <c r="H146" i="47"/>
  <c r="H138" i="15"/>
  <c r="H140" i="15"/>
  <c r="I67" i="39"/>
  <c r="I210" i="39"/>
  <c r="H138" i="47"/>
  <c r="H142" i="15"/>
  <c r="H147" i="15"/>
  <c r="H141" i="15"/>
  <c r="H147" i="47"/>
  <c r="P182" i="37"/>
  <c r="P179" i="39"/>
  <c r="P202" i="39"/>
  <c r="P286" i="39"/>
  <c r="J69" i="37"/>
  <c r="J70" i="37" s="1"/>
  <c r="J327" i="37"/>
  <c r="J328" i="37" s="1"/>
  <c r="J243" i="37"/>
  <c r="J244" i="37" s="1"/>
  <c r="J215" i="37"/>
  <c r="J216" i="37" s="1"/>
  <c r="J299" i="37"/>
  <c r="J300" i="37" s="1"/>
  <c r="J271" i="37"/>
  <c r="J272" i="37" s="1"/>
  <c r="J97" i="37"/>
  <c r="J98" i="37" s="1"/>
  <c r="J156" i="37"/>
  <c r="J157" i="37" s="1"/>
  <c r="J41" i="37"/>
  <c r="J42" i="37" s="1"/>
  <c r="J128" i="37"/>
  <c r="J129" i="37" s="1"/>
  <c r="J185" i="37"/>
  <c r="J238" i="30"/>
  <c r="J240" i="30" s="1"/>
  <c r="J241" i="30" s="1"/>
  <c r="J322" i="30"/>
  <c r="J324" i="30" s="1"/>
  <c r="J325" i="30" s="1"/>
  <c r="J210" i="30"/>
  <c r="J212" i="30" s="1"/>
  <c r="J213" i="30" s="1"/>
  <c r="J266" i="30"/>
  <c r="J268" i="30" s="1"/>
  <c r="J269" i="30" s="1"/>
  <c r="J67" i="30"/>
  <c r="J69" i="30" s="1"/>
  <c r="J70" i="30" s="1"/>
  <c r="J123" i="30"/>
  <c r="J125" i="30" s="1"/>
  <c r="J126" i="30" s="1"/>
  <c r="J39" i="30"/>
  <c r="J41" i="30" s="1"/>
  <c r="J42" i="30" s="1"/>
  <c r="J43" i="28" s="1"/>
  <c r="J294" i="30"/>
  <c r="J296" i="30" s="1"/>
  <c r="J297" i="30" s="1"/>
  <c r="J95" i="30"/>
  <c r="J97" i="30" s="1"/>
  <c r="J98" i="30" s="1"/>
  <c r="J151" i="30"/>
  <c r="J153" i="30" s="1"/>
  <c r="J154" i="30" s="1"/>
  <c r="J296" i="38"/>
  <c r="J297" i="38" s="1"/>
  <c r="J268" i="38"/>
  <c r="J269" i="38" s="1"/>
  <c r="J240" i="38"/>
  <c r="J241" i="38" s="1"/>
  <c r="J153" i="38"/>
  <c r="J154" i="38" s="1"/>
  <c r="J212" i="38"/>
  <c r="J213" i="38" s="1"/>
  <c r="J97" i="38"/>
  <c r="J98" i="38" s="1"/>
  <c r="J125" i="38"/>
  <c r="J126" i="38" s="1"/>
  <c r="J69" i="38"/>
  <c r="J70" i="38" s="1"/>
  <c r="J41" i="38"/>
  <c r="J42" i="38" s="1"/>
  <c r="J43" i="39" s="1"/>
  <c r="J324" i="38"/>
  <c r="J325" i="38" s="1"/>
  <c r="J182" i="38"/>
  <c r="J184" i="38" s="1"/>
  <c r="J297" i="37"/>
  <c r="J95" i="37"/>
  <c r="P95" i="37" s="1"/>
  <c r="J241" i="37"/>
  <c r="J269" i="37"/>
  <c r="J154" i="37"/>
  <c r="J126" i="37"/>
  <c r="J39" i="37"/>
  <c r="P39" i="37" s="1"/>
  <c r="J67" i="37"/>
  <c r="J213" i="37"/>
  <c r="J325" i="37"/>
  <c r="J69" i="39"/>
  <c r="J70" i="39" s="1"/>
  <c r="J41" i="39"/>
  <c r="J42" i="39" s="1"/>
  <c r="J296" i="39"/>
  <c r="J297" i="39" s="1"/>
  <c r="J97" i="39"/>
  <c r="J98" i="39" s="1"/>
  <c r="J240" i="39"/>
  <c r="J241" i="39" s="1"/>
  <c r="J212" i="39"/>
  <c r="J213" i="39" s="1"/>
  <c r="J324" i="39"/>
  <c r="J325" i="39" s="1"/>
  <c r="J153" i="39"/>
  <c r="J154" i="39" s="1"/>
  <c r="J268" i="39"/>
  <c r="J269" i="39" s="1"/>
  <c r="J125" i="39"/>
  <c r="J126" i="39" s="1"/>
  <c r="J182" i="39"/>
  <c r="J184" i="39" s="1"/>
  <c r="J95" i="29"/>
  <c r="J151" i="29"/>
  <c r="P151" i="29" s="1"/>
  <c r="J67" i="29"/>
  <c r="P67" i="29" s="1"/>
  <c r="J322" i="29"/>
  <c r="J266" i="29"/>
  <c r="J210" i="29"/>
  <c r="J123" i="29"/>
  <c r="J39" i="29"/>
  <c r="J238" i="29"/>
  <c r="J294" i="29"/>
  <c r="P294" i="29" s="1"/>
  <c r="R15" i="18"/>
  <c r="R17" i="18" s="1"/>
  <c r="J186" i="28"/>
  <c r="J31" i="10"/>
  <c r="I155" i="45"/>
  <c r="I155" i="15"/>
  <c r="I154" i="43"/>
  <c r="I155" i="47"/>
  <c r="J186" i="30"/>
  <c r="I146" i="47"/>
  <c r="I158" i="47" s="1"/>
  <c r="I171" i="47" s="1"/>
  <c r="I145" i="47"/>
  <c r="I157" i="47" s="1"/>
  <c r="I170" i="47" s="1"/>
  <c r="I142" i="47"/>
  <c r="I154" i="47" s="1"/>
  <c r="I167" i="47" s="1"/>
  <c r="I148" i="47"/>
  <c r="I160" i="47" s="1"/>
  <c r="I173" i="47" s="1"/>
  <c r="I144" i="47"/>
  <c r="I156" i="47" s="1"/>
  <c r="I169" i="47" s="1"/>
  <c r="I140" i="47"/>
  <c r="I152" i="47" s="1"/>
  <c r="I165" i="47" s="1"/>
  <c r="I147" i="47"/>
  <c r="I159" i="47" s="1"/>
  <c r="I172" i="47" s="1"/>
  <c r="I139" i="47"/>
  <c r="I151" i="47" s="1"/>
  <c r="I164" i="47" s="1"/>
  <c r="I141" i="47"/>
  <c r="I153" i="47" s="1"/>
  <c r="I166" i="47" s="1"/>
  <c r="I138" i="47"/>
  <c r="I150" i="47" s="1"/>
  <c r="I163" i="47" s="1"/>
  <c r="J210" i="35"/>
  <c r="J266" i="35"/>
  <c r="J39" i="35"/>
  <c r="P39" i="35" s="1"/>
  <c r="J322" i="35"/>
  <c r="J151" i="35"/>
  <c r="J294" i="35"/>
  <c r="P294" i="35" s="1"/>
  <c r="J95" i="35"/>
  <c r="J67" i="35"/>
  <c r="J238" i="35"/>
  <c r="J123" i="35"/>
  <c r="J181" i="35"/>
  <c r="P39" i="34"/>
  <c r="J181" i="30"/>
  <c r="J182" i="30" s="1"/>
  <c r="J294" i="38"/>
  <c r="J39" i="38"/>
  <c r="J151" i="38"/>
  <c r="J123" i="38"/>
  <c r="J95" i="38"/>
  <c r="J67" i="38"/>
  <c r="J266" i="38"/>
  <c r="P266" i="38" s="1"/>
  <c r="J322" i="38"/>
  <c r="J238" i="38"/>
  <c r="P238" i="38" s="1"/>
  <c r="J210" i="38"/>
  <c r="I147" i="15"/>
  <c r="I159" i="15" s="1"/>
  <c r="I172" i="15" s="1"/>
  <c r="I139" i="15"/>
  <c r="I151" i="15" s="1"/>
  <c r="I164" i="15" s="1"/>
  <c r="I145" i="15"/>
  <c r="I157" i="15" s="1"/>
  <c r="I170" i="15" s="1"/>
  <c r="I140" i="15"/>
  <c r="I152" i="15" s="1"/>
  <c r="I165" i="15" s="1"/>
  <c r="I148" i="15"/>
  <c r="I160" i="15" s="1"/>
  <c r="I173" i="15" s="1"/>
  <c r="I146" i="15"/>
  <c r="I158" i="15" s="1"/>
  <c r="I171" i="15" s="1"/>
  <c r="I138" i="15"/>
  <c r="I150" i="15" s="1"/>
  <c r="I163" i="15" s="1"/>
  <c r="I144" i="15"/>
  <c r="I156" i="15" s="1"/>
  <c r="I169" i="15" s="1"/>
  <c r="I141" i="15"/>
  <c r="I153" i="15" s="1"/>
  <c r="I166" i="15" s="1"/>
  <c r="I142" i="15"/>
  <c r="I154" i="15" s="1"/>
  <c r="I167" i="15" s="1"/>
  <c r="J181" i="29"/>
  <c r="I140" i="45"/>
  <c r="I152" i="45" s="1"/>
  <c r="I165" i="45" s="1"/>
  <c r="I148" i="45"/>
  <c r="I160" i="45" s="1"/>
  <c r="I173" i="45" s="1"/>
  <c r="I144" i="45"/>
  <c r="I156" i="45" s="1"/>
  <c r="I169" i="45" s="1"/>
  <c r="I139" i="45"/>
  <c r="I151" i="45" s="1"/>
  <c r="I164" i="45" s="1"/>
  <c r="I138" i="45"/>
  <c r="I150" i="45" s="1"/>
  <c r="I163" i="45" s="1"/>
  <c r="I147" i="45"/>
  <c r="I159" i="45" s="1"/>
  <c r="I172" i="45" s="1"/>
  <c r="I141" i="45"/>
  <c r="I153" i="45" s="1"/>
  <c r="I166" i="45" s="1"/>
  <c r="I142" i="45"/>
  <c r="I154" i="45" s="1"/>
  <c r="I167" i="45" s="1"/>
  <c r="I145" i="45"/>
  <c r="I157" i="45" s="1"/>
  <c r="I170" i="45" s="1"/>
  <c r="I146" i="45"/>
  <c r="I158" i="45" s="1"/>
  <c r="I171" i="45" s="1"/>
  <c r="J266" i="28"/>
  <c r="J268" i="28" s="1"/>
  <c r="J269" i="28" s="1"/>
  <c r="J39" i="28"/>
  <c r="J41" i="28" s="1"/>
  <c r="J42" i="28" s="1"/>
  <c r="J123" i="28"/>
  <c r="J125" i="28" s="1"/>
  <c r="J126" i="28" s="1"/>
  <c r="J238" i="28"/>
  <c r="J240" i="28" s="1"/>
  <c r="J241" i="28" s="1"/>
  <c r="J210" i="28"/>
  <c r="J212" i="28" s="1"/>
  <c r="J213" i="28" s="1"/>
  <c r="J95" i="28"/>
  <c r="J97" i="28" s="1"/>
  <c r="J98" i="28" s="1"/>
  <c r="J67" i="28"/>
  <c r="J69" i="28" s="1"/>
  <c r="J70" i="28" s="1"/>
  <c r="J322" i="28"/>
  <c r="J324" i="28" s="1"/>
  <c r="J325" i="28" s="1"/>
  <c r="J151" i="28"/>
  <c r="J153" i="28" s="1"/>
  <c r="J154" i="28" s="1"/>
  <c r="J294" i="28"/>
  <c r="J296" i="28" s="1"/>
  <c r="J297" i="28" s="1"/>
  <c r="O135" i="15"/>
  <c r="I144" i="43"/>
  <c r="I156" i="43" s="1"/>
  <c r="I169" i="43" s="1"/>
  <c r="I143" i="43"/>
  <c r="I155" i="43" s="1"/>
  <c r="I168" i="43" s="1"/>
  <c r="I140" i="43"/>
  <c r="I152" i="43" s="1"/>
  <c r="I165" i="43" s="1"/>
  <c r="I138" i="43"/>
  <c r="I150" i="43" s="1"/>
  <c r="I163" i="43" s="1"/>
  <c r="I147" i="43"/>
  <c r="I159" i="43" s="1"/>
  <c r="I172" i="43" s="1"/>
  <c r="I139" i="43"/>
  <c r="I151" i="43" s="1"/>
  <c r="I164" i="43" s="1"/>
  <c r="I146" i="43"/>
  <c r="I158" i="43" s="1"/>
  <c r="I171" i="43" s="1"/>
  <c r="I145" i="43"/>
  <c r="I157" i="43" s="1"/>
  <c r="I170" i="43" s="1"/>
  <c r="I141" i="43"/>
  <c r="I153" i="43" s="1"/>
  <c r="I166" i="43" s="1"/>
  <c r="I137" i="43"/>
  <c r="I149" i="43" s="1"/>
  <c r="I162" i="43" s="1"/>
  <c r="J322" i="39"/>
  <c r="J67" i="39"/>
  <c r="J39" i="39"/>
  <c r="J266" i="39"/>
  <c r="J151" i="39"/>
  <c r="J210" i="39"/>
  <c r="J294" i="39"/>
  <c r="J123" i="39"/>
  <c r="P123" i="39" s="1"/>
  <c r="J95" i="39"/>
  <c r="J238" i="39"/>
  <c r="O135" i="47"/>
  <c r="P143" i="39"/>
  <c r="I148" i="37"/>
  <c r="I61" i="37"/>
  <c r="P61" i="37" s="1"/>
  <c r="P59" i="37"/>
  <c r="E33" i="35"/>
  <c r="E204" i="28"/>
  <c r="E117" i="29"/>
  <c r="E117" i="28"/>
  <c r="E61" i="29"/>
  <c r="E117" i="35"/>
  <c r="E61" i="28"/>
  <c r="E201" i="25"/>
  <c r="E197" i="25"/>
  <c r="E199" i="25"/>
  <c r="E202" i="25"/>
  <c r="E203" i="25"/>
  <c r="E204" i="25"/>
  <c r="E205" i="25"/>
  <c r="E196" i="25"/>
  <c r="E198" i="25"/>
  <c r="E200" i="25"/>
  <c r="D156" i="43"/>
  <c r="I169" i="35"/>
  <c r="P169" i="35" s="1"/>
  <c r="P168" i="35"/>
  <c r="I28" i="29"/>
  <c r="P26" i="29"/>
  <c r="E173" i="39"/>
  <c r="H56" i="45"/>
  <c r="O56" i="45" s="1"/>
  <c r="O44" i="45"/>
  <c r="I255" i="28"/>
  <c r="P253" i="28"/>
  <c r="I290" i="28"/>
  <c r="P291" i="28"/>
  <c r="H50" i="15"/>
  <c r="O50" i="15" s="1"/>
  <c r="O38" i="15"/>
  <c r="H52" i="15"/>
  <c r="O52" i="15" s="1"/>
  <c r="O40" i="15"/>
  <c r="H55" i="43"/>
  <c r="O55" i="43" s="1"/>
  <c r="O43" i="43"/>
  <c r="E33" i="29"/>
  <c r="D96" i="45"/>
  <c r="I262" i="30"/>
  <c r="P263" i="30"/>
  <c r="E145" i="30"/>
  <c r="G101" i="16"/>
  <c r="G102" i="16" s="1"/>
  <c r="D153" i="15"/>
  <c r="O93" i="11"/>
  <c r="O117" i="11" s="1"/>
  <c r="O92" i="11"/>
  <c r="N95" i="11"/>
  <c r="N118" i="11"/>
  <c r="I84" i="30"/>
  <c r="P82" i="30"/>
  <c r="E288" i="28"/>
  <c r="D153" i="45"/>
  <c r="I227" i="29"/>
  <c r="P225" i="29"/>
  <c r="E316" i="30"/>
  <c r="I56" i="35"/>
  <c r="P54" i="35"/>
  <c r="I199" i="28"/>
  <c r="P197" i="28"/>
  <c r="I283" i="30"/>
  <c r="P281" i="30"/>
  <c r="D160" i="15"/>
  <c r="I41" i="34"/>
  <c r="P35" i="34"/>
  <c r="H53" i="45"/>
  <c r="O53" i="45" s="1"/>
  <c r="O41" i="45"/>
  <c r="E89" i="29"/>
  <c r="I311" i="29"/>
  <c r="P309" i="29"/>
  <c r="I262" i="28"/>
  <c r="P263" i="28"/>
  <c r="I56" i="28"/>
  <c r="P54" i="28"/>
  <c r="E61" i="30"/>
  <c r="H59" i="15"/>
  <c r="O59" i="15" s="1"/>
  <c r="O47" i="15"/>
  <c r="H51" i="15"/>
  <c r="O51" i="15" s="1"/>
  <c r="O39" i="15"/>
  <c r="H49" i="43"/>
  <c r="O49" i="43" s="1"/>
  <c r="O37" i="43"/>
  <c r="I290" i="30"/>
  <c r="P291" i="30"/>
  <c r="I84" i="29"/>
  <c r="P82" i="29"/>
  <c r="D154" i="45"/>
  <c r="D93" i="45"/>
  <c r="D155" i="43"/>
  <c r="E314" i="35"/>
  <c r="I112" i="35"/>
  <c r="P110" i="35"/>
  <c r="G81" i="16"/>
  <c r="G82" i="16" s="1"/>
  <c r="I227" i="35"/>
  <c r="P225" i="35"/>
  <c r="I84" i="28"/>
  <c r="P82" i="28"/>
  <c r="D158" i="45"/>
  <c r="Q175" i="28"/>
  <c r="Q175" i="30"/>
  <c r="Q175" i="39"/>
  <c r="Q175" i="38"/>
  <c r="P35" i="39"/>
  <c r="I56" i="30"/>
  <c r="P54" i="30"/>
  <c r="I169" i="28"/>
  <c r="P169" i="28" s="1"/>
  <c r="P168" i="28"/>
  <c r="H51" i="45"/>
  <c r="O51" i="45" s="1"/>
  <c r="O39" i="45"/>
  <c r="I206" i="28"/>
  <c r="P207" i="28"/>
  <c r="I234" i="28"/>
  <c r="P235" i="28"/>
  <c r="H49" i="15"/>
  <c r="O49" i="15" s="1"/>
  <c r="O37" i="15"/>
  <c r="H54" i="43"/>
  <c r="O54" i="43" s="1"/>
  <c r="O42" i="43"/>
  <c r="I28" i="30"/>
  <c r="P26" i="30"/>
  <c r="I255" i="35"/>
  <c r="P253" i="35"/>
  <c r="D154" i="15"/>
  <c r="I181" i="30"/>
  <c r="P175" i="30"/>
  <c r="I63" i="30"/>
  <c r="P64" i="30"/>
  <c r="D159" i="15"/>
  <c r="D151" i="15"/>
  <c r="D151" i="43"/>
  <c r="D151" i="45"/>
  <c r="I172" i="37"/>
  <c r="P172" i="37" s="1"/>
  <c r="P171" i="37"/>
  <c r="E260" i="29"/>
  <c r="D150" i="45"/>
  <c r="D95" i="43"/>
  <c r="I318" i="39"/>
  <c r="P318" i="39" s="1"/>
  <c r="I206" i="39"/>
  <c r="P206" i="39" s="1"/>
  <c r="I91" i="39"/>
  <c r="P91" i="39" s="1"/>
  <c r="I234" i="39"/>
  <c r="P234" i="39" s="1"/>
  <c r="I63" i="39"/>
  <c r="P63" i="39" s="1"/>
  <c r="I181" i="39"/>
  <c r="I262" i="39"/>
  <c r="P262" i="39" s="1"/>
  <c r="I290" i="39"/>
  <c r="P290" i="39" s="1"/>
  <c r="I119" i="39"/>
  <c r="P119" i="39" s="1"/>
  <c r="I147" i="39"/>
  <c r="P147" i="39" s="1"/>
  <c r="I35" i="39"/>
  <c r="P175" i="39"/>
  <c r="I140" i="28"/>
  <c r="P138" i="28"/>
  <c r="I234" i="38"/>
  <c r="P234" i="38" s="1"/>
  <c r="I91" i="38"/>
  <c r="P91" i="38" s="1"/>
  <c r="I35" i="38"/>
  <c r="P35" i="38" s="1"/>
  <c r="I290" i="38"/>
  <c r="P290" i="38" s="1"/>
  <c r="I262" i="38"/>
  <c r="P262" i="38" s="1"/>
  <c r="I147" i="38"/>
  <c r="P147" i="38" s="1"/>
  <c r="I119" i="38"/>
  <c r="P119" i="38" s="1"/>
  <c r="I318" i="38"/>
  <c r="P318" i="38" s="1"/>
  <c r="I206" i="38"/>
  <c r="P206" i="38" s="1"/>
  <c r="I63" i="38"/>
  <c r="P63" i="38" s="1"/>
  <c r="I181" i="38"/>
  <c r="P175" i="38"/>
  <c r="D153" i="43"/>
  <c r="I181" i="28"/>
  <c r="P181" i="28" s="1"/>
  <c r="P27" i="10"/>
  <c r="M269" i="39"/>
  <c r="P260" i="39"/>
  <c r="I28" i="28"/>
  <c r="P26" i="28"/>
  <c r="H55" i="45"/>
  <c r="O55" i="45" s="1"/>
  <c r="O43" i="45"/>
  <c r="H57" i="45"/>
  <c r="O57" i="45" s="1"/>
  <c r="O45" i="45"/>
  <c r="I84" i="35"/>
  <c r="P82" i="35"/>
  <c r="I227" i="28"/>
  <c r="P225" i="28"/>
  <c r="I147" i="28"/>
  <c r="P148" i="28"/>
  <c r="I63" i="28"/>
  <c r="P64" i="28"/>
  <c r="D154" i="43"/>
  <c r="D155" i="47"/>
  <c r="E29" i="10"/>
  <c r="F29" i="10" s="1"/>
  <c r="G29" i="10" s="1"/>
  <c r="H29" i="10" s="1"/>
  <c r="E31" i="10"/>
  <c r="D155" i="45"/>
  <c r="H5" i="22"/>
  <c r="D155" i="15"/>
  <c r="E186" i="28"/>
  <c r="E186" i="30"/>
  <c r="M15" i="18"/>
  <c r="M17" i="18" s="1"/>
  <c r="M18" i="18" s="1"/>
  <c r="H57" i="15"/>
  <c r="O57" i="15" s="1"/>
  <c r="O45" i="15"/>
  <c r="H52" i="43"/>
  <c r="O52" i="43" s="1"/>
  <c r="O40" i="43"/>
  <c r="I119" i="30"/>
  <c r="P120" i="30"/>
  <c r="I318" i="30"/>
  <c r="P319" i="30"/>
  <c r="D157" i="43"/>
  <c r="J162" i="16"/>
  <c r="E232" i="28"/>
  <c r="E89" i="30"/>
  <c r="I140" i="35"/>
  <c r="P138" i="35"/>
  <c r="E89" i="28"/>
  <c r="I56" i="29"/>
  <c r="P54" i="29"/>
  <c r="E173" i="28"/>
  <c r="I283" i="35"/>
  <c r="P281" i="35"/>
  <c r="E145" i="29"/>
  <c r="I112" i="29"/>
  <c r="P110" i="29"/>
  <c r="I311" i="35"/>
  <c r="P309" i="35"/>
  <c r="H20" i="16"/>
  <c r="H22" i="16" s="1"/>
  <c r="H23" i="16" s="1"/>
  <c r="I19" i="16" s="1"/>
  <c r="H52" i="45"/>
  <c r="O52" i="45" s="1"/>
  <c r="O40" i="45"/>
  <c r="H49" i="45"/>
  <c r="O49" i="45" s="1"/>
  <c r="O37" i="45"/>
  <c r="I199" i="29"/>
  <c r="P197" i="29"/>
  <c r="E316" i="29"/>
  <c r="G140" i="16"/>
  <c r="G141" i="16" s="1"/>
  <c r="I119" i="28"/>
  <c r="P120" i="28"/>
  <c r="H58" i="15"/>
  <c r="O58" i="15" s="1"/>
  <c r="O46" i="15"/>
  <c r="K122" i="18"/>
  <c r="L110" i="18"/>
  <c r="K119" i="18"/>
  <c r="H51" i="43"/>
  <c r="O51" i="43" s="1"/>
  <c r="O39" i="43"/>
  <c r="I169" i="30"/>
  <c r="P169" i="30" s="1"/>
  <c r="P168" i="30"/>
  <c r="E232" i="29"/>
  <c r="I283" i="29"/>
  <c r="P281" i="29"/>
  <c r="I91" i="30"/>
  <c r="P92" i="30"/>
  <c r="I35" i="30"/>
  <c r="P36" i="30"/>
  <c r="I162" i="25"/>
  <c r="P162" i="25" s="1"/>
  <c r="P161" i="25"/>
  <c r="I311" i="30"/>
  <c r="P309" i="30"/>
  <c r="D157" i="15"/>
  <c r="E42" i="34"/>
  <c r="D150" i="15"/>
  <c r="D156" i="45"/>
  <c r="I112" i="28"/>
  <c r="P110" i="28"/>
  <c r="Q168" i="30"/>
  <c r="Q168" i="28"/>
  <c r="Q168" i="38"/>
  <c r="Q168" i="39"/>
  <c r="E204" i="35"/>
  <c r="E232" i="35"/>
  <c r="I227" i="30"/>
  <c r="P225" i="30"/>
  <c r="D149" i="43"/>
  <c r="E145" i="28"/>
  <c r="E316" i="28"/>
  <c r="P15" i="7"/>
  <c r="P17" i="7" s="1"/>
  <c r="P21" i="7" s="1"/>
  <c r="P22" i="7" s="1"/>
  <c r="P33" i="7" s="1"/>
  <c r="P35" i="7" s="1"/>
  <c r="J36" i="7" s="1"/>
  <c r="J37" i="7" s="1"/>
  <c r="O41" i="11"/>
  <c r="O73" i="11" s="1"/>
  <c r="O11" i="24"/>
  <c r="N27" i="25"/>
  <c r="N76" i="11"/>
  <c r="E288" i="35"/>
  <c r="H58" i="45"/>
  <c r="O58" i="45" s="1"/>
  <c r="O46" i="45"/>
  <c r="I35" i="28"/>
  <c r="P36" i="28"/>
  <c r="I255" i="29"/>
  <c r="P253" i="29"/>
  <c r="I29" i="34"/>
  <c r="P29" i="34" s="1"/>
  <c r="P28" i="34"/>
  <c r="M61" i="39"/>
  <c r="P59" i="39"/>
  <c r="H56" i="15"/>
  <c r="O56" i="15" s="1"/>
  <c r="O44" i="15"/>
  <c r="H50" i="43"/>
  <c r="O50" i="43" s="1"/>
  <c r="O38" i="43"/>
  <c r="I147" i="30"/>
  <c r="P148" i="30"/>
  <c r="I311" i="28"/>
  <c r="P309" i="28"/>
  <c r="F63" i="16"/>
  <c r="G59" i="16" s="1"/>
  <c r="I147" i="29"/>
  <c r="P147" i="29" s="1"/>
  <c r="I35" i="29"/>
  <c r="P35" i="29" s="1"/>
  <c r="I318" i="29"/>
  <c r="P318" i="29" s="1"/>
  <c r="I206" i="29"/>
  <c r="P206" i="29" s="1"/>
  <c r="I119" i="29"/>
  <c r="P119" i="29" s="1"/>
  <c r="I63" i="29"/>
  <c r="P63" i="29" s="1"/>
  <c r="I262" i="29"/>
  <c r="P262" i="29" s="1"/>
  <c r="I234" i="29"/>
  <c r="P234" i="29" s="1"/>
  <c r="I91" i="29"/>
  <c r="P91" i="29" s="1"/>
  <c r="I290" i="29"/>
  <c r="P290" i="29" s="1"/>
  <c r="I181" i="29"/>
  <c r="P175" i="29"/>
  <c r="D158" i="15"/>
  <c r="E204" i="30"/>
  <c r="E260" i="35"/>
  <c r="E176" i="37"/>
  <c r="I199" i="30"/>
  <c r="P197" i="30"/>
  <c r="E260" i="30"/>
  <c r="I255" i="30"/>
  <c r="P253" i="30"/>
  <c r="H16" i="26"/>
  <c r="I19" i="10"/>
  <c r="I28" i="10" s="1"/>
  <c r="P17" i="10"/>
  <c r="I283" i="28"/>
  <c r="P281" i="28"/>
  <c r="F183" i="16"/>
  <c r="G179" i="16" s="1"/>
  <c r="E182" i="38"/>
  <c r="E182" i="30"/>
  <c r="D159" i="45"/>
  <c r="H50" i="45"/>
  <c r="O50" i="45" s="1"/>
  <c r="O38" i="45"/>
  <c r="I199" i="35"/>
  <c r="P197" i="35"/>
  <c r="E61" i="35"/>
  <c r="E232" i="30"/>
  <c r="I91" i="28"/>
  <c r="P92" i="28"/>
  <c r="H55" i="15"/>
  <c r="O55" i="15" s="1"/>
  <c r="O43" i="15"/>
  <c r="E33" i="30"/>
  <c r="H48" i="43"/>
  <c r="O48" i="43" s="1"/>
  <c r="O36" i="43"/>
  <c r="H58" i="43"/>
  <c r="O58" i="43" s="1"/>
  <c r="O46" i="43"/>
  <c r="E288" i="30"/>
  <c r="D150" i="43"/>
  <c r="E117" i="30"/>
  <c r="I206" i="30"/>
  <c r="P207" i="30"/>
  <c r="I169" i="39"/>
  <c r="P169" i="39" s="1"/>
  <c r="P168" i="39"/>
  <c r="I28" i="35"/>
  <c r="P26" i="35"/>
  <c r="D152" i="43"/>
  <c r="E182" i="35"/>
  <c r="E173" i="29"/>
  <c r="E89" i="35"/>
  <c r="I234" i="35"/>
  <c r="P234" i="35" s="1"/>
  <c r="I206" i="35"/>
  <c r="P206" i="35" s="1"/>
  <c r="I147" i="35"/>
  <c r="P147" i="35" s="1"/>
  <c r="I35" i="35"/>
  <c r="P35" i="35" s="1"/>
  <c r="I91" i="35"/>
  <c r="P91" i="35" s="1"/>
  <c r="I318" i="35"/>
  <c r="P318" i="35" s="1"/>
  <c r="I63" i="35"/>
  <c r="P63" i="35" s="1"/>
  <c r="I290" i="35"/>
  <c r="P290" i="35" s="1"/>
  <c r="I262" i="35"/>
  <c r="P262" i="35" s="1"/>
  <c r="I119" i="35"/>
  <c r="P119" i="35" s="1"/>
  <c r="I181" i="35"/>
  <c r="P175" i="35"/>
  <c r="I112" i="30"/>
  <c r="P110" i="30"/>
  <c r="E202" i="29"/>
  <c r="I321" i="37"/>
  <c r="P321" i="37" s="1"/>
  <c r="I209" i="37"/>
  <c r="P209" i="37" s="1"/>
  <c r="I237" i="37"/>
  <c r="P237" i="37" s="1"/>
  <c r="I122" i="37"/>
  <c r="P122" i="37" s="1"/>
  <c r="I150" i="37"/>
  <c r="P150" i="37" s="1"/>
  <c r="I35" i="37"/>
  <c r="P35" i="37" s="1"/>
  <c r="I91" i="37"/>
  <c r="P91" i="37" s="1"/>
  <c r="I265" i="37"/>
  <c r="P265" i="37" s="1"/>
  <c r="I63" i="37"/>
  <c r="P63" i="37" s="1"/>
  <c r="I293" i="37"/>
  <c r="P293" i="37" s="1"/>
  <c r="I184" i="37"/>
  <c r="P178" i="37"/>
  <c r="E258" i="28"/>
  <c r="I140" i="30"/>
  <c r="P138" i="30"/>
  <c r="T19" i="19"/>
  <c r="T22" i="19" s="1"/>
  <c r="T25" i="19" s="1"/>
  <c r="P15" i="10"/>
  <c r="E286" i="29"/>
  <c r="M16" i="26"/>
  <c r="N19" i="10"/>
  <c r="N28" i="10" s="1"/>
  <c r="I117" i="38"/>
  <c r="P117" i="38" s="1"/>
  <c r="P115" i="38"/>
  <c r="G120" i="16"/>
  <c r="G121" i="16" s="1"/>
  <c r="D152" i="15"/>
  <c r="O45" i="11"/>
  <c r="O75" i="11"/>
  <c r="H59" i="45"/>
  <c r="O59" i="45" s="1"/>
  <c r="O47" i="45"/>
  <c r="I169" i="38"/>
  <c r="P169" i="38" s="1"/>
  <c r="P168" i="38"/>
  <c r="I33" i="38"/>
  <c r="P33" i="38" s="1"/>
  <c r="P31" i="38"/>
  <c r="D94" i="43"/>
  <c r="I140" i="29"/>
  <c r="P138" i="29"/>
  <c r="I318" i="28"/>
  <c r="P319" i="28"/>
  <c r="I169" i="29"/>
  <c r="P169" i="29" s="1"/>
  <c r="P168" i="29"/>
  <c r="H53" i="15"/>
  <c r="O53" i="15" s="1"/>
  <c r="O41" i="15"/>
  <c r="H56" i="43"/>
  <c r="O56" i="43" s="1"/>
  <c r="O44" i="43"/>
  <c r="H57" i="43"/>
  <c r="O57" i="43" s="1"/>
  <c r="O45" i="43"/>
  <c r="I234" i="30"/>
  <c r="P235" i="30"/>
  <c r="E31" i="28"/>
  <c r="M232" i="39"/>
  <c r="P230" i="39"/>
  <c r="G75" i="18"/>
  <c r="F79" i="18"/>
  <c r="F76" i="18" s="1"/>
  <c r="F77" i="18" s="1"/>
  <c r="E143" i="35"/>
  <c r="L34" i="22"/>
  <c r="L35" i="22" s="1"/>
  <c r="O33" i="22"/>
  <c r="D152" i="45"/>
  <c r="D156" i="15"/>
  <c r="P123" i="38" l="1"/>
  <c r="P95" i="38"/>
  <c r="J125" i="18"/>
  <c r="P314" i="39"/>
  <c r="P146" i="37"/>
  <c r="P148" i="37"/>
  <c r="D148" i="48"/>
  <c r="E148" i="48" s="1"/>
  <c r="P67" i="37"/>
  <c r="P261" i="37"/>
  <c r="P87" i="38"/>
  <c r="P314" i="38"/>
  <c r="P59" i="38"/>
  <c r="E157" i="37"/>
  <c r="L156" i="48"/>
  <c r="M156" i="48" s="1"/>
  <c r="H152" i="48"/>
  <c r="I152" i="48" s="1"/>
  <c r="L152" i="48"/>
  <c r="M152" i="48" s="1"/>
  <c r="P39" i="38"/>
  <c r="F154" i="48"/>
  <c r="G154" i="48" s="1"/>
  <c r="L148" i="48"/>
  <c r="M148" i="48" s="1"/>
  <c r="P87" i="37"/>
  <c r="E33" i="37"/>
  <c r="E42" i="37" s="1"/>
  <c r="E33" i="39"/>
  <c r="E42" i="39" s="1"/>
  <c r="P118" i="37"/>
  <c r="K123" i="18"/>
  <c r="K124" i="18" s="1"/>
  <c r="P154" i="37"/>
  <c r="J156" i="48"/>
  <c r="K156" i="48" s="1"/>
  <c r="D151" i="48"/>
  <c r="E151" i="48" s="1"/>
  <c r="D154" i="48"/>
  <c r="E154" i="48" s="1"/>
  <c r="L149" i="48"/>
  <c r="M149" i="48" s="1"/>
  <c r="L153" i="48"/>
  <c r="M153" i="48" s="1"/>
  <c r="F157" i="48"/>
  <c r="G157" i="48" s="1"/>
  <c r="H151" i="48"/>
  <c r="I151" i="48" s="1"/>
  <c r="D149" i="48"/>
  <c r="E149" i="48" s="1"/>
  <c r="L147" i="48"/>
  <c r="M147" i="48" s="1"/>
  <c r="P205" i="37"/>
  <c r="D146" i="48"/>
  <c r="E146" i="48" s="1"/>
  <c r="F155" i="48"/>
  <c r="G155" i="48" s="1"/>
  <c r="X109" i="48"/>
  <c r="E319" i="37"/>
  <c r="P319" i="37" s="1"/>
  <c r="H154" i="48"/>
  <c r="I154" i="48" s="1"/>
  <c r="F148" i="48"/>
  <c r="G148" i="48" s="1"/>
  <c r="J151" i="48"/>
  <c r="K151" i="48" s="1"/>
  <c r="L150" i="48"/>
  <c r="M150" i="48" s="1"/>
  <c r="J154" i="48"/>
  <c r="K154" i="48" s="1"/>
  <c r="J155" i="48"/>
  <c r="K155" i="48" s="1"/>
  <c r="J149" i="48"/>
  <c r="K149" i="48" s="1"/>
  <c r="X105" i="48"/>
  <c r="J147" i="48"/>
  <c r="K147" i="48" s="1"/>
  <c r="L154" i="48"/>
  <c r="M154" i="48" s="1"/>
  <c r="J157" i="48"/>
  <c r="K157" i="48" s="1"/>
  <c r="F153" i="48"/>
  <c r="G153" i="48" s="1"/>
  <c r="D150" i="48"/>
  <c r="E150" i="48" s="1"/>
  <c r="H156" i="48"/>
  <c r="I156" i="48" s="1"/>
  <c r="H153" i="48"/>
  <c r="I153" i="48" s="1"/>
  <c r="J153" i="48"/>
  <c r="K153" i="48" s="1"/>
  <c r="J150" i="48"/>
  <c r="K150" i="48" s="1"/>
  <c r="D155" i="48"/>
  <c r="E155" i="48" s="1"/>
  <c r="J146" i="48"/>
  <c r="K146" i="48" s="1"/>
  <c r="L146" i="48"/>
  <c r="M146" i="48" s="1"/>
  <c r="F149" i="48"/>
  <c r="G149" i="48" s="1"/>
  <c r="H146" i="48"/>
  <c r="I146" i="48" s="1"/>
  <c r="H148" i="48"/>
  <c r="I148" i="48" s="1"/>
  <c r="D147" i="48"/>
  <c r="E147" i="48" s="1"/>
  <c r="D152" i="48"/>
  <c r="E152" i="48" s="1"/>
  <c r="H155" i="48"/>
  <c r="I155" i="48" s="1"/>
  <c r="X106" i="48"/>
  <c r="F150" i="48"/>
  <c r="G150" i="48" s="1"/>
  <c r="D153" i="48"/>
  <c r="E153" i="48" s="1"/>
  <c r="F156" i="48"/>
  <c r="G156" i="48" s="1"/>
  <c r="F152" i="48"/>
  <c r="G152" i="48" s="1"/>
  <c r="D156" i="48"/>
  <c r="E156" i="48" s="1"/>
  <c r="H147" i="48"/>
  <c r="I147" i="48" s="1"/>
  <c r="I220" i="16"/>
  <c r="I221" i="16" s="1"/>
  <c r="P120" i="37"/>
  <c r="E129" i="37"/>
  <c r="P207" i="37"/>
  <c r="E216" i="37"/>
  <c r="X107" i="48"/>
  <c r="E288" i="38"/>
  <c r="P286" i="38"/>
  <c r="E115" i="48"/>
  <c r="X115" i="48" s="1"/>
  <c r="E113" i="48"/>
  <c r="X113" i="48" s="1"/>
  <c r="P115" i="39"/>
  <c r="E117" i="39"/>
  <c r="P230" i="38"/>
  <c r="E232" i="38"/>
  <c r="X104" i="48"/>
  <c r="E291" i="37"/>
  <c r="P289" i="37"/>
  <c r="E111" i="48"/>
  <c r="X111" i="48" s="1"/>
  <c r="B189" i="48"/>
  <c r="B190" i="48" s="1"/>
  <c r="C14" i="48"/>
  <c r="B192" i="48"/>
  <c r="P316" i="38"/>
  <c r="E325" i="38"/>
  <c r="E325" i="39"/>
  <c r="P316" i="39"/>
  <c r="B172" i="48"/>
  <c r="D177" i="48" s="1"/>
  <c r="L157" i="48"/>
  <c r="M157" i="48" s="1"/>
  <c r="L155" i="48"/>
  <c r="M155" i="48" s="1"/>
  <c r="H149" i="48"/>
  <c r="I149" i="48" s="1"/>
  <c r="H157" i="48"/>
  <c r="I157" i="48" s="1"/>
  <c r="E114" i="48"/>
  <c r="X114" i="48" s="1"/>
  <c r="P89" i="37"/>
  <c r="E98" i="37"/>
  <c r="E70" i="38"/>
  <c r="P61" i="38"/>
  <c r="P263" i="37"/>
  <c r="E272" i="37"/>
  <c r="P233" i="37"/>
  <c r="E235" i="37"/>
  <c r="E204" i="38"/>
  <c r="P202" i="38"/>
  <c r="X108" i="48"/>
  <c r="E112" i="48"/>
  <c r="X112" i="48" s="1"/>
  <c r="P89" i="38"/>
  <c r="E98" i="38"/>
  <c r="E110" i="48"/>
  <c r="X110" i="48" s="1"/>
  <c r="D157" i="48"/>
  <c r="J152" i="48"/>
  <c r="K152" i="48" s="1"/>
  <c r="J148" i="48"/>
  <c r="K148" i="48" s="1"/>
  <c r="F146" i="48"/>
  <c r="G146" i="48" s="1"/>
  <c r="F147" i="48"/>
  <c r="G147" i="48" s="1"/>
  <c r="H150" i="48"/>
  <c r="I150" i="48" s="1"/>
  <c r="L151" i="48"/>
  <c r="M151" i="48" s="1"/>
  <c r="X26" i="22"/>
  <c r="X28" i="22" s="1"/>
  <c r="X29" i="22" s="1"/>
  <c r="J22" i="2"/>
  <c r="J23" i="2" s="1"/>
  <c r="P143" i="38"/>
  <c r="E145" i="38"/>
  <c r="P151" i="35"/>
  <c r="P67" i="35"/>
  <c r="P210" i="35"/>
  <c r="P297" i="37"/>
  <c r="P322" i="38"/>
  <c r="P238" i="39"/>
  <c r="P123" i="29"/>
  <c r="P322" i="39"/>
  <c r="P123" i="35"/>
  <c r="P266" i="35"/>
  <c r="P210" i="29"/>
  <c r="P241" i="37"/>
  <c r="P151" i="38"/>
  <c r="P238" i="29"/>
  <c r="P322" i="35"/>
  <c r="P67" i="38"/>
  <c r="G142" i="16"/>
  <c r="G143" i="16" s="1"/>
  <c r="H139" i="16" s="1"/>
  <c r="P294" i="38"/>
  <c r="P210" i="38"/>
  <c r="P238" i="35"/>
  <c r="P266" i="29"/>
  <c r="P95" i="35"/>
  <c r="P325" i="37"/>
  <c r="U15" i="18"/>
  <c r="U17" i="18" s="1"/>
  <c r="P266" i="39"/>
  <c r="P213" i="37"/>
  <c r="P67" i="39"/>
  <c r="P123" i="30"/>
  <c r="P269" i="37"/>
  <c r="P39" i="29"/>
  <c r="P126" i="37"/>
  <c r="P95" i="39"/>
  <c r="P151" i="39"/>
  <c r="P322" i="29"/>
  <c r="L155" i="47"/>
  <c r="L155" i="45"/>
  <c r="P39" i="30"/>
  <c r="L154" i="43"/>
  <c r="P210" i="39"/>
  <c r="P95" i="29"/>
  <c r="M186" i="28"/>
  <c r="L155" i="15"/>
  <c r="M31" i="10"/>
  <c r="P294" i="39"/>
  <c r="O148" i="47"/>
  <c r="P238" i="30"/>
  <c r="G122" i="16"/>
  <c r="G123" i="16" s="1"/>
  <c r="H119" i="16" s="1"/>
  <c r="H120" i="16" s="1"/>
  <c r="H121" i="16" s="1"/>
  <c r="O147" i="15"/>
  <c r="O142" i="15"/>
  <c r="O139" i="15"/>
  <c r="P67" i="30"/>
  <c r="P151" i="30"/>
  <c r="P294" i="30"/>
  <c r="P322" i="30"/>
  <c r="P266" i="30"/>
  <c r="O146" i="47"/>
  <c r="O142" i="47"/>
  <c r="O147" i="43"/>
  <c r="O141" i="15"/>
  <c r="O141" i="47"/>
  <c r="O145" i="47"/>
  <c r="P95" i="28"/>
  <c r="P210" i="30"/>
  <c r="P95" i="30"/>
  <c r="O143" i="43"/>
  <c r="O141" i="43"/>
  <c r="O145" i="43"/>
  <c r="P67" i="28"/>
  <c r="O140" i="15"/>
  <c r="J240" i="35"/>
  <c r="J241" i="35" s="1"/>
  <c r="J324" i="35"/>
  <c r="J325" i="35" s="1"/>
  <c r="J41" i="35"/>
  <c r="J42" i="35" s="1"/>
  <c r="J69" i="35"/>
  <c r="J70" i="35" s="1"/>
  <c r="J153" i="35"/>
  <c r="J154" i="35" s="1"/>
  <c r="J97" i="35"/>
  <c r="J98" i="35" s="1"/>
  <c r="J268" i="35"/>
  <c r="J269" i="35" s="1"/>
  <c r="J125" i="35"/>
  <c r="J126" i="35" s="1"/>
  <c r="J296" i="35"/>
  <c r="J297" i="35" s="1"/>
  <c r="J212" i="35"/>
  <c r="J213" i="35" s="1"/>
  <c r="J182" i="35"/>
  <c r="J184" i="35" s="1"/>
  <c r="O139" i="43"/>
  <c r="P151" i="28"/>
  <c r="O146" i="15"/>
  <c r="O144" i="15"/>
  <c r="P39" i="28"/>
  <c r="O138" i="15"/>
  <c r="O148" i="45"/>
  <c r="O140" i="47"/>
  <c r="O140" i="45"/>
  <c r="O144" i="45"/>
  <c r="O146" i="45"/>
  <c r="O138" i="45"/>
  <c r="O145" i="45"/>
  <c r="O144" i="43"/>
  <c r="J153" i="29"/>
  <c r="J154" i="29" s="1"/>
  <c r="J69" i="29"/>
  <c r="J70" i="29" s="1"/>
  <c r="J125" i="29"/>
  <c r="J126" i="29" s="1"/>
  <c r="J296" i="29"/>
  <c r="J297" i="29" s="1"/>
  <c r="J268" i="29"/>
  <c r="J269" i="29" s="1"/>
  <c r="J324" i="29"/>
  <c r="J325" i="29" s="1"/>
  <c r="J97" i="29"/>
  <c r="J98" i="29" s="1"/>
  <c r="J212" i="29"/>
  <c r="J213" i="29" s="1"/>
  <c r="J41" i="29"/>
  <c r="J42" i="29" s="1"/>
  <c r="J240" i="29"/>
  <c r="J241" i="29" s="1"/>
  <c r="J182" i="29"/>
  <c r="J184" i="29" s="1"/>
  <c r="O145" i="15"/>
  <c r="P210" i="28"/>
  <c r="O140" i="43"/>
  <c r="P266" i="28"/>
  <c r="O146" i="43"/>
  <c r="P322" i="28"/>
  <c r="O147" i="45"/>
  <c r="O144" i="47"/>
  <c r="O148" i="15"/>
  <c r="P123" i="28"/>
  <c r="O138" i="47"/>
  <c r="J187" i="37"/>
  <c r="J100" i="37" s="1"/>
  <c r="J186" i="35"/>
  <c r="O139" i="45"/>
  <c r="P238" i="28"/>
  <c r="O137" i="43"/>
  <c r="O142" i="45"/>
  <c r="O139" i="47"/>
  <c r="O138" i="43"/>
  <c r="P294" i="28"/>
  <c r="O141" i="45"/>
  <c r="O147" i="47"/>
  <c r="H76" i="45"/>
  <c r="O76" i="45" s="1"/>
  <c r="H75" i="43"/>
  <c r="H88" i="43" s="1"/>
  <c r="H82" i="15"/>
  <c r="O82" i="15" s="1"/>
  <c r="H82" i="43"/>
  <c r="H95" i="43" s="1"/>
  <c r="H159" i="43" s="1"/>
  <c r="H172" i="43" s="1"/>
  <c r="I171" i="30"/>
  <c r="I173" i="30" s="1"/>
  <c r="P173" i="30" s="1"/>
  <c r="H79" i="15"/>
  <c r="O79" i="15" s="1"/>
  <c r="H79" i="45"/>
  <c r="H92" i="45" s="1"/>
  <c r="I174" i="37"/>
  <c r="H81" i="43"/>
  <c r="H94" i="43" s="1"/>
  <c r="H158" i="43" s="1"/>
  <c r="H171" i="43" s="1"/>
  <c r="H73" i="43"/>
  <c r="H86" i="43" s="1"/>
  <c r="H74" i="45"/>
  <c r="H87" i="45" s="1"/>
  <c r="H82" i="45"/>
  <c r="H95" i="45" s="1"/>
  <c r="H72" i="43"/>
  <c r="O72" i="43" s="1"/>
  <c r="I171" i="28"/>
  <c r="I171" i="29"/>
  <c r="H79" i="43"/>
  <c r="H92" i="43" s="1"/>
  <c r="I20" i="16"/>
  <c r="I22" i="16" s="1"/>
  <c r="I23" i="16" s="1"/>
  <c r="J19" i="16" s="1"/>
  <c r="H154" i="43"/>
  <c r="H155" i="47"/>
  <c r="I186" i="28"/>
  <c r="Q15" i="18"/>
  <c r="Q17" i="18" s="1"/>
  <c r="I186" i="30"/>
  <c r="I31" i="10"/>
  <c r="H155" i="45"/>
  <c r="H155" i="15"/>
  <c r="I29" i="10"/>
  <c r="J29" i="10" s="1"/>
  <c r="K29" i="10" s="1"/>
  <c r="L29" i="10" s="1"/>
  <c r="M29" i="10" s="1"/>
  <c r="N29" i="10" s="1"/>
  <c r="P28" i="10"/>
  <c r="H77" i="15"/>
  <c r="N31" i="10"/>
  <c r="M155" i="15"/>
  <c r="M154" i="43"/>
  <c r="M155" i="47"/>
  <c r="N186" i="28"/>
  <c r="M155" i="45"/>
  <c r="N186" i="30"/>
  <c r="V15" i="18"/>
  <c r="V17" i="18" s="1"/>
  <c r="E98" i="35"/>
  <c r="E184" i="35"/>
  <c r="E42" i="30"/>
  <c r="I284" i="28"/>
  <c r="P284" i="28" s="1"/>
  <c r="P283" i="28"/>
  <c r="I125" i="29"/>
  <c r="I268" i="29"/>
  <c r="I97" i="29"/>
  <c r="I296" i="29"/>
  <c r="I240" i="29"/>
  <c r="I153" i="29"/>
  <c r="I41" i="29"/>
  <c r="I69" i="29"/>
  <c r="I212" i="29"/>
  <c r="I324" i="29"/>
  <c r="P181" i="29"/>
  <c r="I153" i="30"/>
  <c r="P147" i="30"/>
  <c r="I228" i="30"/>
  <c r="P228" i="30" s="1"/>
  <c r="P227" i="30"/>
  <c r="I312" i="30"/>
  <c r="P312" i="30" s="1"/>
  <c r="P311" i="30"/>
  <c r="I97" i="30"/>
  <c r="P91" i="30"/>
  <c r="H73" i="45"/>
  <c r="I312" i="35"/>
  <c r="P312" i="35" s="1"/>
  <c r="P311" i="35"/>
  <c r="H76" i="43"/>
  <c r="N18" i="18"/>
  <c r="O18" i="18" s="1"/>
  <c r="P18" i="18" s="1"/>
  <c r="M21" i="18"/>
  <c r="I228" i="28"/>
  <c r="P228" i="28" s="1"/>
  <c r="P227" i="28"/>
  <c r="K36" i="7"/>
  <c r="K37" i="7" s="1"/>
  <c r="D164" i="45"/>
  <c r="H75" i="45"/>
  <c r="I296" i="30"/>
  <c r="P290" i="30"/>
  <c r="H83" i="15"/>
  <c r="D173" i="15"/>
  <c r="E216" i="25"/>
  <c r="L36" i="7"/>
  <c r="L37" i="7" s="1"/>
  <c r="E70" i="35"/>
  <c r="I256" i="30"/>
  <c r="P256" i="30" s="1"/>
  <c r="P255" i="30"/>
  <c r="E269" i="35"/>
  <c r="I41" i="28"/>
  <c r="P41" i="28" s="1"/>
  <c r="P35" i="28"/>
  <c r="E297" i="35"/>
  <c r="E154" i="28"/>
  <c r="D163" i="15"/>
  <c r="E325" i="29"/>
  <c r="I284" i="35"/>
  <c r="P284" i="35" s="1"/>
  <c r="P283" i="35"/>
  <c r="D166" i="43"/>
  <c r="D163" i="45"/>
  <c r="I69" i="30"/>
  <c r="P63" i="30"/>
  <c r="I29" i="30"/>
  <c r="P29" i="30" s="1"/>
  <c r="P28" i="30"/>
  <c r="I57" i="30"/>
  <c r="P57" i="30" s="1"/>
  <c r="P56" i="30"/>
  <c r="I113" i="35"/>
  <c r="P113" i="35" s="1"/>
  <c r="P112" i="35"/>
  <c r="D167" i="45"/>
  <c r="I312" i="29"/>
  <c r="P312" i="29" s="1"/>
  <c r="P311" i="29"/>
  <c r="I57" i="35"/>
  <c r="P57" i="35" s="1"/>
  <c r="P56" i="35"/>
  <c r="E297" i="28"/>
  <c r="D169" i="43"/>
  <c r="E215" i="25"/>
  <c r="E126" i="28"/>
  <c r="M241" i="39"/>
  <c r="P232" i="39"/>
  <c r="G103" i="16"/>
  <c r="H99" i="16" s="1"/>
  <c r="E182" i="29"/>
  <c r="E184" i="38"/>
  <c r="M70" i="39"/>
  <c r="P61" i="39"/>
  <c r="E241" i="35"/>
  <c r="I284" i="29"/>
  <c r="P284" i="29" s="1"/>
  <c r="P283" i="29"/>
  <c r="I113" i="29"/>
  <c r="P113" i="29" s="1"/>
  <c r="P112" i="29"/>
  <c r="Q181" i="38"/>
  <c r="Q181" i="30"/>
  <c r="Q181" i="28"/>
  <c r="Q181" i="39"/>
  <c r="P41" i="39"/>
  <c r="I85" i="28"/>
  <c r="P85" i="28" s="1"/>
  <c r="P84" i="28"/>
  <c r="E316" i="35"/>
  <c r="E325" i="30"/>
  <c r="E42" i="29"/>
  <c r="E214" i="25"/>
  <c r="E70" i="28"/>
  <c r="I141" i="29"/>
  <c r="P141" i="29" s="1"/>
  <c r="P140" i="29"/>
  <c r="E288" i="29"/>
  <c r="E260" i="28"/>
  <c r="I212" i="30"/>
  <c r="P206" i="30"/>
  <c r="O34" i="22"/>
  <c r="O35" i="22" s="1"/>
  <c r="R33" i="22"/>
  <c r="R34" i="22" s="1"/>
  <c r="R35" i="22" s="1"/>
  <c r="E33" i="28"/>
  <c r="D158" i="43"/>
  <c r="I171" i="38"/>
  <c r="D165" i="15"/>
  <c r="Q169" i="38"/>
  <c r="Q169" i="28"/>
  <c r="Q169" i="30"/>
  <c r="Q169" i="39"/>
  <c r="D165" i="43"/>
  <c r="G202" i="16"/>
  <c r="E269" i="30"/>
  <c r="E185" i="37"/>
  <c r="H74" i="43"/>
  <c r="E213" i="35"/>
  <c r="E44" i="34"/>
  <c r="I164" i="25"/>
  <c r="I200" i="29"/>
  <c r="P200" i="29" s="1"/>
  <c r="P199" i="29"/>
  <c r="E182" i="28"/>
  <c r="E98" i="28"/>
  <c r="E98" i="30"/>
  <c r="I324" i="30"/>
  <c r="P318" i="30"/>
  <c r="E269" i="29"/>
  <c r="D164" i="43"/>
  <c r="P181" i="30"/>
  <c r="D168" i="43"/>
  <c r="E70" i="30"/>
  <c r="E98" i="29"/>
  <c r="H77" i="45"/>
  <c r="I284" i="30"/>
  <c r="P284" i="30" s="1"/>
  <c r="P283" i="30"/>
  <c r="I85" i="30"/>
  <c r="P85" i="30" s="1"/>
  <c r="P84" i="30"/>
  <c r="D166" i="15"/>
  <c r="H74" i="15"/>
  <c r="E182" i="39"/>
  <c r="E211" i="25"/>
  <c r="E126" i="35"/>
  <c r="E126" i="29"/>
  <c r="I141" i="30"/>
  <c r="P141" i="30" s="1"/>
  <c r="P140" i="30"/>
  <c r="I243" i="37"/>
  <c r="I215" i="37"/>
  <c r="I41" i="37"/>
  <c r="I156" i="37"/>
  <c r="I327" i="37"/>
  <c r="I128" i="37"/>
  <c r="I299" i="37"/>
  <c r="I97" i="37"/>
  <c r="I271" i="37"/>
  <c r="I69" i="37"/>
  <c r="P184" i="37"/>
  <c r="I125" i="35"/>
  <c r="I69" i="35"/>
  <c r="I153" i="35"/>
  <c r="I268" i="35"/>
  <c r="I97" i="35"/>
  <c r="I212" i="35"/>
  <c r="I240" i="35"/>
  <c r="I296" i="35"/>
  <c r="I41" i="35"/>
  <c r="I324" i="35"/>
  <c r="P181" i="35"/>
  <c r="E126" i="30"/>
  <c r="I200" i="35"/>
  <c r="P200" i="35" s="1"/>
  <c r="P199" i="35"/>
  <c r="E213" i="30"/>
  <c r="G60" i="16"/>
  <c r="G61" i="16" s="1"/>
  <c r="D162" i="43"/>
  <c r="E241" i="29"/>
  <c r="I69" i="28"/>
  <c r="P69" i="28" s="1"/>
  <c r="P63" i="28"/>
  <c r="I69" i="39"/>
  <c r="I97" i="39"/>
  <c r="I296" i="39"/>
  <c r="I324" i="39"/>
  <c r="I240" i="39"/>
  <c r="I268" i="39"/>
  <c r="I212" i="39"/>
  <c r="I153" i="39"/>
  <c r="I41" i="39"/>
  <c r="I42" i="39" s="1"/>
  <c r="I125" i="39"/>
  <c r="P181" i="39"/>
  <c r="E154" i="30"/>
  <c r="E212" i="25"/>
  <c r="E209" i="25"/>
  <c r="P11" i="24"/>
  <c r="O27" i="25"/>
  <c r="O76" i="11"/>
  <c r="I113" i="30"/>
  <c r="P113" i="30" s="1"/>
  <c r="P112" i="30"/>
  <c r="D165" i="45"/>
  <c r="E145" i="35"/>
  <c r="I240" i="30"/>
  <c r="P234" i="30"/>
  <c r="H80" i="43"/>
  <c r="I29" i="35"/>
  <c r="P29" i="35" s="1"/>
  <c r="P28" i="35"/>
  <c r="D163" i="43"/>
  <c r="I97" i="28"/>
  <c r="P97" i="28" s="1"/>
  <c r="P91" i="28"/>
  <c r="D172" i="45"/>
  <c r="Q171" i="28"/>
  <c r="Q171" i="30"/>
  <c r="Q171" i="39"/>
  <c r="Q171" i="38"/>
  <c r="I200" i="30"/>
  <c r="P200" i="30" s="1"/>
  <c r="P199" i="30"/>
  <c r="O36" i="7"/>
  <c r="O37" i="7" s="1"/>
  <c r="I31" i="34"/>
  <c r="D170" i="15"/>
  <c r="I125" i="28"/>
  <c r="P125" i="28" s="1"/>
  <c r="P119" i="28"/>
  <c r="E241" i="28"/>
  <c r="I125" i="30"/>
  <c r="P119" i="30"/>
  <c r="H81" i="15"/>
  <c r="H6" i="22"/>
  <c r="H16" i="22" s="1"/>
  <c r="K5" i="22"/>
  <c r="I85" i="35"/>
  <c r="P85" i="35" s="1"/>
  <c r="P84" i="35"/>
  <c r="I29" i="28"/>
  <c r="P29" i="28" s="1"/>
  <c r="P28" i="28"/>
  <c r="I141" i="28"/>
  <c r="P141" i="28" s="1"/>
  <c r="P140" i="28"/>
  <c r="D159" i="43"/>
  <c r="D164" i="15"/>
  <c r="D167" i="15"/>
  <c r="H78" i="43"/>
  <c r="I240" i="28"/>
  <c r="P240" i="28" s="1"/>
  <c r="P234" i="28"/>
  <c r="I228" i="35"/>
  <c r="P228" i="35" s="1"/>
  <c r="P227" i="35"/>
  <c r="I85" i="29"/>
  <c r="P85" i="29" s="1"/>
  <c r="P84" i="29"/>
  <c r="H75" i="15"/>
  <c r="I57" i="28"/>
  <c r="P57" i="28" s="1"/>
  <c r="P56" i="28"/>
  <c r="I200" i="28"/>
  <c r="P200" i="28" s="1"/>
  <c r="P199" i="28"/>
  <c r="I228" i="29"/>
  <c r="P228" i="29" s="1"/>
  <c r="P227" i="29"/>
  <c r="O91" i="11"/>
  <c r="O116" i="11" s="1"/>
  <c r="N119" i="11"/>
  <c r="I296" i="28"/>
  <c r="P296" i="28" s="1"/>
  <c r="P290" i="28"/>
  <c r="I256" i="28"/>
  <c r="P256" i="28" s="1"/>
  <c r="P255" i="28"/>
  <c r="I29" i="29"/>
  <c r="P29" i="29" s="1"/>
  <c r="P28" i="29"/>
  <c r="E210" i="25"/>
  <c r="E213" i="25"/>
  <c r="E213" i="28"/>
  <c r="G180" i="16"/>
  <c r="G181" i="16" s="1"/>
  <c r="P36" i="7"/>
  <c r="P37" i="7" s="1"/>
  <c r="H36" i="7"/>
  <c r="H37" i="7" s="1"/>
  <c r="I113" i="28"/>
  <c r="P113" i="28" s="1"/>
  <c r="P112" i="28"/>
  <c r="I41" i="30"/>
  <c r="P35" i="30"/>
  <c r="E154" i="29"/>
  <c r="I57" i="29"/>
  <c r="P57" i="29" s="1"/>
  <c r="P56" i="29"/>
  <c r="J163" i="16"/>
  <c r="K159" i="16" s="1"/>
  <c r="N36" i="7"/>
  <c r="N37" i="7" s="1"/>
  <c r="I153" i="28"/>
  <c r="P153" i="28" s="1"/>
  <c r="P147" i="28"/>
  <c r="I41" i="38"/>
  <c r="I97" i="38"/>
  <c r="I324" i="38"/>
  <c r="I296" i="38"/>
  <c r="I69" i="38"/>
  <c r="I268" i="38"/>
  <c r="I240" i="38"/>
  <c r="I212" i="38"/>
  <c r="I153" i="38"/>
  <c r="I125" i="38"/>
  <c r="P181" i="38"/>
  <c r="D157" i="45"/>
  <c r="P41" i="34"/>
  <c r="D166" i="45"/>
  <c r="M36" i="7"/>
  <c r="M37" i="7" s="1"/>
  <c r="I268" i="30"/>
  <c r="P262" i="30"/>
  <c r="E208" i="25"/>
  <c r="G36" i="7"/>
  <c r="G37" i="7" s="1"/>
  <c r="I324" i="28"/>
  <c r="P324" i="28" s="1"/>
  <c r="P318" i="28"/>
  <c r="P19" i="10"/>
  <c r="D171" i="15"/>
  <c r="I312" i="28"/>
  <c r="P312" i="28" s="1"/>
  <c r="P311" i="28"/>
  <c r="D169" i="15"/>
  <c r="H75" i="18"/>
  <c r="G79" i="18"/>
  <c r="G76" i="18" s="1"/>
  <c r="G77" i="18" s="1"/>
  <c r="H83" i="45"/>
  <c r="E204" i="29"/>
  <c r="I171" i="39"/>
  <c r="E297" i="30"/>
  <c r="E241" i="30"/>
  <c r="H80" i="15"/>
  <c r="I256" i="29"/>
  <c r="P256" i="29" s="1"/>
  <c r="P255" i="29"/>
  <c r="E325" i="28"/>
  <c r="D169" i="45"/>
  <c r="L122" i="18"/>
  <c r="M110" i="18"/>
  <c r="L120" i="18"/>
  <c r="I141" i="35"/>
  <c r="P141" i="35" s="1"/>
  <c r="P140" i="35"/>
  <c r="D170" i="43"/>
  <c r="E32" i="10"/>
  <c r="F32" i="10" s="1"/>
  <c r="G32" i="10" s="1"/>
  <c r="H32" i="10" s="1"/>
  <c r="H81" i="45"/>
  <c r="I36" i="7"/>
  <c r="I37" i="7" s="1"/>
  <c r="D172" i="15"/>
  <c r="I256" i="35"/>
  <c r="P256" i="35" s="1"/>
  <c r="P255" i="35"/>
  <c r="H73" i="15"/>
  <c r="I212" i="28"/>
  <c r="P212" i="28" s="1"/>
  <c r="P206" i="28"/>
  <c r="D171" i="45"/>
  <c r="G83" i="16"/>
  <c r="H79" i="16" s="1"/>
  <c r="I268" i="28"/>
  <c r="P268" i="28" s="1"/>
  <c r="P262" i="28"/>
  <c r="H40" i="16"/>
  <c r="H41" i="16" s="1"/>
  <c r="O94" i="11"/>
  <c r="D160" i="45"/>
  <c r="H76" i="15"/>
  <c r="H80" i="45"/>
  <c r="I171" i="35"/>
  <c r="E217" i="25"/>
  <c r="E70" i="29"/>
  <c r="E42" i="35"/>
  <c r="P33" i="37" l="1"/>
  <c r="K125" i="18"/>
  <c r="L123" i="18"/>
  <c r="L124" i="18" s="1"/>
  <c r="D178" i="48"/>
  <c r="E178" i="48" s="1"/>
  <c r="H170" i="48"/>
  <c r="I170" i="48" s="1"/>
  <c r="I222" i="16"/>
  <c r="I223" i="16" s="1"/>
  <c r="J219" i="16" s="1"/>
  <c r="J220" i="16" s="1"/>
  <c r="J221" i="16" s="1"/>
  <c r="F170" i="48"/>
  <c r="G170" i="48" s="1"/>
  <c r="H176" i="48"/>
  <c r="I176" i="48" s="1"/>
  <c r="J172" i="48"/>
  <c r="K172" i="48" s="1"/>
  <c r="J174" i="48"/>
  <c r="K174" i="48" s="1"/>
  <c r="J171" i="48"/>
  <c r="K171" i="48" s="1"/>
  <c r="D167" i="48"/>
  <c r="E167" i="48" s="1"/>
  <c r="F173" i="48"/>
  <c r="G173" i="48" s="1"/>
  <c r="H172" i="48"/>
  <c r="I172" i="48" s="1"/>
  <c r="F168" i="48"/>
  <c r="G168" i="48" s="1"/>
  <c r="L172" i="48"/>
  <c r="M172" i="48" s="1"/>
  <c r="H167" i="48"/>
  <c r="I167" i="48" s="1"/>
  <c r="D172" i="48"/>
  <c r="E172" i="48" s="1"/>
  <c r="F175" i="48"/>
  <c r="G175" i="48" s="1"/>
  <c r="J167" i="48"/>
  <c r="K167" i="48" s="1"/>
  <c r="L176" i="48"/>
  <c r="M176" i="48" s="1"/>
  <c r="L174" i="48"/>
  <c r="M174" i="48" s="1"/>
  <c r="H177" i="48"/>
  <c r="I177" i="48" s="1"/>
  <c r="L173" i="48"/>
  <c r="M173" i="48" s="1"/>
  <c r="F174" i="48"/>
  <c r="G174" i="48" s="1"/>
  <c r="J178" i="48"/>
  <c r="K178" i="48" s="1"/>
  <c r="J168" i="48"/>
  <c r="K168" i="48" s="1"/>
  <c r="H173" i="48"/>
  <c r="I173" i="48" s="1"/>
  <c r="H171" i="48"/>
  <c r="I171" i="48" s="1"/>
  <c r="H175" i="48"/>
  <c r="I175" i="48" s="1"/>
  <c r="J175" i="48"/>
  <c r="K175" i="48" s="1"/>
  <c r="D173" i="48"/>
  <c r="E173" i="48" s="1"/>
  <c r="H169" i="48"/>
  <c r="I169" i="48" s="1"/>
  <c r="X155" i="48"/>
  <c r="F167" i="48"/>
  <c r="G167" i="48" s="1"/>
  <c r="H168" i="48"/>
  <c r="I168" i="48" s="1"/>
  <c r="J169" i="48"/>
  <c r="K169" i="48" s="1"/>
  <c r="D175" i="48"/>
  <c r="E175" i="48" s="1"/>
  <c r="X152" i="48"/>
  <c r="F177" i="48"/>
  <c r="G177" i="48" s="1"/>
  <c r="F178" i="48"/>
  <c r="G178" i="48" s="1"/>
  <c r="D169" i="48"/>
  <c r="E169" i="48" s="1"/>
  <c r="H174" i="48"/>
  <c r="I174" i="48" s="1"/>
  <c r="D176" i="48"/>
  <c r="E176" i="48" s="1"/>
  <c r="F176" i="48"/>
  <c r="G176" i="48" s="1"/>
  <c r="E328" i="37"/>
  <c r="X150" i="48"/>
  <c r="L178" i="48"/>
  <c r="M178" i="48" s="1"/>
  <c r="L175" i="48"/>
  <c r="M175" i="48" s="1"/>
  <c r="J170" i="48"/>
  <c r="K170" i="48" s="1"/>
  <c r="J173" i="48"/>
  <c r="K173" i="48" s="1"/>
  <c r="D170" i="48"/>
  <c r="E170" i="48" s="1"/>
  <c r="F171" i="48"/>
  <c r="G171" i="48" s="1"/>
  <c r="X151" i="48"/>
  <c r="X153" i="48"/>
  <c r="X147" i="48"/>
  <c r="X156" i="48"/>
  <c r="X146" i="48"/>
  <c r="X154" i="48"/>
  <c r="J176" i="48"/>
  <c r="K176" i="48" s="1"/>
  <c r="D174" i="48"/>
  <c r="E174" i="48" s="1"/>
  <c r="L167" i="48"/>
  <c r="M167" i="48" s="1"/>
  <c r="L169" i="48"/>
  <c r="M169" i="48" s="1"/>
  <c r="L171" i="48"/>
  <c r="M171" i="48" s="1"/>
  <c r="L177" i="48"/>
  <c r="M177" i="48" s="1"/>
  <c r="F169" i="48"/>
  <c r="G169" i="48" s="1"/>
  <c r="X149" i="48"/>
  <c r="L170" i="48"/>
  <c r="M170" i="48" s="1"/>
  <c r="F172" i="48"/>
  <c r="G172" i="48" s="1"/>
  <c r="D168" i="48"/>
  <c r="E168" i="48" s="1"/>
  <c r="L168" i="48"/>
  <c r="M168" i="48" s="1"/>
  <c r="J177" i="48"/>
  <c r="K177" i="48" s="1"/>
  <c r="D171" i="48"/>
  <c r="E171" i="48" s="1"/>
  <c r="H178" i="48"/>
  <c r="I178" i="48" s="1"/>
  <c r="E157" i="48"/>
  <c r="X157" i="48" s="1"/>
  <c r="B193" i="48"/>
  <c r="D198" i="48" s="1"/>
  <c r="C15" i="48"/>
  <c r="B210" i="48"/>
  <c r="B211" i="48" s="1"/>
  <c r="B213" i="48"/>
  <c r="P204" i="38"/>
  <c r="E213" i="38"/>
  <c r="P117" i="39"/>
  <c r="E126" i="39"/>
  <c r="P235" i="37"/>
  <c r="E244" i="37"/>
  <c r="E154" i="38"/>
  <c r="P145" i="38"/>
  <c r="P232" i="38"/>
  <c r="E241" i="38"/>
  <c r="X148" i="48"/>
  <c r="E297" i="38"/>
  <c r="P288" i="38"/>
  <c r="J24" i="2"/>
  <c r="J25" i="2" s="1"/>
  <c r="K21" i="2" s="1"/>
  <c r="E177" i="48"/>
  <c r="E300" i="37"/>
  <c r="P291" i="37"/>
  <c r="H122" i="16"/>
  <c r="H123" i="16" s="1"/>
  <c r="I119" i="16" s="1"/>
  <c r="I120" i="16" s="1"/>
  <c r="I121" i="16" s="1"/>
  <c r="P171" i="30"/>
  <c r="H89" i="45"/>
  <c r="H153" i="45" s="1"/>
  <c r="H85" i="43"/>
  <c r="H149" i="43" s="1"/>
  <c r="O82" i="45"/>
  <c r="H95" i="15"/>
  <c r="H159" i="15" s="1"/>
  <c r="O75" i="43"/>
  <c r="O81" i="43"/>
  <c r="O82" i="43"/>
  <c r="O79" i="43"/>
  <c r="O95" i="43"/>
  <c r="H42" i="16"/>
  <c r="H43" i="16" s="1"/>
  <c r="I39" i="16" s="1"/>
  <c r="I40" i="16" s="1"/>
  <c r="I41" i="16" s="1"/>
  <c r="H92" i="15"/>
  <c r="H156" i="15" s="1"/>
  <c r="O155" i="45"/>
  <c r="C193" i="15"/>
  <c r="D193" i="15" s="1"/>
  <c r="C193" i="45"/>
  <c r="D193" i="45" s="1"/>
  <c r="O73" i="43"/>
  <c r="O94" i="43"/>
  <c r="P31" i="10"/>
  <c r="C193" i="43"/>
  <c r="D179" i="17" s="1"/>
  <c r="I202" i="29"/>
  <c r="I204" i="29" s="1"/>
  <c r="I213" i="29" s="1"/>
  <c r="Q18" i="18"/>
  <c r="R18" i="18" s="1"/>
  <c r="I230" i="35"/>
  <c r="I232" i="35" s="1"/>
  <c r="P232" i="35" s="1"/>
  <c r="O79" i="45"/>
  <c r="I59" i="35"/>
  <c r="I61" i="35" s="1"/>
  <c r="P61" i="35" s="1"/>
  <c r="I59" i="30"/>
  <c r="I61" i="30" s="1"/>
  <c r="P61" i="30" s="1"/>
  <c r="I286" i="28"/>
  <c r="I288" i="28" s="1"/>
  <c r="U33" i="22"/>
  <c r="U34" i="22" s="1"/>
  <c r="U35" i="22" s="1"/>
  <c r="C193" i="47"/>
  <c r="D193" i="47" s="1"/>
  <c r="I59" i="29"/>
  <c r="P59" i="29" s="1"/>
  <c r="I115" i="28"/>
  <c r="I117" i="28" s="1"/>
  <c r="O154" i="43"/>
  <c r="I286" i="30"/>
  <c r="I288" i="30" s="1"/>
  <c r="P288" i="30" s="1"/>
  <c r="I258" i="30"/>
  <c r="P258" i="30" s="1"/>
  <c r="I143" i="30"/>
  <c r="P143" i="30" s="1"/>
  <c r="O74" i="45"/>
  <c r="I176" i="37"/>
  <c r="P174" i="37"/>
  <c r="I202" i="35"/>
  <c r="I204" i="35" s="1"/>
  <c r="P204" i="35" s="1"/>
  <c r="I31" i="30"/>
  <c r="I33" i="30" s="1"/>
  <c r="P33" i="30" s="1"/>
  <c r="I31" i="35"/>
  <c r="I33" i="35" s="1"/>
  <c r="P33" i="35" s="1"/>
  <c r="I173" i="29"/>
  <c r="P171" i="29"/>
  <c r="I173" i="28"/>
  <c r="P171" i="28"/>
  <c r="I286" i="35"/>
  <c r="I288" i="35" s="1"/>
  <c r="P288" i="35" s="1"/>
  <c r="I31" i="29"/>
  <c r="P31" i="29" s="1"/>
  <c r="I143" i="35"/>
  <c r="I145" i="35" s="1"/>
  <c r="I154" i="35" s="1"/>
  <c r="I230" i="29"/>
  <c r="P230" i="29" s="1"/>
  <c r="H93" i="45"/>
  <c r="O80" i="45"/>
  <c r="H86" i="15"/>
  <c r="O73" i="15"/>
  <c r="H94" i="45"/>
  <c r="O81" i="45"/>
  <c r="I241" i="38"/>
  <c r="P240" i="38"/>
  <c r="E224" i="25"/>
  <c r="F224" i="25" s="1"/>
  <c r="G224" i="25" s="1"/>
  <c r="H224" i="25" s="1"/>
  <c r="I258" i="28"/>
  <c r="H88" i="15"/>
  <c r="O75" i="15"/>
  <c r="D176" i="15"/>
  <c r="E176" i="15" s="1"/>
  <c r="F176" i="15" s="1"/>
  <c r="G176" i="15" s="1"/>
  <c r="I31" i="28"/>
  <c r="P125" i="30"/>
  <c r="I202" i="30"/>
  <c r="D184" i="45"/>
  <c r="E184" i="45" s="1"/>
  <c r="F184" i="45" s="1"/>
  <c r="G184" i="45" s="1"/>
  <c r="H156" i="43"/>
  <c r="O92" i="43"/>
  <c r="I213" i="39"/>
  <c r="P212" i="39"/>
  <c r="P324" i="35"/>
  <c r="P153" i="35"/>
  <c r="I129" i="37"/>
  <c r="P128" i="37"/>
  <c r="E297" i="29"/>
  <c r="I286" i="29"/>
  <c r="I314" i="29"/>
  <c r="E227" i="25"/>
  <c r="F227" i="25" s="1"/>
  <c r="G227" i="25" s="1"/>
  <c r="H227" i="25" s="1"/>
  <c r="H88" i="45"/>
  <c r="O75" i="45"/>
  <c r="I230" i="28"/>
  <c r="H86" i="45"/>
  <c r="O73" i="45"/>
  <c r="P69" i="29"/>
  <c r="E185" i="35"/>
  <c r="H90" i="15"/>
  <c r="O77" i="15"/>
  <c r="P125" i="29"/>
  <c r="P268" i="30"/>
  <c r="D170" i="45"/>
  <c r="I269" i="38"/>
  <c r="P268" i="38"/>
  <c r="H159" i="45"/>
  <c r="O95" i="45"/>
  <c r="D172" i="43"/>
  <c r="C198" i="43"/>
  <c r="O159" i="43"/>
  <c r="H93" i="43"/>
  <c r="O80" i="43"/>
  <c r="I269" i="39"/>
  <c r="P268" i="39"/>
  <c r="P41" i="35"/>
  <c r="P69" i="35"/>
  <c r="I328" i="37"/>
  <c r="P327" i="37"/>
  <c r="D178" i="15"/>
  <c r="E178" i="15" s="1"/>
  <c r="F178" i="15" s="1"/>
  <c r="G178" i="15" s="1"/>
  <c r="H90" i="45"/>
  <c r="O77" i="45"/>
  <c r="I182" i="30"/>
  <c r="P324" i="30"/>
  <c r="E42" i="28"/>
  <c r="E225" i="25"/>
  <c r="F225" i="25" s="1"/>
  <c r="G225" i="25" s="1"/>
  <c r="H225" i="25" s="1"/>
  <c r="E325" i="35"/>
  <c r="E185" i="38"/>
  <c r="D181" i="43"/>
  <c r="E181" i="43" s="1"/>
  <c r="F181" i="43" s="1"/>
  <c r="G181" i="43" s="1"/>
  <c r="I230" i="30"/>
  <c r="P41" i="29"/>
  <c r="I173" i="35"/>
  <c r="P171" i="35"/>
  <c r="P268" i="35"/>
  <c r="E184" i="28"/>
  <c r="H100" i="16"/>
  <c r="H101" i="16" s="1"/>
  <c r="H80" i="16"/>
  <c r="H81" i="16" s="1"/>
  <c r="I258" i="35"/>
  <c r="M122" i="18"/>
  <c r="M123" i="18" s="1"/>
  <c r="M121" i="18"/>
  <c r="I258" i="29"/>
  <c r="D183" i="15"/>
  <c r="E183" i="15" s="1"/>
  <c r="F183" i="15" s="1"/>
  <c r="G183" i="15" s="1"/>
  <c r="I70" i="38"/>
  <c r="P69" i="38"/>
  <c r="P41" i="30"/>
  <c r="G182" i="16"/>
  <c r="I202" i="28"/>
  <c r="I87" i="29"/>
  <c r="H91" i="43"/>
  <c r="O78" i="43"/>
  <c r="I87" i="35"/>
  <c r="D177" i="45"/>
  <c r="E177" i="45" s="1"/>
  <c r="F177" i="45" s="1"/>
  <c r="G177" i="45" s="1"/>
  <c r="I241" i="39"/>
  <c r="P240" i="39"/>
  <c r="P125" i="35"/>
  <c r="I157" i="37"/>
  <c r="P156" i="37"/>
  <c r="E45" i="34"/>
  <c r="G203" i="16"/>
  <c r="H199" i="16" s="1"/>
  <c r="D175" i="45"/>
  <c r="E175" i="45" s="1"/>
  <c r="F175" i="45" s="1"/>
  <c r="G175" i="45" s="1"/>
  <c r="H152" i="43"/>
  <c r="O88" i="43"/>
  <c r="H151" i="45"/>
  <c r="O87" i="45"/>
  <c r="M22" i="18"/>
  <c r="N21" i="18"/>
  <c r="P153" i="29"/>
  <c r="H87" i="15"/>
  <c r="O74" i="15"/>
  <c r="H150" i="43"/>
  <c r="O86" i="43"/>
  <c r="I297" i="38"/>
  <c r="P296" i="38"/>
  <c r="E221" i="25"/>
  <c r="F221" i="25" s="1"/>
  <c r="G221" i="25" s="1"/>
  <c r="H221" i="25" s="1"/>
  <c r="D182" i="15"/>
  <c r="E182" i="15" s="1"/>
  <c r="F182" i="15" s="1"/>
  <c r="G182" i="15" s="1"/>
  <c r="P240" i="30"/>
  <c r="E220" i="25"/>
  <c r="F220" i="25" s="1"/>
  <c r="G220" i="25" s="1"/>
  <c r="H220" i="25" s="1"/>
  <c r="I325" i="39"/>
  <c r="P324" i="39"/>
  <c r="P296" i="35"/>
  <c r="I42" i="37"/>
  <c r="P41" i="37"/>
  <c r="E222" i="25"/>
  <c r="F222" i="25" s="1"/>
  <c r="G222" i="25" s="1"/>
  <c r="H222" i="25" s="1"/>
  <c r="D180" i="43"/>
  <c r="E180" i="43" s="1"/>
  <c r="F180" i="43" s="1"/>
  <c r="G180" i="43" s="1"/>
  <c r="I166" i="25"/>
  <c r="P164" i="25"/>
  <c r="D177" i="15"/>
  <c r="E177" i="15" s="1"/>
  <c r="F177" i="15" s="1"/>
  <c r="G177" i="15" s="1"/>
  <c r="D185" i="15"/>
  <c r="E185" i="15" s="1"/>
  <c r="F185" i="15" s="1"/>
  <c r="G185" i="15" s="1"/>
  <c r="D176" i="45"/>
  <c r="E176" i="45" s="1"/>
  <c r="F176" i="45" s="1"/>
  <c r="G176" i="45" s="1"/>
  <c r="P240" i="29"/>
  <c r="P186" i="28"/>
  <c r="Q182" i="39"/>
  <c r="Q182" i="38"/>
  <c r="P42" i="39"/>
  <c r="Q182" i="28"/>
  <c r="P186" i="30"/>
  <c r="Q182" i="30"/>
  <c r="E219" i="25"/>
  <c r="F219" i="25" s="1"/>
  <c r="G219" i="25" s="1"/>
  <c r="H219" i="25" s="1"/>
  <c r="I154" i="39"/>
  <c r="P153" i="39"/>
  <c r="I300" i="37"/>
  <c r="P299" i="37"/>
  <c r="H156" i="45"/>
  <c r="O92" i="45"/>
  <c r="P69" i="30"/>
  <c r="H89" i="15"/>
  <c r="O76" i="15"/>
  <c r="D173" i="45"/>
  <c r="D182" i="43"/>
  <c r="E182" i="43" s="1"/>
  <c r="F182" i="43" s="1"/>
  <c r="G182" i="43" s="1"/>
  <c r="H93" i="15"/>
  <c r="O80" i="15"/>
  <c r="I173" i="39"/>
  <c r="P171" i="39"/>
  <c r="D181" i="15"/>
  <c r="E181" i="15" s="1"/>
  <c r="F181" i="15" s="1"/>
  <c r="G181" i="15" s="1"/>
  <c r="D39" i="7"/>
  <c r="I325" i="38"/>
  <c r="P324" i="38"/>
  <c r="D179" i="15"/>
  <c r="E179" i="15" s="1"/>
  <c r="F179" i="15" s="1"/>
  <c r="G179" i="15" s="1"/>
  <c r="I143" i="28"/>
  <c r="N5" i="22"/>
  <c r="K6" i="22"/>
  <c r="K16" i="22" s="1"/>
  <c r="I115" i="30"/>
  <c r="I297" i="39"/>
  <c r="P296" i="39"/>
  <c r="P240" i="35"/>
  <c r="I70" i="37"/>
  <c r="P69" i="37"/>
  <c r="I216" i="37"/>
  <c r="P215" i="37"/>
  <c r="P216" i="37" s="1"/>
  <c r="E184" i="39"/>
  <c r="I87" i="30"/>
  <c r="D176" i="43"/>
  <c r="E176" i="43" s="1"/>
  <c r="F176" i="43" s="1"/>
  <c r="G176" i="43" s="1"/>
  <c r="I143" i="29"/>
  <c r="I87" i="28"/>
  <c r="I115" i="29"/>
  <c r="D179" i="45"/>
  <c r="E179" i="45" s="1"/>
  <c r="F179" i="45" s="1"/>
  <c r="G179" i="45" s="1"/>
  <c r="H89" i="43"/>
  <c r="O76" i="43"/>
  <c r="P97" i="30"/>
  <c r="P153" i="30"/>
  <c r="P296" i="29"/>
  <c r="P296" i="30"/>
  <c r="P212" i="29"/>
  <c r="I32" i="10"/>
  <c r="J32" i="10" s="1"/>
  <c r="K32" i="10" s="1"/>
  <c r="L32" i="10" s="1"/>
  <c r="M32" i="10" s="1"/>
  <c r="N32" i="10" s="1"/>
  <c r="I75" i="18"/>
  <c r="H79" i="18"/>
  <c r="H76" i="18" s="1"/>
  <c r="H77" i="18" s="1"/>
  <c r="D183" i="45"/>
  <c r="E183" i="45" s="1"/>
  <c r="F183" i="45" s="1"/>
  <c r="G183" i="45" s="1"/>
  <c r="E213" i="29"/>
  <c r="I126" i="38"/>
  <c r="P125" i="38"/>
  <c r="I98" i="38"/>
  <c r="P97" i="38"/>
  <c r="D17" i="26"/>
  <c r="D18" i="26" s="1"/>
  <c r="D29" i="26"/>
  <c r="D40" i="26"/>
  <c r="I33" i="34"/>
  <c r="P31" i="34"/>
  <c r="D175" i="43"/>
  <c r="E175" i="43" s="1"/>
  <c r="F175" i="43" s="1"/>
  <c r="G175" i="43" s="1"/>
  <c r="E154" i="35"/>
  <c r="I126" i="39"/>
  <c r="P125" i="39"/>
  <c r="I98" i="39"/>
  <c r="P97" i="39"/>
  <c r="D174" i="43"/>
  <c r="E174" i="43" s="1"/>
  <c r="F174" i="43" s="1"/>
  <c r="G174" i="43" s="1"/>
  <c r="P212" i="35"/>
  <c r="I272" i="37"/>
  <c r="P271" i="37"/>
  <c r="H87" i="43"/>
  <c r="O74" i="43"/>
  <c r="D177" i="43"/>
  <c r="E177" i="43" s="1"/>
  <c r="F177" i="43" s="1"/>
  <c r="G177" i="43" s="1"/>
  <c r="I173" i="38"/>
  <c r="P171" i="38"/>
  <c r="P212" i="30"/>
  <c r="E184" i="29"/>
  <c r="D178" i="43"/>
  <c r="E178" i="43" s="1"/>
  <c r="F178" i="43" s="1"/>
  <c r="G178" i="43" s="1"/>
  <c r="D175" i="15"/>
  <c r="E175" i="15" s="1"/>
  <c r="F175" i="15" s="1"/>
  <c r="G175" i="15" s="1"/>
  <c r="H96" i="15"/>
  <c r="O83" i="15"/>
  <c r="P97" i="29"/>
  <c r="J20" i="16"/>
  <c r="J22" i="16" s="1"/>
  <c r="J23" i="16" s="1"/>
  <c r="K19" i="16" s="1"/>
  <c r="H96" i="45"/>
  <c r="O83" i="45"/>
  <c r="I213" i="38"/>
  <c r="P212" i="38"/>
  <c r="O95" i="11"/>
  <c r="O119" i="11" s="1"/>
  <c r="O118" i="11"/>
  <c r="Q173" i="28"/>
  <c r="Q173" i="30"/>
  <c r="Q173" i="38"/>
  <c r="P33" i="39"/>
  <c r="Q173" i="39"/>
  <c r="D178" i="45"/>
  <c r="E178" i="45" s="1"/>
  <c r="F178" i="45" s="1"/>
  <c r="G178" i="45" s="1"/>
  <c r="K160" i="16"/>
  <c r="E228" i="25"/>
  <c r="F228" i="25" s="1"/>
  <c r="G228" i="25" s="1"/>
  <c r="H228" i="25" s="1"/>
  <c r="D184" i="15"/>
  <c r="E184" i="15" s="1"/>
  <c r="F184" i="15" s="1"/>
  <c r="G184" i="15" s="1"/>
  <c r="D181" i="45"/>
  <c r="E181" i="45" s="1"/>
  <c r="F181" i="45" s="1"/>
  <c r="G181" i="45" s="1"/>
  <c r="I314" i="28"/>
  <c r="I154" i="38"/>
  <c r="P153" i="38"/>
  <c r="I42" i="38"/>
  <c r="P41" i="38"/>
  <c r="H140" i="16"/>
  <c r="H141" i="16" s="1"/>
  <c r="I59" i="28"/>
  <c r="H94" i="15"/>
  <c r="O81" i="15"/>
  <c r="E223" i="25"/>
  <c r="F223" i="25" s="1"/>
  <c r="G223" i="25" s="1"/>
  <c r="H223" i="25" s="1"/>
  <c r="J3" i="39"/>
  <c r="R42" i="39"/>
  <c r="H3" i="39" s="1"/>
  <c r="I70" i="39"/>
  <c r="P69" i="39"/>
  <c r="G62" i="16"/>
  <c r="P97" i="35"/>
  <c r="I98" i="37"/>
  <c r="P97" i="37"/>
  <c r="I244" i="37"/>
  <c r="P243" i="37"/>
  <c r="E186" i="35"/>
  <c r="E187" i="37"/>
  <c r="D171" i="43"/>
  <c r="C197" i="43"/>
  <c r="O158" i="43"/>
  <c r="E269" i="28"/>
  <c r="E226" i="25"/>
  <c r="F226" i="25" s="1"/>
  <c r="G226" i="25" s="1"/>
  <c r="H226" i="25" s="1"/>
  <c r="I115" i="35"/>
  <c r="I314" i="35"/>
  <c r="I314" i="30"/>
  <c r="P324" i="29"/>
  <c r="P268" i="29"/>
  <c r="E43" i="28"/>
  <c r="X173" i="48" l="1"/>
  <c r="L125" i="18"/>
  <c r="X171" i="48"/>
  <c r="X168" i="48"/>
  <c r="X167" i="48"/>
  <c r="X175" i="48"/>
  <c r="X170" i="48"/>
  <c r="J196" i="48"/>
  <c r="K196" i="48" s="1"/>
  <c r="H190" i="48"/>
  <c r="I190" i="48" s="1"/>
  <c r="X174" i="48"/>
  <c r="D196" i="48"/>
  <c r="E196" i="48" s="1"/>
  <c r="L192" i="48"/>
  <c r="M192" i="48" s="1"/>
  <c r="H199" i="48"/>
  <c r="I199" i="48" s="1"/>
  <c r="J192" i="48"/>
  <c r="K192" i="48" s="1"/>
  <c r="H196" i="48"/>
  <c r="I196" i="48" s="1"/>
  <c r="X172" i="48"/>
  <c r="L195" i="48"/>
  <c r="M195" i="48" s="1"/>
  <c r="F197" i="48"/>
  <c r="G197" i="48" s="1"/>
  <c r="H192" i="48"/>
  <c r="I192" i="48" s="1"/>
  <c r="F193" i="48"/>
  <c r="G193" i="48" s="1"/>
  <c r="J197" i="48"/>
  <c r="K197" i="48" s="1"/>
  <c r="L193" i="48"/>
  <c r="M193" i="48" s="1"/>
  <c r="P154" i="38"/>
  <c r="D188" i="48"/>
  <c r="E188" i="48" s="1"/>
  <c r="J191" i="48"/>
  <c r="K191" i="48" s="1"/>
  <c r="D194" i="48"/>
  <c r="E194" i="48" s="1"/>
  <c r="D195" i="48"/>
  <c r="E195" i="48" s="1"/>
  <c r="D189" i="48"/>
  <c r="E189" i="48" s="1"/>
  <c r="D197" i="48"/>
  <c r="F189" i="48"/>
  <c r="G189" i="48" s="1"/>
  <c r="J193" i="48"/>
  <c r="K193" i="48" s="1"/>
  <c r="F191" i="48"/>
  <c r="G191" i="48" s="1"/>
  <c r="F188" i="48"/>
  <c r="G188" i="48" s="1"/>
  <c r="H194" i="48"/>
  <c r="I194" i="48" s="1"/>
  <c r="L194" i="48"/>
  <c r="M194" i="48" s="1"/>
  <c r="X177" i="48"/>
  <c r="H188" i="48"/>
  <c r="I188" i="48" s="1"/>
  <c r="J195" i="48"/>
  <c r="K195" i="48" s="1"/>
  <c r="L189" i="48"/>
  <c r="M189" i="48" s="1"/>
  <c r="H191" i="48"/>
  <c r="I191" i="48" s="1"/>
  <c r="F192" i="48"/>
  <c r="G192" i="48" s="1"/>
  <c r="L196" i="48"/>
  <c r="M196" i="48" s="1"/>
  <c r="F190" i="48"/>
  <c r="G190" i="48" s="1"/>
  <c r="F195" i="48"/>
  <c r="G195" i="48" s="1"/>
  <c r="J190" i="48"/>
  <c r="K190" i="48" s="1"/>
  <c r="X178" i="48"/>
  <c r="X176" i="48"/>
  <c r="D191" i="48"/>
  <c r="E191" i="48" s="1"/>
  <c r="L190" i="48"/>
  <c r="M190" i="48" s="1"/>
  <c r="J188" i="48"/>
  <c r="K188" i="48" s="1"/>
  <c r="L198" i="48"/>
  <c r="M198" i="48" s="1"/>
  <c r="H195" i="48"/>
  <c r="I195" i="48" s="1"/>
  <c r="X169" i="48"/>
  <c r="B214" i="48"/>
  <c r="H220" i="48" s="1"/>
  <c r="I220" i="48" s="1"/>
  <c r="J217" i="48"/>
  <c r="K217" i="48" s="1"/>
  <c r="F220" i="48"/>
  <c r="G220" i="48" s="1"/>
  <c r="E198" i="48"/>
  <c r="E197" i="48"/>
  <c r="H198" i="48"/>
  <c r="I198" i="48" s="1"/>
  <c r="B234" i="48"/>
  <c r="B231" i="48"/>
  <c r="B232" i="48" s="1"/>
  <c r="J194" i="48"/>
  <c r="K194" i="48" s="1"/>
  <c r="J199" i="48"/>
  <c r="K199" i="48" s="1"/>
  <c r="J198" i="48"/>
  <c r="K198" i="48" s="1"/>
  <c r="L188" i="48"/>
  <c r="M188" i="48" s="1"/>
  <c r="H193" i="48"/>
  <c r="I193" i="48" s="1"/>
  <c r="H197" i="48"/>
  <c r="I197" i="48" s="1"/>
  <c r="F196" i="48"/>
  <c r="G196" i="48" s="1"/>
  <c r="D190" i="48"/>
  <c r="E190" i="48" s="1"/>
  <c r="L197" i="48"/>
  <c r="M197" i="48" s="1"/>
  <c r="L199" i="48"/>
  <c r="M199" i="48" s="1"/>
  <c r="D193" i="48"/>
  <c r="AA26" i="22"/>
  <c r="AA28" i="22" s="1"/>
  <c r="AA29" i="22" s="1"/>
  <c r="K22" i="2"/>
  <c r="K23" i="2" s="1"/>
  <c r="J222" i="16"/>
  <c r="J223" i="16" s="1"/>
  <c r="K219" i="16" s="1"/>
  <c r="K220" i="16" s="1"/>
  <c r="F194" i="48"/>
  <c r="G194" i="48" s="1"/>
  <c r="H189" i="48"/>
  <c r="I189" i="48" s="1"/>
  <c r="D199" i="48"/>
  <c r="J189" i="48"/>
  <c r="K189" i="48" s="1"/>
  <c r="F198" i="48"/>
  <c r="G198" i="48" s="1"/>
  <c r="F199" i="48"/>
  <c r="G199" i="48" s="1"/>
  <c r="D192" i="48"/>
  <c r="L191" i="48"/>
  <c r="M191" i="48" s="1"/>
  <c r="O89" i="45"/>
  <c r="O85" i="43"/>
  <c r="H82" i="16"/>
  <c r="H83" i="16" s="1"/>
  <c r="I79" i="16" s="1"/>
  <c r="I80" i="16" s="1"/>
  <c r="I81" i="16" s="1"/>
  <c r="Q184" i="30"/>
  <c r="I122" i="16"/>
  <c r="I123" i="16" s="1"/>
  <c r="J119" i="16" s="1"/>
  <c r="J120" i="16" s="1"/>
  <c r="J121" i="16" s="1"/>
  <c r="I232" i="29"/>
  <c r="P232" i="29" s="1"/>
  <c r="P115" i="28"/>
  <c r="P59" i="30"/>
  <c r="I33" i="29"/>
  <c r="P33" i="29" s="1"/>
  <c r="P202" i="35"/>
  <c r="Q184" i="38"/>
  <c r="P230" i="35"/>
  <c r="P286" i="30"/>
  <c r="P59" i="35"/>
  <c r="I145" i="30"/>
  <c r="P145" i="30" s="1"/>
  <c r="O92" i="15"/>
  <c r="P31" i="35"/>
  <c r="O95" i="15"/>
  <c r="P143" i="35"/>
  <c r="X33" i="22"/>
  <c r="AA33" i="22" s="1"/>
  <c r="P286" i="35"/>
  <c r="P31" i="30"/>
  <c r="P145" i="35"/>
  <c r="P204" i="29"/>
  <c r="H102" i="16"/>
  <c r="H103" i="16" s="1"/>
  <c r="I99" i="16" s="1"/>
  <c r="I100" i="16" s="1"/>
  <c r="I101" i="16" s="1"/>
  <c r="D39" i="10"/>
  <c r="Q184" i="28"/>
  <c r="D38" i="10"/>
  <c r="F193" i="47" s="1"/>
  <c r="G193" i="47" s="1"/>
  <c r="E165" i="17"/>
  <c r="Q184" i="39"/>
  <c r="P202" i="29"/>
  <c r="P286" i="28"/>
  <c r="I260" i="30"/>
  <c r="P260" i="30" s="1"/>
  <c r="D193" i="43"/>
  <c r="E179" i="17" s="1"/>
  <c r="I61" i="29"/>
  <c r="P61" i="29" s="1"/>
  <c r="I185" i="37"/>
  <c r="P176" i="37"/>
  <c r="I213" i="35"/>
  <c r="P213" i="35" s="1"/>
  <c r="I182" i="28"/>
  <c r="P173" i="28"/>
  <c r="I182" i="29"/>
  <c r="P173" i="29"/>
  <c r="D61" i="17"/>
  <c r="H160" i="45"/>
  <c r="O96" i="45"/>
  <c r="I182" i="38"/>
  <c r="P173" i="38"/>
  <c r="I297" i="30"/>
  <c r="I117" i="29"/>
  <c r="P115" i="29"/>
  <c r="I89" i="30"/>
  <c r="P87" i="30"/>
  <c r="J4" i="37"/>
  <c r="Q70" i="37"/>
  <c r="H4" i="37" s="1"/>
  <c r="P70" i="37"/>
  <c r="P173" i="39"/>
  <c r="I182" i="39"/>
  <c r="I70" i="30"/>
  <c r="P154" i="39"/>
  <c r="R154" i="39"/>
  <c r="H7" i="39" s="1"/>
  <c r="J7" i="39"/>
  <c r="H164" i="45"/>
  <c r="O164" i="45" s="1"/>
  <c r="F189" i="45" s="1"/>
  <c r="O151" i="45"/>
  <c r="C189" i="45"/>
  <c r="D189" i="45" s="1"/>
  <c r="P241" i="39"/>
  <c r="R241" i="39"/>
  <c r="H10" i="39" s="1"/>
  <c r="J10" i="39"/>
  <c r="H155" i="43"/>
  <c r="O91" i="43"/>
  <c r="I260" i="35"/>
  <c r="P258" i="35"/>
  <c r="F185" i="38"/>
  <c r="G185" i="38" s="1"/>
  <c r="H185" i="38" s="1"/>
  <c r="H172" i="45"/>
  <c r="O172" i="45" s="1"/>
  <c r="F197" i="45" s="1"/>
  <c r="O159" i="45"/>
  <c r="C197" i="45"/>
  <c r="D197" i="45" s="1"/>
  <c r="D182" i="45"/>
  <c r="E182" i="45" s="1"/>
  <c r="F182" i="45" s="1"/>
  <c r="G182" i="45" s="1"/>
  <c r="E185" i="39"/>
  <c r="I117" i="35"/>
  <c r="P115" i="35"/>
  <c r="J5" i="37"/>
  <c r="P98" i="37"/>
  <c r="Q98" i="37"/>
  <c r="H5" i="37" s="1"/>
  <c r="K20" i="16"/>
  <c r="K22" i="16" s="1"/>
  <c r="K23" i="16" s="1"/>
  <c r="L19" i="16" s="1"/>
  <c r="E29" i="26"/>
  <c r="E17" i="26"/>
  <c r="E18" i="26" s="1"/>
  <c r="E40" i="26"/>
  <c r="H153" i="15"/>
  <c r="O89" i="15"/>
  <c r="I197" i="25"/>
  <c r="I205" i="25"/>
  <c r="I199" i="25"/>
  <c r="I202" i="25"/>
  <c r="I196" i="25"/>
  <c r="I200" i="25"/>
  <c r="I203" i="25"/>
  <c r="I201" i="25"/>
  <c r="I204" i="25"/>
  <c r="I198" i="25"/>
  <c r="P166" i="25"/>
  <c r="P42" i="37"/>
  <c r="Q42" i="37"/>
  <c r="H3" i="37" s="1"/>
  <c r="J3" i="37"/>
  <c r="I89" i="29"/>
  <c r="P87" i="29"/>
  <c r="H152" i="15"/>
  <c r="O88" i="15"/>
  <c r="H158" i="45"/>
  <c r="O94" i="45"/>
  <c r="I316" i="30"/>
  <c r="P314" i="30"/>
  <c r="P126" i="39"/>
  <c r="R126" i="39"/>
  <c r="H6" i="39" s="1"/>
  <c r="J6" i="39"/>
  <c r="I89" i="28"/>
  <c r="P87" i="28"/>
  <c r="I43" i="39"/>
  <c r="P42" i="38"/>
  <c r="P43" i="39" s="1"/>
  <c r="J3" i="38"/>
  <c r="R42" i="38"/>
  <c r="H3" i="38" s="1"/>
  <c r="E185" i="29"/>
  <c r="P154" i="35"/>
  <c r="Q154" i="35"/>
  <c r="H7" i="35" s="1"/>
  <c r="J7" i="35"/>
  <c r="D30" i="26"/>
  <c r="I241" i="35"/>
  <c r="N6" i="22"/>
  <c r="N16" i="22" s="1"/>
  <c r="Q5" i="22"/>
  <c r="H157" i="15"/>
  <c r="O93" i="15"/>
  <c r="H169" i="45"/>
  <c r="O169" i="45" s="1"/>
  <c r="F194" i="45" s="1"/>
  <c r="O156" i="45"/>
  <c r="C194" i="45"/>
  <c r="D194" i="45" s="1"/>
  <c r="I297" i="28"/>
  <c r="P288" i="28"/>
  <c r="H165" i="43"/>
  <c r="O165" i="43" s="1"/>
  <c r="F191" i="43" s="1"/>
  <c r="O152" i="43"/>
  <c r="C191" i="43"/>
  <c r="I204" i="28"/>
  <c r="P202" i="28"/>
  <c r="I232" i="30"/>
  <c r="P230" i="30"/>
  <c r="H162" i="43"/>
  <c r="O162" i="43" s="1"/>
  <c r="F188" i="43" s="1"/>
  <c r="O149" i="43"/>
  <c r="C188" i="43"/>
  <c r="H150" i="45"/>
  <c r="O86" i="45"/>
  <c r="I204" i="30"/>
  <c r="P202" i="30"/>
  <c r="I260" i="28"/>
  <c r="P258" i="28"/>
  <c r="H151" i="43"/>
  <c r="O87" i="43"/>
  <c r="F61" i="17"/>
  <c r="D197" i="43"/>
  <c r="E183" i="17" s="1"/>
  <c r="D183" i="17"/>
  <c r="O171" i="43"/>
  <c r="F197" i="43" s="1"/>
  <c r="D183" i="43"/>
  <c r="E183" i="43" s="1"/>
  <c r="F183" i="43" s="1"/>
  <c r="G183" i="43" s="1"/>
  <c r="H183" i="43" s="1"/>
  <c r="I183" i="43" s="1"/>
  <c r="J183" i="43" s="1"/>
  <c r="K183" i="43" s="1"/>
  <c r="L183" i="43" s="1"/>
  <c r="M183" i="43" s="1"/>
  <c r="G63" i="16"/>
  <c r="H59" i="16" s="1"/>
  <c r="P98" i="38"/>
  <c r="J5" i="38"/>
  <c r="R98" i="38"/>
  <c r="H5" i="38" s="1"/>
  <c r="I79" i="18"/>
  <c r="I76" i="18" s="1"/>
  <c r="I77" i="18" s="1"/>
  <c r="J75" i="18"/>
  <c r="I145" i="28"/>
  <c r="P143" i="28"/>
  <c r="P325" i="38"/>
  <c r="R325" i="38"/>
  <c r="H13" i="38" s="1"/>
  <c r="J13" i="38"/>
  <c r="I297" i="35"/>
  <c r="P297" i="38"/>
  <c r="R297" i="38"/>
  <c r="H12" i="38" s="1"/>
  <c r="J12" i="38"/>
  <c r="G183" i="16"/>
  <c r="H179" i="16" s="1"/>
  <c r="E185" i="28"/>
  <c r="P182" i="30"/>
  <c r="R182" i="30"/>
  <c r="H8" i="30" s="1"/>
  <c r="J8" i="30"/>
  <c r="Q328" i="37"/>
  <c r="H13" i="37" s="1"/>
  <c r="P328" i="37"/>
  <c r="J13" i="37"/>
  <c r="H157" i="43"/>
  <c r="O93" i="43"/>
  <c r="I232" i="28"/>
  <c r="P230" i="28"/>
  <c r="Q129" i="37"/>
  <c r="H6" i="37" s="1"/>
  <c r="J6" i="37"/>
  <c r="P129" i="37"/>
  <c r="H150" i="15"/>
  <c r="O86" i="15"/>
  <c r="J7" i="38"/>
  <c r="R154" i="38"/>
  <c r="H7" i="38" s="1"/>
  <c r="F45" i="34"/>
  <c r="G45" i="34" s="1"/>
  <c r="H45" i="34" s="1"/>
  <c r="L14" i="17"/>
  <c r="F165" i="17"/>
  <c r="H154" i="15"/>
  <c r="O90" i="15"/>
  <c r="I145" i="29"/>
  <c r="P143" i="29"/>
  <c r="H169" i="15"/>
  <c r="O169" i="15" s="1"/>
  <c r="F194" i="15" s="1"/>
  <c r="O156" i="15"/>
  <c r="C194" i="15"/>
  <c r="O21" i="18"/>
  <c r="N22" i="18"/>
  <c r="I42" i="30"/>
  <c r="I260" i="29"/>
  <c r="P258" i="29"/>
  <c r="H154" i="45"/>
  <c r="O90" i="45"/>
  <c r="I70" i="35"/>
  <c r="D198" i="43"/>
  <c r="E184" i="17" s="1"/>
  <c r="D184" i="17"/>
  <c r="P269" i="38"/>
  <c r="J11" i="38"/>
  <c r="R269" i="38"/>
  <c r="H11" i="38" s="1"/>
  <c r="H152" i="45"/>
  <c r="O88" i="45"/>
  <c r="P213" i="39"/>
  <c r="R213" i="39"/>
  <c r="H9" i="39" s="1"/>
  <c r="J9" i="39"/>
  <c r="I33" i="28"/>
  <c r="P31" i="28"/>
  <c r="H157" i="45"/>
  <c r="O93" i="45"/>
  <c r="H172" i="15"/>
  <c r="O172" i="15" s="1"/>
  <c r="F197" i="15" s="1"/>
  <c r="C197" i="15"/>
  <c r="O159" i="15"/>
  <c r="H163" i="43"/>
  <c r="O163" i="43" s="1"/>
  <c r="F189" i="43" s="1"/>
  <c r="O150" i="43"/>
  <c r="C189" i="43"/>
  <c r="H166" i="45"/>
  <c r="O166" i="45" s="1"/>
  <c r="F191" i="45" s="1"/>
  <c r="O153" i="45"/>
  <c r="C191" i="45"/>
  <c r="D191" i="45" s="1"/>
  <c r="H158" i="15"/>
  <c r="O94" i="15"/>
  <c r="I126" i="28"/>
  <c r="P117" i="28"/>
  <c r="P126" i="38"/>
  <c r="J6" i="38"/>
  <c r="R126" i="38"/>
  <c r="H6" i="38" s="1"/>
  <c r="K221" i="16"/>
  <c r="P244" i="37"/>
  <c r="Q244" i="37"/>
  <c r="H10" i="37" s="1"/>
  <c r="J10" i="37"/>
  <c r="I61" i="28"/>
  <c r="P59" i="28"/>
  <c r="P213" i="38"/>
  <c r="J9" i="38"/>
  <c r="R213" i="38"/>
  <c r="H9" i="38" s="1"/>
  <c r="H160" i="15"/>
  <c r="O96" i="15"/>
  <c r="J11" i="37"/>
  <c r="Q272" i="37"/>
  <c r="H11" i="37" s="1"/>
  <c r="P272" i="37"/>
  <c r="R213" i="29"/>
  <c r="H9" i="29" s="1"/>
  <c r="P213" i="29"/>
  <c r="J9" i="29"/>
  <c r="H153" i="43"/>
  <c r="O89" i="43"/>
  <c r="J9" i="37"/>
  <c r="Q216" i="37"/>
  <c r="H9" i="37" s="1"/>
  <c r="P297" i="39"/>
  <c r="R297" i="39"/>
  <c r="H12" i="39" s="1"/>
  <c r="J12" i="39"/>
  <c r="J12" i="37"/>
  <c r="P300" i="37"/>
  <c r="Q300" i="37"/>
  <c r="H12" i="37" s="1"/>
  <c r="R20" i="18"/>
  <c r="S20" i="18" s="1"/>
  <c r="S18" i="18"/>
  <c r="T18" i="18" s="1"/>
  <c r="U18" i="18" s="1"/>
  <c r="V18" i="18" s="1"/>
  <c r="H151" i="15"/>
  <c r="O87" i="15"/>
  <c r="I89" i="35"/>
  <c r="P87" i="35"/>
  <c r="P269" i="39"/>
  <c r="R269" i="39"/>
  <c r="H11" i="39" s="1"/>
  <c r="J11" i="39"/>
  <c r="O172" i="43"/>
  <c r="F198" i="43" s="1"/>
  <c r="D184" i="43"/>
  <c r="E184" i="43" s="1"/>
  <c r="F184" i="43" s="1"/>
  <c r="G184" i="43" s="1"/>
  <c r="H184" i="43" s="1"/>
  <c r="I184" i="43" s="1"/>
  <c r="J184" i="43" s="1"/>
  <c r="K184" i="43" s="1"/>
  <c r="L184" i="43" s="1"/>
  <c r="M184" i="43" s="1"/>
  <c r="F185" i="35"/>
  <c r="G185" i="35" s="1"/>
  <c r="H185" i="35" s="1"/>
  <c r="I316" i="29"/>
  <c r="P314" i="29"/>
  <c r="P241" i="38"/>
  <c r="R241" i="38"/>
  <c r="H10" i="38" s="1"/>
  <c r="J10" i="38"/>
  <c r="J7" i="37"/>
  <c r="P157" i="37"/>
  <c r="Q157" i="37"/>
  <c r="H7" i="37" s="1"/>
  <c r="I316" i="35"/>
  <c r="P314" i="35"/>
  <c r="E100" i="37"/>
  <c r="E188" i="37"/>
  <c r="I316" i="28"/>
  <c r="P314" i="28"/>
  <c r="P70" i="39"/>
  <c r="J4" i="39"/>
  <c r="R70" i="39"/>
  <c r="H4" i="39" s="1"/>
  <c r="H142" i="16"/>
  <c r="H143" i="16" s="1"/>
  <c r="I139" i="16" s="1"/>
  <c r="K161" i="16"/>
  <c r="K162" i="16" s="1"/>
  <c r="I42" i="16"/>
  <c r="I43" i="16" s="1"/>
  <c r="J39" i="16" s="1"/>
  <c r="P98" i="39"/>
  <c r="R98" i="39"/>
  <c r="H5" i="39" s="1"/>
  <c r="J5" i="39"/>
  <c r="P33" i="34"/>
  <c r="I42" i="34"/>
  <c r="I117" i="30"/>
  <c r="P115" i="30"/>
  <c r="D185" i="45"/>
  <c r="E185" i="45" s="1"/>
  <c r="F185" i="45" s="1"/>
  <c r="G185" i="45" s="1"/>
  <c r="R325" i="39"/>
  <c r="H13" i="39" s="1"/>
  <c r="J13" i="39"/>
  <c r="P325" i="39"/>
  <c r="H200" i="16"/>
  <c r="H201" i="16" s="1"/>
  <c r="P70" i="38"/>
  <c r="R70" i="38"/>
  <c r="H4" i="38" s="1"/>
  <c r="J4" i="38"/>
  <c r="M124" i="18"/>
  <c r="N124" i="18" s="1"/>
  <c r="M125" i="18"/>
  <c r="N125" i="18" s="1"/>
  <c r="K47" i="18" s="1"/>
  <c r="P173" i="35"/>
  <c r="I182" i="35"/>
  <c r="I42" i="35"/>
  <c r="I288" i="29"/>
  <c r="P286" i="29"/>
  <c r="H169" i="43"/>
  <c r="O169" i="43" s="1"/>
  <c r="F195" i="43" s="1"/>
  <c r="O156" i="43"/>
  <c r="C195" i="43"/>
  <c r="D212" i="48" l="1"/>
  <c r="E212" i="48" s="1"/>
  <c r="F211" i="48"/>
  <c r="G211" i="48" s="1"/>
  <c r="F219" i="48"/>
  <c r="G219" i="48" s="1"/>
  <c r="J209" i="48"/>
  <c r="K209" i="48" s="1"/>
  <c r="J216" i="48"/>
  <c r="K216" i="48" s="1"/>
  <c r="D216" i="48"/>
  <c r="E216" i="48" s="1"/>
  <c r="F215" i="48"/>
  <c r="G215" i="48" s="1"/>
  <c r="H211" i="48"/>
  <c r="I211" i="48" s="1"/>
  <c r="J211" i="48"/>
  <c r="K211" i="48" s="1"/>
  <c r="H209" i="48"/>
  <c r="I209" i="48" s="1"/>
  <c r="D213" i="48"/>
  <c r="E213" i="48" s="1"/>
  <c r="H219" i="48"/>
  <c r="I219" i="48" s="1"/>
  <c r="D209" i="48"/>
  <c r="E209" i="48" s="1"/>
  <c r="F217" i="48"/>
  <c r="G217" i="48" s="1"/>
  <c r="L216" i="48"/>
  <c r="M216" i="48" s="1"/>
  <c r="L218" i="48"/>
  <c r="M218" i="48" s="1"/>
  <c r="D219" i="48"/>
  <c r="E219" i="48" s="1"/>
  <c r="D210" i="48"/>
  <c r="D217" i="48"/>
  <c r="F213" i="48"/>
  <c r="G213" i="48" s="1"/>
  <c r="J210" i="48"/>
  <c r="K210" i="48" s="1"/>
  <c r="J212" i="48"/>
  <c r="K212" i="48" s="1"/>
  <c r="H217" i="48"/>
  <c r="I217" i="48" s="1"/>
  <c r="J219" i="48"/>
  <c r="K219" i="48" s="1"/>
  <c r="J220" i="48"/>
  <c r="K220" i="48" s="1"/>
  <c r="L220" i="48"/>
  <c r="M220" i="48" s="1"/>
  <c r="H218" i="48"/>
  <c r="I218" i="48" s="1"/>
  <c r="X190" i="48"/>
  <c r="D218" i="48"/>
  <c r="D215" i="48"/>
  <c r="E215" i="48" s="1"/>
  <c r="L209" i="48"/>
  <c r="M209" i="48" s="1"/>
  <c r="F218" i="48"/>
  <c r="G218" i="48" s="1"/>
  <c r="J218" i="48"/>
  <c r="K218" i="48" s="1"/>
  <c r="L215" i="48"/>
  <c r="M215" i="48" s="1"/>
  <c r="J213" i="48"/>
  <c r="K213" i="48" s="1"/>
  <c r="L210" i="48"/>
  <c r="M210" i="48" s="1"/>
  <c r="J214" i="48"/>
  <c r="K214" i="48" s="1"/>
  <c r="D214" i="48"/>
  <c r="E214" i="48" s="1"/>
  <c r="H210" i="48"/>
  <c r="I210" i="48" s="1"/>
  <c r="H215" i="48"/>
  <c r="I215" i="48" s="1"/>
  <c r="H216" i="48"/>
  <c r="I216" i="48" s="1"/>
  <c r="X197" i="48"/>
  <c r="F212" i="48"/>
  <c r="G212" i="48" s="1"/>
  <c r="D220" i="48"/>
  <c r="E220" i="48" s="1"/>
  <c r="D211" i="48"/>
  <c r="E211" i="48" s="1"/>
  <c r="F209" i="48"/>
  <c r="G209" i="48" s="1"/>
  <c r="H213" i="48"/>
  <c r="I213" i="48" s="1"/>
  <c r="L211" i="48"/>
  <c r="M211" i="48" s="1"/>
  <c r="L219" i="48"/>
  <c r="M219" i="48" s="1"/>
  <c r="L214" i="48"/>
  <c r="M214" i="48" s="1"/>
  <c r="L213" i="48"/>
  <c r="M213" i="48" s="1"/>
  <c r="F214" i="48"/>
  <c r="G214" i="48" s="1"/>
  <c r="H214" i="48"/>
  <c r="I214" i="48" s="1"/>
  <c r="J215" i="48"/>
  <c r="K215" i="48" s="1"/>
  <c r="F216" i="48"/>
  <c r="G216" i="48" s="1"/>
  <c r="F210" i="48"/>
  <c r="G210" i="48" s="1"/>
  <c r="L217" i="48"/>
  <c r="M217" i="48" s="1"/>
  <c r="H212" i="48"/>
  <c r="I212" i="48" s="1"/>
  <c r="L212" i="48"/>
  <c r="M212" i="48" s="1"/>
  <c r="X189" i="48"/>
  <c r="X188" i="48"/>
  <c r="X196" i="48"/>
  <c r="X195" i="48"/>
  <c r="X191" i="48"/>
  <c r="X198" i="48"/>
  <c r="E193" i="48"/>
  <c r="X193" i="48" s="1"/>
  <c r="E199" i="48"/>
  <c r="X199" i="48" s="1"/>
  <c r="G96" i="48"/>
  <c r="E99" i="48" s="1"/>
  <c r="E28" i="47" s="1"/>
  <c r="E40" i="47" s="1"/>
  <c r="E52" i="47" s="1"/>
  <c r="E76" i="47" s="1"/>
  <c r="E89" i="47" s="1"/>
  <c r="E153" i="47" s="1"/>
  <c r="E166" i="47" s="1"/>
  <c r="E54" i="48"/>
  <c r="M117" i="48"/>
  <c r="H120" i="48" s="1"/>
  <c r="H29" i="47" s="1"/>
  <c r="H41" i="47" s="1"/>
  <c r="K75" i="48"/>
  <c r="G78" i="48" s="1"/>
  <c r="G27" i="47" s="1"/>
  <c r="G39" i="47" s="1"/>
  <c r="G51" i="47" s="1"/>
  <c r="G75" i="47" s="1"/>
  <c r="G88" i="47" s="1"/>
  <c r="G152" i="47" s="1"/>
  <c r="G165" i="47" s="1"/>
  <c r="B235" i="48"/>
  <c r="D232" i="48" s="1"/>
  <c r="G159" i="48"/>
  <c r="E162" i="48" s="1"/>
  <c r="E31" i="47" s="1"/>
  <c r="E43" i="47" s="1"/>
  <c r="E55" i="47" s="1"/>
  <c r="E79" i="47" s="1"/>
  <c r="E92" i="47" s="1"/>
  <c r="E156" i="47" s="1"/>
  <c r="E169" i="47" s="1"/>
  <c r="K159" i="48"/>
  <c r="G162" i="48" s="1"/>
  <c r="G31" i="47" s="1"/>
  <c r="G43" i="47" s="1"/>
  <c r="G55" i="47" s="1"/>
  <c r="G79" i="47" s="1"/>
  <c r="G92" i="47" s="1"/>
  <c r="G156" i="47" s="1"/>
  <c r="G169" i="47" s="1"/>
  <c r="G138" i="48"/>
  <c r="E141" i="48" s="1"/>
  <c r="E30" i="47" s="1"/>
  <c r="I54" i="48"/>
  <c r="F57" i="48" s="1"/>
  <c r="F26" i="47" s="1"/>
  <c r="F38" i="47" s="1"/>
  <c r="F50" i="47" s="1"/>
  <c r="F74" i="47" s="1"/>
  <c r="F87" i="47" s="1"/>
  <c r="F151" i="47" s="1"/>
  <c r="F164" i="47" s="1"/>
  <c r="K222" i="48"/>
  <c r="G225" i="48" s="1"/>
  <c r="G34" i="47" s="1"/>
  <c r="G46" i="47" s="1"/>
  <c r="G58" i="47" s="1"/>
  <c r="G82" i="47" s="1"/>
  <c r="G95" i="47" s="1"/>
  <c r="G159" i="47" s="1"/>
  <c r="G172" i="47" s="1"/>
  <c r="E75" i="48"/>
  <c r="I75" i="48"/>
  <c r="F78" i="48" s="1"/>
  <c r="F27" i="47" s="1"/>
  <c r="F39" i="47" s="1"/>
  <c r="F51" i="47" s="1"/>
  <c r="F75" i="47" s="1"/>
  <c r="F88" i="47" s="1"/>
  <c r="F152" i="47" s="1"/>
  <c r="F165" i="47" s="1"/>
  <c r="K243" i="48"/>
  <c r="G246" i="48" s="1"/>
  <c r="G35" i="47" s="1"/>
  <c r="G47" i="47" s="1"/>
  <c r="G59" i="47" s="1"/>
  <c r="G83" i="47" s="1"/>
  <c r="G96" i="47" s="1"/>
  <c r="G160" i="47" s="1"/>
  <c r="G173" i="47" s="1"/>
  <c r="M75" i="48"/>
  <c r="H78" i="48" s="1"/>
  <c r="H27" i="47" s="1"/>
  <c r="H39" i="47" s="1"/>
  <c r="I138" i="48"/>
  <c r="F141" i="48" s="1"/>
  <c r="F30" i="47" s="1"/>
  <c r="G201" i="48"/>
  <c r="E204" i="48" s="1"/>
  <c r="E33" i="47" s="1"/>
  <c r="E45" i="47" s="1"/>
  <c r="E57" i="47" s="1"/>
  <c r="E81" i="47" s="1"/>
  <c r="E94" i="47" s="1"/>
  <c r="E158" i="47" s="1"/>
  <c r="E171" i="47" s="1"/>
  <c r="K33" i="48"/>
  <c r="G36" i="48" s="1"/>
  <c r="G25" i="47" s="1"/>
  <c r="G37" i="47" s="1"/>
  <c r="G49" i="47" s="1"/>
  <c r="G73" i="47" s="1"/>
  <c r="G86" i="47" s="1"/>
  <c r="G150" i="47" s="1"/>
  <c r="G163" i="47" s="1"/>
  <c r="E201" i="48"/>
  <c r="K96" i="48"/>
  <c r="G99" i="48" s="1"/>
  <c r="G28" i="47" s="1"/>
  <c r="G40" i="47" s="1"/>
  <c r="G52" i="47" s="1"/>
  <c r="G76" i="47" s="1"/>
  <c r="G89" i="47" s="1"/>
  <c r="G153" i="47" s="1"/>
  <c r="G166" i="47" s="1"/>
  <c r="E96" i="48"/>
  <c r="G180" i="48"/>
  <c r="E183" i="48" s="1"/>
  <c r="E32" i="47" s="1"/>
  <c r="E44" i="47" s="1"/>
  <c r="E56" i="47" s="1"/>
  <c r="E80" i="47" s="1"/>
  <c r="E93" i="47" s="1"/>
  <c r="E157" i="47" s="1"/>
  <c r="E170" i="47" s="1"/>
  <c r="K117" i="48"/>
  <c r="G120" i="48" s="1"/>
  <c r="G29" i="47" s="1"/>
  <c r="G41" i="47" s="1"/>
  <c r="G53" i="47" s="1"/>
  <c r="G77" i="47" s="1"/>
  <c r="G90" i="47" s="1"/>
  <c r="G154" i="47" s="1"/>
  <c r="G167" i="47" s="1"/>
  <c r="E159" i="48"/>
  <c r="I159" i="48"/>
  <c r="F162" i="48" s="1"/>
  <c r="F31" i="47" s="1"/>
  <c r="F43" i="47" s="1"/>
  <c r="F55" i="47" s="1"/>
  <c r="F79" i="47" s="1"/>
  <c r="F92" i="47" s="1"/>
  <c r="F156" i="47" s="1"/>
  <c r="F169" i="47" s="1"/>
  <c r="G75" i="48"/>
  <c r="E78" i="48" s="1"/>
  <c r="E27" i="47" s="1"/>
  <c r="E39" i="47" s="1"/>
  <c r="E51" i="47" s="1"/>
  <c r="E75" i="47" s="1"/>
  <c r="E88" i="47" s="1"/>
  <c r="E152" i="47" s="1"/>
  <c r="E165" i="47" s="1"/>
  <c r="M54" i="48"/>
  <c r="H57" i="48" s="1"/>
  <c r="H26" i="47" s="1"/>
  <c r="H38" i="47" s="1"/>
  <c r="M243" i="48"/>
  <c r="H246" i="48" s="1"/>
  <c r="H35" i="47" s="1"/>
  <c r="H47" i="47" s="1"/>
  <c r="M96" i="48"/>
  <c r="H99" i="48" s="1"/>
  <c r="H28" i="47" s="1"/>
  <c r="H40" i="47" s="1"/>
  <c r="K201" i="48"/>
  <c r="G204" i="48" s="1"/>
  <c r="G33" i="47" s="1"/>
  <c r="G45" i="47" s="1"/>
  <c r="G57" i="47" s="1"/>
  <c r="G81" i="47" s="1"/>
  <c r="G94" i="47" s="1"/>
  <c r="G158" i="47" s="1"/>
  <c r="G171" i="47" s="1"/>
  <c r="I222" i="48"/>
  <c r="F225" i="48" s="1"/>
  <c r="F34" i="47" s="1"/>
  <c r="F46" i="47" s="1"/>
  <c r="F58" i="47" s="1"/>
  <c r="F82" i="47" s="1"/>
  <c r="F95" i="47" s="1"/>
  <c r="F159" i="47" s="1"/>
  <c r="F172" i="47" s="1"/>
  <c r="M138" i="48"/>
  <c r="H141" i="48" s="1"/>
  <c r="H30" i="47" s="1"/>
  <c r="K54" i="48"/>
  <c r="G57" i="48" s="1"/>
  <c r="G26" i="47" s="1"/>
  <c r="G38" i="47" s="1"/>
  <c r="G50" i="47" s="1"/>
  <c r="G74" i="47" s="1"/>
  <c r="G87" i="47" s="1"/>
  <c r="G151" i="47" s="1"/>
  <c r="G164" i="47" s="1"/>
  <c r="M201" i="48"/>
  <c r="H204" i="48" s="1"/>
  <c r="H33" i="47" s="1"/>
  <c r="H45" i="47" s="1"/>
  <c r="M180" i="48"/>
  <c r="H183" i="48" s="1"/>
  <c r="H32" i="47" s="1"/>
  <c r="H44" i="47" s="1"/>
  <c r="I33" i="48"/>
  <c r="F36" i="48" s="1"/>
  <c r="F25" i="47" s="1"/>
  <c r="F37" i="47" s="1"/>
  <c r="F49" i="47" s="1"/>
  <c r="F73" i="47" s="1"/>
  <c r="F86" i="47" s="1"/>
  <c r="F150" i="47" s="1"/>
  <c r="F163" i="47" s="1"/>
  <c r="G222" i="48"/>
  <c r="E225" i="48" s="1"/>
  <c r="E34" i="47" s="1"/>
  <c r="E46" i="47" s="1"/>
  <c r="E58" i="47" s="1"/>
  <c r="E82" i="47" s="1"/>
  <c r="E95" i="47" s="1"/>
  <c r="E159" i="47" s="1"/>
  <c r="E172" i="47" s="1"/>
  <c r="G33" i="48"/>
  <c r="E36" i="48" s="1"/>
  <c r="E25" i="47" s="1"/>
  <c r="E37" i="47" s="1"/>
  <c r="E49" i="47" s="1"/>
  <c r="E73" i="47" s="1"/>
  <c r="E86" i="47" s="1"/>
  <c r="E150" i="47" s="1"/>
  <c r="E163" i="47" s="1"/>
  <c r="E180" i="48"/>
  <c r="M159" i="48"/>
  <c r="H162" i="48" s="1"/>
  <c r="H31" i="47" s="1"/>
  <c r="H43" i="47" s="1"/>
  <c r="I117" i="48"/>
  <c r="F120" i="48" s="1"/>
  <c r="F29" i="47" s="1"/>
  <c r="F41" i="47" s="1"/>
  <c r="F53" i="47" s="1"/>
  <c r="F77" i="47" s="1"/>
  <c r="F90" i="47" s="1"/>
  <c r="F154" i="47" s="1"/>
  <c r="F167" i="47" s="1"/>
  <c r="E243" i="48"/>
  <c r="I243" i="48"/>
  <c r="F246" i="48" s="1"/>
  <c r="F35" i="47" s="1"/>
  <c r="F47" i="47" s="1"/>
  <c r="F59" i="47" s="1"/>
  <c r="F83" i="47" s="1"/>
  <c r="F96" i="47" s="1"/>
  <c r="F160" i="47" s="1"/>
  <c r="F173" i="47" s="1"/>
  <c r="I180" i="48"/>
  <c r="F183" i="48" s="1"/>
  <c r="F32" i="47" s="1"/>
  <c r="F44" i="47" s="1"/>
  <c r="F56" i="47" s="1"/>
  <c r="F80" i="47" s="1"/>
  <c r="F93" i="47" s="1"/>
  <c r="F157" i="47" s="1"/>
  <c r="F170" i="47" s="1"/>
  <c r="G117" i="48"/>
  <c r="E120" i="48" s="1"/>
  <c r="E29" i="47" s="1"/>
  <c r="E41" i="47" s="1"/>
  <c r="E53" i="47" s="1"/>
  <c r="E77" i="47" s="1"/>
  <c r="E90" i="47" s="1"/>
  <c r="E154" i="47" s="1"/>
  <c r="E167" i="47" s="1"/>
  <c r="I96" i="48"/>
  <c r="F99" i="48" s="1"/>
  <c r="F28" i="47" s="1"/>
  <c r="F40" i="47" s="1"/>
  <c r="F52" i="47" s="1"/>
  <c r="F76" i="47" s="1"/>
  <c r="F89" i="47" s="1"/>
  <c r="F153" i="47" s="1"/>
  <c r="F166" i="47" s="1"/>
  <c r="M222" i="48"/>
  <c r="H225" i="48" s="1"/>
  <c r="H34" i="47" s="1"/>
  <c r="H46" i="47" s="1"/>
  <c r="E33" i="48"/>
  <c r="G243" i="48"/>
  <c r="E246" i="48" s="1"/>
  <c r="E35" i="47" s="1"/>
  <c r="E47" i="47" s="1"/>
  <c r="E59" i="47" s="1"/>
  <c r="E83" i="47" s="1"/>
  <c r="E96" i="47" s="1"/>
  <c r="E160" i="47" s="1"/>
  <c r="E173" i="47" s="1"/>
  <c r="G54" i="48"/>
  <c r="E57" i="48" s="1"/>
  <c r="E26" i="47" s="1"/>
  <c r="E38" i="47" s="1"/>
  <c r="E50" i="47" s="1"/>
  <c r="E74" i="47" s="1"/>
  <c r="E87" i="47" s="1"/>
  <c r="E151" i="47" s="1"/>
  <c r="E164" i="47" s="1"/>
  <c r="E117" i="48"/>
  <c r="I201" i="48"/>
  <c r="F204" i="48" s="1"/>
  <c r="F33" i="47" s="1"/>
  <c r="F45" i="47" s="1"/>
  <c r="F57" i="47" s="1"/>
  <c r="F81" i="47" s="1"/>
  <c r="F94" i="47" s="1"/>
  <c r="F158" i="47" s="1"/>
  <c r="F171" i="47" s="1"/>
  <c r="K180" i="48"/>
  <c r="G183" i="48" s="1"/>
  <c r="G32" i="47" s="1"/>
  <c r="G44" i="47" s="1"/>
  <c r="G56" i="47" s="1"/>
  <c r="G80" i="47" s="1"/>
  <c r="G93" i="47" s="1"/>
  <c r="G157" i="47" s="1"/>
  <c r="G170" i="47" s="1"/>
  <c r="M33" i="48"/>
  <c r="H36" i="48" s="1"/>
  <c r="H25" i="47" s="1"/>
  <c r="H37" i="47" s="1"/>
  <c r="E138" i="48"/>
  <c r="K138" i="48"/>
  <c r="G141" i="48" s="1"/>
  <c r="G30" i="47" s="1"/>
  <c r="E222" i="48"/>
  <c r="E210" i="48"/>
  <c r="X194" i="48"/>
  <c r="E218" i="48"/>
  <c r="E192" i="48"/>
  <c r="X192" i="48" s="1"/>
  <c r="K24" i="2"/>
  <c r="K25" i="2" s="1"/>
  <c r="L21" i="2" s="1"/>
  <c r="E217" i="48"/>
  <c r="I269" i="30"/>
  <c r="R269" i="30" s="1"/>
  <c r="H11" i="30" s="1"/>
  <c r="I82" i="16"/>
  <c r="I83" i="16" s="1"/>
  <c r="J79" i="16" s="1"/>
  <c r="I241" i="29"/>
  <c r="R241" i="29" s="1"/>
  <c r="H10" i="29" s="1"/>
  <c r="D110" i="17" s="1"/>
  <c r="G236" i="25"/>
  <c r="F194" i="17" s="1"/>
  <c r="F193" i="45"/>
  <c r="G193" i="45" s="1"/>
  <c r="I42" i="29"/>
  <c r="J3" i="29" s="1"/>
  <c r="I154" i="30"/>
  <c r="R154" i="30" s="1"/>
  <c r="H7" i="30" s="1"/>
  <c r="D79" i="17" s="1"/>
  <c r="F193" i="15"/>
  <c r="G165" i="17" s="1"/>
  <c r="F193" i="43"/>
  <c r="G191" i="43" s="1"/>
  <c r="G177" i="17" s="1"/>
  <c r="X34" i="22"/>
  <c r="X35" i="22" s="1"/>
  <c r="J9" i="35"/>
  <c r="F137" i="17" s="1"/>
  <c r="Q213" i="35"/>
  <c r="H9" i="35" s="1"/>
  <c r="D137" i="17" s="1"/>
  <c r="I70" i="29"/>
  <c r="R70" i="29" s="1"/>
  <c r="H4" i="29" s="1"/>
  <c r="D104" i="17" s="1"/>
  <c r="H174" i="43"/>
  <c r="I174" i="43" s="1"/>
  <c r="J174" i="43" s="1"/>
  <c r="K174" i="43" s="1"/>
  <c r="L174" i="43" s="1"/>
  <c r="M174" i="43" s="1"/>
  <c r="H181" i="45"/>
  <c r="I181" i="45" s="1"/>
  <c r="J181" i="45" s="1"/>
  <c r="K181" i="45" s="1"/>
  <c r="L181" i="45" s="1"/>
  <c r="M181" i="45" s="1"/>
  <c r="P185" i="37"/>
  <c r="Q185" i="37"/>
  <c r="H8" i="37" s="1"/>
  <c r="I7" i="37" s="1"/>
  <c r="I186" i="35"/>
  <c r="I187" i="37"/>
  <c r="J8" i="37"/>
  <c r="K13" i="37" s="1"/>
  <c r="I184" i="29"/>
  <c r="P184" i="29" s="1"/>
  <c r="R182" i="29"/>
  <c r="H8" i="29" s="1"/>
  <c r="I9" i="29" s="1"/>
  <c r="P182" i="29"/>
  <c r="J8" i="29"/>
  <c r="H184" i="45"/>
  <c r="I184" i="45" s="1"/>
  <c r="J184" i="45" s="1"/>
  <c r="K184" i="45" s="1"/>
  <c r="L184" i="45" s="1"/>
  <c r="M184" i="45" s="1"/>
  <c r="I184" i="28"/>
  <c r="P184" i="28" s="1"/>
  <c r="P182" i="28"/>
  <c r="R182" i="28"/>
  <c r="H8" i="28" s="1"/>
  <c r="J8" i="28"/>
  <c r="H181" i="15"/>
  <c r="I181" i="15" s="1"/>
  <c r="J181" i="15" s="1"/>
  <c r="K181" i="15" s="1"/>
  <c r="L181" i="15" s="1"/>
  <c r="M181" i="15" s="1"/>
  <c r="K163" i="16"/>
  <c r="L159" i="16" s="1"/>
  <c r="L20" i="16"/>
  <c r="L22" i="16" s="1"/>
  <c r="L23" i="16" s="1"/>
  <c r="M19" i="16" s="1"/>
  <c r="D69" i="17"/>
  <c r="F109" i="17"/>
  <c r="D189" i="43"/>
  <c r="E175" i="17" s="1"/>
  <c r="D175" i="17"/>
  <c r="G166" i="17"/>
  <c r="D120" i="17"/>
  <c r="F127" i="17"/>
  <c r="D99" i="17"/>
  <c r="F91" i="17"/>
  <c r="F183" i="17"/>
  <c r="H164" i="43"/>
  <c r="O151" i="43"/>
  <c r="C190" i="43"/>
  <c r="P232" i="30"/>
  <c r="I241" i="30"/>
  <c r="J10" i="35"/>
  <c r="P241" i="35"/>
  <c r="Q241" i="35"/>
  <c r="H10" i="35" s="1"/>
  <c r="D89" i="17"/>
  <c r="D64" i="17"/>
  <c r="H175" i="43"/>
  <c r="I175" i="43" s="1"/>
  <c r="J175" i="43" s="1"/>
  <c r="K175" i="43" s="1"/>
  <c r="L175" i="43" s="1"/>
  <c r="M175" i="43" s="1"/>
  <c r="P89" i="29"/>
  <c r="I98" i="29"/>
  <c r="I216" i="25"/>
  <c r="P204" i="25"/>
  <c r="D239" i="25"/>
  <c r="I209" i="25"/>
  <c r="P197" i="25"/>
  <c r="D232" i="25"/>
  <c r="P117" i="35"/>
  <c r="I126" i="35"/>
  <c r="P260" i="35"/>
  <c r="I269" i="35"/>
  <c r="P89" i="30"/>
  <c r="I98" i="30"/>
  <c r="I184" i="38"/>
  <c r="J8" i="38"/>
  <c r="K3" i="38" s="1"/>
  <c r="P182" i="38"/>
  <c r="R182" i="38"/>
  <c r="H8" i="38" s="1"/>
  <c r="I3" i="38" s="1"/>
  <c r="D121" i="17"/>
  <c r="F70" i="17"/>
  <c r="D90" i="17"/>
  <c r="P316" i="29"/>
  <c r="I325" i="29"/>
  <c r="D70" i="17"/>
  <c r="F95" i="17"/>
  <c r="H170" i="45"/>
  <c r="O170" i="45" s="1"/>
  <c r="F195" i="45" s="1"/>
  <c r="C195" i="45"/>
  <c r="D195" i="45" s="1"/>
  <c r="O157" i="45"/>
  <c r="J12" i="35"/>
  <c r="Q297" i="35"/>
  <c r="H12" i="35" s="1"/>
  <c r="P297" i="35"/>
  <c r="F89" i="17"/>
  <c r="I213" i="25"/>
  <c r="D236" i="25"/>
  <c r="P201" i="25"/>
  <c r="J122" i="16"/>
  <c r="J123" i="16" s="1"/>
  <c r="K119" i="16" s="1"/>
  <c r="P70" i="30"/>
  <c r="J4" i="30"/>
  <c r="R70" i="30"/>
  <c r="H4" i="30" s="1"/>
  <c r="D71" i="17"/>
  <c r="P117" i="30"/>
  <c r="I126" i="30"/>
  <c r="D195" i="43"/>
  <c r="E181" i="17" s="1"/>
  <c r="D181" i="17"/>
  <c r="J40" i="16"/>
  <c r="J41" i="16" s="1"/>
  <c r="I325" i="28"/>
  <c r="P316" i="28"/>
  <c r="F121" i="17"/>
  <c r="D109" i="17"/>
  <c r="P126" i="28"/>
  <c r="J6" i="28"/>
  <c r="R126" i="28"/>
  <c r="H6" i="28" s="1"/>
  <c r="F175" i="17"/>
  <c r="H165" i="45"/>
  <c r="O152" i="45"/>
  <c r="C190" i="45"/>
  <c r="D190" i="45" s="1"/>
  <c r="Q70" i="35"/>
  <c r="H4" i="35" s="1"/>
  <c r="P70" i="35"/>
  <c r="J4" i="35"/>
  <c r="P260" i="29"/>
  <c r="I269" i="29"/>
  <c r="D127" i="17"/>
  <c r="F185" i="28"/>
  <c r="G185" i="28" s="1"/>
  <c r="H185" i="28" s="1"/>
  <c r="H163" i="45"/>
  <c r="C188" i="45"/>
  <c r="D188" i="45" s="1"/>
  <c r="O150" i="45"/>
  <c r="I213" i="28"/>
  <c r="P204" i="28"/>
  <c r="F135" i="17"/>
  <c r="H177" i="43"/>
  <c r="I177" i="43" s="1"/>
  <c r="J177" i="43" s="1"/>
  <c r="K177" i="43" s="1"/>
  <c r="L177" i="43" s="1"/>
  <c r="M177" i="43" s="1"/>
  <c r="P316" i="30"/>
  <c r="I325" i="30"/>
  <c r="I215" i="25"/>
  <c r="D238" i="25"/>
  <c r="P203" i="25"/>
  <c r="H166" i="15"/>
  <c r="O153" i="15"/>
  <c r="C191" i="15"/>
  <c r="I184" i="39"/>
  <c r="R182" i="39"/>
  <c r="H8" i="39" s="1"/>
  <c r="I11" i="39" s="1"/>
  <c r="P182" i="39"/>
  <c r="J8" i="39"/>
  <c r="K12" i="39" s="1"/>
  <c r="P117" i="29"/>
  <c r="I126" i="29"/>
  <c r="D95" i="17"/>
  <c r="H202" i="16"/>
  <c r="H203" i="16" s="1"/>
  <c r="I199" i="16" s="1"/>
  <c r="I44" i="34"/>
  <c r="I6" i="34"/>
  <c r="I8" i="34"/>
  <c r="I4" i="34"/>
  <c r="I13" i="34"/>
  <c r="I11" i="34"/>
  <c r="I10" i="34"/>
  <c r="I3" i="34"/>
  <c r="I12" i="34"/>
  <c r="I9" i="34"/>
  <c r="I5" i="34"/>
  <c r="Q42" i="34"/>
  <c r="P42" i="34"/>
  <c r="I7" i="34"/>
  <c r="I102" i="16"/>
  <c r="I103" i="16" s="1"/>
  <c r="J99" i="16" s="1"/>
  <c r="D123" i="17"/>
  <c r="I42" i="28"/>
  <c r="P33" i="28"/>
  <c r="AA34" i="22"/>
  <c r="AA35" i="22" s="1"/>
  <c r="AD33" i="22"/>
  <c r="I43" i="28"/>
  <c r="P42" i="30"/>
  <c r="P43" i="28" s="1"/>
  <c r="R42" i="30"/>
  <c r="H3" i="30" s="1"/>
  <c r="J3" i="30"/>
  <c r="P145" i="29"/>
  <c r="I154" i="29"/>
  <c r="K8" i="30"/>
  <c r="F80" i="17"/>
  <c r="I154" i="28"/>
  <c r="P145" i="28"/>
  <c r="D188" i="43"/>
  <c r="E174" i="17" s="1"/>
  <c r="D174" i="17"/>
  <c r="D191" i="43"/>
  <c r="E177" i="17" s="1"/>
  <c r="D177" i="17"/>
  <c r="D135" i="17"/>
  <c r="F117" i="17"/>
  <c r="I212" i="25"/>
  <c r="P200" i="25"/>
  <c r="D235" i="25"/>
  <c r="H168" i="43"/>
  <c r="C194" i="43"/>
  <c r="O155" i="43"/>
  <c r="D126" i="17"/>
  <c r="F123" i="17"/>
  <c r="D125" i="17"/>
  <c r="H171" i="15"/>
  <c r="C196" i="15"/>
  <c r="O158" i="15"/>
  <c r="F67" i="17"/>
  <c r="H167" i="45"/>
  <c r="C192" i="45"/>
  <c r="D192" i="45" s="1"/>
  <c r="O154" i="45"/>
  <c r="D93" i="17"/>
  <c r="H163" i="15"/>
  <c r="O150" i="15"/>
  <c r="C188" i="15"/>
  <c r="I8" i="30"/>
  <c r="D80" i="17"/>
  <c r="H180" i="16"/>
  <c r="H181" i="16" s="1"/>
  <c r="I269" i="28"/>
  <c r="P260" i="28"/>
  <c r="H184" i="15"/>
  <c r="I184" i="15" s="1"/>
  <c r="J184" i="15" s="1"/>
  <c r="K184" i="15" s="1"/>
  <c r="L184" i="15" s="1"/>
  <c r="M184" i="15" s="1"/>
  <c r="H171" i="45"/>
  <c r="O158" i="45"/>
  <c r="C196" i="45"/>
  <c r="D196" i="45" s="1"/>
  <c r="D117" i="17"/>
  <c r="I208" i="25"/>
  <c r="P196" i="25"/>
  <c r="D231" i="25"/>
  <c r="D119" i="17"/>
  <c r="F185" i="39"/>
  <c r="G185" i="39" s="1"/>
  <c r="H185" i="39" s="1"/>
  <c r="F68" i="17"/>
  <c r="E101" i="37"/>
  <c r="F188" i="37"/>
  <c r="D96" i="17"/>
  <c r="P89" i="35"/>
  <c r="I98" i="35"/>
  <c r="F125" i="17"/>
  <c r="I70" i="28"/>
  <c r="P61" i="28"/>
  <c r="P70" i="28" s="1"/>
  <c r="K222" i="16"/>
  <c r="D67" i="17"/>
  <c r="D97" i="17"/>
  <c r="P21" i="18"/>
  <c r="O22" i="18"/>
  <c r="H167" i="15"/>
  <c r="C192" i="15"/>
  <c r="O154" i="15"/>
  <c r="F93" i="17"/>
  <c r="I241" i="28"/>
  <c r="P232" i="28"/>
  <c r="K75" i="18"/>
  <c r="J79" i="18"/>
  <c r="J76" i="18" s="1"/>
  <c r="J77" i="18" s="1"/>
  <c r="F174" i="17"/>
  <c r="F177" i="17"/>
  <c r="H170" i="15"/>
  <c r="C195" i="15"/>
  <c r="O157" i="15"/>
  <c r="F185" i="29"/>
  <c r="G185" i="29" s="1"/>
  <c r="H185" i="29" s="1"/>
  <c r="J80" i="16"/>
  <c r="J81" i="16" s="1"/>
  <c r="I214" i="25"/>
  <c r="P202" i="25"/>
  <c r="D237" i="25"/>
  <c r="D68" i="17"/>
  <c r="H176" i="45"/>
  <c r="I176" i="45" s="1"/>
  <c r="J176" i="45" s="1"/>
  <c r="K176" i="45" s="1"/>
  <c r="L176" i="45" s="1"/>
  <c r="M176" i="45" s="1"/>
  <c r="D118" i="17"/>
  <c r="P297" i="30"/>
  <c r="J12" i="30"/>
  <c r="R297" i="30"/>
  <c r="H12" i="30" s="1"/>
  <c r="H173" i="45"/>
  <c r="O173" i="45" s="1"/>
  <c r="F198" i="45" s="1"/>
  <c r="C198" i="45"/>
  <c r="D198" i="45" s="1"/>
  <c r="O160" i="45"/>
  <c r="F90" i="17"/>
  <c r="I184" i="35"/>
  <c r="J8" i="35"/>
  <c r="K7" i="35" s="1"/>
  <c r="Q182" i="35"/>
  <c r="H8" i="35" s="1"/>
  <c r="I7" i="35" s="1"/>
  <c r="P182" i="35"/>
  <c r="F63" i="17"/>
  <c r="D63" i="17"/>
  <c r="D62" i="17"/>
  <c r="F184" i="17"/>
  <c r="F126" i="17"/>
  <c r="F124" i="17"/>
  <c r="D92" i="17"/>
  <c r="D197" i="15"/>
  <c r="E169" i="17"/>
  <c r="F97" i="17"/>
  <c r="H181" i="43"/>
  <c r="I181" i="43" s="1"/>
  <c r="J181" i="43" s="1"/>
  <c r="K181" i="43" s="1"/>
  <c r="L181" i="43" s="1"/>
  <c r="M181" i="43" s="1"/>
  <c r="D194" i="15"/>
  <c r="E166" i="17"/>
  <c r="F98" i="17"/>
  <c r="H60" i="16"/>
  <c r="H61" i="16" s="1"/>
  <c r="P204" i="30"/>
  <c r="I213" i="30"/>
  <c r="Q6" i="22"/>
  <c r="Q16" i="22" s="1"/>
  <c r="T5" i="22"/>
  <c r="I98" i="28"/>
  <c r="P89" i="28"/>
  <c r="H165" i="15"/>
  <c r="C190" i="15"/>
  <c r="O152" i="15"/>
  <c r="I211" i="25"/>
  <c r="D234" i="25"/>
  <c r="P199" i="25"/>
  <c r="F119" i="17"/>
  <c r="F65" i="17"/>
  <c r="F118" i="17"/>
  <c r="H178" i="45"/>
  <c r="I178" i="45" s="1"/>
  <c r="J178" i="45" s="1"/>
  <c r="K178" i="45" s="1"/>
  <c r="L178" i="45" s="1"/>
  <c r="M178" i="45" s="1"/>
  <c r="F181" i="17"/>
  <c r="F96" i="17"/>
  <c r="I140" i="16"/>
  <c r="I141" i="16" s="1"/>
  <c r="P288" i="29"/>
  <c r="I297" i="29"/>
  <c r="P42" i="35"/>
  <c r="J3" i="35"/>
  <c r="Q42" i="35"/>
  <c r="H3" i="35" s="1"/>
  <c r="K45" i="18"/>
  <c r="P124" i="18"/>
  <c r="F71" i="17"/>
  <c r="F62" i="17"/>
  <c r="I325" i="35"/>
  <c r="P316" i="35"/>
  <c r="F69" i="17"/>
  <c r="H164" i="15"/>
  <c r="O151" i="15"/>
  <c r="C189" i="15"/>
  <c r="H166" i="43"/>
  <c r="C192" i="43"/>
  <c r="O153" i="43"/>
  <c r="H173" i="15"/>
  <c r="C198" i="15"/>
  <c r="O160" i="15"/>
  <c r="D124" i="17"/>
  <c r="F92" i="17"/>
  <c r="G169" i="17"/>
  <c r="G197" i="15"/>
  <c r="F120" i="17"/>
  <c r="H170" i="43"/>
  <c r="C196" i="43"/>
  <c r="O157" i="43"/>
  <c r="D98" i="17"/>
  <c r="F99" i="17"/>
  <c r="D91" i="17"/>
  <c r="P297" i="28"/>
  <c r="J12" i="28"/>
  <c r="R297" i="28"/>
  <c r="H12" i="28" s="1"/>
  <c r="F29" i="26"/>
  <c r="F40" i="26"/>
  <c r="F17" i="26"/>
  <c r="F18" i="26" s="1"/>
  <c r="F64" i="17"/>
  <c r="I210" i="25"/>
  <c r="P198" i="25"/>
  <c r="D233" i="25"/>
  <c r="I217" i="25"/>
  <c r="D240" i="25"/>
  <c r="P205" i="25"/>
  <c r="E30" i="26"/>
  <c r="D65" i="17"/>
  <c r="L241" i="48" l="1"/>
  <c r="M241" i="48" s="1"/>
  <c r="X214" i="48"/>
  <c r="H230" i="48"/>
  <c r="I230" i="48" s="1"/>
  <c r="X219" i="48"/>
  <c r="H231" i="48"/>
  <c r="I231" i="48" s="1"/>
  <c r="H239" i="48"/>
  <c r="I239" i="48" s="1"/>
  <c r="F240" i="48"/>
  <c r="G240" i="48" s="1"/>
  <c r="F236" i="48"/>
  <c r="G236" i="48" s="1"/>
  <c r="L238" i="48"/>
  <c r="M238" i="48" s="1"/>
  <c r="D233" i="48"/>
  <c r="E233" i="48" s="1"/>
  <c r="D235" i="48"/>
  <c r="E235" i="48" s="1"/>
  <c r="L233" i="48"/>
  <c r="M233" i="48" s="1"/>
  <c r="X218" i="48"/>
  <c r="D240" i="48"/>
  <c r="E240" i="48" s="1"/>
  <c r="F233" i="48"/>
  <c r="G233" i="48" s="1"/>
  <c r="P269" i="30"/>
  <c r="F237" i="48"/>
  <c r="G237" i="48" s="1"/>
  <c r="J11" i="30"/>
  <c r="F83" i="17" s="1"/>
  <c r="X211" i="48"/>
  <c r="X210" i="48"/>
  <c r="X212" i="48"/>
  <c r="X217" i="48"/>
  <c r="X216" i="48"/>
  <c r="X209" i="48"/>
  <c r="X215" i="48"/>
  <c r="X213" i="48"/>
  <c r="X220" i="48"/>
  <c r="J235" i="48"/>
  <c r="K235" i="48" s="1"/>
  <c r="F238" i="48"/>
  <c r="G238" i="48" s="1"/>
  <c r="D238" i="48"/>
  <c r="E238" i="48" s="1"/>
  <c r="J231" i="48"/>
  <c r="K231" i="48" s="1"/>
  <c r="D230" i="48"/>
  <c r="E230" i="48" s="1"/>
  <c r="L234" i="48"/>
  <c r="M234" i="48" s="1"/>
  <c r="F239" i="48"/>
  <c r="G239" i="48" s="1"/>
  <c r="J234" i="48"/>
  <c r="K234" i="48" s="1"/>
  <c r="J238" i="48"/>
  <c r="K238" i="48" s="1"/>
  <c r="H233" i="48"/>
  <c r="I233" i="48" s="1"/>
  <c r="L239" i="48"/>
  <c r="M239" i="48" s="1"/>
  <c r="F234" i="48"/>
  <c r="G234" i="48" s="1"/>
  <c r="J232" i="48"/>
  <c r="K232" i="48" s="1"/>
  <c r="J230" i="48"/>
  <c r="K230" i="48" s="1"/>
  <c r="L231" i="48"/>
  <c r="M231" i="48" s="1"/>
  <c r="D239" i="48"/>
  <c r="J239" i="48"/>
  <c r="K239" i="48" s="1"/>
  <c r="J236" i="48"/>
  <c r="K236" i="48" s="1"/>
  <c r="L236" i="48"/>
  <c r="M236" i="48" s="1"/>
  <c r="D231" i="48"/>
  <c r="E231" i="48" s="1"/>
  <c r="F235" i="48"/>
  <c r="G235" i="48" s="1"/>
  <c r="L230" i="48"/>
  <c r="M230" i="48" s="1"/>
  <c r="J237" i="48"/>
  <c r="K237" i="48" s="1"/>
  <c r="J240" i="48"/>
  <c r="K240" i="48" s="1"/>
  <c r="F230" i="48"/>
  <c r="G230" i="48" s="1"/>
  <c r="F232" i="48"/>
  <c r="G232" i="48" s="1"/>
  <c r="L232" i="48"/>
  <c r="M232" i="48" s="1"/>
  <c r="H236" i="48"/>
  <c r="I236" i="48" s="1"/>
  <c r="F241" i="48"/>
  <c r="G241" i="48" s="1"/>
  <c r="D237" i="48"/>
  <c r="E237" i="48" s="1"/>
  <c r="H52" i="47"/>
  <c r="H76" i="47" s="1"/>
  <c r="H89" i="47" s="1"/>
  <c r="H153" i="47" s="1"/>
  <c r="H166" i="47" s="1"/>
  <c r="D99" i="48"/>
  <c r="D28" i="47" s="1"/>
  <c r="X96" i="48"/>
  <c r="N99" i="48" s="1"/>
  <c r="H59" i="47"/>
  <c r="H83" i="47" s="1"/>
  <c r="H96" i="47" s="1"/>
  <c r="H160" i="47" s="1"/>
  <c r="H173" i="47" s="1"/>
  <c r="L22" i="2"/>
  <c r="L23" i="2" s="1"/>
  <c r="L24" i="2" s="1"/>
  <c r="L25" i="2" s="1"/>
  <c r="M21" i="2" s="1"/>
  <c r="AD26" i="22"/>
  <c r="AD28" i="22" s="1"/>
  <c r="AD29" i="22" s="1"/>
  <c r="X117" i="48"/>
  <c r="N120" i="48" s="1"/>
  <c r="D120" i="48"/>
  <c r="D29" i="47" s="1"/>
  <c r="H56" i="47"/>
  <c r="H80" i="47" s="1"/>
  <c r="H93" i="47" s="1"/>
  <c r="H157" i="47" s="1"/>
  <c r="H170" i="47" s="1"/>
  <c r="H50" i="47"/>
  <c r="H74" i="47" s="1"/>
  <c r="H87" i="47" s="1"/>
  <c r="H151" i="47" s="1"/>
  <c r="H164" i="47" s="1"/>
  <c r="D204" i="48"/>
  <c r="D33" i="47" s="1"/>
  <c r="X201" i="48"/>
  <c r="N204" i="48" s="1"/>
  <c r="D78" i="48"/>
  <c r="D27" i="47" s="1"/>
  <c r="X75" i="48"/>
  <c r="N78" i="48" s="1"/>
  <c r="E232" i="48"/>
  <c r="D246" i="48"/>
  <c r="D35" i="47" s="1"/>
  <c r="X243" i="48"/>
  <c r="N246" i="48" s="1"/>
  <c r="H57" i="47"/>
  <c r="H81" i="47" s="1"/>
  <c r="H94" i="47" s="1"/>
  <c r="H158" i="47" s="1"/>
  <c r="H171" i="47" s="1"/>
  <c r="D225" i="48"/>
  <c r="D34" i="47" s="1"/>
  <c r="X222" i="48"/>
  <c r="N225" i="48" s="1"/>
  <c r="H53" i="47"/>
  <c r="H77" i="47" s="1"/>
  <c r="H90" i="47" s="1"/>
  <c r="H154" i="47" s="1"/>
  <c r="H167" i="47" s="1"/>
  <c r="D36" i="48"/>
  <c r="D25" i="47" s="1"/>
  <c r="X33" i="48"/>
  <c r="N36" i="48" s="1"/>
  <c r="H55" i="47"/>
  <c r="H79" i="47" s="1"/>
  <c r="H92" i="47" s="1"/>
  <c r="H156" i="47" s="1"/>
  <c r="H169" i="47" s="1"/>
  <c r="X159" i="48"/>
  <c r="N162" i="48" s="1"/>
  <c r="D162" i="48"/>
  <c r="D31" i="47" s="1"/>
  <c r="D57" i="48"/>
  <c r="D26" i="47" s="1"/>
  <c r="X54" i="48"/>
  <c r="N57" i="48" s="1"/>
  <c r="D234" i="48"/>
  <c r="E234" i="48" s="1"/>
  <c r="H241" i="48"/>
  <c r="I241" i="48" s="1"/>
  <c r="L235" i="48"/>
  <c r="M235" i="48" s="1"/>
  <c r="L240" i="48"/>
  <c r="M240" i="48" s="1"/>
  <c r="H232" i="48"/>
  <c r="I232" i="48" s="1"/>
  <c r="H240" i="48"/>
  <c r="I240" i="48" s="1"/>
  <c r="H235" i="48"/>
  <c r="I235" i="48" s="1"/>
  <c r="D141" i="48"/>
  <c r="D30" i="47" s="1"/>
  <c r="X138" i="48"/>
  <c r="N141" i="48" s="1"/>
  <c r="H58" i="47"/>
  <c r="H82" i="47" s="1"/>
  <c r="H95" i="47" s="1"/>
  <c r="H159" i="47" s="1"/>
  <c r="H172" i="47" s="1"/>
  <c r="X180" i="48"/>
  <c r="N183" i="48" s="1"/>
  <c r="D183" i="48"/>
  <c r="D32" i="47" s="1"/>
  <c r="H51" i="47"/>
  <c r="H75" i="47" s="1"/>
  <c r="H88" i="47" s="1"/>
  <c r="H152" i="47" s="1"/>
  <c r="H165" i="47" s="1"/>
  <c r="J233" i="48"/>
  <c r="K233" i="48" s="1"/>
  <c r="H238" i="48"/>
  <c r="I238" i="48" s="1"/>
  <c r="J241" i="48"/>
  <c r="K241" i="48" s="1"/>
  <c r="H234" i="48"/>
  <c r="I234" i="48" s="1"/>
  <c r="L237" i="48"/>
  <c r="M237" i="48" s="1"/>
  <c r="D236" i="48"/>
  <c r="H237" i="48"/>
  <c r="I237" i="48" s="1"/>
  <c r="H49" i="47"/>
  <c r="H73" i="47" s="1"/>
  <c r="H86" i="47" s="1"/>
  <c r="H150" i="47" s="1"/>
  <c r="H163" i="47" s="1"/>
  <c r="F231" i="48"/>
  <c r="G231" i="48" s="1"/>
  <c r="D241" i="48"/>
  <c r="P241" i="29"/>
  <c r="J10" i="29"/>
  <c r="F110" i="17" s="1"/>
  <c r="I10" i="37"/>
  <c r="E124" i="17" s="1"/>
  <c r="G198" i="45"/>
  <c r="G193" i="43"/>
  <c r="G179" i="17" s="1"/>
  <c r="F179" i="17"/>
  <c r="I7" i="30"/>
  <c r="F13" i="17" s="1"/>
  <c r="G198" i="43"/>
  <c r="G184" i="17" s="1"/>
  <c r="R42" i="29"/>
  <c r="H3" i="29" s="1"/>
  <c r="I3" i="29" s="1"/>
  <c r="P42" i="29"/>
  <c r="G189" i="45"/>
  <c r="P154" i="30"/>
  <c r="K50" i="18"/>
  <c r="J7" i="30"/>
  <c r="K7" i="30" s="1"/>
  <c r="F33" i="17" s="1"/>
  <c r="H236" i="25"/>
  <c r="M34" i="17" s="1"/>
  <c r="G195" i="45"/>
  <c r="G197" i="45"/>
  <c r="G194" i="45"/>
  <c r="H182" i="16"/>
  <c r="H183" i="16" s="1"/>
  <c r="I179" i="16" s="1"/>
  <c r="I180" i="16" s="1"/>
  <c r="I181" i="16" s="1"/>
  <c r="G193" i="15"/>
  <c r="H165" i="17" s="1"/>
  <c r="G191" i="45"/>
  <c r="G194" i="15"/>
  <c r="L35" i="17" s="1"/>
  <c r="I185" i="29"/>
  <c r="J185" i="29" s="1"/>
  <c r="K185" i="29" s="1"/>
  <c r="L185" i="29" s="1"/>
  <c r="M185" i="29" s="1"/>
  <c r="N185" i="29" s="1"/>
  <c r="G189" i="43"/>
  <c r="G175" i="17" s="1"/>
  <c r="G188" i="43"/>
  <c r="G174" i="17" s="1"/>
  <c r="G195" i="43"/>
  <c r="G181" i="17" s="1"/>
  <c r="G197" i="43"/>
  <c r="G183" i="17" s="1"/>
  <c r="I10" i="38"/>
  <c r="G16" i="17" s="1"/>
  <c r="I5" i="38"/>
  <c r="E91" i="17" s="1"/>
  <c r="I7" i="38"/>
  <c r="E93" i="17" s="1"/>
  <c r="I4" i="37"/>
  <c r="E118" i="17" s="1"/>
  <c r="I6" i="38"/>
  <c r="E92" i="17" s="1"/>
  <c r="I5" i="37"/>
  <c r="E119" i="17" s="1"/>
  <c r="I9" i="38"/>
  <c r="E95" i="17" s="1"/>
  <c r="I3" i="37"/>
  <c r="I9" i="17" s="1"/>
  <c r="I11" i="37"/>
  <c r="I17" i="17" s="1"/>
  <c r="I12" i="38"/>
  <c r="G18" i="17" s="1"/>
  <c r="K13" i="38"/>
  <c r="G99" i="17" s="1"/>
  <c r="K10" i="38"/>
  <c r="G36" i="17" s="1"/>
  <c r="I11" i="38"/>
  <c r="E97" i="17" s="1"/>
  <c r="K10" i="37"/>
  <c r="I36" i="17" s="1"/>
  <c r="K9" i="37"/>
  <c r="I35" i="17" s="1"/>
  <c r="K3" i="37"/>
  <c r="G117" i="17" s="1"/>
  <c r="K11" i="37"/>
  <c r="I37" i="17" s="1"/>
  <c r="K6" i="38"/>
  <c r="G32" i="17" s="1"/>
  <c r="K6" i="37"/>
  <c r="I32" i="17" s="1"/>
  <c r="K5" i="37"/>
  <c r="I31" i="17" s="1"/>
  <c r="K11" i="38"/>
  <c r="G37" i="17" s="1"/>
  <c r="K12" i="37"/>
  <c r="I38" i="17" s="1"/>
  <c r="K4" i="37"/>
  <c r="G118" i="17" s="1"/>
  <c r="K12" i="38"/>
  <c r="G38" i="17" s="1"/>
  <c r="K4" i="38"/>
  <c r="G30" i="17" s="1"/>
  <c r="K7" i="38"/>
  <c r="G33" i="17" s="1"/>
  <c r="I9" i="37"/>
  <c r="I15" i="17" s="1"/>
  <c r="K7" i="37"/>
  <c r="I33" i="17" s="1"/>
  <c r="H62" i="16"/>
  <c r="H63" i="16" s="1"/>
  <c r="I59" i="16" s="1"/>
  <c r="I60" i="16" s="1"/>
  <c r="I61" i="16" s="1"/>
  <c r="J4" i="29"/>
  <c r="F104" i="17" s="1"/>
  <c r="I12" i="37"/>
  <c r="I18" i="17" s="1"/>
  <c r="I13" i="37"/>
  <c r="I19" i="17" s="1"/>
  <c r="P70" i="29"/>
  <c r="K5" i="39"/>
  <c r="G63" i="17" s="1"/>
  <c r="K6" i="39"/>
  <c r="G64" i="17" s="1"/>
  <c r="K4" i="39"/>
  <c r="E30" i="17" s="1"/>
  <c r="K10" i="39"/>
  <c r="E36" i="17" s="1"/>
  <c r="K11" i="39"/>
  <c r="G69" i="17" s="1"/>
  <c r="K7" i="39"/>
  <c r="E33" i="17" s="1"/>
  <c r="H182" i="45"/>
  <c r="I182" i="45" s="1"/>
  <c r="J182" i="45" s="1"/>
  <c r="K182" i="45" s="1"/>
  <c r="L182" i="45" s="1"/>
  <c r="M182" i="45" s="1"/>
  <c r="I185" i="28"/>
  <c r="J185" i="28" s="1"/>
  <c r="K185" i="28" s="1"/>
  <c r="L185" i="28" s="1"/>
  <c r="M185" i="28" s="1"/>
  <c r="N185" i="28" s="1"/>
  <c r="K13" i="39"/>
  <c r="G71" i="17" s="1"/>
  <c r="K9" i="35"/>
  <c r="J35" i="17" s="1"/>
  <c r="I6" i="37"/>
  <c r="I12" i="17" s="1"/>
  <c r="F122" i="17"/>
  <c r="K8" i="37"/>
  <c r="I100" i="37"/>
  <c r="P100" i="37" s="1"/>
  <c r="P187" i="37"/>
  <c r="D122" i="17"/>
  <c r="I8" i="37"/>
  <c r="K9" i="38"/>
  <c r="G95" i="17" s="1"/>
  <c r="F30" i="26"/>
  <c r="K8" i="29"/>
  <c r="F108" i="17"/>
  <c r="I4" i="38"/>
  <c r="G10" i="17" s="1"/>
  <c r="F52" i="17"/>
  <c r="F193" i="17" s="1"/>
  <c r="K8" i="28"/>
  <c r="I8" i="28"/>
  <c r="D52" i="17"/>
  <c r="D193" i="17" s="1"/>
  <c r="I4" i="29"/>
  <c r="D108" i="17"/>
  <c r="I8" i="29"/>
  <c r="K9" i="39"/>
  <c r="E35" i="17" s="1"/>
  <c r="K9" i="29"/>
  <c r="G109" i="17" s="1"/>
  <c r="I10" i="29"/>
  <c r="E89" i="17"/>
  <c r="G9" i="17"/>
  <c r="E69" i="17"/>
  <c r="E17" i="17"/>
  <c r="J33" i="17"/>
  <c r="G135" i="17"/>
  <c r="E38" i="17"/>
  <c r="G70" i="17"/>
  <c r="F169" i="17"/>
  <c r="L18" i="17"/>
  <c r="T6" i="22"/>
  <c r="T16" i="22" s="1"/>
  <c r="W5" i="22"/>
  <c r="E237" i="25"/>
  <c r="D195" i="17"/>
  <c r="D195" i="15"/>
  <c r="E167" i="17"/>
  <c r="J5" i="35"/>
  <c r="Q98" i="35"/>
  <c r="H5" i="35" s="1"/>
  <c r="P98" i="35"/>
  <c r="O171" i="45"/>
  <c r="F196" i="45" s="1"/>
  <c r="G196" i="45" s="1"/>
  <c r="H183" i="45"/>
  <c r="I183" i="45" s="1"/>
  <c r="J183" i="45" s="1"/>
  <c r="K183" i="45" s="1"/>
  <c r="L183" i="45" s="1"/>
  <c r="M183" i="45" s="1"/>
  <c r="D188" i="15"/>
  <c r="E160" i="17"/>
  <c r="R154" i="28"/>
  <c r="H7" i="28" s="1"/>
  <c r="P154" i="28"/>
  <c r="J7" i="28"/>
  <c r="J7" i="34"/>
  <c r="E149" i="17"/>
  <c r="J11" i="34"/>
  <c r="E153" i="17"/>
  <c r="R213" i="28"/>
  <c r="H9" i="28" s="1"/>
  <c r="P213" i="28"/>
  <c r="J9" i="28"/>
  <c r="H15" i="17"/>
  <c r="E109" i="17"/>
  <c r="I4" i="30"/>
  <c r="D76" i="17"/>
  <c r="E236" i="25"/>
  <c r="D194" i="17"/>
  <c r="I185" i="38"/>
  <c r="P184" i="38"/>
  <c r="I13" i="38"/>
  <c r="I12" i="35"/>
  <c r="D140" i="17"/>
  <c r="P98" i="30"/>
  <c r="J5" i="30"/>
  <c r="R98" i="30"/>
  <c r="H5" i="30" s="1"/>
  <c r="P209" i="25"/>
  <c r="G232" i="25" s="1"/>
  <c r="I220" i="25"/>
  <c r="J220" i="25" s="1"/>
  <c r="K220" i="25" s="1"/>
  <c r="L220" i="25" s="1"/>
  <c r="M220" i="25" s="1"/>
  <c r="N220" i="25" s="1"/>
  <c r="I6" i="39"/>
  <c r="D176" i="17"/>
  <c r="D190" i="43"/>
  <c r="E176" i="17" s="1"/>
  <c r="E234" i="25"/>
  <c r="D191" i="17"/>
  <c r="K79" i="18"/>
  <c r="K76" i="18" s="1"/>
  <c r="K77" i="18" s="1"/>
  <c r="L75" i="18"/>
  <c r="AD34" i="22"/>
  <c r="AG33" i="22"/>
  <c r="O166" i="15"/>
  <c r="F191" i="15" s="1"/>
  <c r="H178" i="15"/>
  <c r="I178" i="15" s="1"/>
  <c r="J178" i="15" s="1"/>
  <c r="K178" i="15" s="1"/>
  <c r="L178" i="15" s="1"/>
  <c r="M178" i="15" s="1"/>
  <c r="O165" i="45"/>
  <c r="F190" i="45" s="1"/>
  <c r="G190" i="45" s="1"/>
  <c r="H177" i="45"/>
  <c r="I177" i="45" s="1"/>
  <c r="J177" i="45" s="1"/>
  <c r="K177" i="45" s="1"/>
  <c r="L177" i="45" s="1"/>
  <c r="M177" i="45" s="1"/>
  <c r="P213" i="25"/>
  <c r="G237" i="25" s="1"/>
  <c r="I224" i="25"/>
  <c r="J224" i="25" s="1"/>
  <c r="K224" i="25" s="1"/>
  <c r="L224" i="25" s="1"/>
  <c r="M224" i="25" s="1"/>
  <c r="N224" i="25" s="1"/>
  <c r="P217" i="25"/>
  <c r="G241" i="25" s="1"/>
  <c r="H241" i="25" s="1"/>
  <c r="I228" i="25"/>
  <c r="J228" i="25" s="1"/>
  <c r="K228" i="25" s="1"/>
  <c r="L228" i="25" s="1"/>
  <c r="M228" i="25" s="1"/>
  <c r="N228" i="25" s="1"/>
  <c r="E170" i="17"/>
  <c r="D198" i="15"/>
  <c r="P211" i="25"/>
  <c r="G234" i="25" s="1"/>
  <c r="I222" i="25"/>
  <c r="J222" i="25" s="1"/>
  <c r="K222" i="25" s="1"/>
  <c r="L222" i="25" s="1"/>
  <c r="M222" i="25" s="1"/>
  <c r="N222" i="25" s="1"/>
  <c r="I11" i="30"/>
  <c r="D83" i="17"/>
  <c r="P214" i="25"/>
  <c r="G238" i="25" s="1"/>
  <c r="I225" i="25"/>
  <c r="J225" i="25" s="1"/>
  <c r="K225" i="25" s="1"/>
  <c r="L225" i="25" s="1"/>
  <c r="M225" i="25" s="1"/>
  <c r="N225" i="25" s="1"/>
  <c r="D192" i="15"/>
  <c r="E164" i="17"/>
  <c r="K223" i="16"/>
  <c r="L219" i="16" s="1"/>
  <c r="O163" i="15"/>
  <c r="F188" i="15" s="1"/>
  <c r="H175" i="15"/>
  <c r="I175" i="15" s="1"/>
  <c r="J175" i="15" s="1"/>
  <c r="K175" i="15" s="1"/>
  <c r="L175" i="15" s="1"/>
  <c r="M175" i="15" s="1"/>
  <c r="G80" i="17"/>
  <c r="F34" i="17"/>
  <c r="J4" i="34"/>
  <c r="E146" i="17"/>
  <c r="I185" i="39"/>
  <c r="P184" i="39"/>
  <c r="R325" i="30"/>
  <c r="H13" i="30" s="1"/>
  <c r="J13" i="30"/>
  <c r="P325" i="30"/>
  <c r="R269" i="29"/>
  <c r="H11" i="29" s="1"/>
  <c r="P269" i="29"/>
  <c r="J11" i="29"/>
  <c r="K12" i="35"/>
  <c r="F140" i="17"/>
  <c r="I12" i="39"/>
  <c r="E239" i="25"/>
  <c r="D197" i="17"/>
  <c r="E240" i="25"/>
  <c r="D198" i="17"/>
  <c r="I8" i="39"/>
  <c r="D66" i="17"/>
  <c r="I3" i="39"/>
  <c r="I7" i="39"/>
  <c r="H169" i="17"/>
  <c r="L38" i="17"/>
  <c r="I4" i="39"/>
  <c r="O167" i="15"/>
  <c r="F192" i="15" s="1"/>
  <c r="H179" i="15"/>
  <c r="I179" i="15" s="1"/>
  <c r="J179" i="15" s="1"/>
  <c r="K179" i="15" s="1"/>
  <c r="L179" i="15" s="1"/>
  <c r="M179" i="15" s="1"/>
  <c r="P208" i="25"/>
  <c r="G231" i="25" s="1"/>
  <c r="I219" i="25"/>
  <c r="J219" i="25" s="1"/>
  <c r="K219" i="25" s="1"/>
  <c r="L219" i="25" s="1"/>
  <c r="M219" i="25" s="1"/>
  <c r="N219" i="25" s="1"/>
  <c r="P269" i="28"/>
  <c r="J11" i="28"/>
  <c r="R269" i="28"/>
  <c r="H11" i="28" s="1"/>
  <c r="D196" i="15"/>
  <c r="E168" i="17"/>
  <c r="P212" i="25"/>
  <c r="G235" i="25" s="1"/>
  <c r="I223" i="25"/>
  <c r="J223" i="25" s="1"/>
  <c r="K223" i="25" s="1"/>
  <c r="L223" i="25" s="1"/>
  <c r="M223" i="25" s="1"/>
  <c r="N223" i="25" s="1"/>
  <c r="J7" i="29"/>
  <c r="R154" i="29"/>
  <c r="H7" i="29" s="1"/>
  <c r="P154" i="29"/>
  <c r="J5" i="34"/>
  <c r="E147" i="17"/>
  <c r="J8" i="34"/>
  <c r="E150" i="17"/>
  <c r="D196" i="17"/>
  <c r="E238" i="25"/>
  <c r="O163" i="45"/>
  <c r="F188" i="45" s="1"/>
  <c r="G188" i="45" s="1"/>
  <c r="H175" i="45"/>
  <c r="I175" i="45" s="1"/>
  <c r="J175" i="45" s="1"/>
  <c r="K175" i="45" s="1"/>
  <c r="L175" i="45" s="1"/>
  <c r="M175" i="45" s="1"/>
  <c r="K120" i="16"/>
  <c r="K121" i="16" s="1"/>
  <c r="R325" i="29"/>
  <c r="H13" i="29" s="1"/>
  <c r="J13" i="29"/>
  <c r="P325" i="29"/>
  <c r="I13" i="17"/>
  <c r="E121" i="17"/>
  <c r="P269" i="35"/>
  <c r="J11" i="35"/>
  <c r="Q269" i="35"/>
  <c r="H11" i="35" s="1"/>
  <c r="O164" i="43"/>
  <c r="F190" i="43" s="1"/>
  <c r="H176" i="43"/>
  <c r="I176" i="43" s="1"/>
  <c r="J176" i="43" s="1"/>
  <c r="K176" i="43" s="1"/>
  <c r="L176" i="43" s="1"/>
  <c r="M176" i="43" s="1"/>
  <c r="G127" i="17"/>
  <c r="I39" i="17"/>
  <c r="E231" i="25"/>
  <c r="D188" i="17"/>
  <c r="I12" i="28"/>
  <c r="D56" i="17"/>
  <c r="F56" i="17"/>
  <c r="K12" i="28"/>
  <c r="I3" i="35"/>
  <c r="D131" i="17"/>
  <c r="I142" i="16"/>
  <c r="I143" i="16" s="1"/>
  <c r="J139" i="16" s="1"/>
  <c r="D190" i="15"/>
  <c r="E162" i="17"/>
  <c r="L15" i="17"/>
  <c r="F166" i="17"/>
  <c r="I10" i="39"/>
  <c r="J82" i="16"/>
  <c r="J83" i="16" s="1"/>
  <c r="K79" i="16" s="1"/>
  <c r="F101" i="37"/>
  <c r="G188" i="37"/>
  <c r="O171" i="15"/>
  <c r="F196" i="15" s="1"/>
  <c r="H183" i="15"/>
  <c r="I183" i="15" s="1"/>
  <c r="J183" i="15" s="1"/>
  <c r="K183" i="15" s="1"/>
  <c r="L183" i="15" s="1"/>
  <c r="M183" i="15" s="1"/>
  <c r="P42" i="28"/>
  <c r="J3" i="28"/>
  <c r="R42" i="28"/>
  <c r="H3" i="28" s="1"/>
  <c r="J9" i="34"/>
  <c r="E151" i="17"/>
  <c r="J6" i="34"/>
  <c r="E148" i="17"/>
  <c r="P215" i="25"/>
  <c r="G239" i="25" s="1"/>
  <c r="I226" i="25"/>
  <c r="J226" i="25" s="1"/>
  <c r="K226" i="25" s="1"/>
  <c r="L226" i="25" s="1"/>
  <c r="M226" i="25" s="1"/>
  <c r="N226" i="25" s="1"/>
  <c r="K4" i="35"/>
  <c r="F132" i="17"/>
  <c r="D50" i="17"/>
  <c r="I6" i="28"/>
  <c r="P325" i="28"/>
  <c r="J13" i="28"/>
  <c r="R325" i="28"/>
  <c r="H13" i="28" s="1"/>
  <c r="P126" i="30"/>
  <c r="R126" i="30"/>
  <c r="H6" i="30" s="1"/>
  <c r="J6" i="30"/>
  <c r="P216" i="25"/>
  <c r="G240" i="25" s="1"/>
  <c r="I227" i="25"/>
  <c r="J227" i="25" s="1"/>
  <c r="K227" i="25" s="1"/>
  <c r="L227" i="25" s="1"/>
  <c r="M227" i="25" s="1"/>
  <c r="N227" i="25" s="1"/>
  <c r="I10" i="35"/>
  <c r="D138" i="17"/>
  <c r="M20" i="16"/>
  <c r="M21" i="16" s="1"/>
  <c r="G29" i="26"/>
  <c r="G40" i="26"/>
  <c r="G17" i="26"/>
  <c r="G18" i="26" s="1"/>
  <c r="O170" i="15"/>
  <c r="F195" i="15" s="1"/>
  <c r="H182" i="15"/>
  <c r="I182" i="15" s="1"/>
  <c r="J182" i="15" s="1"/>
  <c r="K182" i="15" s="1"/>
  <c r="L182" i="15" s="1"/>
  <c r="M182" i="15" s="1"/>
  <c r="I9" i="39"/>
  <c r="E233" i="25"/>
  <c r="D190" i="17"/>
  <c r="D192" i="43"/>
  <c r="E178" i="17" s="1"/>
  <c r="D178" i="17"/>
  <c r="J13" i="35"/>
  <c r="P325" i="35"/>
  <c r="Q325" i="35"/>
  <c r="H13" i="35" s="1"/>
  <c r="F131" i="17"/>
  <c r="K3" i="35"/>
  <c r="O165" i="15"/>
  <c r="F190" i="15" s="1"/>
  <c r="H177" i="15"/>
  <c r="I177" i="15" s="1"/>
  <c r="J177" i="15" s="1"/>
  <c r="K177" i="15" s="1"/>
  <c r="L177" i="15" s="1"/>
  <c r="M177" i="15" s="1"/>
  <c r="P213" i="30"/>
  <c r="J9" i="30"/>
  <c r="R213" i="30"/>
  <c r="H9" i="30" s="1"/>
  <c r="I5" i="39"/>
  <c r="D136" i="17"/>
  <c r="I8" i="35"/>
  <c r="I12" i="30"/>
  <c r="D84" i="17"/>
  <c r="Q21" i="18"/>
  <c r="P22" i="18"/>
  <c r="R70" i="28"/>
  <c r="H4" i="28" s="1"/>
  <c r="J4" i="28"/>
  <c r="K3" i="30"/>
  <c r="F75" i="17"/>
  <c r="J12" i="34"/>
  <c r="E154" i="17"/>
  <c r="I45" i="34"/>
  <c r="P44" i="34"/>
  <c r="R126" i="29"/>
  <c r="H6" i="29" s="1"/>
  <c r="P126" i="29"/>
  <c r="J6" i="29"/>
  <c r="I9" i="35"/>
  <c r="F50" i="17"/>
  <c r="K6" i="28"/>
  <c r="G29" i="17"/>
  <c r="G89" i="17"/>
  <c r="I8" i="38"/>
  <c r="D94" i="17"/>
  <c r="J6" i="35"/>
  <c r="P126" i="35"/>
  <c r="Q126" i="35"/>
  <c r="H6" i="35" s="1"/>
  <c r="J5" i="29"/>
  <c r="R98" i="29"/>
  <c r="H5" i="29" s="1"/>
  <c r="P98" i="29"/>
  <c r="O164" i="15"/>
  <c r="F189" i="15" s="1"/>
  <c r="H176" i="15"/>
  <c r="I176" i="15" s="1"/>
  <c r="J176" i="15" s="1"/>
  <c r="K176" i="15" s="1"/>
  <c r="L176" i="15" s="1"/>
  <c r="M176" i="15" s="1"/>
  <c r="E235" i="25"/>
  <c r="D192" i="17"/>
  <c r="J13" i="34"/>
  <c r="E155" i="17"/>
  <c r="K4" i="30"/>
  <c r="F76" i="17"/>
  <c r="O173" i="15"/>
  <c r="F198" i="15" s="1"/>
  <c r="H185" i="15"/>
  <c r="I185" i="15" s="1"/>
  <c r="J185" i="15" s="1"/>
  <c r="K185" i="15" s="1"/>
  <c r="L185" i="15" s="1"/>
  <c r="M185" i="15" s="1"/>
  <c r="P210" i="25"/>
  <c r="G233" i="25" s="1"/>
  <c r="I221" i="25"/>
  <c r="J221" i="25" s="1"/>
  <c r="K221" i="25" s="1"/>
  <c r="L221" i="25" s="1"/>
  <c r="M221" i="25" s="1"/>
  <c r="N221" i="25" s="1"/>
  <c r="K8" i="35"/>
  <c r="F136" i="17"/>
  <c r="K12" i="30"/>
  <c r="F84" i="17"/>
  <c r="R241" i="28"/>
  <c r="H10" i="28" s="1"/>
  <c r="P241" i="28"/>
  <c r="J10" i="28"/>
  <c r="D194" i="43"/>
  <c r="E180" i="17" s="1"/>
  <c r="D180" i="17"/>
  <c r="I3" i="30"/>
  <c r="D75" i="17"/>
  <c r="J3" i="34"/>
  <c r="E145" i="17"/>
  <c r="H185" i="45"/>
  <c r="I185" i="45" s="1"/>
  <c r="J185" i="45" s="1"/>
  <c r="K185" i="45" s="1"/>
  <c r="L185" i="45" s="1"/>
  <c r="M185" i="45" s="1"/>
  <c r="I4" i="35"/>
  <c r="D132" i="17"/>
  <c r="J42" i="16"/>
  <c r="J43" i="16" s="1"/>
  <c r="K39" i="16" s="1"/>
  <c r="K10" i="35"/>
  <c r="F138" i="17"/>
  <c r="E135" i="17"/>
  <c r="J13" i="17"/>
  <c r="F103" i="17"/>
  <c r="K3" i="29"/>
  <c r="D196" i="43"/>
  <c r="E182" i="17" s="1"/>
  <c r="D182" i="17"/>
  <c r="O170" i="43"/>
  <c r="F196" i="43" s="1"/>
  <c r="H182" i="43"/>
  <c r="I182" i="43" s="1"/>
  <c r="J182" i="43" s="1"/>
  <c r="K182" i="43" s="1"/>
  <c r="L182" i="43" s="1"/>
  <c r="M182" i="43" s="1"/>
  <c r="O166" i="43"/>
  <c r="F192" i="43" s="1"/>
  <c r="H178" i="43"/>
  <c r="I178" i="43" s="1"/>
  <c r="J178" i="43" s="1"/>
  <c r="K178" i="43" s="1"/>
  <c r="L178" i="43" s="1"/>
  <c r="M178" i="43" s="1"/>
  <c r="D189" i="15"/>
  <c r="E161" i="17"/>
  <c r="J12" i="29"/>
  <c r="R297" i="29"/>
  <c r="H12" i="29" s="1"/>
  <c r="P297" i="29"/>
  <c r="P98" i="28"/>
  <c r="R98" i="28"/>
  <c r="H5" i="28" s="1"/>
  <c r="J5" i="28"/>
  <c r="I185" i="35"/>
  <c r="P184" i="35"/>
  <c r="F14" i="17"/>
  <c r="E80" i="17"/>
  <c r="O167" i="45"/>
  <c r="F192" i="45" s="1"/>
  <c r="G192" i="45" s="1"/>
  <c r="H179" i="45"/>
  <c r="I179" i="45" s="1"/>
  <c r="J179" i="45" s="1"/>
  <c r="K179" i="45" s="1"/>
  <c r="L179" i="45" s="1"/>
  <c r="M179" i="45" s="1"/>
  <c r="O168" i="43"/>
  <c r="F194" i="43" s="1"/>
  <c r="H180" i="43"/>
  <c r="I180" i="43" s="1"/>
  <c r="J180" i="43" s="1"/>
  <c r="K180" i="43" s="1"/>
  <c r="L180" i="43" s="1"/>
  <c r="M180" i="43" s="1"/>
  <c r="J100" i="16"/>
  <c r="J101" i="16" s="1"/>
  <c r="J10" i="34"/>
  <c r="E152" i="17"/>
  <c r="I200" i="16"/>
  <c r="I201" i="16" s="1"/>
  <c r="F66" i="17"/>
  <c r="K8" i="39"/>
  <c r="K3" i="39"/>
  <c r="D191" i="15"/>
  <c r="E163" i="17"/>
  <c r="I13" i="39"/>
  <c r="F94" i="17"/>
  <c r="K8" i="38"/>
  <c r="E232" i="25"/>
  <c r="D189" i="17"/>
  <c r="P241" i="30"/>
  <c r="R241" i="30"/>
  <c r="H10" i="30" s="1"/>
  <c r="J10" i="30"/>
  <c r="K5" i="38"/>
  <c r="L160" i="16"/>
  <c r="K11" i="30" l="1"/>
  <c r="G83" i="17" s="1"/>
  <c r="G17" i="17"/>
  <c r="I16" i="17"/>
  <c r="AD35" i="22"/>
  <c r="X230" i="48"/>
  <c r="X234" i="48"/>
  <c r="E239" i="48"/>
  <c r="X239" i="48" s="1"/>
  <c r="X233" i="48"/>
  <c r="X235" i="48"/>
  <c r="E236" i="48"/>
  <c r="X236" i="48" s="1"/>
  <c r="O32" i="47"/>
  <c r="D44" i="47"/>
  <c r="O35" i="47"/>
  <c r="D47" i="47"/>
  <c r="O33" i="47"/>
  <c r="D45" i="47"/>
  <c r="X231" i="48"/>
  <c r="E241" i="48"/>
  <c r="X241" i="48" s="1"/>
  <c r="O28" i="47"/>
  <c r="D40" i="47"/>
  <c r="D37" i="47"/>
  <c r="O25" i="47"/>
  <c r="O34" i="47"/>
  <c r="D46" i="47"/>
  <c r="X232" i="48"/>
  <c r="X237" i="48"/>
  <c r="X238" i="48"/>
  <c r="AG26" i="22"/>
  <c r="AG28" i="22" s="1"/>
  <c r="AG29" i="22" s="1"/>
  <c r="M22" i="2"/>
  <c r="M23" i="2" s="1"/>
  <c r="M24" i="2" s="1"/>
  <c r="M25" i="2" s="1"/>
  <c r="N21" i="2" s="1"/>
  <c r="O26" i="47"/>
  <c r="D38" i="47"/>
  <c r="O29" i="47"/>
  <c r="D41" i="47"/>
  <c r="X240" i="48"/>
  <c r="D43" i="47"/>
  <c r="O31" i="47"/>
  <c r="O27" i="47"/>
  <c r="D39" i="47"/>
  <c r="G193" i="17"/>
  <c r="F79" i="17"/>
  <c r="G11" i="17"/>
  <c r="E79" i="17"/>
  <c r="K10" i="29"/>
  <c r="H36" i="17" s="1"/>
  <c r="D103" i="17"/>
  <c r="G79" i="17"/>
  <c r="G96" i="17"/>
  <c r="K4" i="29"/>
  <c r="H30" i="17" s="1"/>
  <c r="P185" i="29"/>
  <c r="G62" i="17"/>
  <c r="H166" i="17"/>
  <c r="G39" i="17"/>
  <c r="L34" i="17"/>
  <c r="E98" i="17"/>
  <c r="G15" i="17"/>
  <c r="G12" i="17"/>
  <c r="I10" i="17"/>
  <c r="M22" i="16"/>
  <c r="M23" i="16" s="1"/>
  <c r="N19" i="16" s="1"/>
  <c r="N20" i="16" s="1"/>
  <c r="N21" i="16" s="1"/>
  <c r="I62" i="16"/>
  <c r="I63" i="16" s="1"/>
  <c r="J59" i="16" s="1"/>
  <c r="J60" i="16" s="1"/>
  <c r="J61" i="16" s="1"/>
  <c r="I202" i="16"/>
  <c r="I203" i="16" s="1"/>
  <c r="J199" i="16" s="1"/>
  <c r="J200" i="16" s="1"/>
  <c r="J201" i="16" s="1"/>
  <c r="G97" i="17"/>
  <c r="E125" i="17"/>
  <c r="I11" i="17"/>
  <c r="G13" i="17"/>
  <c r="G92" i="17"/>
  <c r="E120" i="17"/>
  <c r="E96" i="17"/>
  <c r="G120" i="17"/>
  <c r="E123" i="17"/>
  <c r="E117" i="17"/>
  <c r="E127" i="17"/>
  <c r="I29" i="17"/>
  <c r="G121" i="17"/>
  <c r="G90" i="17"/>
  <c r="I30" i="17"/>
  <c r="G125" i="17"/>
  <c r="G126" i="17"/>
  <c r="G98" i="17"/>
  <c r="E39" i="17"/>
  <c r="G124" i="17"/>
  <c r="G123" i="17"/>
  <c r="G93" i="17"/>
  <c r="G119" i="17"/>
  <c r="E126" i="17"/>
  <c r="E37" i="17"/>
  <c r="G65" i="17"/>
  <c r="E31" i="17"/>
  <c r="G68" i="17"/>
  <c r="E32" i="17"/>
  <c r="G137" i="17"/>
  <c r="J102" i="16"/>
  <c r="J103" i="16" s="1"/>
  <c r="K99" i="16" s="1"/>
  <c r="K100" i="16" s="1"/>
  <c r="K101" i="16" s="1"/>
  <c r="I182" i="16"/>
  <c r="I183" i="16" s="1"/>
  <c r="J179" i="16" s="1"/>
  <c r="J180" i="16" s="1"/>
  <c r="J181" i="16" s="1"/>
  <c r="P185" i="28"/>
  <c r="E90" i="17"/>
  <c r="G67" i="17"/>
  <c r="H35" i="17"/>
  <c r="G35" i="17"/>
  <c r="E122" i="17"/>
  <c r="I14" i="17"/>
  <c r="G122" i="17"/>
  <c r="I34" i="17"/>
  <c r="E110" i="17"/>
  <c r="H16" i="17"/>
  <c r="D14" i="17"/>
  <c r="E52" i="17"/>
  <c r="G52" i="17"/>
  <c r="D34" i="17"/>
  <c r="E108" i="17"/>
  <c r="H14" i="17"/>
  <c r="G108" i="17"/>
  <c r="H34" i="17"/>
  <c r="E104" i="17"/>
  <c r="H10" i="17"/>
  <c r="I5" i="28"/>
  <c r="D49" i="17"/>
  <c r="I6" i="29"/>
  <c r="D106" i="17"/>
  <c r="G75" i="17"/>
  <c r="F29" i="17"/>
  <c r="Q22" i="18"/>
  <c r="R21" i="18"/>
  <c r="G195" i="15"/>
  <c r="G167" i="17"/>
  <c r="I6" i="30"/>
  <c r="D78" i="17"/>
  <c r="G132" i="17"/>
  <c r="J30" i="17"/>
  <c r="K3" i="28"/>
  <c r="F47" i="17"/>
  <c r="J9" i="17"/>
  <c r="E131" i="17"/>
  <c r="D18" i="17"/>
  <c r="E56" i="17"/>
  <c r="K11" i="35"/>
  <c r="F139" i="17"/>
  <c r="K34" i="17"/>
  <c r="F150" i="17"/>
  <c r="F37" i="17"/>
  <c r="G140" i="17"/>
  <c r="J38" i="17"/>
  <c r="I13" i="30"/>
  <c r="D85" i="17"/>
  <c r="H238" i="25"/>
  <c r="F196" i="17"/>
  <c r="G191" i="15"/>
  <c r="G163" i="17"/>
  <c r="K5" i="30"/>
  <c r="F77" i="17"/>
  <c r="J185" i="38"/>
  <c r="K185" i="38" s="1"/>
  <c r="L185" i="38" s="1"/>
  <c r="M185" i="38" s="1"/>
  <c r="N185" i="38" s="1"/>
  <c r="P185" i="38" s="1"/>
  <c r="E76" i="17"/>
  <c r="F10" i="17"/>
  <c r="F160" i="17"/>
  <c r="L9" i="17"/>
  <c r="E29" i="17"/>
  <c r="G61" i="17"/>
  <c r="G31" i="17"/>
  <c r="G91" i="17"/>
  <c r="E34" i="17"/>
  <c r="G66" i="17"/>
  <c r="K5" i="28"/>
  <c r="F49" i="17"/>
  <c r="I10" i="30"/>
  <c r="D82" i="17"/>
  <c r="J34" i="17"/>
  <c r="G136" i="17"/>
  <c r="G170" i="17"/>
  <c r="G198" i="15"/>
  <c r="F155" i="17"/>
  <c r="K39" i="17"/>
  <c r="I5" i="29"/>
  <c r="D105" i="17"/>
  <c r="K13" i="35"/>
  <c r="F141" i="17"/>
  <c r="D38" i="17"/>
  <c r="G56" i="17"/>
  <c r="K122" i="16"/>
  <c r="K123" i="16" s="1"/>
  <c r="L119" i="16" s="1"/>
  <c r="L17" i="17"/>
  <c r="F168" i="17"/>
  <c r="AG34" i="22"/>
  <c r="AG35" i="22" s="1"/>
  <c r="AJ33" i="22"/>
  <c r="AJ34" i="22" s="1"/>
  <c r="F153" i="17"/>
  <c r="K37" i="17"/>
  <c r="I13" i="35"/>
  <c r="D141" i="17"/>
  <c r="F180" i="17"/>
  <c r="G194" i="43"/>
  <c r="G180" i="17" s="1"/>
  <c r="F178" i="17"/>
  <c r="G192" i="43"/>
  <c r="G178" i="17" s="1"/>
  <c r="F182" i="17"/>
  <c r="G196" i="43"/>
  <c r="G182" i="17" s="1"/>
  <c r="G138" i="17"/>
  <c r="J36" i="17"/>
  <c r="F145" i="17"/>
  <c r="K29" i="17"/>
  <c r="K5" i="29"/>
  <c r="F105" i="17"/>
  <c r="G50" i="17"/>
  <c r="D32" i="17"/>
  <c r="J45" i="34"/>
  <c r="K45" i="34" s="1"/>
  <c r="L45" i="34" s="1"/>
  <c r="M45" i="34" s="1"/>
  <c r="N45" i="34" s="1"/>
  <c r="F18" i="17"/>
  <c r="E84" i="17"/>
  <c r="G190" i="15"/>
  <c r="G162" i="17"/>
  <c r="I13" i="28"/>
  <c r="D57" i="17"/>
  <c r="H239" i="25"/>
  <c r="F197" i="17"/>
  <c r="G101" i="37"/>
  <c r="H188" i="37"/>
  <c r="M9" i="17"/>
  <c r="E188" i="17"/>
  <c r="F147" i="17"/>
  <c r="K31" i="17"/>
  <c r="D55" i="17"/>
  <c r="I11" i="28"/>
  <c r="J185" i="39"/>
  <c r="K185" i="39" s="1"/>
  <c r="L185" i="39" s="1"/>
  <c r="M185" i="39" s="1"/>
  <c r="N185" i="39" s="1"/>
  <c r="G160" i="17"/>
  <c r="G188" i="15"/>
  <c r="M39" i="17"/>
  <c r="G198" i="17"/>
  <c r="E71" i="17"/>
  <c r="E19" i="17"/>
  <c r="G84" i="17"/>
  <c r="F38" i="17"/>
  <c r="K9" i="30"/>
  <c r="F81" i="17"/>
  <c r="K6" i="30"/>
  <c r="F78" i="17"/>
  <c r="H9" i="17"/>
  <c r="E103" i="17"/>
  <c r="K10" i="28"/>
  <c r="F54" i="17"/>
  <c r="M13" i="17"/>
  <c r="E192" i="17"/>
  <c r="I6" i="35"/>
  <c r="D134" i="17"/>
  <c r="J14" i="17"/>
  <c r="E136" i="17"/>
  <c r="G30" i="26"/>
  <c r="K13" i="28"/>
  <c r="F57" i="17"/>
  <c r="G168" i="17"/>
  <c r="G196" i="15"/>
  <c r="K11" i="28"/>
  <c r="F55" i="17"/>
  <c r="E197" i="17"/>
  <c r="M18" i="17"/>
  <c r="F111" i="17"/>
  <c r="K11" i="29"/>
  <c r="M75" i="18"/>
  <c r="M79" i="18" s="1"/>
  <c r="M76" i="18" s="1"/>
  <c r="L79" i="18"/>
  <c r="L76" i="18" s="1"/>
  <c r="L77" i="18" s="1"/>
  <c r="J18" i="17"/>
  <c r="E140" i="17"/>
  <c r="F53" i="17"/>
  <c r="K9" i="28"/>
  <c r="F149" i="17"/>
  <c r="K33" i="17"/>
  <c r="L16" i="17"/>
  <c r="F167" i="17"/>
  <c r="I12" i="29"/>
  <c r="D112" i="17"/>
  <c r="J10" i="17"/>
  <c r="E132" i="17"/>
  <c r="H233" i="25"/>
  <c r="F190" i="17"/>
  <c r="K10" i="30"/>
  <c r="F82" i="17"/>
  <c r="K12" i="29"/>
  <c r="F112" i="17"/>
  <c r="J185" i="35"/>
  <c r="K185" i="35" s="1"/>
  <c r="L185" i="35" s="1"/>
  <c r="M185" i="35" s="1"/>
  <c r="N185" i="35" s="1"/>
  <c r="L161" i="16"/>
  <c r="L162" i="16" s="1"/>
  <c r="L163" i="16" s="1"/>
  <c r="M159" i="16" s="1"/>
  <c r="M10" i="17"/>
  <c r="E189" i="17"/>
  <c r="F152" i="17"/>
  <c r="K36" i="17"/>
  <c r="L10" i="17"/>
  <c r="F161" i="17"/>
  <c r="E75" i="17"/>
  <c r="F9" i="17"/>
  <c r="F154" i="17"/>
  <c r="K38" i="17"/>
  <c r="J16" i="17"/>
  <c r="E138" i="17"/>
  <c r="K32" i="17"/>
  <c r="F148" i="17"/>
  <c r="I7" i="29"/>
  <c r="D107" i="17"/>
  <c r="G164" i="17"/>
  <c r="G192" i="15"/>
  <c r="E13" i="17"/>
  <c r="E65" i="17"/>
  <c r="F146" i="17"/>
  <c r="K30" i="17"/>
  <c r="L220" i="16"/>
  <c r="F17" i="17"/>
  <c r="E83" i="17"/>
  <c r="H237" i="25"/>
  <c r="F195" i="17"/>
  <c r="E64" i="17"/>
  <c r="E12" i="17"/>
  <c r="K7" i="28"/>
  <c r="F51" i="17"/>
  <c r="W6" i="22"/>
  <c r="W16" i="22" s="1"/>
  <c r="Z5" i="22"/>
  <c r="F106" i="17"/>
  <c r="K6" i="29"/>
  <c r="E94" i="17"/>
  <c r="G14" i="17"/>
  <c r="G34" i="17"/>
  <c r="G94" i="17"/>
  <c r="F163" i="17"/>
  <c r="L12" i="17"/>
  <c r="H29" i="17"/>
  <c r="G103" i="17"/>
  <c r="K40" i="16"/>
  <c r="K41" i="16" s="1"/>
  <c r="I10" i="28"/>
  <c r="D54" i="17"/>
  <c r="G76" i="17"/>
  <c r="F30" i="17"/>
  <c r="G161" i="17"/>
  <c r="G189" i="15"/>
  <c r="K6" i="35"/>
  <c r="F134" i="17"/>
  <c r="J15" i="17"/>
  <c r="E137" i="17"/>
  <c r="F48" i="17"/>
  <c r="K4" i="28"/>
  <c r="E63" i="17"/>
  <c r="E11" i="17"/>
  <c r="G131" i="17"/>
  <c r="J29" i="17"/>
  <c r="E190" i="17"/>
  <c r="M11" i="17"/>
  <c r="E50" i="17"/>
  <c r="D12" i="17"/>
  <c r="L11" i="17"/>
  <c r="F162" i="17"/>
  <c r="F113" i="17"/>
  <c r="K13" i="29"/>
  <c r="E195" i="17"/>
  <c r="M16" i="17"/>
  <c r="K7" i="29"/>
  <c r="F107" i="17"/>
  <c r="E10" i="17"/>
  <c r="E62" i="17"/>
  <c r="E9" i="17"/>
  <c r="E61" i="17"/>
  <c r="M17" i="17"/>
  <c r="E196" i="17"/>
  <c r="I11" i="29"/>
  <c r="D111" i="17"/>
  <c r="I9" i="28"/>
  <c r="D53" i="17"/>
  <c r="M15" i="17"/>
  <c r="E194" i="17"/>
  <c r="H29" i="26"/>
  <c r="H40" i="26"/>
  <c r="H17" i="26"/>
  <c r="H18" i="26" s="1"/>
  <c r="I4" i="28"/>
  <c r="D48" i="17"/>
  <c r="D81" i="17"/>
  <c r="I9" i="30"/>
  <c r="E15" i="17"/>
  <c r="E67" i="17"/>
  <c r="H240" i="25"/>
  <c r="F198" i="17"/>
  <c r="K35" i="17"/>
  <c r="F151" i="17"/>
  <c r="K80" i="16"/>
  <c r="K81" i="16" s="1"/>
  <c r="J140" i="16"/>
  <c r="J141" i="16" s="1"/>
  <c r="F176" i="17"/>
  <c r="G190" i="43"/>
  <c r="G176" i="17" s="1"/>
  <c r="I13" i="29"/>
  <c r="D113" i="17"/>
  <c r="H231" i="25"/>
  <c r="F188" i="17"/>
  <c r="E18" i="17"/>
  <c r="E70" i="17"/>
  <c r="F164" i="17"/>
  <c r="L13" i="17"/>
  <c r="H234" i="25"/>
  <c r="F191" i="17"/>
  <c r="M12" i="17"/>
  <c r="E191" i="17"/>
  <c r="H232" i="25"/>
  <c r="F189" i="17"/>
  <c r="G19" i="17"/>
  <c r="E99" i="17"/>
  <c r="M14" i="17"/>
  <c r="E193" i="17"/>
  <c r="I7" i="28"/>
  <c r="D51" i="17"/>
  <c r="I5" i="35"/>
  <c r="D133" i="17"/>
  <c r="I3" i="28"/>
  <c r="D47" i="17"/>
  <c r="E68" i="17"/>
  <c r="E16" i="17"/>
  <c r="I11" i="35"/>
  <c r="D139" i="17"/>
  <c r="H235" i="25"/>
  <c r="F192" i="17"/>
  <c r="E14" i="17"/>
  <c r="E66" i="17"/>
  <c r="K13" i="30"/>
  <c r="F85" i="17"/>
  <c r="F170" i="17"/>
  <c r="L19" i="17"/>
  <c r="I5" i="30"/>
  <c r="D77" i="17"/>
  <c r="F133" i="17"/>
  <c r="K5" i="35"/>
  <c r="D50" i="47" l="1"/>
  <c r="O50" i="47" s="1"/>
  <c r="O38" i="47"/>
  <c r="D57" i="47"/>
  <c r="O57" i="47" s="1"/>
  <c r="O45" i="47"/>
  <c r="D51" i="47"/>
  <c r="O51" i="47" s="1"/>
  <c r="O39" i="47"/>
  <c r="N22" i="2"/>
  <c r="N23" i="2" s="1"/>
  <c r="AJ26" i="22"/>
  <c r="AJ28" i="22" s="1"/>
  <c r="AJ29" i="22" s="1"/>
  <c r="AJ35" i="22" s="1"/>
  <c r="D49" i="47"/>
  <c r="O49" i="47" s="1"/>
  <c r="O37" i="47"/>
  <c r="O47" i="47"/>
  <c r="D59" i="47"/>
  <c r="O59" i="47" s="1"/>
  <c r="D52" i="47"/>
  <c r="O52" i="47" s="1"/>
  <c r="O40" i="47"/>
  <c r="D55" i="47"/>
  <c r="O55" i="47" s="1"/>
  <c r="O43" i="47"/>
  <c r="D56" i="47"/>
  <c r="O56" i="47" s="1"/>
  <c r="O44" i="47"/>
  <c r="D53" i="47"/>
  <c r="O53" i="47" s="1"/>
  <c r="O41" i="47"/>
  <c r="O46" i="47"/>
  <c r="D58" i="47"/>
  <c r="O58" i="47" s="1"/>
  <c r="J182" i="16"/>
  <c r="J183" i="16" s="1"/>
  <c r="K179" i="16" s="1"/>
  <c r="K180" i="16" s="1"/>
  <c r="K181" i="16" s="1"/>
  <c r="J62" i="16"/>
  <c r="J63" i="16" s="1"/>
  <c r="K59" i="16" s="1"/>
  <c r="K60" i="16" s="1"/>
  <c r="K61" i="16" s="1"/>
  <c r="G110" i="17"/>
  <c r="G104" i="17"/>
  <c r="K82" i="16"/>
  <c r="K83" i="16" s="1"/>
  <c r="L79" i="16" s="1"/>
  <c r="L80" i="16" s="1"/>
  <c r="L81" i="16" s="1"/>
  <c r="J202" i="16"/>
  <c r="J203" i="16" s="1"/>
  <c r="K199" i="16" s="1"/>
  <c r="K200" i="16" s="1"/>
  <c r="K201" i="16" s="1"/>
  <c r="K42" i="16"/>
  <c r="K43" i="16" s="1"/>
  <c r="L39" i="16" s="1"/>
  <c r="L40" i="16" s="1"/>
  <c r="L41" i="16" s="1"/>
  <c r="J142" i="16"/>
  <c r="J143" i="16" s="1"/>
  <c r="K139" i="16" s="1"/>
  <c r="K140" i="16" s="1"/>
  <c r="K141" i="16" s="1"/>
  <c r="K102" i="16"/>
  <c r="K103" i="16" s="1"/>
  <c r="L99" i="16" s="1"/>
  <c r="L100" i="16" s="1"/>
  <c r="L101" i="16" s="1"/>
  <c r="H30" i="26"/>
  <c r="P185" i="35"/>
  <c r="P45" i="34"/>
  <c r="M35" i="17"/>
  <c r="G194" i="17"/>
  <c r="H38" i="17"/>
  <c r="G112" i="17"/>
  <c r="E112" i="17"/>
  <c r="H18" i="17"/>
  <c r="G55" i="17"/>
  <c r="D37" i="17"/>
  <c r="P185" i="39"/>
  <c r="H101" i="37"/>
  <c r="I188" i="37"/>
  <c r="R22" i="18"/>
  <c r="S21" i="18"/>
  <c r="L37" i="17"/>
  <c r="H168" i="17"/>
  <c r="E134" i="17"/>
  <c r="J12" i="17"/>
  <c r="G78" i="17"/>
  <c r="F32" i="17"/>
  <c r="J39" i="17"/>
  <c r="G141" i="17"/>
  <c r="E85" i="17"/>
  <c r="F19" i="17"/>
  <c r="G139" i="17"/>
  <c r="J37" i="17"/>
  <c r="G192" i="17"/>
  <c r="M33" i="17"/>
  <c r="M77" i="18"/>
  <c r="E55" i="17"/>
  <c r="D17" i="17"/>
  <c r="M38" i="17"/>
  <c r="G197" i="17"/>
  <c r="H164" i="17"/>
  <c r="L33" i="17"/>
  <c r="E139" i="17"/>
  <c r="J17" i="17"/>
  <c r="G111" i="17"/>
  <c r="H37" i="17"/>
  <c r="G81" i="17"/>
  <c r="F35" i="17"/>
  <c r="M37" i="17"/>
  <c r="G196" i="17"/>
  <c r="H11" i="17"/>
  <c r="E105" i="17"/>
  <c r="E82" i="17"/>
  <c r="F16" i="17"/>
  <c r="F31" i="17"/>
  <c r="G77" i="17"/>
  <c r="E78" i="17"/>
  <c r="F12" i="17"/>
  <c r="M30" i="17"/>
  <c r="G189" i="17"/>
  <c r="AC5" i="22"/>
  <c r="Z6" i="22"/>
  <c r="Z16" i="22" s="1"/>
  <c r="G82" i="17"/>
  <c r="F36" i="17"/>
  <c r="G188" i="17"/>
  <c r="M29" i="17"/>
  <c r="E81" i="17"/>
  <c r="F15" i="17"/>
  <c r="H13" i="17"/>
  <c r="E107" i="17"/>
  <c r="D39" i="17"/>
  <c r="G57" i="17"/>
  <c r="L120" i="16"/>
  <c r="L121" i="16" s="1"/>
  <c r="G107" i="17"/>
  <c r="H33" i="17"/>
  <c r="I17" i="26"/>
  <c r="I18" i="26" s="1"/>
  <c r="I29" i="26"/>
  <c r="I40" i="26"/>
  <c r="E51" i="17"/>
  <c r="D13" i="17"/>
  <c r="G113" i="17"/>
  <c r="H39" i="17"/>
  <c r="L221" i="16"/>
  <c r="G190" i="17"/>
  <c r="M31" i="17"/>
  <c r="G85" i="17"/>
  <c r="F39" i="17"/>
  <c r="H19" i="17"/>
  <c r="E113" i="17"/>
  <c r="H32" i="17"/>
  <c r="G106" i="17"/>
  <c r="D35" i="17"/>
  <c r="G53" i="17"/>
  <c r="D36" i="17"/>
  <c r="G54" i="17"/>
  <c r="D19" i="17"/>
  <c r="E57" i="17"/>
  <c r="E141" i="17"/>
  <c r="J19" i="17"/>
  <c r="G49" i="17"/>
  <c r="D31" i="17"/>
  <c r="H163" i="17"/>
  <c r="L32" i="17"/>
  <c r="N22" i="16"/>
  <c r="N23" i="16" s="1"/>
  <c r="O19" i="16" s="1"/>
  <c r="E106" i="17"/>
  <c r="H12" i="17"/>
  <c r="H17" i="17"/>
  <c r="E111" i="17"/>
  <c r="F11" i="17"/>
  <c r="E77" i="17"/>
  <c r="J32" i="17"/>
  <c r="G134" i="17"/>
  <c r="M160" i="16"/>
  <c r="M161" i="16" s="1"/>
  <c r="G133" i="17"/>
  <c r="J31" i="17"/>
  <c r="D15" i="17"/>
  <c r="E53" i="17"/>
  <c r="L29" i="17"/>
  <c r="H160" i="17"/>
  <c r="L39" i="17"/>
  <c r="H170" i="17"/>
  <c r="J11" i="17"/>
  <c r="E133" i="17"/>
  <c r="E54" i="17"/>
  <c r="D16" i="17"/>
  <c r="G51" i="17"/>
  <c r="D33" i="17"/>
  <c r="M32" i="17"/>
  <c r="G191" i="17"/>
  <c r="H161" i="17"/>
  <c r="L30" i="17"/>
  <c r="E47" i="17"/>
  <c r="D9" i="17"/>
  <c r="D10" i="17"/>
  <c r="E48" i="17"/>
  <c r="G48" i="17"/>
  <c r="D30" i="17"/>
  <c r="L31" i="17"/>
  <c r="H162" i="17"/>
  <c r="H31" i="17"/>
  <c r="G105" i="17"/>
  <c r="G195" i="17"/>
  <c r="M36" i="17"/>
  <c r="G47" i="17"/>
  <c r="D29" i="17"/>
  <c r="H167" i="17"/>
  <c r="L36" i="17"/>
  <c r="D11" i="17"/>
  <c r="E49" i="17"/>
  <c r="D74" i="47" l="1"/>
  <c r="D87" i="47" s="1"/>
  <c r="N24" i="2"/>
  <c r="N25" i="2" s="1"/>
  <c r="O21" i="2" s="1"/>
  <c r="O22" i="2" s="1"/>
  <c r="O23" i="2" s="1"/>
  <c r="D76" i="47"/>
  <c r="O76" i="47" s="1"/>
  <c r="D82" i="47"/>
  <c r="D95" i="47" s="1"/>
  <c r="D79" i="47"/>
  <c r="O79" i="47" s="1"/>
  <c r="D73" i="47"/>
  <c r="D86" i="47" s="1"/>
  <c r="D81" i="47"/>
  <c r="O81" i="47" s="1"/>
  <c r="D80" i="47"/>
  <c r="D93" i="47" s="1"/>
  <c r="D83" i="47"/>
  <c r="O83" i="47" s="1"/>
  <c r="D77" i="47"/>
  <c r="D75" i="47"/>
  <c r="K62" i="16"/>
  <c r="K63" i="16" s="1"/>
  <c r="L59" i="16" s="1"/>
  <c r="L60" i="16" s="1"/>
  <c r="L61" i="16" s="1"/>
  <c r="L102" i="16"/>
  <c r="L103" i="16" s="1"/>
  <c r="M99" i="16" s="1"/>
  <c r="M100" i="16" s="1"/>
  <c r="M101" i="16" s="1"/>
  <c r="K182" i="16"/>
  <c r="K183" i="16" s="1"/>
  <c r="L179" i="16" s="1"/>
  <c r="L180" i="16" s="1"/>
  <c r="L181" i="16" s="1"/>
  <c r="I30" i="26"/>
  <c r="J17" i="26"/>
  <c r="J18" i="26" s="1"/>
  <c r="J29" i="26"/>
  <c r="J40" i="26"/>
  <c r="L82" i="16"/>
  <c r="L83" i="16" s="1"/>
  <c r="M79" i="16" s="1"/>
  <c r="AC6" i="22"/>
  <c r="AC16" i="22" s="1"/>
  <c r="AF5" i="22"/>
  <c r="I101" i="37"/>
  <c r="J188" i="37"/>
  <c r="O20" i="16"/>
  <c r="O21" i="16" s="1"/>
  <c r="L42" i="16"/>
  <c r="L43" i="16" s="1"/>
  <c r="M39" i="16" s="1"/>
  <c r="K202" i="16"/>
  <c r="K203" i="16" s="1"/>
  <c r="L199" i="16" s="1"/>
  <c r="L222" i="16"/>
  <c r="L223" i="16" s="1"/>
  <c r="M219" i="16" s="1"/>
  <c r="L122" i="16"/>
  <c r="L123" i="16" s="1"/>
  <c r="M119" i="16" s="1"/>
  <c r="M162" i="16"/>
  <c r="M163" i="16" s="1"/>
  <c r="N159" i="16" s="1"/>
  <c r="K142" i="16"/>
  <c r="K143" i="16" s="1"/>
  <c r="L139" i="16" s="1"/>
  <c r="S22" i="18"/>
  <c r="T21" i="18"/>
  <c r="O82" i="47" l="1"/>
  <c r="O74" i="47"/>
  <c r="D89" i="47"/>
  <c r="D153" i="47" s="1"/>
  <c r="D94" i="47"/>
  <c r="D158" i="47" s="1"/>
  <c r="D92" i="47"/>
  <c r="O92" i="47" s="1"/>
  <c r="D96" i="47"/>
  <c r="D160" i="47" s="1"/>
  <c r="O24" i="2"/>
  <c r="O25" i="2" s="1"/>
  <c r="P21" i="2" s="1"/>
  <c r="P22" i="2" s="1"/>
  <c r="P23" i="2" s="1"/>
  <c r="O80" i="47"/>
  <c r="O73" i="47"/>
  <c r="D151" i="47"/>
  <c r="O87" i="47"/>
  <c r="D90" i="47"/>
  <c r="O77" i="47"/>
  <c r="D88" i="47"/>
  <c r="O75" i="47"/>
  <c r="D157" i="47"/>
  <c r="O93" i="47"/>
  <c r="D150" i="47"/>
  <c r="O86" i="47"/>
  <c r="O95" i="47"/>
  <c r="D159" i="47"/>
  <c r="M102" i="16"/>
  <c r="M103" i="16" s="1"/>
  <c r="N99" i="16" s="1"/>
  <c r="L62" i="16"/>
  <c r="L63" i="16" s="1"/>
  <c r="M59" i="16" s="1"/>
  <c r="M60" i="16" s="1"/>
  <c r="M61" i="16" s="1"/>
  <c r="J30" i="26"/>
  <c r="AI5" i="22"/>
  <c r="AI6" i="22" s="1"/>
  <c r="AI16" i="22" s="1"/>
  <c r="AF6" i="22"/>
  <c r="AF16" i="22" s="1"/>
  <c r="K17" i="26"/>
  <c r="K18" i="26" s="1"/>
  <c r="K29" i="26"/>
  <c r="K40" i="26"/>
  <c r="M220" i="16"/>
  <c r="M221" i="16" s="1"/>
  <c r="L182" i="16"/>
  <c r="L183" i="16" s="1"/>
  <c r="M179" i="16" s="1"/>
  <c r="M80" i="16"/>
  <c r="M81" i="16" s="1"/>
  <c r="M40" i="16"/>
  <c r="M41" i="16" s="1"/>
  <c r="J101" i="37"/>
  <c r="K188" i="37"/>
  <c r="M120" i="16"/>
  <c r="M121" i="16" s="1"/>
  <c r="T22" i="18"/>
  <c r="U21" i="18"/>
  <c r="O22" i="16"/>
  <c r="O23" i="16" s="1"/>
  <c r="P19" i="16" s="1"/>
  <c r="N160" i="16"/>
  <c r="N161" i="16" s="1"/>
  <c r="L200" i="16"/>
  <c r="L201" i="16" s="1"/>
  <c r="L140" i="16"/>
  <c r="L141" i="16" s="1"/>
  <c r="O89" i="47" l="1"/>
  <c r="O94" i="47"/>
  <c r="D156" i="47"/>
  <c r="D169" i="47" s="1"/>
  <c r="O96" i="47"/>
  <c r="P24" i="2"/>
  <c r="P25" i="2" s="1"/>
  <c r="Q21" i="2" s="1"/>
  <c r="Q22" i="2" s="1"/>
  <c r="O88" i="47"/>
  <c r="D152" i="47"/>
  <c r="O150" i="47"/>
  <c r="D163" i="47"/>
  <c r="C188" i="47"/>
  <c r="D188" i="47" s="1"/>
  <c r="D154" i="47"/>
  <c r="O90" i="47"/>
  <c r="D166" i="47"/>
  <c r="C191" i="47"/>
  <c r="D191" i="47" s="1"/>
  <c r="O153" i="47"/>
  <c r="C189" i="47"/>
  <c r="D189" i="47" s="1"/>
  <c r="O151" i="47"/>
  <c r="D164" i="47"/>
  <c r="C198" i="47"/>
  <c r="D198" i="47" s="1"/>
  <c r="O160" i="47"/>
  <c r="D173" i="47"/>
  <c r="D172" i="47"/>
  <c r="C197" i="47"/>
  <c r="D197" i="47" s="1"/>
  <c r="O159" i="47"/>
  <c r="D170" i="47"/>
  <c r="C195" i="47"/>
  <c r="D195" i="47" s="1"/>
  <c r="O157" i="47"/>
  <c r="O158" i="47"/>
  <c r="D171" i="47"/>
  <c r="C196" i="47"/>
  <c r="D196" i="47" s="1"/>
  <c r="M82" i="16"/>
  <c r="M83" i="16" s="1"/>
  <c r="N79" i="16" s="1"/>
  <c r="N100" i="16"/>
  <c r="N101" i="16" s="1"/>
  <c r="L202" i="16"/>
  <c r="L203" i="16" s="1"/>
  <c r="M199" i="16" s="1"/>
  <c r="M200" i="16" s="1"/>
  <c r="M201" i="16" s="1"/>
  <c r="L142" i="16"/>
  <c r="L143" i="16" s="1"/>
  <c r="M139" i="16" s="1"/>
  <c r="M140" i="16" s="1"/>
  <c r="M141" i="16" s="1"/>
  <c r="M62" i="16"/>
  <c r="M63" i="16" s="1"/>
  <c r="N59" i="16" s="1"/>
  <c r="N60" i="16" s="1"/>
  <c r="N61" i="16" s="1"/>
  <c r="K30" i="26"/>
  <c r="U22" i="18"/>
  <c r="V21" i="18"/>
  <c r="V22" i="18" s="1"/>
  <c r="N162" i="16"/>
  <c r="N163" i="16" s="1"/>
  <c r="O159" i="16" s="1"/>
  <c r="K101" i="37"/>
  <c r="L188" i="37"/>
  <c r="M180" i="16"/>
  <c r="M181" i="16" s="1"/>
  <c r="L29" i="26"/>
  <c r="L17" i="26"/>
  <c r="L18" i="26" s="1"/>
  <c r="L40" i="26"/>
  <c r="M42" i="16"/>
  <c r="M43" i="16" s="1"/>
  <c r="N39" i="16" s="1"/>
  <c r="M122" i="16"/>
  <c r="M123" i="16" s="1"/>
  <c r="N119" i="16" s="1"/>
  <c r="P20" i="16"/>
  <c r="P21" i="16" s="1"/>
  <c r="M222" i="16"/>
  <c r="M223" i="16" s="1"/>
  <c r="N219" i="16" s="1"/>
  <c r="M17" i="26"/>
  <c r="M18" i="26" s="1"/>
  <c r="M29" i="26"/>
  <c r="M40" i="26"/>
  <c r="C194" i="47" l="1"/>
  <c r="D194" i="47" s="1"/>
  <c r="O156" i="47"/>
  <c r="O169" i="47"/>
  <c r="F194" i="47" s="1"/>
  <c r="G194" i="47" s="1"/>
  <c r="D181" i="47"/>
  <c r="E181" i="47" s="1"/>
  <c r="F181" i="47" s="1"/>
  <c r="G181" i="47" s="1"/>
  <c r="H181" i="47" s="1"/>
  <c r="I181" i="47" s="1"/>
  <c r="J181" i="47" s="1"/>
  <c r="K181" i="47" s="1"/>
  <c r="L181" i="47" s="1"/>
  <c r="M181" i="47" s="1"/>
  <c r="O154" i="47"/>
  <c r="C192" i="47"/>
  <c r="D192" i="47" s="1"/>
  <c r="D167" i="47"/>
  <c r="O173" i="47"/>
  <c r="F198" i="47" s="1"/>
  <c r="G198" i="47" s="1"/>
  <c r="D185" i="47"/>
  <c r="E185" i="47" s="1"/>
  <c r="F185" i="47" s="1"/>
  <c r="G185" i="47" s="1"/>
  <c r="H185" i="47" s="1"/>
  <c r="I185" i="47" s="1"/>
  <c r="J185" i="47" s="1"/>
  <c r="K185" i="47" s="1"/>
  <c r="L185" i="47" s="1"/>
  <c r="M185" i="47" s="1"/>
  <c r="D178" i="47"/>
  <c r="E178" i="47" s="1"/>
  <c r="F178" i="47" s="1"/>
  <c r="G178" i="47" s="1"/>
  <c r="H178" i="47" s="1"/>
  <c r="I178" i="47" s="1"/>
  <c r="J178" i="47" s="1"/>
  <c r="K178" i="47" s="1"/>
  <c r="L178" i="47" s="1"/>
  <c r="M178" i="47" s="1"/>
  <c r="O166" i="47"/>
  <c r="F191" i="47" s="1"/>
  <c r="G191" i="47" s="1"/>
  <c r="D183" i="47"/>
  <c r="E183" i="47" s="1"/>
  <c r="F183" i="47" s="1"/>
  <c r="G183" i="47" s="1"/>
  <c r="H183" i="47" s="1"/>
  <c r="I183" i="47" s="1"/>
  <c r="J183" i="47" s="1"/>
  <c r="K183" i="47" s="1"/>
  <c r="L183" i="47" s="1"/>
  <c r="M183" i="47" s="1"/>
  <c r="O171" i="47"/>
  <c r="F196" i="47" s="1"/>
  <c r="G196" i="47" s="1"/>
  <c r="D175" i="47"/>
  <c r="E175" i="47" s="1"/>
  <c r="F175" i="47" s="1"/>
  <c r="G175" i="47" s="1"/>
  <c r="H175" i="47" s="1"/>
  <c r="I175" i="47" s="1"/>
  <c r="J175" i="47" s="1"/>
  <c r="K175" i="47" s="1"/>
  <c r="L175" i="47" s="1"/>
  <c r="M175" i="47" s="1"/>
  <c r="O163" i="47"/>
  <c r="F188" i="47" s="1"/>
  <c r="G188" i="47" s="1"/>
  <c r="D184" i="47"/>
  <c r="E184" i="47" s="1"/>
  <c r="F184" i="47" s="1"/>
  <c r="G184" i="47" s="1"/>
  <c r="H184" i="47" s="1"/>
  <c r="I184" i="47" s="1"/>
  <c r="J184" i="47" s="1"/>
  <c r="K184" i="47" s="1"/>
  <c r="L184" i="47" s="1"/>
  <c r="M184" i="47" s="1"/>
  <c r="O172" i="47"/>
  <c r="F197" i="47" s="1"/>
  <c r="G197" i="47" s="1"/>
  <c r="Q23" i="2"/>
  <c r="N80" i="16"/>
  <c r="N81" i="16" s="1"/>
  <c r="C190" i="47"/>
  <c r="D190" i="47" s="1"/>
  <c r="D165" i="47"/>
  <c r="O152" i="47"/>
  <c r="O164" i="47"/>
  <c r="F189" i="47" s="1"/>
  <c r="G189" i="47" s="1"/>
  <c r="D176" i="47"/>
  <c r="E176" i="47" s="1"/>
  <c r="F176" i="47" s="1"/>
  <c r="G176" i="47" s="1"/>
  <c r="H176" i="47" s="1"/>
  <c r="I176" i="47" s="1"/>
  <c r="J176" i="47" s="1"/>
  <c r="K176" i="47" s="1"/>
  <c r="L176" i="47" s="1"/>
  <c r="M176" i="47" s="1"/>
  <c r="D182" i="47"/>
  <c r="E182" i="47" s="1"/>
  <c r="F182" i="47" s="1"/>
  <c r="G182" i="47" s="1"/>
  <c r="H182" i="47" s="1"/>
  <c r="I182" i="47" s="1"/>
  <c r="J182" i="47" s="1"/>
  <c r="K182" i="47" s="1"/>
  <c r="L182" i="47" s="1"/>
  <c r="M182" i="47" s="1"/>
  <c r="O170" i="47"/>
  <c r="F195" i="47" s="1"/>
  <c r="G195" i="47" s="1"/>
  <c r="N102" i="16"/>
  <c r="N103" i="16" s="1"/>
  <c r="O99" i="16" s="1"/>
  <c r="M30" i="26"/>
  <c r="N120" i="16"/>
  <c r="N121" i="16" s="1"/>
  <c r="M182" i="16"/>
  <c r="M183" i="16" s="1"/>
  <c r="N179" i="16" s="1"/>
  <c r="N40" i="16"/>
  <c r="N41" i="16" s="1"/>
  <c r="M202" i="16"/>
  <c r="M203" i="16" s="1"/>
  <c r="N199" i="16" s="1"/>
  <c r="O160" i="16"/>
  <c r="O161" i="16" s="1"/>
  <c r="L101" i="37"/>
  <c r="M188" i="37"/>
  <c r="N220" i="16"/>
  <c r="N221" i="16" s="1"/>
  <c r="P22" i="16"/>
  <c r="P23" i="16" s="1"/>
  <c r="Q19" i="16" s="1"/>
  <c r="L30" i="26"/>
  <c r="M142" i="16"/>
  <c r="M143" i="16" s="1"/>
  <c r="N139" i="16" s="1"/>
  <c r="N62" i="16"/>
  <c r="N63" i="16" s="1"/>
  <c r="O59" i="16" s="1"/>
  <c r="D179" i="47" l="1"/>
  <c r="E179" i="47" s="1"/>
  <c r="F179" i="47" s="1"/>
  <c r="G179" i="47" s="1"/>
  <c r="H179" i="47" s="1"/>
  <c r="I179" i="47" s="1"/>
  <c r="J179" i="47" s="1"/>
  <c r="K179" i="47" s="1"/>
  <c r="L179" i="47" s="1"/>
  <c r="M179" i="47" s="1"/>
  <c r="O167" i="47"/>
  <c r="F192" i="47" s="1"/>
  <c r="G192" i="47" s="1"/>
  <c r="D177" i="47"/>
  <c r="E177" i="47" s="1"/>
  <c r="F177" i="47" s="1"/>
  <c r="G177" i="47" s="1"/>
  <c r="H177" i="47" s="1"/>
  <c r="I177" i="47" s="1"/>
  <c r="J177" i="47" s="1"/>
  <c r="K177" i="47" s="1"/>
  <c r="L177" i="47" s="1"/>
  <c r="M177" i="47" s="1"/>
  <c r="O165" i="47"/>
  <c r="F190" i="47" s="1"/>
  <c r="G190" i="47" s="1"/>
  <c r="Q24" i="2"/>
  <c r="N82" i="16"/>
  <c r="N83" i="16" s="1"/>
  <c r="O79" i="16" s="1"/>
  <c r="O80" i="16" s="1"/>
  <c r="O81" i="16" s="1"/>
  <c r="N222" i="16"/>
  <c r="N223" i="16" s="1"/>
  <c r="O219" i="16" s="1"/>
  <c r="O220" i="16" s="1"/>
  <c r="O221" i="16" s="1"/>
  <c r="O100" i="16"/>
  <c r="O101" i="16" s="1"/>
  <c r="M101" i="37"/>
  <c r="N188" i="37"/>
  <c r="N101" i="37" s="1"/>
  <c r="O60" i="16"/>
  <c r="O61" i="16" s="1"/>
  <c r="O162" i="16"/>
  <c r="O163" i="16" s="1"/>
  <c r="P159" i="16" s="1"/>
  <c r="N140" i="16"/>
  <c r="N141" i="16" s="1"/>
  <c r="N180" i="16"/>
  <c r="N181" i="16" s="1"/>
  <c r="Q20" i="16"/>
  <c r="N200" i="16"/>
  <c r="N201" i="16" s="1"/>
  <c r="N42" i="16"/>
  <c r="N43" i="16" s="1"/>
  <c r="O39" i="16" s="1"/>
  <c r="N122" i="16"/>
  <c r="N123" i="16" s="1"/>
  <c r="O119" i="16" s="1"/>
  <c r="O82" i="16" l="1"/>
  <c r="O83" i="16" s="1"/>
  <c r="P79" i="16" s="1"/>
  <c r="P80" i="16" s="1"/>
  <c r="P81" i="16" s="1"/>
  <c r="Q25" i="2"/>
  <c r="R21" i="2" s="1"/>
  <c r="O102" i="16"/>
  <c r="O103" i="16" s="1"/>
  <c r="P99" i="16" s="1"/>
  <c r="O222" i="16"/>
  <c r="O223" i="16" s="1"/>
  <c r="P219" i="16" s="1"/>
  <c r="P220" i="16" s="1"/>
  <c r="P221" i="16" s="1"/>
  <c r="N182" i="16"/>
  <c r="N183" i="16" s="1"/>
  <c r="O179" i="16" s="1"/>
  <c r="O180" i="16" s="1"/>
  <c r="O181" i="16" s="1"/>
  <c r="P160" i="16"/>
  <c r="P161" i="16" s="1"/>
  <c r="N202" i="16"/>
  <c r="N203" i="16" s="1"/>
  <c r="O199" i="16" s="1"/>
  <c r="O120" i="16"/>
  <c r="O121" i="16" s="1"/>
  <c r="Q21" i="16"/>
  <c r="R20" i="16"/>
  <c r="O62" i="16"/>
  <c r="O63" i="16" s="1"/>
  <c r="P59" i="16" s="1"/>
  <c r="O40" i="16"/>
  <c r="O41" i="16" s="1"/>
  <c r="O42" i="16" s="1"/>
  <c r="O43" i="16" s="1"/>
  <c r="P39" i="16" s="1"/>
  <c r="P82" i="16"/>
  <c r="P83" i="16" s="1"/>
  <c r="Q79" i="16" s="1"/>
  <c r="N142" i="16"/>
  <c r="N143" i="16" s="1"/>
  <c r="O139" i="16" s="1"/>
  <c r="R22" i="2" l="1"/>
  <c r="P222" i="16"/>
  <c r="P223" i="16" s="1"/>
  <c r="Q219" i="16" s="1"/>
  <c r="Q220" i="16" s="1"/>
  <c r="P100" i="16"/>
  <c r="P162" i="16"/>
  <c r="P163" i="16" s="1"/>
  <c r="Q159" i="16" s="1"/>
  <c r="Q160" i="16" s="1"/>
  <c r="O182" i="16"/>
  <c r="O183" i="16" s="1"/>
  <c r="P179" i="16" s="1"/>
  <c r="P180" i="16" s="1"/>
  <c r="P181" i="16" s="1"/>
  <c r="O122" i="16"/>
  <c r="O123" i="16" s="1"/>
  <c r="P119" i="16" s="1"/>
  <c r="P120" i="16" s="1"/>
  <c r="P121" i="16" s="1"/>
  <c r="R21" i="16"/>
  <c r="Q22" i="16"/>
  <c r="O200" i="16"/>
  <c r="O201" i="16" s="1"/>
  <c r="O202" i="16" s="1"/>
  <c r="O203" i="16" s="1"/>
  <c r="P199" i="16" s="1"/>
  <c r="P40" i="16"/>
  <c r="P41" i="16" s="1"/>
  <c r="P60" i="16"/>
  <c r="P61" i="16" s="1"/>
  <c r="O140" i="16"/>
  <c r="O141" i="16" s="1"/>
  <c r="O142" i="16" s="1"/>
  <c r="O143" i="16" s="1"/>
  <c r="P139" i="16" s="1"/>
  <c r="Q80" i="16"/>
  <c r="R23" i="2" l="1"/>
  <c r="S22" i="2"/>
  <c r="P101" i="16"/>
  <c r="P122" i="16"/>
  <c r="P123" i="16" s="1"/>
  <c r="Q119" i="16" s="1"/>
  <c r="Q120" i="16" s="1"/>
  <c r="P182" i="16"/>
  <c r="P183" i="16" s="1"/>
  <c r="Q179" i="16" s="1"/>
  <c r="Q180" i="16" s="1"/>
  <c r="P200" i="16"/>
  <c r="P201" i="16" s="1"/>
  <c r="Q161" i="16"/>
  <c r="R161" i="16" s="1"/>
  <c r="R160" i="16"/>
  <c r="P140" i="16"/>
  <c r="P141" i="16" s="1"/>
  <c r="P42" i="16"/>
  <c r="P43" i="16" s="1"/>
  <c r="Q39" i="16" s="1"/>
  <c r="Q81" i="16"/>
  <c r="R80" i="16"/>
  <c r="Q221" i="16"/>
  <c r="R220" i="16"/>
  <c r="Q23" i="16"/>
  <c r="R22" i="16"/>
  <c r="P62" i="16"/>
  <c r="P63" i="16" s="1"/>
  <c r="Q59" i="16" s="1"/>
  <c r="S23" i="2" l="1"/>
  <c r="R24" i="2"/>
  <c r="P102" i="16"/>
  <c r="P202" i="16"/>
  <c r="P203" i="16" s="1"/>
  <c r="Q199" i="16" s="1"/>
  <c r="Q200" i="16" s="1"/>
  <c r="P142" i="16"/>
  <c r="P143" i="16" s="1"/>
  <c r="Q139" i="16" s="1"/>
  <c r="R81" i="16"/>
  <c r="Q82" i="16"/>
  <c r="R221" i="16"/>
  <c r="Q222" i="16"/>
  <c r="Q40" i="16"/>
  <c r="Q60" i="16"/>
  <c r="Q121" i="16"/>
  <c r="R121" i="16" s="1"/>
  <c r="R120" i="16"/>
  <c r="Q181" i="16"/>
  <c r="R181" i="16" s="1"/>
  <c r="R180" i="16"/>
  <c r="Q162" i="16"/>
  <c r="R25" i="2" l="1"/>
  <c r="S24" i="2"/>
  <c r="Q122" i="16"/>
  <c r="R122" i="16" s="1"/>
  <c r="P103" i="16"/>
  <c r="Q99" i="16" s="1"/>
  <c r="Q41" i="16"/>
  <c r="R41" i="16" s="1"/>
  <c r="R40" i="16"/>
  <c r="Q201" i="16"/>
  <c r="R200" i="16"/>
  <c r="Q61" i="16"/>
  <c r="R61" i="16" s="1"/>
  <c r="R60" i="16"/>
  <c r="Q223" i="16"/>
  <c r="R222" i="16"/>
  <c r="Q182" i="16"/>
  <c r="Q83" i="16"/>
  <c r="R82" i="16"/>
  <c r="Q163" i="16"/>
  <c r="R162" i="16"/>
  <c r="Q140" i="16"/>
  <c r="Q123" i="16" l="1"/>
  <c r="Q100" i="16"/>
  <c r="Q42" i="16"/>
  <c r="Q43" i="16" s="1"/>
  <c r="Q62" i="16"/>
  <c r="Q63" i="16" s="1"/>
  <c r="Q141" i="16"/>
  <c r="R140" i="16"/>
  <c r="Q183" i="16"/>
  <c r="R182" i="16"/>
  <c r="R201" i="16"/>
  <c r="Q202" i="16"/>
  <c r="R42" i="16" l="1"/>
  <c r="Q101" i="16"/>
  <c r="R100" i="16"/>
  <c r="R62" i="16"/>
  <c r="Q203" i="16"/>
  <c r="R202" i="16"/>
  <c r="R141" i="16"/>
  <c r="Q142" i="16"/>
  <c r="R101" i="16" l="1"/>
  <c r="Q102" i="16"/>
  <c r="Q143" i="16"/>
  <c r="R142" i="16"/>
  <c r="Q103" i="16" l="1"/>
  <c r="R10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 Garrow</author>
  </authors>
  <commentList>
    <comment ref="B5" authorId="0" shapeId="0" xr:uid="{00000000-0006-0000-0100-000001000000}">
      <text>
        <r>
          <rPr>
            <b/>
            <sz val="8"/>
            <color rgb="FF000000"/>
            <rFont val="Tahoma"/>
            <family val="2"/>
          </rPr>
          <t>MARR:</t>
        </r>
        <r>
          <rPr>
            <sz val="8"/>
            <color rgb="FF000000"/>
            <rFont val="Tahoma"/>
            <family val="2"/>
          </rPr>
          <t xml:space="preserve"> </t>
        </r>
        <r>
          <rPr>
            <b/>
            <sz val="8"/>
            <color rgb="FF000000"/>
            <rFont val="Tahoma"/>
            <family val="2"/>
          </rPr>
          <t>M</t>
        </r>
        <r>
          <rPr>
            <sz val="8"/>
            <color rgb="FF000000"/>
            <rFont val="Tahoma"/>
            <family val="2"/>
          </rPr>
          <t xml:space="preserve">inimum </t>
        </r>
        <r>
          <rPr>
            <b/>
            <sz val="8"/>
            <color rgb="FF000000"/>
            <rFont val="Tahoma"/>
            <family val="2"/>
          </rPr>
          <t>A</t>
        </r>
        <r>
          <rPr>
            <sz val="8"/>
            <color rgb="FF000000"/>
            <rFont val="Tahoma"/>
            <family val="2"/>
          </rPr>
          <t xml:space="preserve">ttractive </t>
        </r>
        <r>
          <rPr>
            <b/>
            <sz val="8"/>
            <color rgb="FF000000"/>
            <rFont val="Tahoma"/>
            <family val="2"/>
          </rPr>
          <t>R</t>
        </r>
        <r>
          <rPr>
            <sz val="8"/>
            <color rgb="FF000000"/>
            <rFont val="Tahoma"/>
            <family val="2"/>
          </rPr>
          <t xml:space="preserve">ate of </t>
        </r>
        <r>
          <rPr>
            <b/>
            <sz val="8"/>
            <color rgb="FF000000"/>
            <rFont val="Tahoma"/>
            <family val="2"/>
          </rPr>
          <t>R</t>
        </r>
        <r>
          <rPr>
            <sz val="8"/>
            <color rgb="FF000000"/>
            <rFont val="Tahoma"/>
            <family val="2"/>
          </rPr>
          <t xml:space="preserve">eturn
</t>
        </r>
      </text>
    </comment>
    <comment ref="D5" authorId="0" shapeId="0" xr:uid="{00000000-0006-0000-0100-000002000000}">
      <text>
        <r>
          <rPr>
            <b/>
            <sz val="8"/>
            <color indexed="81"/>
            <rFont val="Tahoma"/>
            <family val="2"/>
          </rPr>
          <t>MARR:</t>
        </r>
        <r>
          <rPr>
            <sz val="8"/>
            <color indexed="81"/>
            <rFont val="Tahoma"/>
            <family val="2"/>
          </rPr>
          <t xml:space="preserve"> </t>
        </r>
        <r>
          <rPr>
            <b/>
            <sz val="8"/>
            <color indexed="81"/>
            <rFont val="Tahoma"/>
            <family val="2"/>
          </rPr>
          <t>M</t>
        </r>
        <r>
          <rPr>
            <sz val="8"/>
            <color indexed="81"/>
            <rFont val="Tahoma"/>
            <family val="2"/>
          </rPr>
          <t xml:space="preserve">inimum </t>
        </r>
        <r>
          <rPr>
            <b/>
            <sz val="8"/>
            <color indexed="81"/>
            <rFont val="Tahoma"/>
            <family val="2"/>
          </rPr>
          <t>A</t>
        </r>
        <r>
          <rPr>
            <sz val="8"/>
            <color indexed="81"/>
            <rFont val="Tahoma"/>
            <family val="2"/>
          </rPr>
          <t xml:space="preserve">ttractive </t>
        </r>
        <r>
          <rPr>
            <b/>
            <sz val="8"/>
            <color indexed="81"/>
            <rFont val="Tahoma"/>
            <family val="2"/>
          </rPr>
          <t>R</t>
        </r>
        <r>
          <rPr>
            <sz val="8"/>
            <color indexed="81"/>
            <rFont val="Tahoma"/>
            <family val="2"/>
          </rPr>
          <t xml:space="preserve">ate of </t>
        </r>
        <r>
          <rPr>
            <b/>
            <sz val="8"/>
            <color indexed="81"/>
            <rFont val="Tahoma"/>
            <family val="2"/>
          </rPr>
          <t>R</t>
        </r>
        <r>
          <rPr>
            <sz val="8"/>
            <color indexed="81"/>
            <rFont val="Tahoma"/>
            <family val="2"/>
          </rPr>
          <t xml:space="preserve">eturn
</t>
        </r>
      </text>
    </comment>
    <comment ref="E36" authorId="0" shapeId="0" xr:uid="{00000000-0006-0000-0100-000003000000}">
      <text>
        <r>
          <rPr>
            <sz val="8"/>
            <color indexed="81"/>
            <rFont val="Tahoma"/>
            <family val="2"/>
          </rPr>
          <t xml:space="preserve">Choosing "YES" to this option will take any remaining loan balance that is present at the last year of analysis and add this amount to the principle payment for the final period.  This is helpful for Real-Estate type investment analysis and is necessary for accounting continuity.
</t>
        </r>
      </text>
    </comment>
    <comment ref="E39" authorId="0" shapeId="0" xr:uid="{00000000-0006-0000-0100-000004000000}">
      <text>
        <r>
          <rPr>
            <sz val="8"/>
            <color rgb="FF000000"/>
            <rFont val="Tahoma"/>
            <family val="2"/>
          </rPr>
          <t xml:space="preserve">Choosing "YES" to this option will take any remaining loan balance that is present at the last year of analysis and add this amount to the principle payment for the final period.  This is helpful for Real-Estate type investment analysis and is necessary for accounting continuity.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 Garrow</author>
  </authors>
  <commentList>
    <comment ref="J12" authorId="0" shapeId="0" xr:uid="{00000000-0006-0000-0200-000001000000}">
      <text>
        <r>
          <rPr>
            <b/>
            <sz val="8"/>
            <color rgb="FF000000"/>
            <rFont val="Tahoma"/>
            <family val="2"/>
          </rPr>
          <t>Use this funciton to calculate the amount of capital that you need to borrow to achieve a desired debt ratio.  Enter this amount on the "Initial Inputs" page of the model.</t>
        </r>
        <r>
          <rPr>
            <sz val="8"/>
            <color rgb="FF000000"/>
            <rFont val="Tahoma"/>
            <family val="2"/>
          </rPr>
          <t xml:space="preserve">
</t>
        </r>
      </text>
    </comment>
    <comment ref="G20" authorId="0" shapeId="0" xr:uid="{00000000-0006-0000-0200-000002000000}">
      <text>
        <r>
          <rPr>
            <b/>
            <sz val="8"/>
            <color indexed="81"/>
            <rFont val="Tahoma"/>
            <family val="2"/>
          </rPr>
          <t>Debt Ratio = Borrowed Capital / Total Capital</t>
        </r>
        <r>
          <rPr>
            <sz val="8"/>
            <color indexed="81"/>
            <rFont val="Tahoma"/>
            <family val="2"/>
          </rPr>
          <t xml:space="preserve">
</t>
        </r>
      </text>
    </comment>
    <comment ref="C31" authorId="0" shapeId="0" xr:uid="{00000000-0006-0000-0200-000003000000}">
      <text>
        <r>
          <rPr>
            <sz val="8"/>
            <color indexed="81"/>
            <rFont val="Tahoma"/>
            <family val="2"/>
          </rPr>
          <t xml:space="preserve">The appropriate MACRS rates are taken from this index table and substituted into the depreciation calculation for each asset based on their respective useful lives (MACRS class)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 Garrow</author>
  </authors>
  <commentList>
    <comment ref="C36" authorId="0" shapeId="0" xr:uid="{00000000-0006-0000-0600-000001000000}">
      <text>
        <r>
          <rPr>
            <b/>
            <sz val="8"/>
            <color indexed="81"/>
            <rFont val="Tahoma"/>
            <family val="2"/>
          </rPr>
          <t>From "</t>
        </r>
        <r>
          <rPr>
            <b/>
            <i/>
            <sz val="8"/>
            <color indexed="81"/>
            <rFont val="Tahoma"/>
            <family val="2"/>
          </rPr>
          <t>Initial Inputs" page</t>
        </r>
        <r>
          <rPr>
            <sz val="8"/>
            <color indexed="81"/>
            <rFont val="Tahoma"/>
            <family val="2"/>
          </rPr>
          <t xml:space="preserve">
</t>
        </r>
      </text>
    </comment>
    <comment ref="C39" authorId="0" shapeId="0" xr:uid="{00000000-0006-0000-0600-000002000000}">
      <text>
        <r>
          <rPr>
            <b/>
            <sz val="8"/>
            <color indexed="81"/>
            <rFont val="Tahoma"/>
            <family val="2"/>
          </rPr>
          <t>Internal Rate of Return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 Garrow</author>
  </authors>
  <commentList>
    <comment ref="J45" authorId="0" shapeId="0" xr:uid="{00000000-0006-0000-0700-000001000000}">
      <text>
        <r>
          <rPr>
            <b/>
            <sz val="8"/>
            <color indexed="81"/>
            <rFont val="Tahoma"/>
            <family val="2"/>
          </rPr>
          <t xml:space="preserve">Breakeven Sales ($) = TFC / (1-%VC)
</t>
        </r>
        <r>
          <rPr>
            <sz val="8"/>
            <color indexed="81"/>
            <rFont val="Tahoma"/>
            <family val="2"/>
          </rPr>
          <t xml:space="preserve">
</t>
        </r>
      </text>
    </comment>
    <comment ref="J47" authorId="0" shapeId="0" xr:uid="{00000000-0006-0000-0700-000002000000}">
      <text>
        <r>
          <rPr>
            <b/>
            <sz val="8"/>
            <color indexed="81"/>
            <rFont val="Tahoma"/>
            <family val="2"/>
          </rPr>
          <t>Total Units at Sales Mix Below</t>
        </r>
        <r>
          <rPr>
            <sz val="8"/>
            <color indexed="81"/>
            <rFont val="Tahoma"/>
            <family val="2"/>
          </rPr>
          <t xml:space="preserve">
</t>
        </r>
      </text>
    </comment>
  </commentList>
</comments>
</file>

<file path=xl/sharedStrings.xml><?xml version="1.0" encoding="utf-8"?>
<sst xmlns="http://schemas.openxmlformats.org/spreadsheetml/2006/main" count="5941" uniqueCount="728">
  <si>
    <t>E 355 Engineering Economics Spring 2021</t>
  </si>
  <si>
    <t>Lab #8</t>
  </si>
  <si>
    <t>Part II</t>
  </si>
  <si>
    <t>Name:</t>
  </si>
  <si>
    <t>Instructions</t>
  </si>
  <si>
    <t>Use the SEED model you created in Part I of this lab to answer these questions.  Answer them directly on this spreadsheet.  When you are done, submit this completed spreadsheet via Canvas.</t>
  </si>
  <si>
    <t xml:space="preserve">Use 2 digits in your answers or risk loss of points! Percentages responses should be correctly formated! </t>
  </si>
  <si>
    <t>Questions</t>
  </si>
  <si>
    <t>1.  When starting a new business, it is good to have Working Capital equal to 3-6 months of the first year’s operating expenses. (This would be equivalent to 25-50% of the operating expenses.) Compare the Working Capital and Year 1 Total Operating expenses in this model. What percent of Year 1 Total Operating Expenses does the Working Capital figure represent?</t>
  </si>
  <si>
    <t>Answer:</t>
  </si>
  <si>
    <t>2. Look at the depreciation schedule for the Depreciable Assets, shown on the Capital and Depreciation worksheet. For Factory Equipment in year 2, what is the</t>
  </si>
  <si>
    <t>(a) beginning book value</t>
  </si>
  <si>
    <t>(b) depreciation expense</t>
  </si>
  <si>
    <t>(c) ending book value</t>
  </si>
  <si>
    <t>Note the relatively large MACRS rate for year 2, which accounts for the size of the expense.</t>
  </si>
  <si>
    <t>When evaluating a proposed new business using the SEED Model, it’s important to look at the following three figures:</t>
  </si>
  <si>
    <t>• IRR:  should be between 20% and 50%</t>
  </si>
  <si>
    <t>• NPV:  should be positive</t>
  </si>
  <si>
    <t>• Discounted Payback period:  should be less than the project life (in this case, 5 years).  Shorter payback periods are better, because they represent lower risk for the project.</t>
  </si>
  <si>
    <t xml:space="preserve">3.  For this project, what is the  </t>
  </si>
  <si>
    <t>(a) IRR</t>
  </si>
  <si>
    <t>(b) Cumulative NPV</t>
  </si>
  <si>
    <t>c) Are they within the acceptable ranges?</t>
  </si>
  <si>
    <t>Answer (Yes or No):</t>
  </si>
  <si>
    <t>Yes</t>
  </si>
  <si>
    <t>HINT: see the Figures of Merit section of the After-Tax Analysis worksheet</t>
  </si>
  <si>
    <t xml:space="preserve">4.  A graph of the Discounted Payback Period is shown on the Break Even Analysis worksheet. The graph shows the NPV and the Break Even Point (where NPV = 0).  The horizontal axis shows years.  </t>
  </si>
  <si>
    <t>(a) Approximately how far into the project is the payback period?  (That is, at the point where the NPV and B.E. lines cross)</t>
  </si>
  <si>
    <t>years</t>
  </si>
  <si>
    <t>No</t>
  </si>
  <si>
    <t>(b) Is this within the acceptable timeframe?</t>
  </si>
  <si>
    <t xml:space="preserve">5.  On the Break Even Analysis Worksheet, what is the </t>
  </si>
  <si>
    <t>(a) Breakeven Sales Level</t>
  </si>
  <si>
    <t>(b) Breakeven Sales Volume</t>
  </si>
  <si>
    <t>units</t>
  </si>
  <si>
    <t xml:space="preserve">Almost all companies borrow funds from some source. Borrowing can increase your rate of return. However, the more you borrow, the more venture capitalists will take of the equity ownership AND the worse your credit rating will be (which limits your borrowing ability and increases your interest rates). To see the effects of using borrowed capital in your project, you must first determine your desired debt ratio and then determine how much capital you would need to borrow to meet that ratio.  The SEED Model helps with the necessary calculations, using the Borrowed Capital Calculator on the Capital &amp; Depreciation Worksheet.  </t>
  </si>
  <si>
    <t xml:space="preserve">Enter the Desired Debt Ratio into the light blue Input box (cell L14) and you will see the amount of Borrowed Capital needed in the light yellow Output box (cell L18). Type that number into the Borrowed Capital box (cell C35) on the Initial Inputs Worksheet. (You must type; the model doesn’t fill it in automatically; also copy and paste won't work properly due to the formulas. You can use Paste Special -&gt; Paste Values to copy just the value, not the formula. Note also that the actual debt ratio in effect in the Model is shown in cell H20.)  </t>
  </si>
  <si>
    <t xml:space="preserve">6.  Determine the amount of borrowed capital needed for a 20% debt ratio. Enter that in the Initial Inputs worksheet under Borrowed Capital, as described above.  </t>
  </si>
  <si>
    <t>(a) Borrow Capital:</t>
  </si>
  <si>
    <t>(b) What is the resulting new IRR?</t>
  </si>
  <si>
    <t xml:space="preserve">7.  Do the same as #6, but for a 60% debt ratio.  </t>
  </si>
  <si>
    <t>8.  How does borrowing capital affect the Discounted Payback Period, compared to the original payback period from question 4?</t>
  </si>
  <si>
    <t>It reduces the Discounted Payback Period</t>
  </si>
  <si>
    <t xml:space="preserve">9. Return your model to the no-borrowed-capital state, and look again at the After Tax Analysis Worksheet.  It shows Capital Gain/Loss information for the assets which are disposed of at the end of the project.  </t>
  </si>
  <si>
    <t>What is the Net capital gain/loss for the sale of the Land?</t>
  </si>
  <si>
    <t xml:space="preserve"> </t>
  </si>
  <si>
    <t xml:space="preserve">10.  The Sensitivity Analysis Worksheet contains tables that allow you to determine which input parameter is most sensitive to the project’s economic feasibility.  </t>
  </si>
  <si>
    <t>Which has a greater effect on NPV, a 10% increase in product price, or a 10% increase in product volume?</t>
  </si>
  <si>
    <t>Answer (Price or Volume):</t>
  </si>
  <si>
    <t>Price</t>
  </si>
  <si>
    <t>Introduction:</t>
  </si>
  <si>
    <t>Welcome to the Spreadsheet Engineering Economics Model (SEEM)</t>
  </si>
  <si>
    <t>This spreadsheet package is designed to aid engineering students in the understanding</t>
  </si>
  <si>
    <t>of engineering economics and act as a powerful resource to aid in the selection process</t>
  </si>
  <si>
    <t>for capital projects.</t>
  </si>
  <si>
    <t>This package will be presented in conjunction with E 355 lecture and lab at Stevens</t>
  </si>
  <si>
    <t xml:space="preserve">Institute of Technology.  The material closely reflects the content of the text for the </t>
  </si>
  <si>
    <r>
      <t xml:space="preserve">above mentioned curriculum; </t>
    </r>
    <r>
      <rPr>
        <b/>
        <i/>
        <sz val="10"/>
        <rFont val="Arial"/>
        <family val="2"/>
      </rPr>
      <t xml:space="preserve">The Selection Process for Capital Projects, </t>
    </r>
  </si>
  <si>
    <t>by Hans Lang and Donald Merino.</t>
  </si>
  <si>
    <t>The major outputs of this package include an after-tax analysis of various cash flows</t>
  </si>
  <si>
    <t xml:space="preserve">to provide figures of merit such as Net Present Value (NPV), and Internal Rate of </t>
  </si>
  <si>
    <t>Return (IRR).  The after-tax analysis is used to formulate pro-forma income statements</t>
  </si>
  <si>
    <t xml:space="preserve">and balance sheets for the first ten years of operations.  Further benefit to the user is </t>
  </si>
  <si>
    <t>provided by a breakeven analysis and sensitivity analysis which reflects the affect on</t>
  </si>
  <si>
    <t>the figures of merit (FOMs) by percentage changes in baseline inputs.</t>
  </si>
  <si>
    <t>The key objective in this package is to help the students understand the interconnectedness</t>
  </si>
  <si>
    <t xml:space="preserve">of the various economic exercises towards a comprehensive economic picture of a  </t>
  </si>
  <si>
    <t>potential capital project to support a "go" or "no-go" decision at the managerial level.</t>
  </si>
  <si>
    <t xml:space="preserve">The package begins with the user providing initial inputs that will aid in the baseline analysis. </t>
  </si>
  <si>
    <t xml:space="preserve">Color coded cells are used to aid in the ease of use of this package and to help the students </t>
  </si>
  <si>
    <t xml:space="preserve">follow the progression of the inputs and calculations toward the final analysis results.  A </t>
  </si>
  <si>
    <t>legend is included below as a guide to to the cell coding.</t>
  </si>
  <si>
    <t>Legend</t>
  </si>
  <si>
    <t xml:space="preserve"> - User defined inputs.  </t>
  </si>
  <si>
    <t xml:space="preserve"> - Information taken from initial user inputs</t>
  </si>
  <si>
    <t xml:space="preserve"> - Bottom line results, typically totals, etc.</t>
  </si>
  <si>
    <t xml:space="preserve"> - Information taken from previously calculated results</t>
  </si>
  <si>
    <t xml:space="preserve"> - Accumulated depreciation of multiple assets</t>
  </si>
  <si>
    <t xml:space="preserve"> - Reference Table information for MACRS rates</t>
  </si>
  <si>
    <t xml:space="preserve"> - Cells that should contain no value</t>
  </si>
  <si>
    <t>End of "Introduction" Page</t>
  </si>
  <si>
    <t>Initial Inputs:</t>
  </si>
  <si>
    <t>Company Name</t>
  </si>
  <si>
    <t>Select MARR:</t>
  </si>
  <si>
    <t>(Enter "0" if MARR includes Inflation, "1" if MARR is without inflation)</t>
  </si>
  <si>
    <t>MARR</t>
  </si>
  <si>
    <t xml:space="preserve"> (Enter Inflation Rate on "Expenses" worksheet.)</t>
  </si>
  <si>
    <t>(Note: Revenues are NEVER calculated using an inflation factor.)</t>
  </si>
  <si>
    <t>Project Life in years (10 Max) =</t>
  </si>
  <si>
    <t>Capital Requirements (at installed cost):</t>
  </si>
  <si>
    <t>Depreciable Assets -</t>
  </si>
  <si>
    <t xml:space="preserve">Asset </t>
  </si>
  <si>
    <t>Name</t>
  </si>
  <si>
    <t>Cost</t>
  </si>
  <si>
    <t>Useful Life (yrs)</t>
  </si>
  <si>
    <t>Salvage Value at end of Useful life</t>
  </si>
  <si>
    <t>Year After Which Asset will be Disposed</t>
  </si>
  <si>
    <t>Proceeds from Disposal of Asset</t>
  </si>
  <si>
    <t>A</t>
  </si>
  <si>
    <t>Plant</t>
  </si>
  <si>
    <t>B</t>
  </si>
  <si>
    <t>Factory</t>
  </si>
  <si>
    <t>C</t>
  </si>
  <si>
    <t>Office</t>
  </si>
  <si>
    <t>D</t>
  </si>
  <si>
    <t>Note: For MACRS depreciation, useful life must correspond to a MACRS property class.</t>
  </si>
  <si>
    <t>ITC-Eligible Asset Investments</t>
  </si>
  <si>
    <t>Total Cost</t>
  </si>
  <si>
    <t>Total ITC Assets</t>
  </si>
  <si>
    <t xml:space="preserve">Non-Depreciable Assets - </t>
  </si>
  <si>
    <t>Asset</t>
  </si>
  <si>
    <t>Expected Proceeds from Disposal</t>
  </si>
  <si>
    <t>Z</t>
  </si>
  <si>
    <t>Land</t>
  </si>
  <si>
    <t>Y</t>
  </si>
  <si>
    <t>Working Capital</t>
  </si>
  <si>
    <t>Year after which working capital will be repaid</t>
  </si>
  <si>
    <t>Debt Financing:</t>
  </si>
  <si>
    <t>Select Loan Repayment Method</t>
  </si>
  <si>
    <t>Borrowed Capital</t>
  </si>
  <si>
    <t>(Enter "0" for Equal Periodic Payments, "1" for Equal Principal Payments)</t>
  </si>
  <si>
    <t>Annual Percentage Rate (APR)</t>
  </si>
  <si>
    <t>Liquidate Loan Balance at end of Project Life?</t>
  </si>
  <si>
    <t>(Enter "1" for YES, or "0" for NO)</t>
  </si>
  <si>
    <t>Loan Length (Yrs)</t>
  </si>
  <si>
    <t>Tax Rate Information:</t>
  </si>
  <si>
    <t>Corporate Income Tax Rate</t>
  </si>
  <si>
    <t>Capital Gains Income Tax Rate</t>
  </si>
  <si>
    <t>Investment Tax Credit for Year 1</t>
  </si>
  <si>
    <t>End of "Initial Inputs" Page</t>
  </si>
  <si>
    <t>Revenue</t>
  </si>
  <si>
    <t>Annual Sales Volume and Unit Price</t>
  </si>
  <si>
    <t>Product X</t>
  </si>
  <si>
    <t>Year</t>
  </si>
  <si>
    <t>Total (Yrs 1-10)</t>
  </si>
  <si>
    <t>Average</t>
  </si>
  <si>
    <t>Weight</t>
  </si>
  <si>
    <t>Sales (Units)</t>
  </si>
  <si>
    <t>Selling Price per Unit</t>
  </si>
  <si>
    <t>Revenue $</t>
  </si>
  <si>
    <t>Product Y</t>
  </si>
  <si>
    <t>Product Z</t>
  </si>
  <si>
    <t>Total Revenue for all products</t>
  </si>
  <si>
    <t>Total Revenue ($)</t>
  </si>
  <si>
    <t>Total Average Units per year</t>
  </si>
  <si>
    <t>Total Average Sales per year</t>
  </si>
  <si>
    <t>End of "Revenue" page</t>
  </si>
  <si>
    <t>Expenses</t>
  </si>
  <si>
    <t>Learning Curve</t>
  </si>
  <si>
    <t>Annual Variable Costs:</t>
  </si>
  <si>
    <t>Inflation</t>
  </si>
  <si>
    <t>Efficiency</t>
  </si>
  <si>
    <t>(Note: "Efficiency" applies to materials costs, and can be used in combination with inflation to adjust the cost.)</t>
  </si>
  <si>
    <t>Direct Labor:</t>
  </si>
  <si>
    <r>
      <t>(Note: "</t>
    </r>
    <r>
      <rPr>
        <b/>
        <vertAlign val="subscript"/>
        <sz val="20"/>
        <rFont val="Arial"/>
        <family val="2"/>
      </rPr>
      <t>*</t>
    </r>
    <r>
      <rPr>
        <sz val="12"/>
        <rFont val="Arial"/>
        <family val="2"/>
      </rPr>
      <t>" denotes expenses that are NEVER automatically inflated, otherwise expenses are inflated.)</t>
    </r>
  </si>
  <si>
    <t>Average Annual VC</t>
  </si>
  <si>
    <t>Unit Sales:</t>
  </si>
  <si>
    <t>Std. Rate (Hrs/Unit)</t>
  </si>
  <si>
    <t>Labor Hours</t>
  </si>
  <si>
    <t>Labor Rate ($/Hr)</t>
  </si>
  <si>
    <t>Sum</t>
  </si>
  <si>
    <t>Labor Cost</t>
  </si>
  <si>
    <t>Direct Materials:</t>
  </si>
  <si>
    <t>Raw Material Cost ($/unit)</t>
  </si>
  <si>
    <t>Raw Material</t>
  </si>
  <si>
    <t>Variable Factory Overhead:</t>
  </si>
  <si>
    <t>Total Units</t>
  </si>
  <si>
    <t>Overhead Rate ($/Unit)</t>
  </si>
  <si>
    <t>Variable Factory Overhead</t>
  </si>
  <si>
    <t>Total Var Cost</t>
  </si>
  <si>
    <t>Research &amp; Deve.</t>
  </si>
  <si>
    <t>Worksheets</t>
  </si>
  <si>
    <t>H-4</t>
  </si>
  <si>
    <t>R &amp; D Expenses/Commercialize*</t>
  </si>
  <si>
    <t>Sales &amp; Marketing Costs</t>
  </si>
  <si>
    <t>H-2.2</t>
  </si>
  <si>
    <t>Sales Commissions*</t>
  </si>
  <si>
    <t>Sales Salaries</t>
  </si>
  <si>
    <t>Sales Management</t>
  </si>
  <si>
    <t>H-2.1</t>
  </si>
  <si>
    <t>Advertising Expense*</t>
  </si>
  <si>
    <t>Other Fixed Costs</t>
  </si>
  <si>
    <t>N/A</t>
  </si>
  <si>
    <t>Depreciation*</t>
  </si>
  <si>
    <t>H-1</t>
  </si>
  <si>
    <t>Administrative salaries</t>
  </si>
  <si>
    <t>H-3</t>
  </si>
  <si>
    <t>Distribution</t>
  </si>
  <si>
    <t>H-5</t>
  </si>
  <si>
    <t>Dues and Subscriptions</t>
  </si>
  <si>
    <t>Equipment Lease Payments*</t>
  </si>
  <si>
    <t>Insurance*</t>
  </si>
  <si>
    <t>Maintenance</t>
  </si>
  <si>
    <t>Miscellaneous Expenses</t>
  </si>
  <si>
    <t>Other Lease Payments*</t>
  </si>
  <si>
    <t>Outside Services*</t>
  </si>
  <si>
    <t>Property Tax*</t>
  </si>
  <si>
    <t>F-2</t>
  </si>
  <si>
    <t>Rent (Building)</t>
  </si>
  <si>
    <t>Supplies</t>
  </si>
  <si>
    <t>Telephone</t>
  </si>
  <si>
    <t>Utilities</t>
  </si>
  <si>
    <t>Vehicle Expense</t>
  </si>
  <si>
    <t>Total Fixed Costs</t>
  </si>
  <si>
    <t>Total Operating Expenses</t>
  </si>
  <si>
    <t>Capital &amp; Depreciation</t>
  </si>
  <si>
    <t>Capital &amp; Leverage Summary:</t>
  </si>
  <si>
    <t>Depreciable Capital</t>
  </si>
  <si>
    <t>Beginning BV</t>
  </si>
  <si>
    <t>Useful Life / MACRS Class</t>
  </si>
  <si>
    <t>Salvage Value at end of life</t>
  </si>
  <si>
    <t>SL Depreciable Cost</t>
  </si>
  <si>
    <t>Asset A</t>
  </si>
  <si>
    <t>Asset B</t>
  </si>
  <si>
    <t>Asset C</t>
  </si>
  <si>
    <t>Asset D</t>
  </si>
  <si>
    <t>Total</t>
  </si>
  <si>
    <t>Non-Depreciable Items</t>
  </si>
  <si>
    <t>Borrowed Capital Calculator *</t>
  </si>
  <si>
    <t>Asset Z</t>
  </si>
  <si>
    <t>Asset Y</t>
  </si>
  <si>
    <t>Desired Debt Ratio</t>
  </si>
  <si>
    <t>Input</t>
  </si>
  <si>
    <t>Total Capital</t>
  </si>
  <si>
    <t>Borrowed Capital**</t>
  </si>
  <si>
    <t>Output</t>
  </si>
  <si>
    <t>Current Debt Ratio:</t>
  </si>
  <si>
    <r>
      <t xml:space="preserve">* The output of this tool </t>
    </r>
    <r>
      <rPr>
        <b/>
        <sz val="10"/>
        <rFont val="Arial"/>
        <family val="2"/>
      </rPr>
      <t xml:space="preserve">DOES NOT </t>
    </r>
    <r>
      <rPr>
        <sz val="10"/>
        <rFont val="Arial"/>
        <family val="2"/>
      </rPr>
      <t>automatically</t>
    </r>
  </si>
  <si>
    <r>
      <t xml:space="preserve">update the value on the </t>
    </r>
    <r>
      <rPr>
        <i/>
        <sz val="10"/>
        <rFont val="Arial"/>
        <family val="2"/>
      </rPr>
      <t xml:space="preserve">Initial Inputs </t>
    </r>
    <r>
      <rPr>
        <sz val="10"/>
        <rFont val="Arial"/>
        <family val="2"/>
      </rPr>
      <t>page</t>
    </r>
  </si>
  <si>
    <t>Depreciation Method Selection Cell:</t>
  </si>
  <si>
    <t xml:space="preserve">** This is the amount of capital you need to borrow to </t>
  </si>
  <si>
    <t>obtain the desired debt ratio.  Enter this value on the</t>
  </si>
  <si>
    <t>Choose MACRS (Modified Accelerated Cost Recovery System) or SL (Straight Line) Depreciation</t>
  </si>
  <si>
    <r>
      <t>Initial Inputs</t>
    </r>
    <r>
      <rPr>
        <sz val="10"/>
        <rFont val="Arial"/>
        <family val="2"/>
      </rPr>
      <t xml:space="preserve"> page to change the actual debt ratio for </t>
    </r>
  </si>
  <si>
    <t>the analysis.</t>
  </si>
  <si>
    <t>(Enter 1 for MACRS, or 0 for SL)</t>
  </si>
  <si>
    <t>MACRS Depreciation Calculation Tables for Assets A, B, C &amp; D:</t>
  </si>
  <si>
    <t>MACRS Rate Index Table</t>
  </si>
  <si>
    <t>11-yr     Total</t>
  </si>
  <si>
    <t>3  Year Rates</t>
  </si>
  <si>
    <t>5 Year Rates</t>
  </si>
  <si>
    <t>7 Year Rates</t>
  </si>
  <si>
    <t>10 Year Rates</t>
  </si>
  <si>
    <t>15 Year Rates</t>
  </si>
  <si>
    <t>20 Year Rates</t>
  </si>
  <si>
    <t>Beginning Book Value ($)</t>
  </si>
  <si>
    <t>MACRS Rate</t>
  </si>
  <si>
    <t>Depreciation Expense ($)</t>
  </si>
  <si>
    <t>Accumulated Depreciation ($)</t>
  </si>
  <si>
    <t>Ending Book Value ($)</t>
  </si>
  <si>
    <t>MACRS TOTALS</t>
  </si>
  <si>
    <t>Beginning Book Value</t>
  </si>
  <si>
    <t>Depreciation Expense</t>
  </si>
  <si>
    <t>Accumulated Depreciation</t>
  </si>
  <si>
    <t>Ending Book Value</t>
  </si>
  <si>
    <t>Straight Line Depreciation Calculation Tables for Assets A, B, C &amp; D:</t>
  </si>
  <si>
    <t>SL Rate</t>
  </si>
  <si>
    <t>Straight Line Depreciation Totals</t>
  </si>
  <si>
    <t>End of "Capital &amp; Depr" page</t>
  </si>
  <si>
    <t>Loan Amortization</t>
  </si>
  <si>
    <t>Periodic Interest Rate Calculation Table</t>
  </si>
  <si>
    <t>Length of Loan (Years)</t>
  </si>
  <si>
    <t>Compounding Periods Per Year</t>
  </si>
  <si>
    <t>Total Periods</t>
  </si>
  <si>
    <t>Periodic Interest Rate</t>
  </si>
  <si>
    <t>Payment Summary Table</t>
  </si>
  <si>
    <t>Periodic Payment =</t>
  </si>
  <si>
    <t>Payment Total per Year =</t>
  </si>
  <si>
    <t>Total Repayment, Loan Life =</t>
  </si>
  <si>
    <t>Annual Amortization Schedule</t>
  </si>
  <si>
    <t>End Of Year</t>
  </si>
  <si>
    <t>BOY Balance</t>
  </si>
  <si>
    <t>Payment</t>
  </si>
  <si>
    <t>Interest</t>
  </si>
  <si>
    <t>Principle</t>
  </si>
  <si>
    <t>EOY Balance</t>
  </si>
  <si>
    <t>End of "Loan Amortization" page</t>
  </si>
  <si>
    <t>After Tax Analysis</t>
  </si>
  <si>
    <t>Calculates after tax NPV based on inputs from linked sheets</t>
  </si>
  <si>
    <t>Corporate IncomeTax Rate =</t>
  </si>
  <si>
    <t>Capital Gain Tax Rate =</t>
  </si>
  <si>
    <t>Investment Tax Credit for Year 1 =</t>
  </si>
  <si>
    <t>Line/Source</t>
  </si>
  <si>
    <t>Description</t>
  </si>
  <si>
    <t>10A</t>
  </si>
  <si>
    <t>TOTAL</t>
  </si>
  <si>
    <r>
      <t>1</t>
    </r>
    <r>
      <rPr>
        <sz val="12"/>
        <rFont val="Arial"/>
        <family val="2"/>
      </rPr>
      <t xml:space="preserve"> / "Revenue"</t>
    </r>
  </si>
  <si>
    <t>Operating Revenue</t>
  </si>
  <si>
    <r>
      <t>2</t>
    </r>
    <r>
      <rPr>
        <sz val="12"/>
        <rFont val="Arial"/>
        <family val="2"/>
      </rPr>
      <t xml:space="preserve"> / "Expenses"</t>
    </r>
  </si>
  <si>
    <t>Cash Expenses (Not including depreciation)</t>
  </si>
  <si>
    <t>Oper. Income (1-2)</t>
  </si>
  <si>
    <r>
      <t>4</t>
    </r>
    <r>
      <rPr>
        <sz val="12"/>
        <rFont val="Arial"/>
        <family val="2"/>
      </rPr>
      <t xml:space="preserve"> / "Expenses"</t>
    </r>
  </si>
  <si>
    <t>Depreciation</t>
  </si>
  <si>
    <t>Oper. Income (3-4)</t>
  </si>
  <si>
    <r>
      <t>6</t>
    </r>
    <r>
      <rPr>
        <sz val="12"/>
        <rFont val="Arial"/>
        <family val="2"/>
      </rPr>
      <t xml:space="preserve"> / "Loan Amortization"</t>
    </r>
  </si>
  <si>
    <t>Interest expense</t>
  </si>
  <si>
    <t>Pretax Net Income (5-6)</t>
  </si>
  <si>
    <t>Income taxes (at rate above)</t>
  </si>
  <si>
    <t>Investment Tax Credit For Year 1 (at rate above)</t>
  </si>
  <si>
    <t>Net Income AT (7-8+9)</t>
  </si>
  <si>
    <r>
      <t>11</t>
    </r>
    <r>
      <rPr>
        <sz val="12"/>
        <rFont val="Arial"/>
        <family val="2"/>
      </rPr>
      <t xml:space="preserve"> / "Expenses"</t>
    </r>
  </si>
  <si>
    <t>Net C.F. from Oper.(10+11)</t>
  </si>
  <si>
    <r>
      <t xml:space="preserve">13 </t>
    </r>
    <r>
      <rPr>
        <sz val="12"/>
        <rFont val="Arial"/>
        <family val="2"/>
      </rPr>
      <t>/ "Loan Amortization"</t>
    </r>
  </si>
  <si>
    <t>Principal Repayment</t>
  </si>
  <si>
    <t>Equity Capital (14a+14b+14c)</t>
  </si>
  <si>
    <r>
      <t xml:space="preserve">14a </t>
    </r>
    <r>
      <rPr>
        <sz val="12"/>
        <rFont val="Arial"/>
        <family val="2"/>
      </rPr>
      <t>/ "Capital &amp; Depr"</t>
    </r>
  </si>
  <si>
    <r>
      <t xml:space="preserve">14b </t>
    </r>
    <r>
      <rPr>
        <sz val="12"/>
        <rFont val="Arial"/>
        <family val="2"/>
      </rPr>
      <t>/ "Capital &amp; Depr"</t>
    </r>
  </si>
  <si>
    <t>Non-depreciable capital</t>
  </si>
  <si>
    <r>
      <t xml:space="preserve">14c </t>
    </r>
    <r>
      <rPr>
        <sz val="12"/>
        <rFont val="Arial"/>
        <family val="2"/>
      </rPr>
      <t>/ "Capital &amp; Depr"</t>
    </r>
  </si>
  <si>
    <t>Loan Proceeds</t>
  </si>
  <si>
    <r>
      <t xml:space="preserve">15 </t>
    </r>
    <r>
      <rPr>
        <sz val="12"/>
        <rFont val="Arial"/>
        <family val="2"/>
      </rPr>
      <t>/ "Capital Gains Wksht"</t>
    </r>
  </si>
  <si>
    <t>Capital Gains/Losses</t>
  </si>
  <si>
    <r>
      <t>16</t>
    </r>
    <r>
      <rPr>
        <sz val="12"/>
        <rFont val="Arial"/>
        <family val="2"/>
      </rPr>
      <t xml:space="preserve"> / "Initial Inputs"</t>
    </r>
  </si>
  <si>
    <t>Net Capital Cash Flow (13+14a+14b+14c+15+16)</t>
  </si>
  <si>
    <t>Total Cash Flow (12+17)</t>
  </si>
  <si>
    <t>Discount Factor (P/F,i,n)</t>
  </si>
  <si>
    <t>Net present value (18*19)</t>
  </si>
  <si>
    <t>Cumulative NPV</t>
  </si>
  <si>
    <t>Figures of Merit:</t>
  </si>
  <si>
    <t>Baseline MARR =</t>
  </si>
  <si>
    <t xml:space="preserve">Cumulative NPV = </t>
  </si>
  <si>
    <t>IRR=</t>
  </si>
  <si>
    <t>Capital Gain/Loss Worksheet:</t>
  </si>
  <si>
    <t>Depreciable Assets:</t>
  </si>
  <si>
    <t>Years of Service Before Disposal</t>
  </si>
  <si>
    <t>Years of Service Before DIsposal</t>
  </si>
  <si>
    <t>Depreciation Method</t>
  </si>
  <si>
    <t>Book Value of Asset</t>
  </si>
  <si>
    <t>Capital Gain/Loss</t>
  </si>
  <si>
    <t>Tax</t>
  </si>
  <si>
    <t>Net Capital Gain/Loss</t>
  </si>
  <si>
    <t>Non-Depreciable Assets:</t>
  </si>
  <si>
    <t>Initial Cost</t>
  </si>
  <si>
    <t>End of "After Tax Analysis" page</t>
  </si>
  <si>
    <t>Break Even Analysis</t>
  </si>
  <si>
    <t>Discounted Payback Period</t>
  </si>
  <si>
    <t>Discounted Payback Period Calculation</t>
  </si>
  <si>
    <t>Initial Investment</t>
  </si>
  <si>
    <t>End of Year</t>
  </si>
  <si>
    <t>Annual Cash Flow</t>
  </si>
  <si>
    <t>Discount Factor</t>
  </si>
  <si>
    <t>NPV</t>
  </si>
  <si>
    <t>Accumulative</t>
  </si>
  <si>
    <t>Revenue at</t>
  </si>
  <si>
    <t>Payback</t>
  </si>
  <si>
    <t>Operating Breakeven Analysis</t>
  </si>
  <si>
    <t xml:space="preserve">Operating Breakeven Analysis </t>
  </si>
  <si>
    <t>(Algebraic Estimation)</t>
  </si>
  <si>
    <t>Breakeven Sales Level ($)</t>
  </si>
  <si>
    <t>Calculation of % VC for Algebraic Estimation of B.E. Sales in ($)</t>
  </si>
  <si>
    <t>Breakeven Sales Volume (Total Units)*</t>
  </si>
  <si>
    <t>Product Revenue Weight</t>
  </si>
  <si>
    <t>Product Volume Weight</t>
  </si>
  <si>
    <t>Combined Weight</t>
  </si>
  <si>
    <t>Aggregate Weight</t>
  </si>
  <si>
    <t>* Product Mix (units)</t>
  </si>
  <si>
    <t>Total Sales</t>
  </si>
  <si>
    <t>Total VC</t>
  </si>
  <si>
    <t>% VC</t>
  </si>
  <si>
    <t>Weighted % VC</t>
  </si>
  <si>
    <t>Total % VC</t>
  </si>
  <si>
    <t>Total Units and Product Volume Mix for ($) Sales</t>
  </si>
  <si>
    <t>Sales Level ($)</t>
  </si>
  <si>
    <t>Accum. Units</t>
  </si>
  <si>
    <t>Sales Mix</t>
  </si>
  <si>
    <t>(Data for Graphical Approach)</t>
  </si>
  <si>
    <t>Total Revenue Line</t>
  </si>
  <si>
    <t>Units</t>
  </si>
  <si>
    <t>Cumulative Units</t>
  </si>
  <si>
    <t>Cumulative Revenue</t>
  </si>
  <si>
    <t>Total Fixed Cost Line</t>
  </si>
  <si>
    <t>Fixed Costs</t>
  </si>
  <si>
    <t>Cumulative Fixed Costs</t>
  </si>
  <si>
    <t>Total Operating Expenses Line</t>
  </si>
  <si>
    <t>Total Variable Cost</t>
  </si>
  <si>
    <t>Cumulative Total Variable Cost</t>
  </si>
  <si>
    <t>Total Costs (Fixed+Variable)</t>
  </si>
  <si>
    <t>Cumulative Total Costs</t>
  </si>
  <si>
    <t>Contribution Margin</t>
  </si>
  <si>
    <t>Contribution Margin Ratio</t>
  </si>
  <si>
    <t>Cumulative Contribution Margin</t>
  </si>
  <si>
    <t>Accum.</t>
  </si>
  <si>
    <t>CM - Fixed Cost - 0</t>
  </si>
  <si>
    <t>CM - Fixed Cost - 1</t>
  </si>
  <si>
    <t>CM - Fixed Cost - 2</t>
  </si>
  <si>
    <t>CM - Fixed Cost - 3</t>
  </si>
  <si>
    <t>CM - Fixed Cost - 4</t>
  </si>
  <si>
    <t>CM - Fixed Cost - 5</t>
  </si>
  <si>
    <t>CM - Fixed Cost - 6</t>
  </si>
  <si>
    <t>CM - Fixed Cost - 7</t>
  </si>
  <si>
    <t>CM - Fixed Cost - 8</t>
  </si>
  <si>
    <t>CM - Fixed Cost - 9</t>
  </si>
  <si>
    <t>CM - Fixed Cost - 10</t>
  </si>
  <si>
    <t>Accumulated</t>
  </si>
  <si>
    <t>Index</t>
  </si>
  <si>
    <t>Breakeven Revenue</t>
  </si>
  <si>
    <t>Breakeven Units</t>
  </si>
  <si>
    <t>End of "Break Even Analysis" page</t>
  </si>
  <si>
    <t>Breakeven Line</t>
  </si>
  <si>
    <t>Sensitivity Analysis</t>
  </si>
  <si>
    <t>Internal Rate of Return Sensitivity Analysis</t>
  </si>
  <si>
    <t>Figure of Merit = IRR, shown as % change from Base Case value</t>
  </si>
  <si>
    <t>% Change from Base Case</t>
  </si>
  <si>
    <t>Product 1       Price</t>
  </si>
  <si>
    <t>Product 1       Volume</t>
  </si>
  <si>
    <t>Product 2        Price</t>
  </si>
  <si>
    <t>Product 2        Volume</t>
  </si>
  <si>
    <t>Product 3       Price</t>
  </si>
  <si>
    <t>Product 3       Volume</t>
  </si>
  <si>
    <t>Total Expenses</t>
  </si>
  <si>
    <t>Financing</t>
  </si>
  <si>
    <t>Proceeds From Asset Disposal</t>
  </si>
  <si>
    <t>-25%</t>
  </si>
  <si>
    <t>-20%</t>
  </si>
  <si>
    <t>-15%</t>
  </si>
  <si>
    <t>-10%</t>
  </si>
  <si>
    <t>-5%</t>
  </si>
  <si>
    <t>Base Case</t>
  </si>
  <si>
    <t>+5%</t>
  </si>
  <si>
    <t>+10%</t>
  </si>
  <si>
    <t>+15%</t>
  </si>
  <si>
    <t>+20%</t>
  </si>
  <si>
    <t>+25%</t>
  </si>
  <si>
    <t>Table 1</t>
  </si>
  <si>
    <t>NOTE: "NMF" indicates thet the financial assumptions in a sensitivity case have produced a non-meaningful IRR result.</t>
  </si>
  <si>
    <t>Net Present Value Sensitivity Analysis</t>
  </si>
  <si>
    <t>Figure of Merit = NPV (PW), shown as % change from Base Case value</t>
  </si>
  <si>
    <t>Product 2       Price</t>
  </si>
  <si>
    <t>Table 2</t>
  </si>
  <si>
    <t>Results of Sensitivity Analysis-Details</t>
  </si>
  <si>
    <t>Product 1</t>
  </si>
  <si>
    <t>Sensitivity</t>
  </si>
  <si>
    <t>Volume</t>
  </si>
  <si>
    <t>Product 2</t>
  </si>
  <si>
    <t>Product 3</t>
  </si>
  <si>
    <t>Debt Ratio</t>
  </si>
  <si>
    <t>IRR</t>
  </si>
  <si>
    <t>Interest Rate</t>
  </si>
  <si>
    <t>Proceeds</t>
  </si>
  <si>
    <t>from Asset</t>
  </si>
  <si>
    <t>Disposal</t>
  </si>
  <si>
    <t>Income Statement of:</t>
  </si>
  <si>
    <t>EOY 1</t>
  </si>
  <si>
    <t>EOY 2</t>
  </si>
  <si>
    <t>EOY 3</t>
  </si>
  <si>
    <t>EOY 4</t>
  </si>
  <si>
    <t>EOY 5</t>
  </si>
  <si>
    <t>EOY 6</t>
  </si>
  <si>
    <t>EOY 7</t>
  </si>
  <si>
    <t>EOY 8</t>
  </si>
  <si>
    <t>EOY 9</t>
  </si>
  <si>
    <t>EOY 10</t>
  </si>
  <si>
    <t>1)</t>
  </si>
  <si>
    <t>Less:</t>
  </si>
  <si>
    <t>2)</t>
  </si>
  <si>
    <t>Total Variable Costs</t>
  </si>
  <si>
    <t>3)</t>
  </si>
  <si>
    <t>General, Administrative and Selling Expenses</t>
  </si>
  <si>
    <t>4)</t>
  </si>
  <si>
    <t>5)</t>
  </si>
  <si>
    <t>Net Operating Income</t>
  </si>
  <si>
    <t>6)</t>
  </si>
  <si>
    <t>Interest Expense</t>
  </si>
  <si>
    <t>7)</t>
  </si>
  <si>
    <t>Net Income Before Taxes</t>
  </si>
  <si>
    <t>8)</t>
  </si>
  <si>
    <t>Corporate Income Taxes</t>
  </si>
  <si>
    <t>9)</t>
  </si>
  <si>
    <t>Add: Investment Tax Credit</t>
  </si>
  <si>
    <t>10)</t>
  </si>
  <si>
    <t>Net Income After Taxes</t>
  </si>
  <si>
    <t>11)</t>
  </si>
  <si>
    <t>Less: Dividends paid on common stock</t>
  </si>
  <si>
    <t>12)</t>
  </si>
  <si>
    <t>Addition to Retained Earnings</t>
  </si>
  <si>
    <t>Balance Sheet</t>
  </si>
  <si>
    <t>As of EOY 0</t>
  </si>
  <si>
    <t>As of EOY 1</t>
  </si>
  <si>
    <t>As of EOY 2</t>
  </si>
  <si>
    <t>As of EOY 3</t>
  </si>
  <si>
    <t>As of EOY 4</t>
  </si>
  <si>
    <t>As of EOY 5</t>
  </si>
  <si>
    <t>As of EOY 6</t>
  </si>
  <si>
    <t>As of EOY 7</t>
  </si>
  <si>
    <t>As of EOY 8</t>
  </si>
  <si>
    <t>As of EOY 9</t>
  </si>
  <si>
    <t>As of EOY 10</t>
  </si>
  <si>
    <t>Assets</t>
  </si>
  <si>
    <t>Current Assets:</t>
  </si>
  <si>
    <t>Cash</t>
  </si>
  <si>
    <t>Total Current Assets</t>
  </si>
  <si>
    <t>Non-Current Assets:</t>
  </si>
  <si>
    <t>Property, Plant &amp; Equipment</t>
  </si>
  <si>
    <t>(At Cost)</t>
  </si>
  <si>
    <t>Less: Accumulated Depr.</t>
  </si>
  <si>
    <t>Net Book Value</t>
  </si>
  <si>
    <t>Other Assets</t>
  </si>
  <si>
    <t>Total Noncurrent Assets</t>
  </si>
  <si>
    <t>Total Assets</t>
  </si>
  <si>
    <t>Liabilities and Owners' Equity</t>
  </si>
  <si>
    <t>Current Liabilities:</t>
  </si>
  <si>
    <t>Other Current Liabilites</t>
  </si>
  <si>
    <t>Total Current Liabilities</t>
  </si>
  <si>
    <t>Non-Current Liabilities:</t>
  </si>
  <si>
    <t>Long Term Debt</t>
  </si>
  <si>
    <t>Other Noncurrent Liabilities</t>
  </si>
  <si>
    <t>Total Noncurrent Liabilities</t>
  </si>
  <si>
    <t>Total Liabilities</t>
  </si>
  <si>
    <t>Owners' Equity:</t>
  </si>
  <si>
    <t>Common Stock at Par</t>
  </si>
  <si>
    <t>Retained Earnings</t>
  </si>
  <si>
    <t>Total Owner's Equity</t>
  </si>
  <si>
    <t>Total Liabilities and Owners' Equity</t>
  </si>
  <si>
    <t>Economic Life for Current Case</t>
  </si>
  <si>
    <t>Initial Cost ($)</t>
  </si>
  <si>
    <t>Depreciable Portion ($)</t>
  </si>
  <si>
    <t>Sales(Units)</t>
  </si>
  <si>
    <t>Salvage at End of Life($)</t>
  </si>
  <si>
    <t>Unit Price ($)</t>
  </si>
  <si>
    <t>Depreciable Life (yrs)</t>
  </si>
  <si>
    <t>EOY</t>
  </si>
  <si>
    <t>Initial investimet</t>
  </si>
  <si>
    <t>(A/P,i,n)</t>
  </si>
  <si>
    <t>Annualized FIrst Cost</t>
  </si>
  <si>
    <t>Select Either MACRS or SL Depreciation</t>
  </si>
  <si>
    <t>Enter "0" for SL. Enter "1" for MSCRS</t>
  </si>
  <si>
    <t>Salvage Value</t>
  </si>
  <si>
    <t>(A/F,i,n)</t>
  </si>
  <si>
    <t>Annualized Return</t>
  </si>
  <si>
    <t>Capital Recovery</t>
  </si>
  <si>
    <t>Capital Recovery Cost</t>
  </si>
  <si>
    <t>Operating Costs</t>
  </si>
  <si>
    <t>Annual Parts Cost</t>
  </si>
  <si>
    <t>(P/F,i,n)</t>
  </si>
  <si>
    <t>NPV ($/yr)</t>
  </si>
  <si>
    <t>EUAC ($/yr)</t>
  </si>
  <si>
    <t>Economic Life</t>
  </si>
  <si>
    <t>Operating Cost</t>
  </si>
  <si>
    <t>Total EUAC</t>
  </si>
  <si>
    <t>Economic Life is</t>
  </si>
  <si>
    <t>years.</t>
  </si>
  <si>
    <t>Financial Ratio Worksheet</t>
  </si>
  <si>
    <t>DuPont System of Analysis</t>
  </si>
  <si>
    <t>The DuPont system breaks the firm's return on equity (ROE) into measures of profitibility, efficiency in use of assets to generate sales, and the use of debt leverage.</t>
  </si>
  <si>
    <t>One element of the DuPont System is the measure of the financial condition of the firm based on its Return On total Assets (ROA).</t>
  </si>
  <si>
    <t>ROA is derived by relating the firm's profitibility on sales (net profit margin) to how efficiently assets were used to generate sales (total asset turnover).</t>
  </si>
  <si>
    <t xml:space="preserve">ROA = (net profit margin) x (total asset turnover) </t>
  </si>
  <si>
    <t>net profit margin = (net profit after taxes) / (sales)</t>
  </si>
  <si>
    <t>total asset turnover = (sales) / (total assets)</t>
  </si>
  <si>
    <t>net profit margin</t>
  </si>
  <si>
    <t>total asset turnover</t>
  </si>
  <si>
    <t>ROA</t>
  </si>
  <si>
    <t>Modified DuPont Formula</t>
  </si>
  <si>
    <t>The modified DuPont formula provides a measure of the financial condition of the firm based on its Return On Equity (ROE).</t>
  </si>
  <si>
    <t>ROE is derived by relating the firm's return on total assets (ROA) to the amount of debt leverage employed (financial leverage multiplier (FLM)).</t>
  </si>
  <si>
    <t>ROE = (ROA) x (financial leverage multiplier)</t>
  </si>
  <si>
    <t>financial leverage multiplier = (total assets) / (owner's equity)</t>
  </si>
  <si>
    <t>financial leverage multipler</t>
  </si>
  <si>
    <t>ROE</t>
  </si>
  <si>
    <t>The Debt Ratio measures the amount of debt leverage employed by a firm.</t>
  </si>
  <si>
    <t>Debt Ratio = (Total Liabilities) / (Total Assets)</t>
  </si>
  <si>
    <t>Times Interest Earned Ratio</t>
  </si>
  <si>
    <t>The times interest earned ratio is a measure of the firm's ability to make contractual interest payments.</t>
  </si>
  <si>
    <t>Times Interest Earned = (earnings before interest and taxes) / (interest)</t>
  </si>
  <si>
    <t>Times Interest Earned</t>
  </si>
  <si>
    <t>Fixed Payment Coverage Ratio</t>
  </si>
  <si>
    <t>The fixed payment coverage ratio is a measure of the firm's ability to meet all fixed paymnet obligations</t>
  </si>
  <si>
    <t>Fixed Payment Coverage Ratio = (earnings before interest and taxes + lease payments) / (interest + lease payments + [(principle payments + preferred stock dividends) x {1/(1-T)}])</t>
  </si>
  <si>
    <t>Capital Gains Worksheet</t>
  </si>
  <si>
    <t>Depreciable Assets</t>
  </si>
  <si>
    <t>Asset #1</t>
  </si>
  <si>
    <t>Proceeds from Disposal of Assets</t>
  </si>
  <si>
    <t>I/O Asset 1</t>
  </si>
  <si>
    <t>Year of Disposal</t>
  </si>
  <si>
    <t>I/O Asset 2</t>
  </si>
  <si>
    <t>I/O Asset 3</t>
  </si>
  <si>
    <t>Asset #2</t>
  </si>
  <si>
    <t>I/O Asset 4</t>
  </si>
  <si>
    <t>B.V. Asset 1</t>
  </si>
  <si>
    <t>B.V. Asset 2</t>
  </si>
  <si>
    <t>Asset #3</t>
  </si>
  <si>
    <t>B.V. Asset 3</t>
  </si>
  <si>
    <t>B.V. Asset 4</t>
  </si>
  <si>
    <t>Capital Gain/Loss Asset A</t>
  </si>
  <si>
    <t>Asset #4</t>
  </si>
  <si>
    <t>Capital Gain/Loss Asset B</t>
  </si>
  <si>
    <t>Capital Gain/Loss Asset C</t>
  </si>
  <si>
    <t>Year of DIsposal</t>
  </si>
  <si>
    <t>Capital Gain/Loss Asset D</t>
  </si>
  <si>
    <t>Capital Gain/Loss Asset Z</t>
  </si>
  <si>
    <t>Capital Gain/Loss Asset Y</t>
  </si>
  <si>
    <t>Sum:</t>
  </si>
  <si>
    <t>Accumulated Depreciation Asset 1</t>
  </si>
  <si>
    <t>Accumulated Depreciation Asset 2</t>
  </si>
  <si>
    <t>Accumulated Depreciation Asset 3</t>
  </si>
  <si>
    <t>Accumulated Depreciation Asset 4</t>
  </si>
  <si>
    <t>Installed Asset 1</t>
  </si>
  <si>
    <t>Installed Asset 2</t>
  </si>
  <si>
    <t>Installed Asset 3</t>
  </si>
  <si>
    <t>Installed Asset 4</t>
  </si>
  <si>
    <t>Asset 1 M.V. at Time of Sale</t>
  </si>
  <si>
    <t>Asset 2 M.V. at Time of Sale</t>
  </si>
  <si>
    <t>Asset 3 M.V. at Time of Sale</t>
  </si>
  <si>
    <t>Asset 4 M.V. at Time of Sale</t>
  </si>
  <si>
    <t>Depreciation Asset 1</t>
  </si>
  <si>
    <t>Depreciation Asset 2</t>
  </si>
  <si>
    <t>Depreciation Asset 3</t>
  </si>
  <si>
    <t>Depreciation Asset 4</t>
  </si>
  <si>
    <t>Asset 1 Proceeds</t>
  </si>
  <si>
    <t>Asset 2 Proceeds</t>
  </si>
  <si>
    <t>Asset 3 Proceeds</t>
  </si>
  <si>
    <t>Asset 4 Proceeds</t>
  </si>
  <si>
    <t>Non-Depreciable Assets</t>
  </si>
  <si>
    <t># Years after which asset will be disposed</t>
  </si>
  <si>
    <t>I/O Asset Z</t>
  </si>
  <si>
    <t>I/O Asset Y</t>
  </si>
  <si>
    <t>Asset Z M.V. at Disposal</t>
  </si>
  <si>
    <t>Asset Y M.V. at Disposal</t>
  </si>
  <si>
    <t>Disposal Proceeds Sensitivity Worksheet</t>
  </si>
  <si>
    <t>Asset # 1</t>
  </si>
  <si>
    <t>Asset # 2</t>
  </si>
  <si>
    <t>Asset # 3</t>
  </si>
  <si>
    <t>Asset # 4</t>
  </si>
  <si>
    <t>Capital Gain Tax Rate:</t>
  </si>
  <si>
    <t>Base Case Proceeds From Disposal of Asset</t>
  </si>
  <si>
    <t>Proceeds From Disposal of Asset</t>
  </si>
  <si>
    <t>Capital Gain/Loss Asset 1</t>
  </si>
  <si>
    <t>Capital Gain/Loss Asset 2</t>
  </si>
  <si>
    <t>Capital Gain/Loss Asset 3</t>
  </si>
  <si>
    <t>Capital Gain/Loss Asset 4</t>
  </si>
  <si>
    <t>year</t>
  </si>
  <si>
    <t>Operating Revenues</t>
  </si>
  <si>
    <t>Cash Expenses</t>
  </si>
  <si>
    <t>Operating Income</t>
  </si>
  <si>
    <t>Pre Tax Net Income</t>
  </si>
  <si>
    <t>Income Taxes at Specified Rate</t>
  </si>
  <si>
    <t>Net Income AT</t>
  </si>
  <si>
    <t>Net Cash Flow from Operations</t>
  </si>
  <si>
    <t>Principle Repayment</t>
  </si>
  <si>
    <t>Equity Capital</t>
  </si>
  <si>
    <t>Non-Depr Capital</t>
  </si>
  <si>
    <t>Net Capital Cash Flow</t>
  </si>
  <si>
    <t>Total Cash Flow</t>
  </si>
  <si>
    <t>Net Present Value</t>
  </si>
  <si>
    <t>% chg fm BseCse</t>
  </si>
  <si>
    <t>Level Payment Financing Sensitivity Worksheet</t>
  </si>
  <si>
    <t>Calculates and Reports the effect of changes in the amount of borrowed capital to the Sensitivity Analysis Page</t>
  </si>
  <si>
    <t>IRR and NPV at bottom of page</t>
  </si>
  <si>
    <t>Base Case Loan Proceeds</t>
  </si>
  <si>
    <t>From Level Payment Calc Wksht</t>
  </si>
  <si>
    <t>Net Cash Flow From Operations</t>
  </si>
  <si>
    <t>from Level Paymt Interest Calc Wksht</t>
  </si>
  <si>
    <t>% change from Base</t>
  </si>
  <si>
    <t>0%</t>
  </si>
  <si>
    <t>Level Principal Payment Financing Sensitivity Worksheet</t>
  </si>
  <si>
    <t>From Level Payment Fin Sens Calc</t>
  </si>
  <si>
    <t>from Level Principle Payment Calc</t>
  </si>
  <si>
    <t>Level Principal Payment Financial Sensitivity Calculation</t>
  </si>
  <si>
    <t>Calculates interest for loan repayment where total payments are equal for all periods for sensitivity to changing amount borrowed</t>
  </si>
  <si>
    <t>Amortize over (Yrs)</t>
  </si>
  <si>
    <t>MONTH</t>
  </si>
  <si>
    <t>Periodic payment:</t>
  </si>
  <si>
    <t>Loan amount:</t>
  </si>
  <si>
    <t>Principal</t>
  </si>
  <si>
    <t>SUMMARY</t>
  </si>
  <si>
    <t>Loan Amount:</t>
  </si>
  <si>
    <t>MAY NOT USE THIS SHEET</t>
  </si>
  <si>
    <t>Borrowed Amount</t>
  </si>
  <si>
    <t>Annual Rate</t>
  </si>
  <si>
    <t>Periodic Rate</t>
  </si>
  <si>
    <t>Annual Payment =</t>
  </si>
  <si>
    <t>Total Repayment =</t>
  </si>
  <si>
    <t>Amortization</t>
  </si>
  <si>
    <t>Level Principle Payment Interest Rate Sensitivity Calculation</t>
  </si>
  <si>
    <t>Level Principle Payment Interest Rate Sensitivity Worksheet</t>
  </si>
  <si>
    <t>Changing the interest rate charged on the base case amount of borrowed capital (held constant)</t>
  </si>
  <si>
    <t>Level Payment Interest Rate Sensitivity Calculation</t>
  </si>
  <si>
    <t>Changing the interest rate on the base case loan amount</t>
  </si>
  <si>
    <t>Results used in Interest Rate Sensitivity Wksht</t>
  </si>
  <si>
    <t>Term</t>
  </si>
  <si>
    <t>HERE</t>
  </si>
  <si>
    <t>Level Payment Interest Rate Sensitivity Worksheet</t>
  </si>
  <si>
    <t>Level Payment Financial Sensitivity Calculation</t>
  </si>
  <si>
    <t>Price sensitivity for Product 1</t>
  </si>
  <si>
    <t>SUMMARY:</t>
  </si>
  <si>
    <t>% chg fm Base</t>
  </si>
  <si>
    <t>Base case MARR</t>
  </si>
  <si>
    <t>Base Case Revenue</t>
  </si>
  <si>
    <t>Tests -25%</t>
  </si>
  <si>
    <t>Product 1 Revenue</t>
  </si>
  <si>
    <t>Product 2 Revenue</t>
  </si>
  <si>
    <t>Product 3 Revenue</t>
  </si>
  <si>
    <t>Total revenue-adjusted</t>
  </si>
  <si>
    <t>IRR =</t>
  </si>
  <si>
    <t>Tests -20%</t>
  </si>
  <si>
    <t>Total revenue</t>
  </si>
  <si>
    <t>2 / "Expenses"</t>
  </si>
  <si>
    <t>4 / "Expenses"</t>
  </si>
  <si>
    <t>6 / "Loan Amortization"</t>
  </si>
  <si>
    <t>11 / "Expenses"</t>
  </si>
  <si>
    <t>13 / "Loan Amortization"</t>
  </si>
  <si>
    <t>14a / "Capital &amp; Depr"</t>
  </si>
  <si>
    <t>14b / "Capital &amp; Depr"</t>
  </si>
  <si>
    <t>14c / "Capital &amp; Depr"</t>
  </si>
  <si>
    <t>15 / "Capital Gains Wksht"</t>
  </si>
  <si>
    <t>16 / "Initial Inputs"</t>
  </si>
  <si>
    <t>Tests -15%</t>
  </si>
  <si>
    <t>Tests -10%</t>
  </si>
  <si>
    <t>Tests -5%</t>
  </si>
  <si>
    <t>Tests +5%</t>
  </si>
  <si>
    <t>Tests +10%</t>
  </si>
  <si>
    <t>Tests +15%</t>
  </si>
  <si>
    <t>Tests +20%</t>
  </si>
  <si>
    <t xml:space="preserve">Tests </t>
  </si>
  <si>
    <t>Tests +25%</t>
  </si>
  <si>
    <t>Volume sensitivity for Product 1</t>
  </si>
  <si>
    <t>Price sensitivity for Product 2</t>
  </si>
  <si>
    <t>From A T Analysis</t>
  </si>
  <si>
    <t>Volume sensitivity for Product 2</t>
  </si>
  <si>
    <t>Price sensitivity for Product 3</t>
  </si>
  <si>
    <t>Volume sensitivity for Product 3</t>
  </si>
  <si>
    <t>Expense sensitivity</t>
  </si>
  <si>
    <t>MARR sensitivity</t>
  </si>
  <si>
    <t>Adj MARR</t>
  </si>
  <si>
    <t xml:space="preserve">Gaskins Toilets Inc. </t>
  </si>
  <si>
    <t>The Gaskins Potty</t>
  </si>
  <si>
    <t>Alex Gaskins</t>
  </si>
  <si>
    <t xml:space="preserve">"I pledge my honor I have abided by the Stevens Honor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</si>
</sst>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0.000%"/>
    <numFmt numFmtId="166" formatCode="0.0"/>
    <numFmt numFmtId="167" formatCode="_(* #,##0_);_(* \(#,##0\);_(* &quot;-&quot;??_);_(@_)"/>
    <numFmt numFmtId="168" formatCode="_(* #,##0.000_);_(* \(#,##0.000\);_(* &quot;-&quot;??_);_(@_)"/>
    <numFmt numFmtId="169" formatCode="_(* #,##0.0000_);_(* \(#,##0.0000\);_(* &quot;-&quot;??_);_(@_)"/>
    <numFmt numFmtId="170" formatCode="0.000000"/>
    <numFmt numFmtId="171" formatCode="0.00000"/>
    <numFmt numFmtId="172" formatCode="0.0000"/>
    <numFmt numFmtId="173" formatCode="0.0%"/>
    <numFmt numFmtId="174" formatCode="&quot;$&quot;#,##0"/>
    <numFmt numFmtId="175" formatCode="#,##0.0000_);[Red]\(#,##0.0000\)"/>
    <numFmt numFmtId="176" formatCode="0.0000%"/>
    <numFmt numFmtId="177" formatCode="[$$-409]#,##0_);[Red]\([$$-409]#,##0\)"/>
    <numFmt numFmtId="178" formatCode="_(* #,##0.000_);_(* \(#,##0.000\);_(* &quot;-&quot;???_);_(@_)"/>
  </numFmts>
  <fonts count="33" x14ac:knownFonts="1">
    <font>
      <sz val="10"/>
      <name val="Arial"/>
    </font>
    <font>
      <sz val="10"/>
      <name val="Arial"/>
      <family val="2"/>
    </font>
    <font>
      <b/>
      <sz val="10"/>
      <name val="Arial"/>
      <family val="2"/>
    </font>
    <font>
      <b/>
      <u/>
      <sz val="10"/>
      <name val="Arial"/>
      <family val="2"/>
    </font>
    <font>
      <b/>
      <sz val="12"/>
      <name val="Arial"/>
      <family val="2"/>
    </font>
    <font>
      <sz val="12"/>
      <name val="Arial"/>
      <family val="2"/>
    </font>
    <font>
      <b/>
      <i/>
      <sz val="10"/>
      <name val="Arial"/>
      <family val="2"/>
    </font>
    <font>
      <b/>
      <sz val="8"/>
      <name val="Arial"/>
      <family val="2"/>
    </font>
    <font>
      <b/>
      <i/>
      <u/>
      <sz val="14"/>
      <color indexed="10"/>
      <name val="Arial"/>
      <family val="2"/>
    </font>
    <font>
      <sz val="8"/>
      <color indexed="81"/>
      <name val="Tahoma"/>
      <family val="2"/>
    </font>
    <font>
      <b/>
      <sz val="8"/>
      <color indexed="81"/>
      <name val="Tahoma"/>
      <family val="2"/>
    </font>
    <font>
      <b/>
      <sz val="12"/>
      <color indexed="16"/>
      <name val="Arial"/>
      <family val="2"/>
    </font>
    <font>
      <b/>
      <sz val="12"/>
      <color indexed="10"/>
      <name val="Arial"/>
      <family val="2"/>
    </font>
    <font>
      <b/>
      <u/>
      <sz val="12"/>
      <color indexed="10"/>
      <name val="Arial"/>
      <family val="2"/>
    </font>
    <font>
      <b/>
      <i/>
      <sz val="8"/>
      <color indexed="81"/>
      <name val="Tahoma"/>
      <family val="2"/>
    </font>
    <font>
      <b/>
      <sz val="10"/>
      <color indexed="10"/>
      <name val="Arial"/>
      <family val="2"/>
    </font>
    <font>
      <i/>
      <sz val="10"/>
      <name val="Arial"/>
      <family val="2"/>
    </font>
    <font>
      <sz val="14"/>
      <name val="Arial"/>
      <family val="2"/>
    </font>
    <font>
      <b/>
      <sz val="14"/>
      <name val="Arial"/>
      <family val="2"/>
    </font>
    <font>
      <b/>
      <vertAlign val="subscript"/>
      <sz val="20"/>
      <name val="Arial"/>
      <family val="2"/>
    </font>
    <font>
      <b/>
      <u/>
      <sz val="16"/>
      <color indexed="10"/>
      <name val="Arial"/>
      <family val="2"/>
    </font>
    <font>
      <b/>
      <sz val="14"/>
      <color indexed="10"/>
      <name val="Arial"/>
      <family val="2"/>
    </font>
    <font>
      <b/>
      <sz val="10"/>
      <color indexed="58"/>
      <name val="Arial"/>
      <family val="2"/>
    </font>
    <font>
      <b/>
      <u/>
      <sz val="18"/>
      <color indexed="10"/>
      <name val="Arial"/>
      <family val="2"/>
    </font>
    <font>
      <sz val="10"/>
      <color theme="1"/>
      <name val="Arial"/>
      <family val="2"/>
    </font>
    <font>
      <b/>
      <sz val="9.5"/>
      <name val="Arial"/>
      <family val="2"/>
    </font>
    <font>
      <sz val="9.5"/>
      <name val="Arial"/>
      <family val="2"/>
    </font>
    <font>
      <sz val="10"/>
      <color rgb="FFFF0000"/>
      <name val="Arial"/>
      <family val="2"/>
    </font>
    <font>
      <sz val="10"/>
      <color theme="0"/>
      <name val="Arial"/>
      <family val="2"/>
    </font>
    <font>
      <i/>
      <sz val="12"/>
      <color rgb="FF7F7F7F"/>
      <name val="Calibri"/>
      <family val="2"/>
      <scheme val="minor"/>
    </font>
    <font>
      <b/>
      <sz val="12"/>
      <name val="Arial"/>
      <family val="2"/>
      <charset val="1"/>
    </font>
    <font>
      <b/>
      <sz val="8"/>
      <color rgb="FF000000"/>
      <name val="Tahoma"/>
      <family val="2"/>
    </font>
    <font>
      <sz val="8"/>
      <color rgb="FF000000"/>
      <name val="Tahoma"/>
      <family val="2"/>
    </font>
  </fonts>
  <fills count="16">
    <fill>
      <patternFill patternType="none"/>
    </fill>
    <fill>
      <patternFill patternType="gray125"/>
    </fill>
    <fill>
      <patternFill patternType="solid">
        <fgColor indexed="40"/>
        <bgColor indexed="64"/>
      </patternFill>
    </fill>
    <fill>
      <patternFill patternType="solid">
        <fgColor indexed="22"/>
        <bgColor indexed="64"/>
      </patternFill>
    </fill>
    <fill>
      <patternFill patternType="solid">
        <fgColor indexed="45"/>
        <bgColor indexed="64"/>
      </patternFill>
    </fill>
    <fill>
      <patternFill patternType="solid">
        <fgColor indexed="55"/>
        <bgColor indexed="64"/>
      </patternFill>
    </fill>
    <fill>
      <patternFill patternType="solid">
        <fgColor indexed="11"/>
        <bgColor indexed="64"/>
      </patternFill>
    </fill>
    <fill>
      <patternFill patternType="solid">
        <fgColor indexed="43"/>
        <bgColor indexed="64"/>
      </patternFill>
    </fill>
    <fill>
      <patternFill patternType="solid">
        <fgColor indexed="42"/>
        <bgColor indexed="64"/>
      </patternFill>
    </fill>
    <fill>
      <patternFill patternType="solid">
        <fgColor indexed="51"/>
        <bgColor indexed="64"/>
      </patternFill>
    </fill>
    <fill>
      <patternFill patternType="solid">
        <fgColor indexed="31"/>
        <bgColor indexed="64"/>
      </patternFill>
    </fill>
    <fill>
      <patternFill patternType="solid">
        <fgColor indexed="47"/>
        <bgColor indexed="64"/>
      </patternFill>
    </fill>
    <fill>
      <patternFill patternType="solid">
        <fgColor indexed="13"/>
        <bgColor indexed="64"/>
      </patternFill>
    </fill>
    <fill>
      <patternFill patternType="solid">
        <fgColor indexed="41"/>
        <bgColor indexed="64"/>
      </patternFill>
    </fill>
    <fill>
      <patternFill patternType="solid">
        <fgColor theme="4" tint="0.79998168889431442"/>
        <bgColor indexed="64"/>
      </patternFill>
    </fill>
    <fill>
      <patternFill patternType="solid">
        <fgColor rgb="FF00CCFF"/>
        <bgColor rgb="FF000000"/>
      </patternFill>
    </fill>
  </fills>
  <borders count="8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top style="thick">
        <color auto="1"/>
      </top>
      <bottom style="medium">
        <color auto="1"/>
      </bottom>
      <diagonal/>
    </border>
    <border>
      <left style="thin">
        <color auto="1"/>
      </left>
      <right style="thick">
        <color auto="1"/>
      </right>
      <top style="thick">
        <color auto="1"/>
      </top>
      <bottom style="medium">
        <color auto="1"/>
      </bottom>
      <diagonal/>
    </border>
    <border>
      <left style="thin">
        <color auto="1"/>
      </left>
      <right style="thin">
        <color auto="1"/>
      </right>
      <top style="thin">
        <color auto="1"/>
      </top>
      <bottom style="thick">
        <color auto="1"/>
      </bottom>
      <diagonal/>
    </border>
    <border>
      <left/>
      <right style="thin">
        <color auto="1"/>
      </right>
      <top style="thin">
        <color auto="1"/>
      </top>
      <bottom/>
      <diagonal/>
    </border>
    <border>
      <left/>
      <right/>
      <top style="thin">
        <color auto="1"/>
      </top>
      <bottom/>
      <diagonal/>
    </border>
    <border>
      <left style="thin">
        <color auto="1"/>
      </left>
      <right style="thick">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ck">
        <color auto="1"/>
      </top>
      <bottom style="thin">
        <color auto="1"/>
      </bottom>
      <diagonal/>
    </border>
    <border>
      <left/>
      <right/>
      <top/>
      <bottom style="thick">
        <color auto="1"/>
      </bottom>
      <diagonal/>
    </border>
    <border>
      <left/>
      <right/>
      <top style="thin">
        <color auto="1"/>
      </top>
      <bottom style="thin">
        <color auto="1"/>
      </bottom>
      <diagonal/>
    </border>
    <border>
      <left style="thin">
        <color auto="1"/>
      </left>
      <right style="thick">
        <color auto="1"/>
      </right>
      <top style="thin">
        <color auto="1"/>
      </top>
      <bottom style="thick">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thick">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double">
        <color auto="1"/>
      </bottom>
      <diagonal/>
    </border>
    <border>
      <left/>
      <right style="medium">
        <color auto="1"/>
      </right>
      <top style="medium">
        <color auto="1"/>
      </top>
      <bottom/>
      <diagonal/>
    </border>
    <border>
      <left/>
      <right style="medium">
        <color auto="1"/>
      </right>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diagonal/>
    </border>
    <border>
      <left style="thin">
        <color auto="1"/>
      </left>
      <right/>
      <top/>
      <bottom style="medium">
        <color auto="1"/>
      </bottom>
      <diagonal/>
    </border>
    <border>
      <left/>
      <right style="medium">
        <color auto="1"/>
      </right>
      <top style="thin">
        <color auto="1"/>
      </top>
      <bottom/>
      <diagonal/>
    </border>
    <border>
      <left/>
      <right style="medium">
        <color auto="1"/>
      </right>
      <top style="medium">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diagonal/>
    </border>
    <border>
      <left style="thin">
        <color auto="1"/>
      </left>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style="medium">
        <color auto="1"/>
      </left>
      <right style="medium">
        <color auto="1"/>
      </right>
      <top/>
      <bottom/>
      <diagonal/>
    </border>
    <border>
      <left style="medium">
        <color auto="1"/>
      </left>
      <right/>
      <top style="medium">
        <color auto="1"/>
      </top>
      <bottom style="medium">
        <color auto="1"/>
      </bottom>
      <diagonal/>
    </border>
    <border>
      <left style="medium">
        <color auto="1"/>
      </left>
      <right style="medium">
        <color auto="1"/>
      </right>
      <top/>
      <bottom style="medium">
        <color auto="1"/>
      </bottom>
      <diagonal/>
    </border>
    <border>
      <left/>
      <right/>
      <top style="medium">
        <color auto="1"/>
      </top>
      <bottom style="medium">
        <color auto="1"/>
      </bottom>
      <diagonal/>
    </border>
    <border>
      <left style="medium">
        <color auto="1"/>
      </left>
      <right style="thin">
        <color auto="1"/>
      </right>
      <top style="thin">
        <color auto="1"/>
      </top>
      <bottom/>
      <diagonal/>
    </border>
    <border>
      <left/>
      <right style="thin">
        <color auto="1"/>
      </right>
      <top/>
      <bottom style="thin">
        <color auto="1"/>
      </bottom>
      <diagonal/>
    </border>
    <border>
      <left/>
      <right style="double">
        <color auto="1"/>
      </right>
      <top/>
      <bottom/>
      <diagonal/>
    </border>
    <border>
      <left style="double">
        <color auto="1"/>
      </left>
      <right/>
      <top/>
      <bottom/>
      <diagonal/>
    </border>
    <border>
      <left style="double">
        <color auto="1"/>
      </left>
      <right style="medium">
        <color auto="1"/>
      </right>
      <top style="medium">
        <color auto="1"/>
      </top>
      <bottom style="medium">
        <color auto="1"/>
      </bottom>
      <diagonal/>
    </border>
    <border>
      <left style="medium">
        <color auto="1"/>
      </left>
      <right style="double">
        <color auto="1"/>
      </right>
      <top style="medium">
        <color auto="1"/>
      </top>
      <bottom style="medium">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medium">
        <color auto="1"/>
      </top>
      <bottom style="double">
        <color auto="1"/>
      </bottom>
      <diagonal/>
    </border>
    <border>
      <left style="double">
        <color auto="1"/>
      </left>
      <right/>
      <top style="double">
        <color auto="1"/>
      </top>
      <bottom style="thin">
        <color auto="1"/>
      </bottom>
      <diagonal/>
    </border>
    <border>
      <left/>
      <right style="double">
        <color auto="1"/>
      </right>
      <top style="double">
        <color auto="1"/>
      </top>
      <bottom style="thin">
        <color auto="1"/>
      </bottom>
      <diagonal/>
    </border>
    <border>
      <left style="thin">
        <color auto="1"/>
      </left>
      <right style="thin">
        <color auto="1"/>
      </right>
      <top/>
      <bottom/>
      <diagonal/>
    </border>
    <border>
      <left style="thin">
        <color theme="1"/>
      </left>
      <right style="thin">
        <color theme="1"/>
      </right>
      <top style="thin">
        <color theme="1"/>
      </top>
      <bottom style="thin">
        <color theme="1"/>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0" fontId="29" fillId="0" borderId="0" applyNumberFormat="0" applyFill="0" applyBorder="0" applyAlignment="0" applyProtection="0"/>
  </cellStyleXfs>
  <cellXfs count="755">
    <xf numFmtId="0" fontId="0" fillId="0" borderId="0" xfId="0"/>
    <xf numFmtId="0" fontId="2" fillId="0" borderId="0" xfId="0" applyFont="1"/>
    <xf numFmtId="6" fontId="0" fillId="0" borderId="0" xfId="0" applyNumberFormat="1"/>
    <xf numFmtId="8" fontId="0" fillId="0" borderId="0" xfId="0" applyNumberFormat="1"/>
    <xf numFmtId="0" fontId="0" fillId="0" borderId="0" xfId="0" applyAlignment="1">
      <alignment horizontal="center"/>
    </xf>
    <xf numFmtId="0" fontId="0" fillId="0" borderId="1" xfId="0" applyBorder="1" applyAlignment="1">
      <alignment horizontal="center"/>
    </xf>
    <xf numFmtId="44" fontId="0" fillId="0" borderId="0" xfId="0" applyNumberFormat="1"/>
    <xf numFmtId="44" fontId="0" fillId="0" borderId="0" xfId="2" applyFont="1" applyBorder="1"/>
    <xf numFmtId="9" fontId="0" fillId="0" borderId="0" xfId="0" applyNumberFormat="1"/>
    <xf numFmtId="165" fontId="0" fillId="0" borderId="0" xfId="3" applyNumberFormat="1" applyFont="1" applyBorder="1"/>
    <xf numFmtId="44" fontId="0" fillId="0" borderId="0" xfId="2" applyFont="1" applyAlignment="1">
      <alignment horizontal="center"/>
    </xf>
    <xf numFmtId="0" fontId="3" fillId="0" borderId="0" xfId="0" applyFont="1"/>
    <xf numFmtId="0" fontId="0" fillId="0" borderId="2" xfId="0" applyBorder="1"/>
    <xf numFmtId="0" fontId="0" fillId="2" borderId="2" xfId="0" applyFill="1" applyBorder="1"/>
    <xf numFmtId="0" fontId="0" fillId="0" borderId="2" xfId="0" applyBorder="1" applyAlignment="1">
      <alignment horizontal="center"/>
    </xf>
    <xf numFmtId="44" fontId="0" fillId="0" borderId="2" xfId="2" applyFont="1" applyBorder="1"/>
    <xf numFmtId="169" fontId="0" fillId="0" borderId="2" xfId="1" applyNumberFormat="1" applyFont="1" applyBorder="1" applyAlignment="1">
      <alignment horizontal="center"/>
    </xf>
    <xf numFmtId="44" fontId="0" fillId="0" borderId="2" xfId="2" applyFont="1" applyBorder="1" applyAlignment="1">
      <alignment horizontal="center"/>
    </xf>
    <xf numFmtId="169" fontId="0" fillId="0" borderId="2" xfId="1" applyNumberFormat="1" applyFont="1" applyBorder="1"/>
    <xf numFmtId="172" fontId="0" fillId="0" borderId="2" xfId="0" applyNumberFormat="1" applyBorder="1"/>
    <xf numFmtId="169" fontId="0" fillId="0" borderId="2" xfId="0" applyNumberFormat="1" applyBorder="1"/>
    <xf numFmtId="0" fontId="0" fillId="3" borderId="2" xfId="0" applyFill="1" applyBorder="1" applyAlignment="1">
      <alignment horizontal="center"/>
    </xf>
    <xf numFmtId="0" fontId="2" fillId="0" borderId="0" xfId="0" applyFont="1" applyAlignment="1">
      <alignment horizontal="center"/>
    </xf>
    <xf numFmtId="0" fontId="2" fillId="0" borderId="2" xfId="0" applyFont="1" applyBorder="1" applyAlignment="1">
      <alignment wrapText="1"/>
    </xf>
    <xf numFmtId="0" fontId="0" fillId="4" borderId="2" xfId="0" applyFill="1" applyBorder="1"/>
    <xf numFmtId="172" fontId="0" fillId="4" borderId="2" xfId="0" applyNumberFormat="1" applyFill="1" applyBorder="1"/>
    <xf numFmtId="0" fontId="2" fillId="0" borderId="2" xfId="0" applyFont="1" applyBorder="1" applyAlignment="1">
      <alignment horizontal="center"/>
    </xf>
    <xf numFmtId="0" fontId="2" fillId="0" borderId="2" xfId="0" applyFont="1" applyBorder="1" applyAlignment="1">
      <alignment horizontal="center" wrapText="1"/>
    </xf>
    <xf numFmtId="0" fontId="2" fillId="0" borderId="2" xfId="0" applyFont="1" applyBorder="1"/>
    <xf numFmtId="0" fontId="2" fillId="0" borderId="3" xfId="0" applyFont="1" applyBorder="1" applyAlignment="1">
      <alignment horizontal="right"/>
    </xf>
    <xf numFmtId="0" fontId="2" fillId="0" borderId="4" xfId="0" applyFont="1" applyBorder="1"/>
    <xf numFmtId="169" fontId="2" fillId="0" borderId="2" xfId="1" applyNumberFormat="1" applyFont="1" applyBorder="1" applyAlignment="1">
      <alignment horizontal="right"/>
    </xf>
    <xf numFmtId="0" fontId="2" fillId="0" borderId="5" xfId="0" applyFont="1" applyBorder="1"/>
    <xf numFmtId="0" fontId="2" fillId="0" borderId="2" xfId="0" applyFont="1" applyBorder="1" applyAlignment="1">
      <alignment horizontal="center" wrapText="1" shrinkToFit="1"/>
    </xf>
    <xf numFmtId="10" fontId="0" fillId="4" borderId="2" xfId="3" applyNumberFormat="1" applyFont="1" applyFill="1" applyBorder="1"/>
    <xf numFmtId="0" fontId="0" fillId="0" borderId="0" xfId="0" applyAlignment="1">
      <alignment horizontal="right"/>
    </xf>
    <xf numFmtId="0" fontId="2" fillId="0" borderId="0" xfId="0" applyFont="1" applyAlignment="1">
      <alignment horizontal="right"/>
    </xf>
    <xf numFmtId="0" fontId="2" fillId="0" borderId="0" xfId="0" applyFont="1" applyAlignment="1">
      <alignment wrapText="1"/>
    </xf>
    <xf numFmtId="0" fontId="2" fillId="0" borderId="6" xfId="0" applyFont="1" applyBorder="1" applyAlignment="1">
      <alignment horizontal="center"/>
    </xf>
    <xf numFmtId="0" fontId="5" fillId="0" borderId="0" xfId="0" applyFont="1"/>
    <xf numFmtId="0" fontId="5" fillId="0" borderId="7" xfId="0" applyFont="1" applyBorder="1"/>
    <xf numFmtId="0" fontId="5" fillId="0" borderId="8"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5" fillId="0" borderId="5" xfId="0" applyFont="1" applyBorder="1" applyAlignment="1">
      <alignment horizontal="center"/>
    </xf>
    <xf numFmtId="0" fontId="5" fillId="0" borderId="2" xfId="0" applyFont="1" applyBorder="1" applyAlignment="1">
      <alignment horizontal="center"/>
    </xf>
    <xf numFmtId="0" fontId="5" fillId="0" borderId="11" xfId="0" applyFont="1" applyBorder="1" applyAlignment="1">
      <alignment horizontal="center"/>
    </xf>
    <xf numFmtId="0" fontId="4" fillId="0" borderId="0" xfId="0" applyFont="1"/>
    <xf numFmtId="44" fontId="0" fillId="0" borderId="0" xfId="2" applyFont="1" applyFill="1" applyBorder="1"/>
    <xf numFmtId="0" fontId="0" fillId="0" borderId="2" xfId="0" applyBorder="1" applyAlignment="1">
      <alignment wrapText="1"/>
    </xf>
    <xf numFmtId="0" fontId="2" fillId="0" borderId="12" xfId="0" applyFont="1" applyBorder="1" applyAlignment="1">
      <alignment horizontal="center"/>
    </xf>
    <xf numFmtId="0" fontId="2" fillId="0" borderId="2" xfId="0" applyFont="1" applyBorder="1" applyAlignment="1">
      <alignment horizontal="left" wrapText="1"/>
    </xf>
    <xf numFmtId="176" fontId="0" fillId="0" borderId="2" xfId="3" applyNumberFormat="1" applyFont="1" applyBorder="1"/>
    <xf numFmtId="44" fontId="0" fillId="0" borderId="0" xfId="2" applyFont="1" applyFill="1" applyAlignment="1">
      <alignment horizontal="center"/>
    </xf>
    <xf numFmtId="0" fontId="2" fillId="0" borderId="2" xfId="0" applyFont="1" applyBorder="1" applyAlignment="1">
      <alignment horizontal="left"/>
    </xf>
    <xf numFmtId="8" fontId="2" fillId="0" borderId="2" xfId="0" applyNumberFormat="1" applyFont="1" applyBorder="1" applyAlignment="1">
      <alignment horizontal="left"/>
    </xf>
    <xf numFmtId="0" fontId="0" fillId="5" borderId="2" xfId="0" applyFill="1" applyBorder="1"/>
    <xf numFmtId="0" fontId="2" fillId="0" borderId="13" xfId="0" applyFont="1" applyBorder="1"/>
    <xf numFmtId="44" fontId="0" fillId="0" borderId="13" xfId="2" applyFont="1" applyFill="1" applyBorder="1"/>
    <xf numFmtId="164" fontId="0" fillId="0" borderId="2" xfId="2" applyNumberFormat="1" applyFont="1" applyBorder="1" applyAlignment="1">
      <alignment horizontal="center"/>
    </xf>
    <xf numFmtId="164" fontId="0" fillId="6" borderId="2" xfId="2" applyNumberFormat="1" applyFont="1" applyFill="1" applyBorder="1"/>
    <xf numFmtId="164" fontId="0" fillId="0" borderId="2" xfId="2" applyNumberFormat="1" applyFont="1" applyBorder="1"/>
    <xf numFmtId="164" fontId="0" fillId="0" borderId="2" xfId="0" applyNumberFormat="1" applyBorder="1"/>
    <xf numFmtId="164" fontId="0" fillId="7" borderId="2" xfId="0" applyNumberFormat="1" applyFill="1" applyBorder="1"/>
    <xf numFmtId="164" fontId="0" fillId="8" borderId="2" xfId="0" applyNumberFormat="1" applyFill="1" applyBorder="1"/>
    <xf numFmtId="164" fontId="0" fillId="0" borderId="0" xfId="0" applyNumberFormat="1"/>
    <xf numFmtId="6" fontId="0" fillId="0" borderId="2" xfId="0" applyNumberFormat="1" applyBorder="1"/>
    <xf numFmtId="6" fontId="0" fillId="0" borderId="2" xfId="2" applyNumberFormat="1" applyFont="1" applyBorder="1"/>
    <xf numFmtId="6" fontId="0" fillId="0" borderId="2" xfId="0" applyNumberFormat="1" applyBorder="1" applyAlignment="1">
      <alignment horizontal="center"/>
    </xf>
    <xf numFmtId="6" fontId="0" fillId="0" borderId="2" xfId="2" applyNumberFormat="1" applyFont="1" applyBorder="1" applyAlignment="1">
      <alignment horizontal="center"/>
    </xf>
    <xf numFmtId="164" fontId="0" fillId="0" borderId="2" xfId="0" applyNumberFormat="1" applyBorder="1" applyAlignment="1">
      <alignment horizontal="center"/>
    </xf>
    <xf numFmtId="0" fontId="0" fillId="0" borderId="5" xfId="0" applyBorder="1"/>
    <xf numFmtId="44" fontId="0" fillId="0" borderId="2" xfId="0" applyNumberFormat="1" applyBorder="1" applyAlignment="1">
      <alignment horizontal="center"/>
    </xf>
    <xf numFmtId="6" fontId="0" fillId="7" borderId="2" xfId="0" applyNumberFormat="1" applyFill="1" applyBorder="1"/>
    <xf numFmtId="0" fontId="2" fillId="0" borderId="2" xfId="0" applyFont="1" applyBorder="1" applyAlignment="1">
      <alignment horizontal="right"/>
    </xf>
    <xf numFmtId="0" fontId="0" fillId="6" borderId="2" xfId="0" applyFill="1" applyBorder="1"/>
    <xf numFmtId="38" fontId="5" fillId="0" borderId="5" xfId="0" applyNumberFormat="1" applyFont="1" applyBorder="1" applyAlignment="1">
      <alignment horizontal="center"/>
    </xf>
    <xf numFmtId="174" fontId="5" fillId="6" borderId="5" xfId="0" applyNumberFormat="1" applyFont="1" applyFill="1" applyBorder="1" applyAlignment="1">
      <alignment horizontal="right"/>
    </xf>
    <xf numFmtId="174" fontId="5" fillId="0" borderId="14" xfId="0" applyNumberFormat="1" applyFont="1" applyBorder="1" applyAlignment="1">
      <alignment horizontal="right"/>
    </xf>
    <xf numFmtId="174" fontId="5" fillId="6" borderId="2" xfId="2" applyNumberFormat="1" applyFont="1" applyFill="1" applyBorder="1" applyAlignment="1">
      <alignment horizontal="right"/>
    </xf>
    <xf numFmtId="6" fontId="5" fillId="0" borderId="2" xfId="0" applyNumberFormat="1" applyFont="1" applyBorder="1" applyAlignment="1">
      <alignment horizontal="right"/>
    </xf>
    <xf numFmtId="6" fontId="5" fillId="6" borderId="2" xfId="0" applyNumberFormat="1" applyFont="1" applyFill="1" applyBorder="1" applyAlignment="1">
      <alignment horizontal="right"/>
    </xf>
    <xf numFmtId="6" fontId="5" fillId="0" borderId="2" xfId="2" applyNumberFormat="1" applyFont="1" applyBorder="1" applyAlignment="1">
      <alignment horizontal="right"/>
    </xf>
    <xf numFmtId="164" fontId="5" fillId="0" borderId="2" xfId="2" applyNumberFormat="1" applyFont="1" applyBorder="1" applyAlignment="1">
      <alignment horizontal="center"/>
    </xf>
    <xf numFmtId="0" fontId="4" fillId="0" borderId="2" xfId="0" applyFont="1" applyBorder="1" applyAlignment="1">
      <alignment horizontal="left"/>
    </xf>
    <xf numFmtId="0" fontId="4" fillId="0" borderId="5" xfId="0" applyFont="1" applyBorder="1" applyAlignment="1">
      <alignment horizontal="left"/>
    </xf>
    <xf numFmtId="0" fontId="4" fillId="0" borderId="11" xfId="0" applyFont="1" applyBorder="1" applyAlignment="1">
      <alignment horizontal="left"/>
    </xf>
    <xf numFmtId="0" fontId="5" fillId="0" borderId="2" xfId="0" applyFont="1" applyBorder="1" applyAlignment="1">
      <alignment horizontal="left" indent="2"/>
    </xf>
    <xf numFmtId="0" fontId="4" fillId="0" borderId="2" xfId="0" applyFont="1" applyBorder="1" applyAlignment="1">
      <alignment horizontal="left" wrapText="1"/>
    </xf>
    <xf numFmtId="9" fontId="0" fillId="0" borderId="0" xfId="3" applyFont="1"/>
    <xf numFmtId="0" fontId="2" fillId="0" borderId="15" xfId="0" applyFont="1" applyBorder="1" applyAlignment="1">
      <alignment horizontal="center"/>
    </xf>
    <xf numFmtId="6" fontId="0" fillId="6" borderId="2" xfId="0" applyNumberFormat="1" applyFill="1" applyBorder="1"/>
    <xf numFmtId="6" fontId="0" fillId="0" borderId="16" xfId="0" applyNumberFormat="1" applyBorder="1"/>
    <xf numFmtId="0" fontId="0" fillId="0" borderId="11" xfId="0" applyBorder="1"/>
    <xf numFmtId="6" fontId="0" fillId="0" borderId="11" xfId="0" applyNumberFormat="1" applyBorder="1"/>
    <xf numFmtId="0" fontId="0" fillId="0" borderId="17" xfId="0" applyBorder="1"/>
    <xf numFmtId="6" fontId="0" fillId="6" borderId="17" xfId="0" applyNumberFormat="1" applyFill="1" applyBorder="1"/>
    <xf numFmtId="6" fontId="0" fillId="0" borderId="17" xfId="0" applyNumberFormat="1" applyBorder="1"/>
    <xf numFmtId="0" fontId="0" fillId="0" borderId="2" xfId="0" applyBorder="1" applyAlignment="1">
      <alignment horizontal="left" indent="1"/>
    </xf>
    <xf numFmtId="6" fontId="0" fillId="6" borderId="11" xfId="0" applyNumberFormat="1" applyFill="1" applyBorder="1"/>
    <xf numFmtId="172" fontId="0" fillId="6" borderId="2" xfId="0" applyNumberFormat="1" applyFill="1" applyBorder="1"/>
    <xf numFmtId="43" fontId="0" fillId="0" borderId="2" xfId="1" applyFont="1" applyBorder="1"/>
    <xf numFmtId="9" fontId="0" fillId="0" borderId="2" xfId="3" applyFont="1" applyBorder="1" applyAlignment="1"/>
    <xf numFmtId="10" fontId="0" fillId="0" borderId="2" xfId="0" applyNumberFormat="1" applyBorder="1"/>
    <xf numFmtId="10" fontId="0" fillId="6" borderId="2" xfId="0" applyNumberFormat="1" applyFill="1" applyBorder="1"/>
    <xf numFmtId="0" fontId="0" fillId="0" borderId="11" xfId="0" applyBorder="1" applyAlignment="1">
      <alignment wrapText="1"/>
    </xf>
    <xf numFmtId="164" fontId="0" fillId="0" borderId="2" xfId="2" applyNumberFormat="1" applyFont="1" applyFill="1" applyBorder="1"/>
    <xf numFmtId="9" fontId="0" fillId="6" borderId="2" xfId="3" applyFont="1" applyFill="1" applyBorder="1"/>
    <xf numFmtId="6" fontId="0" fillId="0" borderId="2" xfId="2" applyNumberFormat="1" applyFont="1" applyFill="1" applyBorder="1"/>
    <xf numFmtId="6" fontId="0" fillId="6" borderId="2" xfId="2" applyNumberFormat="1" applyFont="1" applyFill="1" applyBorder="1"/>
    <xf numFmtId="6" fontId="0" fillId="0" borderId="2" xfId="1" applyNumberFormat="1" applyFont="1" applyFill="1" applyBorder="1"/>
    <xf numFmtId="6" fontId="0" fillId="0" borderId="2" xfId="1" applyNumberFormat="1" applyFont="1" applyBorder="1"/>
    <xf numFmtId="9" fontId="0" fillId="0" borderId="2" xfId="3" applyFont="1" applyBorder="1" applyAlignment="1">
      <alignment wrapText="1"/>
    </xf>
    <xf numFmtId="0" fontId="2" fillId="0" borderId="6" xfId="0" applyFont="1" applyBorder="1"/>
    <xf numFmtId="0" fontId="0" fillId="7" borderId="2" xfId="0" applyFill="1" applyBorder="1"/>
    <xf numFmtId="0" fontId="0" fillId="0" borderId="0" xfId="0" applyAlignment="1">
      <alignment horizontal="left" indent="1"/>
    </xf>
    <xf numFmtId="0" fontId="0" fillId="0" borderId="0" xfId="0" applyAlignment="1">
      <alignment wrapText="1"/>
    </xf>
    <xf numFmtId="0" fontId="0" fillId="0" borderId="1" xfId="0" applyBorder="1" applyAlignment="1">
      <alignment horizontal="center" wrapText="1"/>
    </xf>
    <xf numFmtId="0" fontId="3" fillId="0" borderId="0" xfId="0" applyFont="1" applyAlignment="1">
      <alignment horizontal="left" indent="1"/>
    </xf>
    <xf numFmtId="164" fontId="0" fillId="9" borderId="2" xfId="0" applyNumberFormat="1" applyFill="1" applyBorder="1"/>
    <xf numFmtId="0" fontId="0" fillId="8" borderId="2" xfId="0" applyFill="1" applyBorder="1"/>
    <xf numFmtId="0" fontId="0" fillId="9" borderId="2" xfId="0" applyFill="1" applyBorder="1"/>
    <xf numFmtId="9" fontId="0" fillId="8" borderId="2" xfId="3" applyFont="1" applyFill="1" applyBorder="1"/>
    <xf numFmtId="0" fontId="0" fillId="6" borderId="2" xfId="0" applyFill="1" applyBorder="1" applyAlignment="1">
      <alignment horizontal="center"/>
    </xf>
    <xf numFmtId="6" fontId="5" fillId="7" borderId="2" xfId="2" applyNumberFormat="1" applyFont="1" applyFill="1" applyBorder="1" applyAlignment="1">
      <alignment horizontal="right"/>
    </xf>
    <xf numFmtId="6" fontId="5" fillId="7" borderId="11" xfId="2" applyNumberFormat="1" applyFont="1" applyFill="1" applyBorder="1" applyAlignment="1">
      <alignment horizontal="right"/>
    </xf>
    <xf numFmtId="6" fontId="5" fillId="7" borderId="11" xfId="0" applyNumberFormat="1" applyFont="1" applyFill="1" applyBorder="1" applyAlignment="1">
      <alignment horizontal="right"/>
    </xf>
    <xf numFmtId="0" fontId="3" fillId="0" borderId="0" xfId="0" applyFont="1" applyAlignment="1">
      <alignment horizontal="left" wrapText="1" indent="1"/>
    </xf>
    <xf numFmtId="9" fontId="5" fillId="8" borderId="2" xfId="3" applyFont="1" applyFill="1" applyBorder="1"/>
    <xf numFmtId="9" fontId="5" fillId="8" borderId="2" xfId="0" applyNumberFormat="1" applyFont="1" applyFill="1" applyBorder="1"/>
    <xf numFmtId="164" fontId="0" fillId="6" borderId="11" xfId="2" applyNumberFormat="1" applyFont="1" applyFill="1" applyBorder="1"/>
    <xf numFmtId="164" fontId="0" fillId="0" borderId="11" xfId="0" applyNumberFormat="1" applyBorder="1"/>
    <xf numFmtId="44" fontId="0" fillId="0" borderId="11" xfId="2" applyFont="1" applyBorder="1"/>
    <xf numFmtId="164" fontId="0" fillId="7" borderId="2" xfId="2" applyNumberFormat="1" applyFont="1" applyFill="1" applyBorder="1"/>
    <xf numFmtId="0" fontId="2" fillId="6" borderId="2" xfId="0" applyFont="1" applyFill="1" applyBorder="1" applyAlignment="1">
      <alignment horizontal="center"/>
    </xf>
    <xf numFmtId="6" fontId="0" fillId="7" borderId="2" xfId="2" applyNumberFormat="1" applyFont="1" applyFill="1" applyBorder="1"/>
    <xf numFmtId="0" fontId="2" fillId="0" borderId="18" xfId="0" applyFont="1" applyBorder="1"/>
    <xf numFmtId="0" fontId="0" fillId="0" borderId="18" xfId="0" applyBorder="1"/>
    <xf numFmtId="0" fontId="0" fillId="0" borderId="0" xfId="0" applyAlignment="1">
      <alignment horizontal="left" indent="3"/>
    </xf>
    <xf numFmtId="164" fontId="0" fillId="9" borderId="2" xfId="2" applyNumberFormat="1" applyFont="1" applyFill="1" applyBorder="1"/>
    <xf numFmtId="0" fontId="0" fillId="0" borderId="18" xfId="0" applyBorder="1" applyAlignment="1">
      <alignment horizontal="center"/>
    </xf>
    <xf numFmtId="0" fontId="0" fillId="0" borderId="19" xfId="0" applyBorder="1"/>
    <xf numFmtId="164" fontId="0" fillId="0" borderId="0" xfId="2" applyNumberFormat="1" applyFont="1" applyFill="1" applyBorder="1"/>
    <xf numFmtId="6" fontId="0" fillId="6" borderId="6" xfId="0" applyNumberFormat="1" applyFill="1" applyBorder="1"/>
    <xf numFmtId="0" fontId="0" fillId="0" borderId="0" xfId="0" applyAlignment="1">
      <alignment horizontal="left"/>
    </xf>
    <xf numFmtId="44" fontId="0" fillId="6" borderId="11" xfId="2" applyFont="1" applyFill="1" applyBorder="1"/>
    <xf numFmtId="0" fontId="0" fillId="6" borderId="0" xfId="0" applyFill="1"/>
    <xf numFmtId="0" fontId="0" fillId="0" borderId="0" xfId="0" applyAlignment="1">
      <alignment horizontal="left" indent="2"/>
    </xf>
    <xf numFmtId="6" fontId="0" fillId="0" borderId="1" xfId="0" applyNumberFormat="1" applyBorder="1"/>
    <xf numFmtId="44" fontId="0" fillId="7" borderId="2" xfId="2" applyFont="1" applyFill="1" applyBorder="1"/>
    <xf numFmtId="6" fontId="0" fillId="0" borderId="0" xfId="2" applyNumberFormat="1" applyFont="1" applyFill="1" applyBorder="1"/>
    <xf numFmtId="44" fontId="0" fillId="9" borderId="2" xfId="2" applyFont="1" applyFill="1" applyBorder="1"/>
    <xf numFmtId="0" fontId="2" fillId="0" borderId="16" xfId="0" applyFont="1" applyBorder="1" applyAlignment="1">
      <alignment wrapText="1"/>
    </xf>
    <xf numFmtId="0" fontId="0" fillId="5" borderId="11" xfId="0" applyFill="1" applyBorder="1"/>
    <xf numFmtId="0" fontId="0" fillId="5" borderId="5" xfId="0" applyFill="1" applyBorder="1"/>
    <xf numFmtId="6" fontId="5" fillId="7" borderId="11" xfId="2" applyNumberFormat="1" applyFont="1" applyFill="1" applyBorder="1"/>
    <xf numFmtId="6" fontId="5" fillId="5" borderId="11" xfId="2" applyNumberFormat="1" applyFont="1" applyFill="1" applyBorder="1" applyAlignment="1">
      <alignment horizontal="right"/>
    </xf>
    <xf numFmtId="44" fontId="5" fillId="5" borderId="20" xfId="2" applyFont="1" applyFill="1" applyBorder="1"/>
    <xf numFmtId="6" fontId="5" fillId="5" borderId="5" xfId="0" applyNumberFormat="1" applyFont="1" applyFill="1" applyBorder="1"/>
    <xf numFmtId="175" fontId="5" fillId="5" borderId="2" xfId="0" applyNumberFormat="1" applyFont="1" applyFill="1" applyBorder="1"/>
    <xf numFmtId="6" fontId="5" fillId="5" borderId="2" xfId="2" applyNumberFormat="1" applyFont="1" applyFill="1" applyBorder="1" applyAlignment="1">
      <alignment horizontal="right"/>
    </xf>
    <xf numFmtId="164" fontId="0" fillId="5" borderId="2" xfId="2" applyNumberFormat="1" applyFont="1" applyFill="1" applyBorder="1"/>
    <xf numFmtId="164" fontId="0" fillId="5" borderId="11" xfId="2" applyNumberFormat="1" applyFont="1" applyFill="1" applyBorder="1"/>
    <xf numFmtId="6" fontId="0" fillId="5" borderId="2" xfId="2" applyNumberFormat="1" applyFont="1" applyFill="1" applyBorder="1"/>
    <xf numFmtId="0" fontId="0" fillId="5" borderId="0" xfId="0" applyFill="1"/>
    <xf numFmtId="0" fontId="0" fillId="5" borderId="17" xfId="0" applyFill="1" applyBorder="1"/>
    <xf numFmtId="9" fontId="0" fillId="0" borderId="16" xfId="3" applyFont="1" applyBorder="1" applyAlignment="1"/>
    <xf numFmtId="9" fontId="0" fillId="10" borderId="2" xfId="0" applyNumberFormat="1" applyFill="1" applyBorder="1"/>
    <xf numFmtId="177" fontId="0" fillId="0" borderId="2" xfId="2" applyNumberFormat="1" applyFont="1" applyBorder="1"/>
    <xf numFmtId="177" fontId="0" fillId="11" borderId="2" xfId="0" applyNumberFormat="1" applyFill="1" applyBorder="1"/>
    <xf numFmtId="6" fontId="0" fillId="5" borderId="2" xfId="0" applyNumberFormat="1" applyFill="1" applyBorder="1"/>
    <xf numFmtId="177" fontId="0" fillId="6" borderId="2" xfId="0" applyNumberFormat="1" applyFill="1" applyBorder="1"/>
    <xf numFmtId="177" fontId="0" fillId="0" borderId="2" xfId="0" applyNumberFormat="1" applyBorder="1"/>
    <xf numFmtId="0" fontId="0" fillId="0" borderId="21" xfId="0" applyBorder="1"/>
    <xf numFmtId="0" fontId="2" fillId="0" borderId="22" xfId="0" applyFont="1" applyBorder="1" applyAlignment="1">
      <alignment horizontal="center"/>
    </xf>
    <xf numFmtId="10" fontId="0" fillId="0" borderId="2" xfId="3" applyNumberFormat="1" applyFont="1" applyBorder="1"/>
    <xf numFmtId="2" fontId="0" fillId="0" borderId="2" xfId="0" applyNumberFormat="1" applyBorder="1"/>
    <xf numFmtId="0" fontId="0" fillId="0" borderId="23" xfId="0" applyBorder="1"/>
    <xf numFmtId="0" fontId="2" fillId="0" borderId="24" xfId="0" applyFont="1" applyBorder="1"/>
    <xf numFmtId="0" fontId="0" fillId="0" borderId="25" xfId="0" applyBorder="1"/>
    <xf numFmtId="164" fontId="0" fillId="0" borderId="0" xfId="2" applyNumberFormat="1" applyFont="1" applyBorder="1"/>
    <xf numFmtId="0" fontId="0" fillId="0" borderId="26" xfId="0" applyBorder="1"/>
    <xf numFmtId="172" fontId="5" fillId="0" borderId="2" xfId="0" applyNumberFormat="1" applyFont="1" applyBorder="1"/>
    <xf numFmtId="175" fontId="5" fillId="0" borderId="2" xfId="0" applyNumberFormat="1" applyFont="1" applyBorder="1" applyAlignment="1">
      <alignment horizontal="right"/>
    </xf>
    <xf numFmtId="0" fontId="4" fillId="0" borderId="27" xfId="0" applyFont="1" applyBorder="1" applyAlignment="1">
      <alignment horizontal="left"/>
    </xf>
    <xf numFmtId="0" fontId="4" fillId="0" borderId="28" xfId="0" applyFont="1" applyBorder="1" applyAlignment="1">
      <alignment horizontal="left"/>
    </xf>
    <xf numFmtId="0" fontId="4" fillId="0" borderId="28" xfId="0" applyFont="1" applyBorder="1" applyAlignment="1">
      <alignment horizontal="left" wrapText="1"/>
    </xf>
    <xf numFmtId="0" fontId="4" fillId="0" borderId="29" xfId="0" applyFont="1" applyBorder="1" applyAlignment="1">
      <alignment horizontal="left"/>
    </xf>
    <xf numFmtId="0" fontId="4" fillId="0" borderId="27" xfId="0" applyFont="1" applyBorder="1" applyAlignment="1">
      <alignment horizontal="left" wrapText="1"/>
    </xf>
    <xf numFmtId="0" fontId="4" fillId="0" borderId="27" xfId="0" applyFont="1" applyBorder="1" applyAlignment="1">
      <alignment horizontal="left" wrapText="1" indent="1"/>
    </xf>
    <xf numFmtId="0" fontId="4" fillId="0" borderId="28" xfId="0" applyFont="1" applyBorder="1" applyAlignment="1">
      <alignment horizontal="left" wrapText="1" indent="1"/>
    </xf>
    <xf numFmtId="0" fontId="4" fillId="0" borderId="11" xfId="0" applyFont="1" applyBorder="1" applyAlignment="1">
      <alignment horizontal="left" wrapText="1"/>
    </xf>
    <xf numFmtId="1" fontId="0" fillId="0" borderId="2" xfId="0" applyNumberFormat="1" applyBorder="1"/>
    <xf numFmtId="9" fontId="0" fillId="0" borderId="19" xfId="3" applyFont="1" applyFill="1" applyBorder="1"/>
    <xf numFmtId="0" fontId="2" fillId="0" borderId="0" xfId="0" applyFont="1" applyAlignment="1">
      <alignment horizontal="left" wrapText="1"/>
    </xf>
    <xf numFmtId="2" fontId="0" fillId="0" borderId="0" xfId="0" applyNumberFormat="1"/>
    <xf numFmtId="2" fontId="0" fillId="0" borderId="2" xfId="0" applyNumberFormat="1" applyBorder="1" applyAlignment="1">
      <alignment horizontal="center"/>
    </xf>
    <xf numFmtId="2" fontId="0" fillId="0" borderId="5" xfId="0" applyNumberFormat="1" applyBorder="1" applyAlignment="1">
      <alignment horizontal="center"/>
    </xf>
    <xf numFmtId="0" fontId="2" fillId="0" borderId="30" xfId="0" applyFont="1" applyBorder="1"/>
    <xf numFmtId="2" fontId="0" fillId="0" borderId="30" xfId="0" applyNumberFormat="1" applyBorder="1" applyAlignment="1">
      <alignment horizontal="center"/>
    </xf>
    <xf numFmtId="0" fontId="0" fillId="0" borderId="30" xfId="0" applyBorder="1"/>
    <xf numFmtId="0" fontId="0" fillId="0" borderId="24" xfId="0" applyBorder="1"/>
    <xf numFmtId="0" fontId="8" fillId="0" borderId="0" xfId="0" applyFont="1"/>
    <xf numFmtId="0" fontId="3" fillId="0" borderId="0" xfId="0" applyFont="1" applyAlignment="1">
      <alignment horizontal="left" wrapText="1"/>
    </xf>
    <xf numFmtId="0" fontId="11" fillId="0" borderId="0" xfId="0" applyFont="1"/>
    <xf numFmtId="0" fontId="12" fillId="0" borderId="0" xfId="0" applyFont="1"/>
    <xf numFmtId="0" fontId="12" fillId="0" borderId="0" xfId="0" applyFont="1" applyAlignment="1">
      <alignment horizontal="left" wrapText="1"/>
    </xf>
    <xf numFmtId="174" fontId="0" fillId="7" borderId="2" xfId="0" applyNumberFormat="1" applyFill="1" applyBorder="1"/>
    <xf numFmtId="174" fontId="0" fillId="0" borderId="2" xfId="0" applyNumberFormat="1" applyBorder="1"/>
    <xf numFmtId="174" fontId="0" fillId="8" borderId="2" xfId="2" applyNumberFormat="1" applyFont="1" applyFill="1" applyBorder="1"/>
    <xf numFmtId="174" fontId="0" fillId="7" borderId="2" xfId="0" applyNumberFormat="1" applyFill="1" applyBorder="1" applyAlignment="1">
      <alignment horizontal="right"/>
    </xf>
    <xf numFmtId="174" fontId="0" fillId="6" borderId="31" xfId="0" applyNumberFormat="1" applyFill="1" applyBorder="1"/>
    <xf numFmtId="174" fontId="0" fillId="7" borderId="32" xfId="0" applyNumberFormat="1" applyFill="1" applyBorder="1"/>
    <xf numFmtId="0" fontId="6" fillId="0" borderId="0" xfId="0" applyFont="1"/>
    <xf numFmtId="0" fontId="13" fillId="0" borderId="0" xfId="0" applyFont="1"/>
    <xf numFmtId="0" fontId="2" fillId="0" borderId="0" xfId="0" applyFont="1" applyAlignment="1">
      <alignment horizontal="left"/>
    </xf>
    <xf numFmtId="0" fontId="2" fillId="0" borderId="0" xfId="0" applyFont="1" applyAlignment="1">
      <alignment horizontal="left" vertical="top" wrapText="1"/>
    </xf>
    <xf numFmtId="6" fontId="0" fillId="0" borderId="2" xfId="0" applyNumberFormat="1" applyBorder="1" applyAlignment="1">
      <alignment horizontal="right"/>
    </xf>
    <xf numFmtId="174" fontId="0" fillId="0" borderId="2" xfId="0" applyNumberFormat="1" applyBorder="1" applyAlignment="1">
      <alignment horizontal="right"/>
    </xf>
    <xf numFmtId="8" fontId="0" fillId="0" borderId="18" xfId="0" applyNumberFormat="1" applyBorder="1"/>
    <xf numFmtId="6" fontId="0" fillId="7" borderId="2" xfId="0" applyNumberFormat="1" applyFill="1" applyBorder="1" applyAlignment="1">
      <alignment horizontal="right"/>
    </xf>
    <xf numFmtId="8" fontId="0" fillId="0" borderId="2" xfId="2" applyNumberFormat="1" applyFont="1" applyBorder="1"/>
    <xf numFmtId="6" fontId="0" fillId="7" borderId="5" xfId="2" applyNumberFormat="1" applyFont="1" applyFill="1" applyBorder="1"/>
    <xf numFmtId="6" fontId="0" fillId="7" borderId="5" xfId="0" applyNumberFormat="1" applyFill="1" applyBorder="1"/>
    <xf numFmtId="6" fontId="5" fillId="6" borderId="2" xfId="2" applyNumberFormat="1" applyFont="1" applyFill="1" applyBorder="1" applyAlignment="1">
      <alignment horizontal="right"/>
    </xf>
    <xf numFmtId="6" fontId="5" fillId="6" borderId="5" xfId="2" applyNumberFormat="1" applyFont="1" applyFill="1" applyBorder="1" applyAlignment="1">
      <alignment horizontal="right"/>
    </xf>
    <xf numFmtId="6" fontId="5" fillId="0" borderId="16" xfId="2" applyNumberFormat="1" applyFont="1" applyBorder="1" applyAlignment="1">
      <alignment horizontal="right"/>
    </xf>
    <xf numFmtId="6" fontId="5" fillId="6" borderId="2" xfId="2" applyNumberFormat="1" applyFont="1" applyFill="1" applyBorder="1" applyAlignment="1"/>
    <xf numFmtId="44" fontId="0" fillId="0" borderId="2" xfId="2" applyFont="1" applyFill="1" applyBorder="1"/>
    <xf numFmtId="5" fontId="0" fillId="3" borderId="2" xfId="2" applyNumberFormat="1" applyFont="1" applyFill="1" applyBorder="1"/>
    <xf numFmtId="5" fontId="0" fillId="7" borderId="2" xfId="0" applyNumberFormat="1" applyFill="1" applyBorder="1"/>
    <xf numFmtId="0" fontId="5" fillId="0" borderId="2" xfId="0" applyFont="1" applyBorder="1" applyAlignment="1">
      <alignment horizontal="left" wrapText="1"/>
    </xf>
    <xf numFmtId="6" fontId="2" fillId="0" borderId="2" xfId="0" applyNumberFormat="1" applyFont="1" applyBorder="1"/>
    <xf numFmtId="6" fontId="2" fillId="7" borderId="2" xfId="0" applyNumberFormat="1" applyFont="1" applyFill="1" applyBorder="1"/>
    <xf numFmtId="10" fontId="12" fillId="0" borderId="0" xfId="0" applyNumberFormat="1" applyFont="1"/>
    <xf numFmtId="10" fontId="12" fillId="0" borderId="0" xfId="0" applyNumberFormat="1" applyFont="1" applyAlignment="1">
      <alignment horizontal="left" indent="5"/>
    </xf>
    <xf numFmtId="6" fontId="4" fillId="7" borderId="2" xfId="0" applyNumberFormat="1" applyFont="1" applyFill="1" applyBorder="1" applyAlignment="1">
      <alignment horizontal="right"/>
    </xf>
    <xf numFmtId="6" fontId="2" fillId="0" borderId="2" xfId="2" applyNumberFormat="1" applyFont="1" applyBorder="1"/>
    <xf numFmtId="164" fontId="2" fillId="0" borderId="2" xfId="0" applyNumberFormat="1" applyFont="1" applyBorder="1"/>
    <xf numFmtId="6" fontId="2" fillId="0" borderId="2" xfId="0" applyNumberFormat="1" applyFont="1" applyBorder="1" applyAlignment="1">
      <alignment horizontal="right"/>
    </xf>
    <xf numFmtId="176" fontId="2" fillId="0" borderId="2" xfId="3" applyNumberFormat="1" applyFont="1" applyBorder="1"/>
    <xf numFmtId="10" fontId="2" fillId="11" borderId="2" xfId="3" applyNumberFormat="1" applyFont="1" applyFill="1" applyBorder="1"/>
    <xf numFmtId="174" fontId="2" fillId="7" borderId="2" xfId="0" applyNumberFormat="1" applyFont="1" applyFill="1" applyBorder="1"/>
    <xf numFmtId="6" fontId="2" fillId="7" borderId="33" xfId="0" applyNumberFormat="1" applyFont="1" applyFill="1" applyBorder="1"/>
    <xf numFmtId="164" fontId="2" fillId="7" borderId="33" xfId="0" applyNumberFormat="1" applyFont="1" applyFill="1" applyBorder="1"/>
    <xf numFmtId="0" fontId="2" fillId="0" borderId="0" xfId="0" applyFont="1" applyAlignment="1">
      <alignment horizontal="left" indent="1"/>
    </xf>
    <xf numFmtId="172" fontId="0" fillId="0" borderId="0" xfId="0" applyNumberFormat="1"/>
    <xf numFmtId="2" fontId="0" fillId="0" borderId="0" xfId="0" applyNumberFormat="1" applyAlignment="1">
      <alignment horizontal="center"/>
    </xf>
    <xf numFmtId="172" fontId="0" fillId="0" borderId="0" xfId="0" applyNumberFormat="1" applyAlignment="1">
      <alignment horizontal="center"/>
    </xf>
    <xf numFmtId="164" fontId="0" fillId="0" borderId="0" xfId="2" applyNumberFormat="1" applyFont="1"/>
    <xf numFmtId="43" fontId="0" fillId="0" borderId="0" xfId="0" applyNumberFormat="1"/>
    <xf numFmtId="1" fontId="0" fillId="0" borderId="0" xfId="0" applyNumberFormat="1"/>
    <xf numFmtId="6" fontId="2" fillId="0" borderId="2" xfId="0" applyNumberFormat="1" applyFont="1" applyBorder="1" applyAlignment="1">
      <alignment wrapText="1"/>
    </xf>
    <xf numFmtId="172" fontId="2" fillId="0" borderId="0" xfId="0" applyNumberFormat="1" applyFont="1" applyAlignment="1">
      <alignment horizontal="center"/>
    </xf>
    <xf numFmtId="164" fontId="2" fillId="0" borderId="2" xfId="0" applyNumberFormat="1" applyFont="1" applyBorder="1" applyAlignment="1">
      <alignment horizontal="center" wrapText="1"/>
    </xf>
    <xf numFmtId="164" fontId="2" fillId="0" borderId="2" xfId="2" applyNumberFormat="1" applyFont="1" applyBorder="1" applyAlignment="1">
      <alignment horizontal="center" wrapText="1"/>
    </xf>
    <xf numFmtId="172" fontId="2" fillId="0" borderId="2" xfId="0" applyNumberFormat="1" applyFont="1" applyBorder="1" applyAlignment="1">
      <alignment horizontal="center" wrapText="1"/>
    </xf>
    <xf numFmtId="164" fontId="0" fillId="6" borderId="2" xfId="0" applyNumberFormat="1" applyFill="1" applyBorder="1"/>
    <xf numFmtId="172" fontId="2" fillId="11" borderId="2" xfId="0" applyNumberFormat="1" applyFont="1" applyFill="1" applyBorder="1"/>
    <xf numFmtId="169" fontId="0" fillId="0" borderId="2" xfId="1" applyNumberFormat="1" applyFont="1" applyFill="1" applyBorder="1"/>
    <xf numFmtId="6" fontId="2" fillId="0" borderId="2" xfId="2" applyNumberFormat="1" applyFont="1" applyFill="1" applyBorder="1"/>
    <xf numFmtId="0" fontId="2" fillId="0" borderId="2" xfId="0" applyFont="1" applyBorder="1" applyAlignment="1">
      <alignment horizontal="left" indent="3"/>
    </xf>
    <xf numFmtId="167" fontId="2" fillId="0" borderId="2" xfId="1" applyNumberFormat="1" applyFont="1" applyBorder="1"/>
    <xf numFmtId="0" fontId="15" fillId="0" borderId="0" xfId="0" applyFont="1"/>
    <xf numFmtId="0" fontId="2" fillId="0" borderId="2" xfId="0" applyFont="1" applyBorder="1" applyAlignment="1">
      <alignment horizontal="left" indent="2"/>
    </xf>
    <xf numFmtId="164" fontId="2" fillId="0" borderId="2" xfId="2" applyNumberFormat="1" applyFont="1" applyBorder="1"/>
    <xf numFmtId="174" fontId="0" fillId="6" borderId="2" xfId="2" applyNumberFormat="1" applyFont="1" applyFill="1" applyBorder="1"/>
    <xf numFmtId="174" fontId="0" fillId="6" borderId="19" xfId="2" applyNumberFormat="1" applyFont="1" applyFill="1" applyBorder="1"/>
    <xf numFmtId="174" fontId="0" fillId="6" borderId="2" xfId="2" applyNumberFormat="1" applyFont="1" applyFill="1" applyBorder="1" applyAlignment="1">
      <alignment horizontal="right"/>
    </xf>
    <xf numFmtId="10" fontId="0" fillId="0" borderId="0" xfId="3" applyNumberFormat="1" applyFont="1" applyBorder="1" applyAlignment="1">
      <alignment horizontal="center"/>
    </xf>
    <xf numFmtId="0" fontId="16" fillId="0" borderId="0" xfId="0" applyFont="1" applyAlignment="1">
      <alignment horizontal="left" indent="1"/>
    </xf>
    <xf numFmtId="0" fontId="0" fillId="0" borderId="34" xfId="0" applyBorder="1"/>
    <xf numFmtId="0" fontId="0" fillId="0" borderId="35" xfId="0" applyBorder="1"/>
    <xf numFmtId="44" fontId="0" fillId="2" borderId="2" xfId="2" applyFont="1" applyFill="1" applyBorder="1" applyProtection="1">
      <protection locked="0"/>
    </xf>
    <xf numFmtId="0" fontId="0" fillId="2" borderId="2" xfId="0" applyFill="1" applyBorder="1" applyProtection="1">
      <protection locked="0"/>
    </xf>
    <xf numFmtId="9" fontId="0" fillId="2" borderId="2" xfId="3" applyFont="1" applyFill="1" applyBorder="1" applyProtection="1">
      <protection locked="0"/>
    </xf>
    <xf numFmtId="174" fontId="0" fillId="2" borderId="2" xfId="2" applyNumberFormat="1" applyFont="1" applyFill="1" applyBorder="1" applyAlignment="1" applyProtection="1">
      <alignment horizontal="right"/>
      <protection locked="0"/>
    </xf>
    <xf numFmtId="0" fontId="0" fillId="2" borderId="2" xfId="0" applyFill="1" applyBorder="1" applyAlignment="1" applyProtection="1">
      <alignment horizontal="center"/>
      <protection locked="0"/>
    </xf>
    <xf numFmtId="174" fontId="0" fillId="2" borderId="2" xfId="2" applyNumberFormat="1" applyFont="1" applyFill="1" applyBorder="1" applyProtection="1">
      <protection locked="0"/>
    </xf>
    <xf numFmtId="5" fontId="0" fillId="2" borderId="2" xfId="2" applyNumberFormat="1" applyFont="1" applyFill="1" applyBorder="1" applyProtection="1">
      <protection locked="0"/>
    </xf>
    <xf numFmtId="10" fontId="0" fillId="2" borderId="31" xfId="3" applyNumberFormat="1" applyFont="1" applyFill="1" applyBorder="1" applyProtection="1">
      <protection locked="0"/>
    </xf>
    <xf numFmtId="166" fontId="0" fillId="2" borderId="2" xfId="0" applyNumberFormat="1" applyFill="1" applyBorder="1" applyProtection="1">
      <protection locked="0"/>
    </xf>
    <xf numFmtId="8" fontId="0" fillId="2" borderId="2" xfId="2" applyNumberFormat="1" applyFont="1" applyFill="1" applyBorder="1" applyProtection="1">
      <protection locked="0"/>
    </xf>
    <xf numFmtId="6" fontId="0" fillId="2" borderId="2" xfId="2" applyNumberFormat="1" applyFont="1" applyFill="1" applyBorder="1" applyProtection="1">
      <protection locked="0"/>
    </xf>
    <xf numFmtId="164" fontId="0" fillId="2" borderId="2" xfId="2" applyNumberFormat="1" applyFont="1" applyFill="1" applyBorder="1" applyProtection="1">
      <protection locked="0"/>
    </xf>
    <xf numFmtId="164" fontId="0" fillId="2" borderId="3" xfId="2" applyNumberFormat="1" applyFont="1" applyFill="1" applyBorder="1" applyProtection="1">
      <protection locked="0"/>
    </xf>
    <xf numFmtId="0" fontId="2" fillId="2" borderId="2" xfId="0" applyFont="1" applyFill="1" applyBorder="1" applyProtection="1">
      <protection locked="0"/>
    </xf>
    <xf numFmtId="167" fontId="0" fillId="8" borderId="5" xfId="1" applyNumberFormat="1" applyFont="1" applyFill="1" applyBorder="1" applyAlignment="1">
      <alignment horizontal="center"/>
    </xf>
    <xf numFmtId="167" fontId="0" fillId="0" borderId="2" xfId="1" applyNumberFormat="1" applyFont="1" applyBorder="1"/>
    <xf numFmtId="0" fontId="0" fillId="0" borderId="36" xfId="0" applyBorder="1"/>
    <xf numFmtId="164" fontId="0" fillId="0" borderId="31" xfId="0" applyNumberFormat="1" applyBorder="1"/>
    <xf numFmtId="167" fontId="0" fillId="0" borderId="2" xfId="1" applyNumberFormat="1" applyFont="1" applyBorder="1" applyAlignment="1">
      <alignment horizontal="center"/>
    </xf>
    <xf numFmtId="167" fontId="0" fillId="7" borderId="2" xfId="1" applyNumberFormat="1" applyFont="1" applyFill="1" applyBorder="1" applyAlignment="1">
      <alignment horizontal="center"/>
    </xf>
    <xf numFmtId="167" fontId="0" fillId="0" borderId="2" xfId="1" applyNumberFormat="1" applyFont="1" applyFill="1" applyBorder="1"/>
    <xf numFmtId="167" fontId="0" fillId="6" borderId="2" xfId="1" applyNumberFormat="1" applyFont="1" applyFill="1" applyBorder="1" applyAlignment="1">
      <alignment horizontal="center"/>
    </xf>
    <xf numFmtId="167" fontId="0" fillId="0" borderId="2" xfId="1" applyNumberFormat="1" applyFont="1" applyBorder="1" applyAlignment="1">
      <alignment horizontal="right"/>
    </xf>
    <xf numFmtId="167" fontId="0" fillId="0" borderId="5" xfId="1" applyNumberFormat="1" applyFont="1" applyBorder="1"/>
    <xf numFmtId="167" fontId="0" fillId="6" borderId="2" xfId="1" applyNumberFormat="1" applyFont="1" applyFill="1" applyBorder="1"/>
    <xf numFmtId="167" fontId="2" fillId="11" borderId="2" xfId="0" applyNumberFormat="1" applyFont="1" applyFill="1" applyBorder="1"/>
    <xf numFmtId="0" fontId="2" fillId="0" borderId="6" xfId="0" applyFont="1" applyBorder="1" applyAlignment="1">
      <alignment wrapText="1"/>
    </xf>
    <xf numFmtId="164" fontId="0" fillId="0" borderId="6" xfId="0" applyNumberFormat="1" applyBorder="1"/>
    <xf numFmtId="0" fontId="0" fillId="0" borderId="37" xfId="0" applyBorder="1"/>
    <xf numFmtId="164" fontId="0" fillId="0" borderId="30" xfId="0" applyNumberFormat="1" applyBorder="1"/>
    <xf numFmtId="164" fontId="0" fillId="0" borderId="38" xfId="0" applyNumberFormat="1" applyBorder="1"/>
    <xf numFmtId="164" fontId="0" fillId="0" borderId="15" xfId="0" applyNumberFormat="1" applyBorder="1"/>
    <xf numFmtId="164" fontId="0" fillId="0" borderId="3" xfId="0" applyNumberFormat="1" applyBorder="1"/>
    <xf numFmtId="0" fontId="0" fillId="0" borderId="39" xfId="0" applyBorder="1"/>
    <xf numFmtId="164" fontId="0" fillId="0" borderId="12" xfId="0" applyNumberFormat="1" applyBorder="1"/>
    <xf numFmtId="164" fontId="0" fillId="0" borderId="40" xfId="0" applyNumberFormat="1" applyBorder="1"/>
    <xf numFmtId="164" fontId="0" fillId="0" borderId="41" xfId="0" applyNumberFormat="1" applyBorder="1"/>
    <xf numFmtId="164" fontId="0" fillId="0" borderId="42" xfId="0" applyNumberFormat="1" applyBorder="1"/>
    <xf numFmtId="164" fontId="0" fillId="0" borderId="1" xfId="0" applyNumberFormat="1" applyBorder="1"/>
    <xf numFmtId="164" fontId="0" fillId="0" borderId="43" xfId="0" applyNumberFormat="1" applyBorder="1"/>
    <xf numFmtId="168" fontId="0" fillId="0" borderId="0" xfId="1" applyNumberFormat="1" applyFont="1" applyFill="1" applyBorder="1"/>
    <xf numFmtId="164" fontId="0" fillId="0" borderId="38" xfId="2" applyNumberFormat="1" applyFont="1" applyFill="1" applyBorder="1"/>
    <xf numFmtId="178" fontId="0" fillId="0" borderId="0" xfId="0" applyNumberFormat="1"/>
    <xf numFmtId="167" fontId="0" fillId="0" borderId="0" xfId="1" applyNumberFormat="1" applyFont="1" applyFill="1" applyBorder="1"/>
    <xf numFmtId="167" fontId="0" fillId="0" borderId="38" xfId="1" applyNumberFormat="1" applyFont="1" applyFill="1" applyBorder="1"/>
    <xf numFmtId="167" fontId="2" fillId="11" borderId="2" xfId="1" applyNumberFormat="1" applyFont="1" applyFill="1" applyBorder="1"/>
    <xf numFmtId="0" fontId="2" fillId="0" borderId="44" xfId="0" applyFont="1" applyBorder="1" applyAlignment="1">
      <alignment horizontal="center"/>
    </xf>
    <xf numFmtId="6" fontId="0" fillId="0" borderId="45" xfId="0" applyNumberFormat="1" applyBorder="1"/>
    <xf numFmtId="6" fontId="0" fillId="0" borderId="37" xfId="0" applyNumberFormat="1" applyBorder="1"/>
    <xf numFmtId="0" fontId="2" fillId="0" borderId="46" xfId="0" applyFont="1" applyBorder="1" applyAlignment="1">
      <alignment horizontal="center"/>
    </xf>
    <xf numFmtId="0" fontId="2" fillId="0" borderId="47" xfId="0" applyFont="1" applyBorder="1" applyAlignment="1">
      <alignment horizontal="center"/>
    </xf>
    <xf numFmtId="6" fontId="0" fillId="0" borderId="36" xfId="0" applyNumberFormat="1" applyBorder="1"/>
    <xf numFmtId="6" fontId="0" fillId="0" borderId="31" xfId="0" applyNumberFormat="1" applyBorder="1"/>
    <xf numFmtId="6" fontId="0" fillId="0" borderId="30" xfId="0" applyNumberFormat="1" applyBorder="1"/>
    <xf numFmtId="6" fontId="0" fillId="0" borderId="48" xfId="0" applyNumberFormat="1" applyBorder="1"/>
    <xf numFmtId="6" fontId="0" fillId="0" borderId="49" xfId="0" applyNumberFormat="1" applyBorder="1"/>
    <xf numFmtId="6" fontId="0" fillId="12" borderId="50" xfId="0" applyNumberFormat="1" applyFill="1" applyBorder="1"/>
    <xf numFmtId="6" fontId="0" fillId="12" borderId="2" xfId="0" applyNumberFormat="1" applyFill="1" applyBorder="1"/>
    <xf numFmtId="6" fontId="0" fillId="12" borderId="16" xfId="0" applyNumberFormat="1" applyFill="1" applyBorder="1"/>
    <xf numFmtId="0" fontId="2" fillId="0" borderId="51" xfId="0" applyFont="1" applyBorder="1" applyAlignment="1">
      <alignment horizontal="center"/>
    </xf>
    <xf numFmtId="0" fontId="0" fillId="0" borderId="38" xfId="0" applyBorder="1"/>
    <xf numFmtId="0" fontId="0" fillId="12" borderId="2" xfId="0" applyFill="1" applyBorder="1"/>
    <xf numFmtId="0" fontId="5" fillId="0" borderId="0" xfId="0" applyFont="1" applyAlignment="1">
      <alignment horizontal="left" wrapText="1"/>
    </xf>
    <xf numFmtId="6" fontId="0" fillId="12" borderId="49" xfId="0" applyNumberFormat="1" applyFill="1" applyBorder="1"/>
    <xf numFmtId="10" fontId="2" fillId="0" borderId="52" xfId="0" applyNumberFormat="1" applyFont="1" applyBorder="1" applyAlignment="1">
      <alignment horizontal="center"/>
    </xf>
    <xf numFmtId="0" fontId="0" fillId="0" borderId="45" xfId="0" applyBorder="1" applyAlignment="1">
      <alignment horizontal="left"/>
    </xf>
    <xf numFmtId="0" fontId="0" fillId="0" borderId="50" xfId="0" applyBorder="1" applyAlignment="1">
      <alignment horizontal="left"/>
    </xf>
    <xf numFmtId="0" fontId="0" fillId="0" borderId="53" xfId="0" applyBorder="1" applyAlignment="1">
      <alignment horizontal="left"/>
    </xf>
    <xf numFmtId="9" fontId="5" fillId="0" borderId="0" xfId="3" applyFont="1" applyFill="1" applyBorder="1"/>
    <xf numFmtId="0" fontId="5" fillId="0" borderId="45" xfId="0" applyFont="1" applyBorder="1" applyAlignment="1">
      <alignment horizontal="left" wrapText="1"/>
    </xf>
    <xf numFmtId="9" fontId="5" fillId="8" borderId="36" xfId="3" applyFont="1" applyFill="1" applyBorder="1"/>
    <xf numFmtId="0" fontId="5" fillId="0" borderId="50" xfId="0" applyFont="1" applyBorder="1" applyAlignment="1">
      <alignment horizontal="left" wrapText="1"/>
    </xf>
    <xf numFmtId="9" fontId="5" fillId="8" borderId="31" xfId="0" applyNumberFormat="1" applyFont="1" applyFill="1" applyBorder="1"/>
    <xf numFmtId="0" fontId="5" fillId="0" borderId="53" xfId="0" applyFont="1" applyBorder="1" applyAlignment="1">
      <alignment horizontal="left" wrapText="1"/>
    </xf>
    <xf numFmtId="0" fontId="0" fillId="0" borderId="0" xfId="0" quotePrefix="1"/>
    <xf numFmtId="9" fontId="5" fillId="0" borderId="0" xfId="0" applyNumberFormat="1" applyFont="1"/>
    <xf numFmtId="9" fontId="5" fillId="8" borderId="35" xfId="3" applyFont="1" applyFill="1" applyBorder="1"/>
    <xf numFmtId="0" fontId="5" fillId="0" borderId="54" xfId="0" applyFont="1" applyBorder="1" applyAlignment="1">
      <alignment horizontal="left" wrapText="1"/>
    </xf>
    <xf numFmtId="9" fontId="5" fillId="0" borderId="55" xfId="0" applyNumberFormat="1" applyFont="1" applyBorder="1"/>
    <xf numFmtId="6" fontId="2" fillId="0" borderId="0" xfId="0" applyNumberFormat="1" applyFont="1"/>
    <xf numFmtId="0" fontId="0" fillId="0" borderId="2" xfId="0" applyBorder="1" applyAlignment="1">
      <alignment horizontal="left"/>
    </xf>
    <xf numFmtId="0" fontId="0" fillId="12" borderId="50" xfId="0" applyFill="1" applyBorder="1" applyAlignment="1">
      <alignment horizontal="left"/>
    </xf>
    <xf numFmtId="6" fontId="0" fillId="12" borderId="31" xfId="0" applyNumberFormat="1" applyFill="1" applyBorder="1"/>
    <xf numFmtId="0" fontId="2" fillId="0" borderId="56" xfId="0" applyFont="1" applyBorder="1" applyAlignment="1">
      <alignment horizontal="center"/>
    </xf>
    <xf numFmtId="10" fontId="2" fillId="0" borderId="57" xfId="0" applyNumberFormat="1" applyFont="1" applyBorder="1" applyAlignment="1">
      <alignment horizontal="center"/>
    </xf>
    <xf numFmtId="0" fontId="0" fillId="0" borderId="46" xfId="0" applyBorder="1" applyAlignment="1">
      <alignment horizontal="left"/>
    </xf>
    <xf numFmtId="0" fontId="0" fillId="0" borderId="47" xfId="0" applyBorder="1"/>
    <xf numFmtId="0" fontId="0" fillId="0" borderId="44" xfId="0" applyBorder="1"/>
    <xf numFmtId="0" fontId="0" fillId="12" borderId="2" xfId="0" applyFill="1" applyBorder="1" applyAlignment="1">
      <alignment horizontal="left"/>
    </xf>
    <xf numFmtId="167" fontId="0" fillId="12" borderId="2" xfId="1" applyNumberFormat="1" applyFont="1" applyFill="1" applyBorder="1"/>
    <xf numFmtId="0" fontId="2" fillId="0" borderId="34" xfId="0" applyFont="1" applyBorder="1" applyAlignment="1">
      <alignment horizontal="center"/>
    </xf>
    <xf numFmtId="0" fontId="2" fillId="0" borderId="58" xfId="0" applyFont="1" applyBorder="1" applyAlignment="1">
      <alignment horizontal="center"/>
    </xf>
    <xf numFmtId="6" fontId="0" fillId="0" borderId="59" xfId="0" applyNumberFormat="1" applyBorder="1"/>
    <xf numFmtId="167" fontId="0" fillId="0" borderId="16" xfId="1" applyNumberFormat="1" applyFont="1" applyFill="1" applyBorder="1"/>
    <xf numFmtId="6" fontId="0" fillId="0" borderId="51" xfId="0" applyNumberFormat="1" applyBorder="1"/>
    <xf numFmtId="6" fontId="0" fillId="0" borderId="60" xfId="0" applyNumberFormat="1" applyBorder="1"/>
    <xf numFmtId="6" fontId="0" fillId="12" borderId="60" xfId="0" applyNumberFormat="1" applyFill="1" applyBorder="1"/>
    <xf numFmtId="0" fontId="5" fillId="0" borderId="53" xfId="0" applyFont="1" applyBorder="1" applyAlignment="1">
      <alignment wrapText="1"/>
    </xf>
    <xf numFmtId="10" fontId="0" fillId="0" borderId="51" xfId="3" applyNumberFormat="1" applyFont="1" applyBorder="1" applyAlignment="1">
      <alignment horizontal="center"/>
    </xf>
    <xf numFmtId="10" fontId="0" fillId="0" borderId="60" xfId="3" applyNumberFormat="1" applyFont="1" applyBorder="1" applyAlignment="1">
      <alignment horizontal="center"/>
    </xf>
    <xf numFmtId="10" fontId="0" fillId="0" borderId="52" xfId="3" applyNumberFormat="1" applyFont="1" applyBorder="1" applyAlignment="1">
      <alignment horizontal="center"/>
    </xf>
    <xf numFmtId="6" fontId="0" fillId="0" borderId="56" xfId="0" applyNumberFormat="1" applyBorder="1" applyAlignment="1">
      <alignment horizontal="center"/>
    </xf>
    <xf numFmtId="6" fontId="0" fillId="0" borderId="61" xfId="0" applyNumberFormat="1" applyBorder="1" applyAlignment="1">
      <alignment horizontal="center"/>
    </xf>
    <xf numFmtId="6" fontId="0" fillId="0" borderId="57" xfId="0" applyNumberFormat="1" applyBorder="1" applyAlignment="1">
      <alignment horizontal="center"/>
    </xf>
    <xf numFmtId="0" fontId="2" fillId="0" borderId="45" xfId="0" quotePrefix="1" applyFont="1" applyBorder="1" applyAlignment="1">
      <alignment horizontal="center"/>
    </xf>
    <xf numFmtId="10" fontId="0" fillId="0" borderId="59" xfId="0" applyNumberFormat="1" applyBorder="1" applyAlignment="1">
      <alignment horizontal="center"/>
    </xf>
    <xf numFmtId="6" fontId="0" fillId="0" borderId="62" xfId="0" applyNumberFormat="1" applyBorder="1" applyAlignment="1">
      <alignment horizontal="center"/>
    </xf>
    <xf numFmtId="0" fontId="2" fillId="0" borderId="50" xfId="0" quotePrefix="1" applyFont="1" applyBorder="1" applyAlignment="1">
      <alignment horizontal="center"/>
    </xf>
    <xf numFmtId="10" fontId="0" fillId="0" borderId="16" xfId="0" applyNumberFormat="1" applyBorder="1" applyAlignment="1">
      <alignment horizontal="center"/>
    </xf>
    <xf numFmtId="6" fontId="0" fillId="0" borderId="19" xfId="0" applyNumberFormat="1" applyBorder="1" applyAlignment="1">
      <alignment horizontal="center"/>
    </xf>
    <xf numFmtId="0" fontId="2" fillId="0" borderId="53" xfId="0" quotePrefix="1" applyFont="1" applyBorder="1" applyAlignment="1">
      <alignment horizontal="center"/>
    </xf>
    <xf numFmtId="10" fontId="0" fillId="0" borderId="63" xfId="0" applyNumberFormat="1" applyBorder="1" applyAlignment="1">
      <alignment horizontal="center"/>
    </xf>
    <xf numFmtId="6" fontId="0" fillId="0" borderId="64" xfId="0" applyNumberFormat="1" applyBorder="1" applyAlignment="1">
      <alignment horizontal="center"/>
    </xf>
    <xf numFmtId="6" fontId="0" fillId="0" borderId="50" xfId="0" applyNumberFormat="1" applyBorder="1"/>
    <xf numFmtId="6" fontId="0" fillId="13" borderId="50" xfId="0" applyNumberFormat="1" applyFill="1" applyBorder="1"/>
    <xf numFmtId="171" fontId="0" fillId="4" borderId="2" xfId="0" applyNumberFormat="1" applyFill="1" applyBorder="1"/>
    <xf numFmtId="170" fontId="0" fillId="4" borderId="2" xfId="0" applyNumberFormat="1" applyFill="1" applyBorder="1"/>
    <xf numFmtId="173" fontId="0" fillId="0" borderId="2" xfId="3" applyNumberFormat="1" applyFont="1" applyBorder="1"/>
    <xf numFmtId="0" fontId="2" fillId="0" borderId="50" xfId="0" applyFont="1" applyBorder="1" applyAlignment="1">
      <alignment horizontal="left" wrapText="1"/>
    </xf>
    <xf numFmtId="0" fontId="2" fillId="0" borderId="51" xfId="0" quotePrefix="1" applyFont="1" applyBorder="1" applyAlignment="1">
      <alignment horizontal="center"/>
    </xf>
    <xf numFmtId="0" fontId="2" fillId="0" borderId="60" xfId="0" quotePrefix="1" applyFont="1" applyBorder="1" applyAlignment="1">
      <alignment horizontal="center"/>
    </xf>
    <xf numFmtId="0" fontId="2" fillId="0" borderId="52" xfId="0" quotePrefix="1" applyFont="1" applyBorder="1" applyAlignment="1">
      <alignment horizontal="center"/>
    </xf>
    <xf numFmtId="6" fontId="0" fillId="13" borderId="2" xfId="0" applyNumberFormat="1" applyFill="1" applyBorder="1"/>
    <xf numFmtId="164" fontId="0" fillId="0" borderId="2" xfId="2" applyNumberFormat="1" applyFont="1" applyBorder="1" applyAlignment="1">
      <alignment horizontal="right"/>
    </xf>
    <xf numFmtId="10" fontId="2" fillId="6" borderId="2" xfId="0" applyNumberFormat="1" applyFont="1" applyFill="1" applyBorder="1" applyAlignment="1">
      <alignment horizontal="center"/>
    </xf>
    <xf numFmtId="10" fontId="2" fillId="6" borderId="16" xfId="0" applyNumberFormat="1" applyFont="1" applyFill="1" applyBorder="1" applyAlignment="1">
      <alignment horizontal="center"/>
    </xf>
    <xf numFmtId="0" fontId="4" fillId="0" borderId="45" xfId="0" applyFont="1" applyBorder="1" applyAlignment="1">
      <alignment horizontal="center" wrapText="1"/>
    </xf>
    <xf numFmtId="0" fontId="4" fillId="0" borderId="37" xfId="0" applyFont="1" applyBorder="1" applyAlignment="1">
      <alignment horizontal="center" wrapText="1"/>
    </xf>
    <xf numFmtId="10" fontId="2" fillId="6" borderId="31" xfId="0" applyNumberFormat="1" applyFont="1" applyFill="1" applyBorder="1" applyAlignment="1">
      <alignment horizontal="center"/>
    </xf>
    <xf numFmtId="10" fontId="2" fillId="6" borderId="30" xfId="0" applyNumberFormat="1" applyFont="1" applyFill="1" applyBorder="1" applyAlignment="1">
      <alignment horizontal="center"/>
    </xf>
    <xf numFmtId="10" fontId="2" fillId="6" borderId="48" xfId="0" applyNumberFormat="1" applyFont="1" applyFill="1" applyBorder="1" applyAlignment="1">
      <alignment horizontal="center"/>
    </xf>
    <xf numFmtId="10" fontId="2" fillId="6" borderId="60" xfId="0" applyNumberFormat="1" applyFont="1" applyFill="1" applyBorder="1" applyAlignment="1">
      <alignment horizontal="center"/>
    </xf>
    <xf numFmtId="0" fontId="4" fillId="0" borderId="65" xfId="0" applyFont="1" applyBorder="1" applyAlignment="1">
      <alignment horizontal="center"/>
    </xf>
    <xf numFmtId="10" fontId="2" fillId="6" borderId="66" xfId="0" applyNumberFormat="1" applyFont="1" applyFill="1" applyBorder="1" applyAlignment="1">
      <alignment horizontal="center"/>
    </xf>
    <xf numFmtId="0" fontId="4" fillId="12" borderId="36" xfId="0" applyFont="1" applyFill="1" applyBorder="1" applyAlignment="1">
      <alignment horizontal="center" wrapText="1"/>
    </xf>
    <xf numFmtId="9" fontId="2" fillId="0" borderId="50" xfId="3" quotePrefix="1" applyFont="1" applyBorder="1" applyAlignment="1">
      <alignment horizontal="center"/>
    </xf>
    <xf numFmtId="9" fontId="2" fillId="0" borderId="50" xfId="3" applyFont="1" applyBorder="1" applyAlignment="1">
      <alignment horizontal="center"/>
    </xf>
    <xf numFmtId="9" fontId="2" fillId="0" borderId="53" xfId="3" quotePrefix="1" applyFont="1" applyBorder="1" applyAlignment="1">
      <alignment horizontal="center"/>
    </xf>
    <xf numFmtId="10" fontId="2" fillId="6" borderId="63" xfId="0" applyNumberFormat="1" applyFont="1" applyFill="1" applyBorder="1" applyAlignment="1">
      <alignment horizontal="center"/>
    </xf>
    <xf numFmtId="0" fontId="4" fillId="0" borderId="67" xfId="0" applyFont="1" applyBorder="1" applyAlignment="1">
      <alignment horizontal="center"/>
    </xf>
    <xf numFmtId="0" fontId="0" fillId="3" borderId="51" xfId="0" applyFill="1" applyBorder="1"/>
    <xf numFmtId="0" fontId="0" fillId="3" borderId="60" xfId="0" applyFill="1" applyBorder="1"/>
    <xf numFmtId="0" fontId="0" fillId="3" borderId="52" xfId="0" applyFill="1" applyBorder="1"/>
    <xf numFmtId="0" fontId="0" fillId="0" borderId="45" xfId="0" applyBorder="1"/>
    <xf numFmtId="10" fontId="0" fillId="0" borderId="31" xfId="3" applyNumberFormat="1" applyFont="1" applyBorder="1" applyAlignment="1">
      <alignment horizontal="center"/>
    </xf>
    <xf numFmtId="10" fontId="0" fillId="0" borderId="48" xfId="3" applyNumberFormat="1" applyFont="1" applyBorder="1" applyAlignment="1">
      <alignment horizontal="center"/>
    </xf>
    <xf numFmtId="0" fontId="0" fillId="0" borderId="59" xfId="0" applyBorder="1"/>
    <xf numFmtId="10" fontId="0" fillId="0" borderId="16" xfId="3" applyNumberFormat="1" applyFont="1" applyBorder="1" applyAlignment="1">
      <alignment horizontal="center"/>
    </xf>
    <xf numFmtId="10" fontId="0" fillId="0" borderId="63" xfId="3" applyNumberFormat="1" applyFont="1" applyBorder="1" applyAlignment="1">
      <alignment horizontal="center"/>
    </xf>
    <xf numFmtId="0" fontId="4" fillId="12" borderId="56" xfId="0" applyFont="1" applyFill="1" applyBorder="1" applyAlignment="1">
      <alignment horizontal="center" wrapText="1"/>
    </xf>
    <xf numFmtId="0" fontId="4" fillId="0" borderId="51" xfId="0" applyFont="1" applyBorder="1" applyAlignment="1">
      <alignment horizontal="center"/>
    </xf>
    <xf numFmtId="0" fontId="2" fillId="0" borderId="50" xfId="0" applyFont="1" applyBorder="1" applyAlignment="1">
      <alignment wrapText="1"/>
    </xf>
    <xf numFmtId="0" fontId="0" fillId="0" borderId="24" xfId="0" applyBorder="1" applyAlignment="1">
      <alignment horizontal="center"/>
    </xf>
    <xf numFmtId="0" fontId="2" fillId="0" borderId="50" xfId="0" applyFont="1" applyBorder="1"/>
    <xf numFmtId="0" fontId="2" fillId="0" borderId="25" xfId="0" applyFont="1" applyBorder="1" applyAlignment="1">
      <alignment horizontal="center"/>
    </xf>
    <xf numFmtId="0" fontId="0" fillId="5" borderId="31" xfId="0" applyFill="1" applyBorder="1"/>
    <xf numFmtId="8" fontId="2" fillId="0" borderId="50" xfId="0" applyNumberFormat="1" applyFont="1" applyBorder="1" applyAlignment="1">
      <alignment horizontal="left"/>
    </xf>
    <xf numFmtId="6" fontId="0" fillId="0" borderId="31" xfId="2" applyNumberFormat="1" applyFont="1" applyBorder="1"/>
    <xf numFmtId="44" fontId="0" fillId="0" borderId="23" xfId="2" applyFont="1" applyBorder="1"/>
    <xf numFmtId="0" fontId="2" fillId="0" borderId="5" xfId="0" applyFont="1" applyBorder="1" applyAlignment="1">
      <alignment horizontal="left"/>
    </xf>
    <xf numFmtId="0" fontId="2" fillId="12" borderId="38" xfId="0" applyFont="1" applyFill="1" applyBorder="1"/>
    <xf numFmtId="0" fontId="2" fillId="0" borderId="49" xfId="0" applyFont="1" applyBorder="1" applyAlignment="1">
      <alignment horizontal="left" wrapText="1"/>
    </xf>
    <xf numFmtId="9" fontId="2" fillId="0" borderId="38" xfId="3" applyFont="1" applyBorder="1" applyAlignment="1">
      <alignment horizontal="center"/>
    </xf>
    <xf numFmtId="9" fontId="2" fillId="12" borderId="38" xfId="3" applyFont="1" applyFill="1" applyBorder="1" applyAlignment="1">
      <alignment horizontal="center"/>
    </xf>
    <xf numFmtId="0" fontId="7" fillId="0" borderId="46" xfId="0" applyFont="1" applyBorder="1" applyAlignment="1">
      <alignment horizontal="center"/>
    </xf>
    <xf numFmtId="0" fontId="7" fillId="0" borderId="47" xfId="0" applyFont="1" applyBorder="1" applyAlignment="1">
      <alignment horizontal="center"/>
    </xf>
    <xf numFmtId="0" fontId="7" fillId="0" borderId="44" xfId="0" applyFont="1" applyBorder="1" applyAlignment="1">
      <alignment horizontal="center"/>
    </xf>
    <xf numFmtId="0" fontId="2" fillId="0" borderId="49" xfId="0" applyFont="1" applyBorder="1" applyAlignment="1">
      <alignment horizontal="left"/>
    </xf>
    <xf numFmtId="9" fontId="2" fillId="0" borderId="38" xfId="3" applyFont="1" applyFill="1" applyBorder="1" applyAlignment="1">
      <alignment horizontal="center"/>
    </xf>
    <xf numFmtId="10" fontId="2" fillId="6" borderId="61" xfId="0" applyNumberFormat="1" applyFont="1" applyFill="1" applyBorder="1" applyAlignment="1">
      <alignment horizontal="center"/>
    </xf>
    <xf numFmtId="0" fontId="7" fillId="0" borderId="54" xfId="0" applyFont="1" applyBorder="1" applyAlignment="1">
      <alignment horizontal="center"/>
    </xf>
    <xf numFmtId="0" fontId="7" fillId="0" borderId="68" xfId="0" applyFont="1" applyBorder="1" applyAlignment="1">
      <alignment horizontal="center"/>
    </xf>
    <xf numFmtId="0" fontId="7" fillId="0" borderId="55" xfId="0" applyFont="1" applyBorder="1" applyAlignment="1">
      <alignment horizontal="center"/>
    </xf>
    <xf numFmtId="0" fontId="0" fillId="0" borderId="45" xfId="0" applyBorder="1" applyAlignment="1">
      <alignment horizontal="center"/>
    </xf>
    <xf numFmtId="0" fontId="0" fillId="0" borderId="50" xfId="0" applyBorder="1" applyAlignment="1">
      <alignment horizontal="center"/>
    </xf>
    <xf numFmtId="0" fontId="0" fillId="0" borderId="53" xfId="0" applyBorder="1" applyAlignment="1">
      <alignment horizontal="center"/>
    </xf>
    <xf numFmtId="10" fontId="0" fillId="0" borderId="5" xfId="3" applyNumberFormat="1" applyFont="1" applyBorder="1" applyAlignment="1">
      <alignment horizontal="center"/>
    </xf>
    <xf numFmtId="10" fontId="0" fillId="0" borderId="69" xfId="3" applyNumberFormat="1" applyFont="1" applyBorder="1" applyAlignment="1">
      <alignment horizontal="center"/>
    </xf>
    <xf numFmtId="10" fontId="0" fillId="0" borderId="2" xfId="3" applyNumberFormat="1" applyFont="1" applyBorder="1" applyAlignment="1">
      <alignment horizontal="center"/>
    </xf>
    <xf numFmtId="10" fontId="0" fillId="0" borderId="30" xfId="3" applyNumberFormat="1" applyFont="1" applyBorder="1" applyAlignment="1">
      <alignment horizontal="center"/>
    </xf>
    <xf numFmtId="10" fontId="0" fillId="0" borderId="37" xfId="3" applyNumberFormat="1" applyFont="1" applyBorder="1" applyAlignment="1">
      <alignment horizontal="center"/>
    </xf>
    <xf numFmtId="10" fontId="0" fillId="0" borderId="36" xfId="3" applyNumberFormat="1" applyFont="1" applyBorder="1" applyAlignment="1">
      <alignment horizontal="center"/>
    </xf>
    <xf numFmtId="6" fontId="0" fillId="0" borderId="0" xfId="0" applyNumberFormat="1" applyAlignment="1">
      <alignment horizontal="center"/>
    </xf>
    <xf numFmtId="0" fontId="7" fillId="0" borderId="0" xfId="0" applyFont="1" applyAlignment="1">
      <alignment horizontal="center"/>
    </xf>
    <xf numFmtId="6" fontId="0" fillId="0" borderId="69" xfId="0" applyNumberFormat="1" applyBorder="1"/>
    <xf numFmtId="6" fontId="0" fillId="0" borderId="38" xfId="0" applyNumberFormat="1" applyBorder="1"/>
    <xf numFmtId="6" fontId="0" fillId="12" borderId="0" xfId="0" applyNumberFormat="1" applyFill="1"/>
    <xf numFmtId="6" fontId="0" fillId="0" borderId="70" xfId="0" applyNumberFormat="1" applyBorder="1"/>
    <xf numFmtId="6" fontId="0" fillId="0" borderId="41" xfId="0" applyNumberFormat="1" applyBorder="1"/>
    <xf numFmtId="6" fontId="0" fillId="12" borderId="41" xfId="0" applyNumberFormat="1" applyFill="1" applyBorder="1"/>
    <xf numFmtId="6" fontId="0" fillId="12" borderId="13" xfId="0" applyNumberFormat="1" applyFill="1" applyBorder="1"/>
    <xf numFmtId="164" fontId="0" fillId="0" borderId="30" xfId="2" applyNumberFormat="1" applyFont="1" applyBorder="1"/>
    <xf numFmtId="6" fontId="0" fillId="13" borderId="16" xfId="0" applyNumberFormat="1" applyFill="1" applyBorder="1"/>
    <xf numFmtId="6" fontId="0" fillId="13" borderId="3" xfId="0" applyNumberFormat="1" applyFill="1" applyBorder="1"/>
    <xf numFmtId="6" fontId="0" fillId="0" borderId="6" xfId="0" applyNumberFormat="1" applyBorder="1"/>
    <xf numFmtId="6" fontId="0" fillId="13" borderId="38" xfId="0" applyNumberFormat="1" applyFill="1" applyBorder="1"/>
    <xf numFmtId="6" fontId="0" fillId="0" borderId="3" xfId="0" applyNumberFormat="1" applyBorder="1"/>
    <xf numFmtId="6" fontId="0" fillId="13" borderId="5" xfId="0" applyNumberFormat="1" applyFill="1" applyBorder="1"/>
    <xf numFmtId="6" fontId="0" fillId="13" borderId="6" xfId="0" applyNumberFormat="1" applyFill="1" applyBorder="1"/>
    <xf numFmtId="9" fontId="0" fillId="0" borderId="66" xfId="3" applyFont="1" applyBorder="1" applyAlignment="1"/>
    <xf numFmtId="9" fontId="0" fillId="0" borderId="71" xfId="3" applyFont="1" applyBorder="1" applyAlignment="1"/>
    <xf numFmtId="164" fontId="0" fillId="0" borderId="37" xfId="2" applyNumberFormat="1" applyFont="1" applyBorder="1"/>
    <xf numFmtId="9" fontId="0" fillId="0" borderId="50" xfId="3" applyFont="1" applyBorder="1"/>
    <xf numFmtId="9" fontId="0" fillId="0" borderId="53" xfId="3" applyFont="1" applyBorder="1"/>
    <xf numFmtId="9" fontId="0" fillId="0" borderId="26" xfId="0" applyNumberFormat="1" applyBorder="1"/>
    <xf numFmtId="0" fontId="0" fillId="0" borderId="58" xfId="0" applyBorder="1"/>
    <xf numFmtId="0" fontId="0" fillId="0" borderId="72" xfId="0" applyBorder="1"/>
    <xf numFmtId="0" fontId="2" fillId="12" borderId="73" xfId="0" quotePrefix="1" applyFont="1" applyFill="1" applyBorder="1" applyAlignment="1">
      <alignment horizontal="center"/>
    </xf>
    <xf numFmtId="0" fontId="0" fillId="0" borderId="74" xfId="0" applyBorder="1"/>
    <xf numFmtId="0" fontId="0" fillId="0" borderId="23" xfId="0" applyBorder="1" applyAlignment="1">
      <alignment horizontal="center"/>
    </xf>
    <xf numFmtId="0" fontId="0" fillId="0" borderId="45" xfId="0" quotePrefix="1" applyBorder="1"/>
    <xf numFmtId="0" fontId="0" fillId="0" borderId="37" xfId="0" quotePrefix="1" applyBorder="1"/>
    <xf numFmtId="164" fontId="0" fillId="0" borderId="36" xfId="2" applyNumberFormat="1" applyFont="1" applyBorder="1"/>
    <xf numFmtId="0" fontId="0" fillId="0" borderId="50" xfId="0" applyBorder="1"/>
    <xf numFmtId="0" fontId="0" fillId="0" borderId="31" xfId="0" applyBorder="1"/>
    <xf numFmtId="9" fontId="0" fillId="0" borderId="31" xfId="0" applyNumberFormat="1" applyBorder="1"/>
    <xf numFmtId="0" fontId="0" fillId="0" borderId="53" xfId="0" applyBorder="1"/>
    <xf numFmtId="0" fontId="0" fillId="0" borderId="48" xfId="0" applyBorder="1"/>
    <xf numFmtId="0" fontId="0" fillId="0" borderId="73" xfId="0" applyBorder="1"/>
    <xf numFmtId="0" fontId="0" fillId="0" borderId="75" xfId="0" applyBorder="1"/>
    <xf numFmtId="0" fontId="0" fillId="0" borderId="42" xfId="0" applyBorder="1"/>
    <xf numFmtId="0" fontId="2" fillId="12" borderId="38" xfId="0" quotePrefix="1" applyFont="1" applyFill="1" applyBorder="1" applyAlignment="1">
      <alignment horizontal="center"/>
    </xf>
    <xf numFmtId="0" fontId="0" fillId="0" borderId="22" xfId="0" applyBorder="1"/>
    <xf numFmtId="0" fontId="2" fillId="12" borderId="58" xfId="0" applyFont="1" applyFill="1" applyBorder="1" applyAlignment="1">
      <alignment horizontal="center"/>
    </xf>
    <xf numFmtId="0" fontId="2" fillId="12" borderId="42" xfId="0" applyFont="1" applyFill="1" applyBorder="1" applyAlignment="1">
      <alignment horizontal="center"/>
    </xf>
    <xf numFmtId="0" fontId="2" fillId="12" borderId="38" xfId="0" applyFont="1" applyFill="1" applyBorder="1" applyAlignment="1">
      <alignment horizontal="center"/>
    </xf>
    <xf numFmtId="0" fontId="0" fillId="0" borderId="25" xfId="0" applyBorder="1" applyAlignment="1">
      <alignment horizontal="center"/>
    </xf>
    <xf numFmtId="6" fontId="0" fillId="0" borderId="25" xfId="0" applyNumberFormat="1" applyBorder="1"/>
    <xf numFmtId="0" fontId="0" fillId="0" borderId="73" xfId="0" applyBorder="1" applyAlignment="1">
      <alignment horizontal="center"/>
    </xf>
    <xf numFmtId="6" fontId="0" fillId="0" borderId="75" xfId="0" applyNumberFormat="1" applyBorder="1"/>
    <xf numFmtId="6" fontId="0" fillId="0" borderId="42" xfId="0" applyNumberFormat="1" applyBorder="1"/>
    <xf numFmtId="164" fontId="0" fillId="3" borderId="37" xfId="2" applyNumberFormat="1" applyFont="1" applyFill="1" applyBorder="1"/>
    <xf numFmtId="164" fontId="0" fillId="3" borderId="2" xfId="2" applyNumberFormat="1" applyFont="1" applyFill="1" applyBorder="1"/>
    <xf numFmtId="164" fontId="0" fillId="3" borderId="30" xfId="2" applyNumberFormat="1" applyFont="1" applyFill="1" applyBorder="1"/>
    <xf numFmtId="0" fontId="2" fillId="0" borderId="51" xfId="0" applyFont="1" applyBorder="1"/>
    <xf numFmtId="10" fontId="2" fillId="0" borderId="60" xfId="3" applyNumberFormat="1" applyFont="1" applyBorder="1" applyAlignment="1">
      <alignment horizontal="center"/>
    </xf>
    <xf numFmtId="10" fontId="2" fillId="0" borderId="52" xfId="3" applyNumberFormat="1" applyFont="1" applyBorder="1" applyAlignment="1">
      <alignment horizontal="center"/>
    </xf>
    <xf numFmtId="8" fontId="2" fillId="0" borderId="24" xfId="0" applyNumberFormat="1" applyFont="1" applyBorder="1" applyAlignment="1">
      <alignment horizontal="center"/>
    </xf>
    <xf numFmtId="164" fontId="0" fillId="6" borderId="2" xfId="2" applyNumberFormat="1" applyFont="1" applyFill="1" applyBorder="1" applyAlignment="1">
      <alignment horizontal="center"/>
    </xf>
    <xf numFmtId="164" fontId="0" fillId="0" borderId="2" xfId="0" applyNumberFormat="1" applyBorder="1" applyAlignment="1">
      <alignment horizontal="center" vertical="center" wrapText="1"/>
    </xf>
    <xf numFmtId="0" fontId="0" fillId="0" borderId="58" xfId="0" applyBorder="1" applyAlignment="1">
      <alignment horizontal="center"/>
    </xf>
    <xf numFmtId="8" fontId="2" fillId="0" borderId="72" xfId="0" applyNumberFormat="1" applyFont="1" applyBorder="1" applyAlignment="1">
      <alignment horizontal="center"/>
    </xf>
    <xf numFmtId="9" fontId="0" fillId="0" borderId="74" xfId="0" applyNumberFormat="1" applyBorder="1"/>
    <xf numFmtId="0" fontId="0" fillId="0" borderId="76" xfId="0" applyBorder="1"/>
    <xf numFmtId="0" fontId="0" fillId="0" borderId="6" xfId="0" applyBorder="1"/>
    <xf numFmtId="0" fontId="0" fillId="0" borderId="32" xfId="0" applyBorder="1"/>
    <xf numFmtId="0" fontId="0" fillId="0" borderId="26" xfId="0" applyBorder="1" applyAlignment="1">
      <alignment horizontal="center"/>
    </xf>
    <xf numFmtId="164" fontId="0" fillId="0" borderId="24" xfId="0" applyNumberFormat="1" applyBorder="1"/>
    <xf numFmtId="6" fontId="0" fillId="0" borderId="21" xfId="0" applyNumberFormat="1" applyBorder="1"/>
    <xf numFmtId="0" fontId="0" fillId="0" borderId="63" xfId="0" applyBorder="1"/>
    <xf numFmtId="0" fontId="0" fillId="12" borderId="38" xfId="0" applyFill="1" applyBorder="1"/>
    <xf numFmtId="0" fontId="17" fillId="0" borderId="0" xfId="0" applyFont="1"/>
    <xf numFmtId="0" fontId="0" fillId="12" borderId="45" xfId="0" applyFill="1" applyBorder="1"/>
    <xf numFmtId="0" fontId="0" fillId="12" borderId="37" xfId="0" applyFill="1" applyBorder="1"/>
    <xf numFmtId="0" fontId="0" fillId="12" borderId="59" xfId="0" applyFill="1" applyBorder="1"/>
    <xf numFmtId="0" fontId="0" fillId="12" borderId="36" xfId="0" applyFill="1" applyBorder="1"/>
    <xf numFmtId="9" fontId="0" fillId="12" borderId="50" xfId="3" applyFont="1" applyFill="1" applyBorder="1" applyAlignment="1">
      <alignment horizontal="center"/>
    </xf>
    <xf numFmtId="10" fontId="0" fillId="12" borderId="2" xfId="0" applyNumberFormat="1" applyFill="1" applyBorder="1" applyAlignment="1">
      <alignment horizontal="center"/>
    </xf>
    <xf numFmtId="10" fontId="0" fillId="12" borderId="16" xfId="3" applyNumberFormat="1" applyFont="1" applyFill="1" applyBorder="1" applyAlignment="1">
      <alignment horizontal="center"/>
    </xf>
    <xf numFmtId="6" fontId="0" fillId="12" borderId="2" xfId="0" applyNumberFormat="1" applyFill="1" applyBorder="1" applyAlignment="1">
      <alignment horizontal="center"/>
    </xf>
    <xf numFmtId="10" fontId="0" fillId="12" borderId="31" xfId="3" applyNumberFormat="1" applyFont="1" applyFill="1" applyBorder="1" applyAlignment="1">
      <alignment horizontal="center"/>
    </xf>
    <xf numFmtId="9" fontId="0" fillId="12" borderId="50" xfId="3" quotePrefix="1" applyFont="1" applyFill="1" applyBorder="1" applyAlignment="1">
      <alignment horizontal="center"/>
    </xf>
    <xf numFmtId="9" fontId="0" fillId="12" borderId="53" xfId="3" applyFont="1" applyFill="1" applyBorder="1" applyAlignment="1">
      <alignment horizontal="center"/>
    </xf>
    <xf numFmtId="6" fontId="0" fillId="12" borderId="30" xfId="0" applyNumberFormat="1" applyFill="1" applyBorder="1" applyAlignment="1">
      <alignment horizontal="center"/>
    </xf>
    <xf numFmtId="10" fontId="0" fillId="12" borderId="48" xfId="3" applyNumberFormat="1" applyFont="1" applyFill="1" applyBorder="1" applyAlignment="1">
      <alignment horizontal="center"/>
    </xf>
    <xf numFmtId="0" fontId="2" fillId="12" borderId="0" xfId="0" applyFont="1" applyFill="1"/>
    <xf numFmtId="6" fontId="0" fillId="0" borderId="24" xfId="0" applyNumberFormat="1" applyBorder="1" applyAlignment="1">
      <alignment horizontal="center"/>
    </xf>
    <xf numFmtId="0" fontId="0" fillId="0" borderId="24" xfId="0" applyBorder="1" applyAlignment="1">
      <alignment horizontal="right"/>
    </xf>
    <xf numFmtId="0" fontId="0" fillId="0" borderId="73" xfId="0" applyBorder="1" applyAlignment="1">
      <alignment horizontal="right"/>
    </xf>
    <xf numFmtId="164" fontId="0" fillId="0" borderId="72" xfId="0" applyNumberFormat="1" applyBorder="1"/>
    <xf numFmtId="6" fontId="0" fillId="0" borderId="72" xfId="0" applyNumberFormat="1" applyBorder="1" applyAlignment="1">
      <alignment horizontal="center"/>
    </xf>
    <xf numFmtId="0" fontId="0" fillId="0" borderId="22" xfId="0" applyBorder="1" applyAlignment="1">
      <alignment horizontal="center"/>
    </xf>
    <xf numFmtId="6" fontId="0" fillId="0" borderId="23" xfId="0" applyNumberFormat="1" applyBorder="1"/>
    <xf numFmtId="6" fontId="0" fillId="0" borderId="34" xfId="0" applyNumberFormat="1" applyBorder="1"/>
    <xf numFmtId="6" fontId="0" fillId="0" borderId="35" xfId="0" applyNumberFormat="1" applyBorder="1"/>
    <xf numFmtId="0" fontId="18" fillId="0" borderId="0" xfId="0" applyFont="1"/>
    <xf numFmtId="0" fontId="0" fillId="0" borderId="67" xfId="0" quotePrefix="1" applyBorder="1"/>
    <xf numFmtId="0" fontId="0" fillId="0" borderId="3" xfId="0" applyBorder="1"/>
    <xf numFmtId="0" fontId="0" fillId="0" borderId="43" xfId="0" applyBorder="1"/>
    <xf numFmtId="0" fontId="0" fillId="0" borderId="59" xfId="0" quotePrefix="1" applyBorder="1"/>
    <xf numFmtId="0" fontId="0" fillId="0" borderId="16" xfId="0" applyBorder="1"/>
    <xf numFmtId="0" fontId="0" fillId="0" borderId="34" xfId="0" applyBorder="1" applyAlignment="1">
      <alignment horizontal="center"/>
    </xf>
    <xf numFmtId="0" fontId="0" fillId="0" borderId="35" xfId="0" applyBorder="1" applyAlignment="1">
      <alignment horizontal="center"/>
    </xf>
    <xf numFmtId="0" fontId="0" fillId="0" borderId="74" xfId="0" applyBorder="1" applyAlignment="1">
      <alignment horizontal="center"/>
    </xf>
    <xf numFmtId="167" fontId="2" fillId="0" borderId="22" xfId="1" applyNumberFormat="1" applyFont="1" applyBorder="1" applyAlignment="1">
      <alignment horizontal="center"/>
    </xf>
    <xf numFmtId="167" fontId="2" fillId="0" borderId="23" xfId="1" applyNumberFormat="1" applyFont="1" applyBorder="1" applyAlignment="1">
      <alignment horizontal="center"/>
    </xf>
    <xf numFmtId="6" fontId="2" fillId="0" borderId="34" xfId="0" applyNumberFormat="1" applyFont="1" applyBorder="1"/>
    <xf numFmtId="6" fontId="0" fillId="0" borderId="24" xfId="0" applyNumberFormat="1" applyBorder="1"/>
    <xf numFmtId="6" fontId="0" fillId="0" borderId="26" xfId="0" applyNumberFormat="1" applyBorder="1"/>
    <xf numFmtId="9" fontId="0" fillId="0" borderId="2" xfId="3" applyFont="1" applyBorder="1" applyAlignment="1">
      <alignment horizontal="center"/>
    </xf>
    <xf numFmtId="164" fontId="0" fillId="0" borderId="37" xfId="2" applyNumberFormat="1" applyFont="1" applyBorder="1" applyAlignment="1">
      <alignment horizontal="center"/>
    </xf>
    <xf numFmtId="0" fontId="0" fillId="0" borderId="0" xfId="0" applyProtection="1">
      <protection locked="0"/>
    </xf>
    <xf numFmtId="174" fontId="0" fillId="0" borderId="0" xfId="2" applyNumberFormat="1" applyFont="1" applyFill="1" applyBorder="1" applyAlignment="1" applyProtection="1">
      <alignment horizontal="right"/>
      <protection locked="0"/>
    </xf>
    <xf numFmtId="0" fontId="0" fillId="0" borderId="0" xfId="0" applyAlignment="1" applyProtection="1">
      <alignment horizontal="center"/>
      <protection locked="0"/>
    </xf>
    <xf numFmtId="0" fontId="2" fillId="2" borderId="2" xfId="0" applyFont="1" applyFill="1" applyBorder="1" applyAlignment="1">
      <alignment horizontal="center"/>
    </xf>
    <xf numFmtId="6" fontId="0" fillId="9" borderId="2" xfId="0" applyNumberFormat="1" applyFill="1" applyBorder="1"/>
    <xf numFmtId="2" fontId="0" fillId="2" borderId="2" xfId="0" applyNumberFormat="1" applyFill="1" applyBorder="1" applyProtection="1">
      <protection locked="0"/>
    </xf>
    <xf numFmtId="2" fontId="0" fillId="2" borderId="2" xfId="0" applyNumberFormat="1" applyFill="1" applyBorder="1"/>
    <xf numFmtId="8" fontId="0" fillId="2" borderId="2" xfId="2" applyNumberFormat="1" applyFont="1" applyFill="1" applyBorder="1" applyProtection="1"/>
    <xf numFmtId="6" fontId="0" fillId="2" borderId="2" xfId="2" applyNumberFormat="1" applyFont="1" applyFill="1" applyBorder="1" applyProtection="1"/>
    <xf numFmtId="10" fontId="0" fillId="7" borderId="2" xfId="3" applyNumberFormat="1" applyFont="1" applyFill="1" applyBorder="1" applyAlignment="1">
      <alignment horizontal="center"/>
    </xf>
    <xf numFmtId="5" fontId="0" fillId="2" borderId="2" xfId="0" applyNumberFormat="1" applyFill="1" applyBorder="1" applyAlignment="1" applyProtection="1">
      <alignment horizontal="center"/>
      <protection locked="0"/>
    </xf>
    <xf numFmtId="10" fontId="2" fillId="0" borderId="62" xfId="3" applyNumberFormat="1" applyFont="1" applyBorder="1" applyAlignment="1">
      <alignment horizontal="center"/>
    </xf>
    <xf numFmtId="10" fontId="2" fillId="0" borderId="19" xfId="3" applyNumberFormat="1" applyFont="1" applyBorder="1" applyAlignment="1">
      <alignment horizontal="center"/>
    </xf>
    <xf numFmtId="10" fontId="2" fillId="0" borderId="64" xfId="3" applyNumberFormat="1" applyFont="1" applyBorder="1" applyAlignment="1">
      <alignment horizontal="center"/>
    </xf>
    <xf numFmtId="10" fontId="0" fillId="0" borderId="56" xfId="3" applyNumberFormat="1" applyFont="1" applyBorder="1" applyAlignment="1">
      <alignment horizontal="center"/>
    </xf>
    <xf numFmtId="10" fontId="0" fillId="0" borderId="61" xfId="3" applyNumberFormat="1" applyFont="1" applyBorder="1" applyAlignment="1">
      <alignment horizontal="center"/>
    </xf>
    <xf numFmtId="10" fontId="0" fillId="0" borderId="57" xfId="3" applyNumberFormat="1" applyFont="1" applyBorder="1" applyAlignment="1">
      <alignment horizontal="center"/>
    </xf>
    <xf numFmtId="6" fontId="2" fillId="0" borderId="65" xfId="0" applyNumberFormat="1" applyFont="1" applyBorder="1" applyAlignment="1">
      <alignment horizontal="center"/>
    </xf>
    <xf numFmtId="6" fontId="2" fillId="0" borderId="66" xfId="0" applyNumberFormat="1" applyFont="1" applyBorder="1" applyAlignment="1">
      <alignment horizontal="center"/>
    </xf>
    <xf numFmtId="6" fontId="2" fillId="0" borderId="71" xfId="0" applyNumberFormat="1" applyFont="1" applyBorder="1" applyAlignment="1">
      <alignment horizontal="center"/>
    </xf>
    <xf numFmtId="10" fontId="2" fillId="0" borderId="0" xfId="0" applyNumberFormat="1" applyFont="1" applyAlignment="1">
      <alignment horizontal="center"/>
    </xf>
    <xf numFmtId="0" fontId="0" fillId="0" borderId="12" xfId="0" applyBorder="1"/>
    <xf numFmtId="9" fontId="0" fillId="0" borderId="0" xfId="3" applyFont="1" applyBorder="1" applyAlignment="1"/>
    <xf numFmtId="9" fontId="0" fillId="0" borderId="65" xfId="0" applyNumberFormat="1" applyBorder="1" applyAlignment="1">
      <alignment horizontal="center"/>
    </xf>
    <xf numFmtId="9" fontId="0" fillId="0" borderId="66" xfId="0" applyNumberFormat="1" applyBorder="1" applyAlignment="1">
      <alignment horizontal="center"/>
    </xf>
    <xf numFmtId="9" fontId="0" fillId="0" borderId="71" xfId="0" applyNumberFormat="1" applyBorder="1" applyAlignment="1">
      <alignment horizontal="center"/>
    </xf>
    <xf numFmtId="10" fontId="0" fillId="0" borderId="60" xfId="0" applyNumberFormat="1" applyBorder="1" applyAlignment="1">
      <alignment horizontal="center"/>
    </xf>
    <xf numFmtId="10" fontId="0" fillId="0" borderId="52" xfId="0" applyNumberForma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10" fontId="0" fillId="0" borderId="71" xfId="0" applyNumberFormat="1" applyBorder="1" applyAlignment="1">
      <alignment horizontal="center"/>
    </xf>
    <xf numFmtId="164" fontId="0" fillId="0" borderId="51" xfId="2" applyNumberFormat="1" applyFont="1" applyBorder="1" applyAlignment="1">
      <alignment horizontal="center"/>
    </xf>
    <xf numFmtId="164" fontId="0" fillId="0" borderId="60" xfId="2" applyNumberFormat="1" applyFont="1" applyBorder="1" applyAlignment="1">
      <alignment horizontal="center"/>
    </xf>
    <xf numFmtId="164" fontId="0" fillId="0" borderId="52" xfId="2" applyNumberFormat="1" applyFont="1" applyBorder="1" applyAlignment="1">
      <alignment horizontal="center"/>
    </xf>
    <xf numFmtId="10" fontId="0" fillId="0" borderId="65" xfId="3" applyNumberFormat="1" applyFont="1" applyBorder="1" applyAlignment="1">
      <alignment horizontal="center"/>
    </xf>
    <xf numFmtId="10" fontId="0" fillId="0" borderId="66" xfId="3" applyNumberFormat="1" applyFont="1" applyBorder="1" applyAlignment="1">
      <alignment horizontal="center"/>
    </xf>
    <xf numFmtId="10" fontId="0" fillId="0" borderId="71" xfId="3" applyNumberFormat="1" applyFont="1" applyBorder="1" applyAlignment="1">
      <alignment horizontal="center"/>
    </xf>
    <xf numFmtId="164" fontId="0" fillId="0" borderId="30" xfId="2" applyNumberFormat="1" applyFont="1" applyBorder="1" applyAlignment="1">
      <alignment horizontal="center"/>
    </xf>
    <xf numFmtId="164" fontId="0" fillId="0" borderId="59" xfId="2" applyNumberFormat="1" applyFont="1" applyBorder="1" applyAlignment="1">
      <alignment horizontal="center"/>
    </xf>
    <xf numFmtId="164" fontId="0" fillId="0" borderId="16" xfId="2" applyNumberFormat="1" applyFont="1" applyBorder="1" applyAlignment="1">
      <alignment horizontal="center"/>
    </xf>
    <xf numFmtId="164" fontId="0" fillId="0" borderId="63" xfId="2" applyNumberFormat="1" applyFont="1" applyBorder="1" applyAlignment="1">
      <alignment horizontal="center"/>
    </xf>
    <xf numFmtId="6" fontId="0" fillId="0" borderId="63" xfId="0" applyNumberFormat="1" applyBorder="1"/>
    <xf numFmtId="0" fontId="0" fillId="0" borderId="51" xfId="0" applyBorder="1"/>
    <xf numFmtId="0" fontId="0" fillId="0" borderId="67" xfId="0" applyBorder="1"/>
    <xf numFmtId="9" fontId="0" fillId="0" borderId="19" xfId="3" applyFont="1" applyBorder="1" applyAlignment="1"/>
    <xf numFmtId="9" fontId="0" fillId="0" borderId="64" xfId="3" applyFont="1" applyBorder="1" applyAlignment="1"/>
    <xf numFmtId="0" fontId="0" fillId="0" borderId="65" xfId="0" applyBorder="1"/>
    <xf numFmtId="10" fontId="0" fillId="0" borderId="59" xfId="3" applyNumberFormat="1" applyFont="1" applyBorder="1" applyAlignment="1">
      <alignment horizontal="center"/>
    </xf>
    <xf numFmtId="164" fontId="0" fillId="0" borderId="62" xfId="2" applyNumberFormat="1" applyFont="1" applyBorder="1" applyAlignment="1">
      <alignment horizontal="center"/>
    </xf>
    <xf numFmtId="164" fontId="0" fillId="0" borderId="19" xfId="2" applyNumberFormat="1" applyFont="1" applyBorder="1" applyAlignment="1">
      <alignment horizontal="center"/>
    </xf>
    <xf numFmtId="164" fontId="0" fillId="0" borderId="64" xfId="2" applyNumberFormat="1" applyFont="1" applyBorder="1" applyAlignment="1">
      <alignment horizontal="center"/>
    </xf>
    <xf numFmtId="164" fontId="0" fillId="0" borderId="5" xfId="2" applyNumberFormat="1" applyFont="1" applyBorder="1" applyAlignment="1">
      <alignment horizontal="center"/>
    </xf>
    <xf numFmtId="0" fontId="2" fillId="0" borderId="6" xfId="0" applyFont="1" applyBorder="1" applyAlignment="1">
      <alignment horizontal="left"/>
    </xf>
    <xf numFmtId="164" fontId="2" fillId="2" borderId="2" xfId="2" applyNumberFormat="1" applyFont="1" applyFill="1" applyBorder="1" applyProtection="1">
      <protection locked="0"/>
    </xf>
    <xf numFmtId="164" fontId="2" fillId="2" borderId="3" xfId="2" applyNumberFormat="1" applyFont="1" applyFill="1" applyBorder="1" applyProtection="1">
      <protection locked="0"/>
    </xf>
    <xf numFmtId="164" fontId="2" fillId="2" borderId="77" xfId="2" applyNumberFormat="1" applyFont="1" applyFill="1" applyBorder="1" applyProtection="1">
      <protection locked="0"/>
    </xf>
    <xf numFmtId="164" fontId="2" fillId="6" borderId="2" xfId="2" applyNumberFormat="1" applyFont="1" applyFill="1" applyBorder="1"/>
    <xf numFmtId="10" fontId="2" fillId="7" borderId="2" xfId="0" applyNumberFormat="1" applyFont="1" applyFill="1" applyBorder="1" applyAlignment="1">
      <alignment horizontal="center"/>
    </xf>
    <xf numFmtId="164" fontId="2" fillId="0" borderId="16" xfId="0" applyNumberFormat="1" applyFont="1" applyBorder="1"/>
    <xf numFmtId="164" fontId="2" fillId="12" borderId="38" xfId="2" applyNumberFormat="1" applyFont="1" applyFill="1" applyBorder="1" applyAlignment="1">
      <alignment horizontal="center"/>
    </xf>
    <xf numFmtId="164" fontId="2" fillId="2" borderId="6" xfId="2" applyNumberFormat="1" applyFont="1" applyFill="1" applyBorder="1" applyAlignment="1" applyProtection="1">
      <alignment horizontal="center"/>
      <protection locked="0"/>
    </xf>
    <xf numFmtId="6" fontId="0" fillId="0" borderId="0" xfId="2" applyNumberFormat="1" applyFont="1" applyBorder="1"/>
    <xf numFmtId="173" fontId="2" fillId="0" borderId="0" xfId="3" applyNumberFormat="1" applyFont="1" applyFill="1" applyBorder="1" applyAlignment="1" applyProtection="1">
      <alignment horizontal="center"/>
      <protection locked="0"/>
    </xf>
    <xf numFmtId="0" fontId="2" fillId="0" borderId="16" xfId="0" applyFont="1" applyBorder="1"/>
    <xf numFmtId="173" fontId="2" fillId="2" borderId="38" xfId="3" applyNumberFormat="1" applyFont="1" applyFill="1" applyBorder="1" applyAlignment="1" applyProtection="1">
      <alignment horizontal="center"/>
      <protection locked="0"/>
    </xf>
    <xf numFmtId="0" fontId="20" fillId="0" borderId="0" xfId="0" applyFont="1"/>
    <xf numFmtId="167" fontId="0" fillId="2" borderId="2" xfId="1" applyNumberFormat="1" applyFont="1" applyFill="1" applyBorder="1" applyAlignment="1" applyProtection="1">
      <alignment horizontal="center"/>
      <protection locked="0"/>
    </xf>
    <xf numFmtId="8" fontId="0" fillId="2" borderId="2" xfId="2" applyNumberFormat="1" applyFont="1" applyFill="1" applyBorder="1" applyAlignment="1" applyProtection="1">
      <alignment horizontal="right"/>
      <protection locked="0"/>
    </xf>
    <xf numFmtId="8" fontId="0" fillId="0" borderId="2" xfId="0" applyNumberFormat="1" applyBorder="1" applyAlignment="1">
      <alignment horizontal="right"/>
    </xf>
    <xf numFmtId="8" fontId="0" fillId="5" borderId="2" xfId="0" applyNumberFormat="1" applyFill="1" applyBorder="1" applyAlignment="1">
      <alignment horizontal="right"/>
    </xf>
    <xf numFmtId="44" fontId="0" fillId="2" borderId="2" xfId="2" applyFont="1" applyFill="1" applyBorder="1" applyAlignment="1" applyProtection="1">
      <alignment horizontal="right"/>
      <protection locked="0"/>
    </xf>
    <xf numFmtId="44" fontId="0" fillId="5" borderId="2" xfId="2" applyFont="1" applyFill="1" applyBorder="1"/>
    <xf numFmtId="44" fontId="0" fillId="0" borderId="2" xfId="2" applyFont="1" applyBorder="1" applyAlignment="1">
      <alignment horizontal="right"/>
    </xf>
    <xf numFmtId="44" fontId="0" fillId="2" borderId="2" xfId="2" applyFont="1" applyFill="1" applyBorder="1" applyAlignment="1" applyProtection="1">
      <protection locked="0"/>
    </xf>
    <xf numFmtId="44" fontId="0" fillId="5" borderId="2" xfId="2" applyFont="1" applyFill="1" applyBorder="1" applyAlignment="1"/>
    <xf numFmtId="44" fontId="0" fillId="0" borderId="2" xfId="2" applyFont="1" applyBorder="1" applyAlignment="1"/>
    <xf numFmtId="164" fontId="2" fillId="2" borderId="12" xfId="2" applyNumberFormat="1" applyFont="1" applyFill="1" applyBorder="1" applyAlignment="1" applyProtection="1">
      <alignment horizontal="center"/>
      <protection locked="0"/>
    </xf>
    <xf numFmtId="0" fontId="4" fillId="0" borderId="59" xfId="0" applyFont="1" applyBorder="1" applyAlignment="1">
      <alignment horizontal="center" wrapText="1"/>
    </xf>
    <xf numFmtId="10" fontId="0" fillId="0" borderId="19" xfId="0" applyNumberFormat="1" applyBorder="1" applyAlignment="1">
      <alignment horizontal="center"/>
    </xf>
    <xf numFmtId="10" fontId="0" fillId="0" borderId="64" xfId="0" applyNumberFormat="1" applyBorder="1" applyAlignment="1">
      <alignment horizontal="center"/>
    </xf>
    <xf numFmtId="10" fontId="0" fillId="0" borderId="62" xfId="0" applyNumberFormat="1" applyBorder="1" applyAlignment="1">
      <alignment horizontal="center"/>
    </xf>
    <xf numFmtId="9" fontId="0" fillId="0" borderId="72" xfId="3" applyFont="1" applyBorder="1"/>
    <xf numFmtId="9" fontId="0" fillId="0" borderId="24" xfId="0" applyNumberFormat="1" applyBorder="1"/>
    <xf numFmtId="10" fontId="0" fillId="0" borderId="0" xfId="3" applyNumberFormat="1" applyFont="1" applyAlignment="1">
      <alignment horizontal="center"/>
    </xf>
    <xf numFmtId="0" fontId="0" fillId="0" borderId="0" xfId="0" applyAlignment="1" applyProtection="1">
      <alignment horizontal="left"/>
      <protection locked="0"/>
    </xf>
    <xf numFmtId="0" fontId="2" fillId="12" borderId="42" xfId="0" applyFont="1" applyFill="1" applyBorder="1"/>
    <xf numFmtId="0" fontId="2" fillId="12" borderId="73" xfId="0" applyFont="1" applyFill="1" applyBorder="1" applyAlignment="1">
      <alignment horizontal="right"/>
    </xf>
    <xf numFmtId="0" fontId="2" fillId="8" borderId="2" xfId="0" applyFont="1" applyFill="1" applyBorder="1" applyAlignment="1">
      <alignment horizontal="center"/>
    </xf>
    <xf numFmtId="0" fontId="21" fillId="0" borderId="0" xfId="0" applyFont="1"/>
    <xf numFmtId="0" fontId="22" fillId="0" borderId="51" xfId="0" applyFont="1" applyBorder="1" applyAlignment="1">
      <alignment horizontal="right" wrapText="1"/>
    </xf>
    <xf numFmtId="0" fontId="22" fillId="0" borderId="60" xfId="0" applyFont="1" applyBorder="1" applyAlignment="1">
      <alignment horizontal="right" wrapText="1"/>
    </xf>
    <xf numFmtId="0" fontId="0" fillId="0" borderId="78" xfId="0" applyBorder="1" applyAlignment="1">
      <alignment horizontal="centerContinuous" vertical="center"/>
    </xf>
    <xf numFmtId="0" fontId="22" fillId="0" borderId="52" xfId="0" applyFont="1" applyBorder="1" applyAlignment="1">
      <alignment horizontal="right" wrapText="1"/>
    </xf>
    <xf numFmtId="0" fontId="2" fillId="13" borderId="2" xfId="0" applyFont="1" applyFill="1" applyBorder="1" applyAlignment="1">
      <alignment wrapText="1"/>
    </xf>
    <xf numFmtId="0" fontId="2" fillId="13" borderId="2" xfId="0" applyFont="1" applyFill="1" applyBorder="1"/>
    <xf numFmtId="0" fontId="2" fillId="13" borderId="6" xfId="0" applyFont="1" applyFill="1" applyBorder="1" applyAlignment="1">
      <alignment horizontal="left"/>
    </xf>
    <xf numFmtId="0" fontId="2" fillId="13" borderId="2" xfId="0" applyFont="1" applyFill="1" applyBorder="1" applyAlignment="1">
      <alignment horizontal="left"/>
    </xf>
    <xf numFmtId="0" fontId="0" fillId="0" borderId="78" xfId="0" applyBorder="1"/>
    <xf numFmtId="0" fontId="0" fillId="0" borderId="79" xfId="0" applyBorder="1"/>
    <xf numFmtId="0" fontId="2" fillId="0" borderId="80" xfId="0" applyFont="1" applyBorder="1" applyAlignment="1">
      <alignment horizontal="center" wrapText="1"/>
    </xf>
    <xf numFmtId="164" fontId="2" fillId="7" borderId="81" xfId="2" applyNumberFormat="1" applyFont="1" applyFill="1" applyBorder="1"/>
    <xf numFmtId="0" fontId="2" fillId="0" borderId="82" xfId="0" applyFont="1" applyBorder="1" applyAlignment="1">
      <alignment horizontal="center" wrapText="1"/>
    </xf>
    <xf numFmtId="167" fontId="2" fillId="7" borderId="83" xfId="0" applyNumberFormat="1" applyFont="1" applyFill="1" applyBorder="1"/>
    <xf numFmtId="0" fontId="12" fillId="0" borderId="84" xfId="0" applyFont="1" applyBorder="1" applyAlignment="1">
      <alignment horizontal="left"/>
    </xf>
    <xf numFmtId="0" fontId="0" fillId="0" borderId="85" xfId="0" applyBorder="1"/>
    <xf numFmtId="0" fontId="13" fillId="0" borderId="79" xfId="0" applyFont="1" applyBorder="1" applyAlignment="1">
      <alignment horizontal="centerContinuous" vertical="center"/>
    </xf>
    <xf numFmtId="0" fontId="2" fillId="0" borderId="86" xfId="0" applyFont="1" applyBorder="1"/>
    <xf numFmtId="43" fontId="0" fillId="0" borderId="0" xfId="1" applyFont="1"/>
    <xf numFmtId="6" fontId="2" fillId="12" borderId="2" xfId="2" applyNumberFormat="1" applyFont="1" applyFill="1" applyBorder="1"/>
    <xf numFmtId="0" fontId="23" fillId="0" borderId="0" xfId="0" applyFont="1"/>
    <xf numFmtId="0" fontId="0" fillId="0" borderId="86" xfId="0" applyBorder="1"/>
    <xf numFmtId="0" fontId="2" fillId="0" borderId="5" xfId="0" applyFont="1" applyBorder="1" applyAlignment="1">
      <alignment horizontal="center"/>
    </xf>
    <xf numFmtId="0" fontId="2" fillId="0" borderId="4" xfId="0" applyFont="1" applyBorder="1" applyAlignment="1">
      <alignment horizontal="center"/>
    </xf>
    <xf numFmtId="0" fontId="0" fillId="0" borderId="4" xfId="0" applyBorder="1"/>
    <xf numFmtId="164" fontId="2" fillId="2" borderId="2" xfId="2" applyNumberFormat="1" applyFont="1" applyFill="1" applyBorder="1" applyProtection="1"/>
    <xf numFmtId="0" fontId="1" fillId="2" borderId="2" xfId="0" applyFont="1" applyFill="1" applyBorder="1" applyProtection="1">
      <protection locked="0"/>
    </xf>
    <xf numFmtId="0" fontId="1" fillId="0" borderId="0" xfId="4"/>
    <xf numFmtId="0" fontId="2" fillId="0" borderId="0" xfId="4" applyFont="1"/>
    <xf numFmtId="0" fontId="1" fillId="0" borderId="0" xfId="4" applyAlignment="1">
      <alignment vertical="center" wrapText="1"/>
    </xf>
    <xf numFmtId="0" fontId="1" fillId="0" borderId="0" xfId="4" applyAlignment="1">
      <alignment vertical="center"/>
    </xf>
    <xf numFmtId="0" fontId="1" fillId="0" borderId="0" xfId="4" applyAlignment="1">
      <alignment wrapText="1"/>
    </xf>
    <xf numFmtId="0" fontId="2" fillId="0" borderId="0" xfId="4" applyFont="1" applyAlignment="1">
      <alignment vertical="center"/>
    </xf>
    <xf numFmtId="0" fontId="4" fillId="0" borderId="0" xfId="4" applyFont="1" applyAlignment="1">
      <alignment vertical="center"/>
    </xf>
    <xf numFmtId="0" fontId="4" fillId="0" borderId="0" xfId="4" applyFont="1" applyAlignment="1">
      <alignment vertical="center" wrapText="1"/>
    </xf>
    <xf numFmtId="10" fontId="1" fillId="0" borderId="0" xfId="4" applyNumberFormat="1"/>
    <xf numFmtId="0" fontId="27" fillId="0" borderId="0" xfId="4" applyFont="1" applyAlignment="1">
      <alignment vertical="center" wrapText="1"/>
    </xf>
    <xf numFmtId="0" fontId="25" fillId="0" borderId="0" xfId="4" applyFont="1" applyAlignment="1">
      <alignment vertical="center"/>
    </xf>
    <xf numFmtId="0" fontId="26" fillId="0" borderId="0" xfId="4" applyFont="1"/>
    <xf numFmtId="0" fontId="2" fillId="0" borderId="0" xfId="4" applyFont="1" applyAlignment="1">
      <alignment vertical="center" wrapText="1"/>
    </xf>
    <xf numFmtId="0" fontId="27" fillId="0" borderId="0" xfId="4" applyFont="1"/>
    <xf numFmtId="0" fontId="2" fillId="0" borderId="0" xfId="4" applyFont="1" applyAlignment="1">
      <alignment vertical="center" textRotation="90" wrapText="1"/>
    </xf>
    <xf numFmtId="164" fontId="1" fillId="0" borderId="0" xfId="4" applyNumberFormat="1" applyAlignment="1">
      <alignment vertical="center"/>
    </xf>
    <xf numFmtId="173" fontId="1" fillId="0" borderId="0" xfId="3" applyNumberFormat="1" applyBorder="1" applyAlignment="1">
      <alignment vertical="center"/>
    </xf>
    <xf numFmtId="0" fontId="1" fillId="0" borderId="0" xfId="4" applyAlignment="1">
      <alignment horizontal="center"/>
    </xf>
    <xf numFmtId="10" fontId="1" fillId="0" borderId="0" xfId="3" applyNumberFormat="1" applyBorder="1" applyAlignment="1"/>
    <xf numFmtId="44" fontId="1" fillId="0" borderId="0" xfId="4" applyNumberFormat="1"/>
    <xf numFmtId="0" fontId="1" fillId="0" borderId="0" xfId="4" quotePrefix="1"/>
    <xf numFmtId="0" fontId="1" fillId="14" borderId="0" xfId="4" applyFill="1"/>
    <xf numFmtId="44" fontId="1" fillId="14" borderId="0" xfId="4" applyNumberFormat="1" applyFill="1"/>
    <xf numFmtId="10" fontId="1" fillId="14" borderId="0" xfId="3" applyNumberFormat="1" applyFill="1" applyBorder="1" applyAlignment="1"/>
    <xf numFmtId="0" fontId="28" fillId="0" borderId="0" xfId="4" applyFont="1"/>
    <xf numFmtId="0" fontId="1" fillId="14" borderId="0" xfId="4" applyFill="1" applyAlignment="1">
      <alignment wrapText="1"/>
    </xf>
    <xf numFmtId="44" fontId="27" fillId="0" borderId="0" xfId="3" applyNumberFormat="1" applyFont="1" applyBorder="1" applyAlignment="1">
      <alignment wrapText="1"/>
    </xf>
    <xf numFmtId="0" fontId="24" fillId="0" borderId="0" xfId="4" applyFont="1"/>
    <xf numFmtId="0" fontId="1" fillId="2" borderId="2" xfId="0" applyFont="1" applyFill="1" applyBorder="1" applyAlignment="1" applyProtection="1">
      <alignment wrapText="1"/>
      <protection locked="0"/>
    </xf>
    <xf numFmtId="1" fontId="27" fillId="0" borderId="0" xfId="3" applyNumberFormat="1" applyFont="1" applyBorder="1" applyAlignment="1">
      <alignment horizontal="center" wrapText="1"/>
    </xf>
    <xf numFmtId="49" fontId="27" fillId="0" borderId="0" xfId="3" applyNumberFormat="1" applyFont="1" applyBorder="1" applyAlignment="1">
      <alignment horizontal="center" wrapText="1"/>
    </xf>
    <xf numFmtId="44" fontId="27" fillId="0" borderId="2" xfId="3" applyNumberFormat="1" applyFont="1" applyBorder="1" applyAlignment="1">
      <alignment wrapText="1"/>
    </xf>
    <xf numFmtId="164" fontId="27" fillId="0" borderId="2" xfId="3" applyNumberFormat="1" applyFont="1" applyBorder="1" applyAlignment="1">
      <alignment wrapText="1"/>
    </xf>
    <xf numFmtId="49" fontId="27" fillId="0" borderId="2" xfId="3" applyNumberFormat="1" applyFont="1" applyBorder="1" applyAlignment="1">
      <alignment horizontal="center" wrapText="1"/>
    </xf>
    <xf numFmtId="167" fontId="27" fillId="0" borderId="2" xfId="1" applyNumberFormat="1" applyFont="1" applyBorder="1" applyAlignment="1">
      <alignment wrapText="1"/>
    </xf>
    <xf numFmtId="10" fontId="27" fillId="0" borderId="2" xfId="3" applyNumberFormat="1" applyFont="1" applyBorder="1" applyAlignment="1">
      <alignment horizontal="center" wrapText="1"/>
    </xf>
    <xf numFmtId="2" fontId="27" fillId="0" borderId="2" xfId="3" applyNumberFormat="1" applyFont="1" applyBorder="1" applyAlignment="1">
      <alignment horizontal="center" wrapText="1"/>
    </xf>
    <xf numFmtId="44" fontId="27" fillId="0" borderId="2" xfId="0" applyNumberFormat="1" applyFont="1" applyBorder="1"/>
    <xf numFmtId="0" fontId="30" fillId="0" borderId="87" xfId="5" applyFont="1" applyBorder="1" applyAlignment="1">
      <alignment vertical="center"/>
    </xf>
    <xf numFmtId="0" fontId="1" fillId="15" borderId="2" xfId="0" applyFont="1" applyFill="1" applyBorder="1" applyProtection="1">
      <protection locked="0"/>
    </xf>
    <xf numFmtId="0" fontId="1" fillId="0" borderId="0" xfId="0" applyFont="1"/>
    <xf numFmtId="0" fontId="1" fillId="0" borderId="2" xfId="0" applyFont="1" applyBorder="1" applyAlignment="1">
      <alignment horizontal="center" wrapText="1"/>
    </xf>
    <xf numFmtId="0" fontId="1" fillId="0" borderId="2" xfId="0" applyFont="1" applyBorder="1" applyAlignment="1">
      <alignment horizontal="center" wrapText="1" shrinkToFit="1"/>
    </xf>
    <xf numFmtId="6" fontId="1" fillId="6" borderId="2" xfId="2" applyNumberFormat="1" applyFont="1" applyFill="1" applyBorder="1" applyAlignment="1"/>
    <xf numFmtId="6" fontId="1" fillId="0" borderId="2" xfId="2" applyNumberFormat="1" applyFont="1" applyFill="1" applyBorder="1" applyAlignment="1"/>
    <xf numFmtId="164" fontId="1" fillId="6" borderId="2" xfId="2" applyNumberFormat="1" applyFont="1" applyFill="1" applyBorder="1" applyAlignment="1"/>
    <xf numFmtId="0" fontId="4" fillId="12" borderId="0" xfId="0" applyFont="1" applyFill="1"/>
    <xf numFmtId="0" fontId="27" fillId="0" borderId="2" xfId="4" applyFont="1" applyBorder="1" applyAlignment="1">
      <alignment horizontal="center"/>
    </xf>
    <xf numFmtId="0" fontId="1" fillId="14" borderId="0" xfId="4" applyFill="1" applyAlignment="1">
      <alignment horizontal="justify" vertical="center" wrapText="1"/>
    </xf>
    <xf numFmtId="0" fontId="1" fillId="0" borderId="0" xfId="4" applyAlignment="1">
      <alignment horizontal="justify" vertical="center" wrapText="1"/>
    </xf>
    <xf numFmtId="0" fontId="24" fillId="0" borderId="0" xfId="4" applyFont="1" applyAlignment="1">
      <alignment horizontal="justify" vertical="center" wrapText="1"/>
    </xf>
    <xf numFmtId="0" fontId="26" fillId="0" borderId="0" xfId="4" applyFont="1" applyAlignment="1">
      <alignment horizontal="left" vertical="center" wrapText="1"/>
    </xf>
    <xf numFmtId="0" fontId="24" fillId="0" borderId="0" xfId="4" applyFont="1" applyAlignment="1">
      <alignment horizontal="left" wrapText="1"/>
    </xf>
    <xf numFmtId="0" fontId="24" fillId="0" borderId="0" xfId="4" applyFont="1" applyAlignment="1">
      <alignment horizontal="left" vertical="top" wrapText="1"/>
    </xf>
    <xf numFmtId="0" fontId="1" fillId="0" borderId="0" xfId="4" applyAlignment="1">
      <alignment horizontal="center"/>
    </xf>
    <xf numFmtId="0" fontId="1" fillId="0" borderId="16" xfId="4" applyBorder="1" applyAlignment="1">
      <alignment horizontal="left"/>
    </xf>
    <xf numFmtId="0" fontId="1" fillId="0" borderId="19" xfId="4" applyBorder="1" applyAlignment="1">
      <alignment horizontal="left"/>
    </xf>
    <xf numFmtId="0" fontId="1" fillId="0" borderId="3" xfId="4" applyBorder="1" applyAlignment="1">
      <alignment horizontal="left"/>
    </xf>
    <xf numFmtId="0" fontId="2" fillId="0" borderId="0" xfId="4" applyFont="1" applyAlignment="1">
      <alignment horizontal="center"/>
    </xf>
    <xf numFmtId="0" fontId="2" fillId="0" borderId="0" xfId="4" applyFont="1" applyAlignment="1">
      <alignment horizontal="center" vertical="center" wrapText="1"/>
    </xf>
    <xf numFmtId="0" fontId="4" fillId="0" borderId="0" xfId="4" applyFont="1" applyAlignment="1">
      <alignment horizontal="center" vertical="center"/>
    </xf>
    <xf numFmtId="0" fontId="30" fillId="0" borderId="87" xfId="5" applyFont="1" applyFill="1" applyBorder="1" applyAlignment="1">
      <alignment horizontal="center" vertical="center"/>
    </xf>
    <xf numFmtId="0" fontId="4" fillId="0" borderId="87" xfId="0" applyFont="1" applyBorder="1" applyAlignment="1">
      <alignment horizontal="center" vertical="center"/>
    </xf>
    <xf numFmtId="0" fontId="2" fillId="0" borderId="2" xfId="0" applyFont="1" applyBorder="1" applyAlignment="1"/>
    <xf numFmtId="0" fontId="0" fillId="6" borderId="2" xfId="0" applyFill="1" applyBorder="1" applyAlignment="1">
      <alignment horizontal="right"/>
    </xf>
    <xf numFmtId="0" fontId="0" fillId="6" borderId="2" xfId="0" applyFill="1" applyBorder="1" applyAlignment="1"/>
    <xf numFmtId="0" fontId="2" fillId="0" borderId="73" xfId="0" applyFont="1" applyBorder="1" applyAlignment="1">
      <alignment horizontal="center"/>
    </xf>
    <xf numFmtId="0" fontId="0" fillId="0" borderId="75" xfId="0" applyBorder="1" applyAlignment="1">
      <alignment horizontal="center"/>
    </xf>
    <xf numFmtId="0" fontId="0" fillId="0" borderId="42" xfId="0" applyBorder="1" applyAlignment="1">
      <alignment horizontal="center"/>
    </xf>
    <xf numFmtId="0" fontId="0" fillId="0" borderId="2" xfId="0" applyBorder="1" applyAlignment="1">
      <alignment horizontal="right"/>
    </xf>
    <xf numFmtId="0" fontId="0" fillId="0" borderId="2" xfId="0" applyBorder="1" applyAlignment="1"/>
    <xf numFmtId="0" fontId="0" fillId="6" borderId="16" xfId="0" applyFill="1" applyBorder="1" applyAlignment="1">
      <alignment horizontal="right"/>
    </xf>
    <xf numFmtId="0" fontId="0" fillId="6" borderId="3" xfId="0" applyFill="1" applyBorder="1" applyAlignment="1"/>
    <xf numFmtId="0" fontId="0" fillId="0" borderId="18" xfId="0" applyBorder="1" applyAlignment="1">
      <alignment horizontal="center"/>
    </xf>
  </cellXfs>
  <cellStyles count="6">
    <cellStyle name="Comma" xfId="1" builtinId="3"/>
    <cellStyle name="Currency" xfId="2" builtinId="4"/>
    <cellStyle name="Explanatory Text" xfId="5" builtinId="53"/>
    <cellStyle name="Normal" xfId="0" builtinId="0"/>
    <cellStyle name="Normal 2" xfId="4" xr:uid="{38A943D6-5187-A149-AD18-F881E9F97D04}"/>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sz="1800" b="1" i="0" u="none" strike="noStrike" baseline="0">
                <a:solidFill>
                  <a:srgbClr val="000000"/>
                </a:solidFill>
                <a:latin typeface="Arial"/>
                <a:cs typeface="Arial"/>
              </a:rPr>
              <a:t>Operating Breakeven Analysis                                                                           </a:t>
            </a:r>
            <a:r>
              <a:rPr lang="en-US" sz="1800" b="1" i="0" u="sng" strike="noStrike" baseline="0">
                <a:solidFill>
                  <a:srgbClr val="000000"/>
                </a:solidFill>
                <a:latin typeface="Arial"/>
                <a:cs typeface="Arial"/>
              </a:rPr>
              <a:t>(Graphical Approach)</a:t>
            </a:r>
            <a:endParaRPr lang="en-US"/>
          </a:p>
        </c:rich>
      </c:tx>
      <c:layout>
        <c:manualLayout>
          <c:xMode val="edge"/>
          <c:yMode val="edge"/>
          <c:x val="0.32868525896414302"/>
          <c:y val="3.6764738881493897E-2"/>
        </c:manualLayout>
      </c:layout>
      <c:overlay val="0"/>
      <c:spPr>
        <a:noFill/>
        <a:ln w="25400">
          <a:noFill/>
        </a:ln>
      </c:spPr>
    </c:title>
    <c:autoTitleDeleted val="0"/>
    <c:plotArea>
      <c:layout>
        <c:manualLayout>
          <c:layoutTarget val="inner"/>
          <c:xMode val="edge"/>
          <c:yMode val="edge"/>
          <c:x val="7.7689243027888502E-2"/>
          <c:y val="0.18198545746339501"/>
          <c:w val="0.68725099601593598"/>
          <c:h val="0.63051527181761902"/>
        </c:manualLayout>
      </c:layout>
      <c:lineChart>
        <c:grouping val="standard"/>
        <c:varyColors val="0"/>
        <c:ser>
          <c:idx val="1"/>
          <c:order val="0"/>
          <c:tx>
            <c:v>Total Fixed Costs</c:v>
          </c:tx>
          <c:spPr>
            <a:ln w="12700">
              <a:solidFill>
                <a:srgbClr val="000000"/>
              </a:solidFill>
              <a:prstDash val="solid"/>
            </a:ln>
          </c:spPr>
          <c:marker>
            <c:symbol val="square"/>
            <c:size val="5"/>
            <c:spPr>
              <a:solidFill>
                <a:srgbClr val="000000"/>
              </a:solidFill>
              <a:ln>
                <a:solidFill>
                  <a:srgbClr val="000000"/>
                </a:solidFill>
                <a:prstDash val="solid"/>
              </a:ln>
            </c:spPr>
          </c:marker>
          <c:cat>
            <c:numRef>
              <c:f>'Break Even Analysis'!$C$76:$M$76</c:f>
              <c:numCache>
                <c:formatCode>_(* #,##0_);_(* \(#,##0\);_(* "-"??_);_(@_)</c:formatCode>
                <c:ptCount val="11"/>
                <c:pt idx="0">
                  <c:v>0</c:v>
                </c:pt>
                <c:pt idx="1">
                  <c:v>789083.36906430637</c:v>
                </c:pt>
                <c:pt idx="2">
                  <c:v>1578166.7381286127</c:v>
                </c:pt>
                <c:pt idx="3">
                  <c:v>2367250.1071929191</c:v>
                </c:pt>
                <c:pt idx="4">
                  <c:v>3156333.4762572255</c:v>
                </c:pt>
                <c:pt idx="5">
                  <c:v>3945416.8453215319</c:v>
                </c:pt>
                <c:pt idx="6">
                  <c:v>4734500.2143858382</c:v>
                </c:pt>
                <c:pt idx="7">
                  <c:v>5523583.5834501442</c:v>
                </c:pt>
                <c:pt idx="8">
                  <c:v>6312666.952514451</c:v>
                </c:pt>
                <c:pt idx="9">
                  <c:v>7101750.3215787569</c:v>
                </c:pt>
                <c:pt idx="10">
                  <c:v>7890833.6906430637</c:v>
                </c:pt>
              </c:numCache>
            </c:numRef>
          </c:cat>
          <c:val>
            <c:numRef>
              <c:f>'Break Even Analysis'!$C$98:$M$98</c:f>
              <c:numCache>
                <c:formatCode>"$"#,##0_);[Red]\("$"#,##0\)</c:formatCode>
                <c:ptCount val="11"/>
                <c:pt idx="0">
                  <c:v>0</c:v>
                </c:pt>
                <c:pt idx="1">
                  <c:v>71942500</c:v>
                </c:pt>
                <c:pt idx="2">
                  <c:v>147888650</c:v>
                </c:pt>
                <c:pt idx="3">
                  <c:v>223303119</c:v>
                </c:pt>
                <c:pt idx="4">
                  <c:v>299062087.56999999</c:v>
                </c:pt>
                <c:pt idx="5">
                  <c:v>375100204.89709997</c:v>
                </c:pt>
                <c:pt idx="6">
                  <c:v>375100204.89709997</c:v>
                </c:pt>
                <c:pt idx="7">
                  <c:v>375100204.89709997</c:v>
                </c:pt>
                <c:pt idx="8">
                  <c:v>375100204.89709997</c:v>
                </c:pt>
                <c:pt idx="9">
                  <c:v>375100204.89709997</c:v>
                </c:pt>
                <c:pt idx="10">
                  <c:v>375100204.89709997</c:v>
                </c:pt>
              </c:numCache>
            </c:numRef>
          </c:val>
          <c:smooth val="0"/>
          <c:extLst>
            <c:ext xmlns:c16="http://schemas.microsoft.com/office/drawing/2014/chart" uri="{C3380CC4-5D6E-409C-BE32-E72D297353CC}">
              <c16:uniqueId val="{00000000-DEBD-2949-ADAF-A9B2A99C15F9}"/>
            </c:ext>
          </c:extLst>
        </c:ser>
        <c:ser>
          <c:idx val="2"/>
          <c:order val="1"/>
          <c:tx>
            <c:v>Total Contribution Margin</c:v>
          </c:tx>
          <c:spPr>
            <a:ln w="12700">
              <a:solidFill>
                <a:srgbClr val="FF0000"/>
              </a:solidFill>
              <a:prstDash val="solid"/>
            </a:ln>
          </c:spPr>
          <c:marker>
            <c:symbol val="triangle"/>
            <c:size val="5"/>
            <c:spPr>
              <a:solidFill>
                <a:srgbClr val="FF0000"/>
              </a:solidFill>
              <a:ln>
                <a:solidFill>
                  <a:srgbClr val="FF0000"/>
                </a:solidFill>
                <a:prstDash val="solid"/>
              </a:ln>
            </c:spPr>
          </c:marker>
          <c:cat>
            <c:numRef>
              <c:f>'Break Even Analysis'!$C$76:$M$76</c:f>
              <c:numCache>
                <c:formatCode>_(* #,##0_);_(* \(#,##0\);_(* "-"??_);_(@_)</c:formatCode>
                <c:ptCount val="11"/>
                <c:pt idx="0">
                  <c:v>0</c:v>
                </c:pt>
                <c:pt idx="1">
                  <c:v>789083.36906430637</c:v>
                </c:pt>
                <c:pt idx="2">
                  <c:v>1578166.7381286127</c:v>
                </c:pt>
                <c:pt idx="3">
                  <c:v>2367250.1071929191</c:v>
                </c:pt>
                <c:pt idx="4">
                  <c:v>3156333.4762572255</c:v>
                </c:pt>
                <c:pt idx="5">
                  <c:v>3945416.8453215319</c:v>
                </c:pt>
                <c:pt idx="6">
                  <c:v>4734500.2143858382</c:v>
                </c:pt>
                <c:pt idx="7">
                  <c:v>5523583.5834501442</c:v>
                </c:pt>
                <c:pt idx="8">
                  <c:v>6312666.952514451</c:v>
                </c:pt>
                <c:pt idx="9">
                  <c:v>7101750.3215787569</c:v>
                </c:pt>
                <c:pt idx="10">
                  <c:v>7890833.6906430637</c:v>
                </c:pt>
              </c:numCache>
            </c:numRef>
          </c:cat>
          <c:val>
            <c:numRef>
              <c:f>'Break Even Analysis'!$C$110:$M$110</c:f>
              <c:numCache>
                <c:formatCode>_("$"* #,##0_);_("$"* \(#,##0\);_("$"* "-"??_);_(@_)</c:formatCode>
                <c:ptCount val="11"/>
                <c:pt idx="0">
                  <c:v>0</c:v>
                </c:pt>
                <c:pt idx="1">
                  <c:v>138000000</c:v>
                </c:pt>
                <c:pt idx="2">
                  <c:v>268208925.00000003</c:v>
                </c:pt>
                <c:pt idx="3">
                  <c:v>388422025.54875004</c:v>
                </c:pt>
                <c:pt idx="4">
                  <c:v>496089346.55802214</c:v>
                </c:pt>
                <c:pt idx="5">
                  <c:v>588267522.71204925</c:v>
                </c:pt>
                <c:pt idx="6">
                  <c:v>588267522.71204925</c:v>
                </c:pt>
                <c:pt idx="7">
                  <c:v>588267522.71204925</c:v>
                </c:pt>
                <c:pt idx="8">
                  <c:v>588267522.71204925</c:v>
                </c:pt>
                <c:pt idx="9">
                  <c:v>588267522.71204925</c:v>
                </c:pt>
                <c:pt idx="10">
                  <c:v>588267522.71204925</c:v>
                </c:pt>
              </c:numCache>
            </c:numRef>
          </c:val>
          <c:smooth val="0"/>
          <c:extLst>
            <c:ext xmlns:c16="http://schemas.microsoft.com/office/drawing/2014/chart" uri="{C3380CC4-5D6E-409C-BE32-E72D297353CC}">
              <c16:uniqueId val="{00000001-DEBD-2949-ADAF-A9B2A99C15F9}"/>
            </c:ext>
          </c:extLst>
        </c:ser>
        <c:dLbls>
          <c:showLegendKey val="0"/>
          <c:showVal val="0"/>
          <c:showCatName val="0"/>
          <c:showSerName val="0"/>
          <c:showPercent val="0"/>
          <c:showBubbleSize val="0"/>
        </c:dLbls>
        <c:marker val="1"/>
        <c:smooth val="0"/>
        <c:axId val="1296909104"/>
        <c:axId val="1296903664"/>
      </c:lineChart>
      <c:catAx>
        <c:axId val="1296909104"/>
        <c:scaling>
          <c:orientation val="minMax"/>
        </c:scaling>
        <c:delete val="0"/>
        <c:axPos val="b"/>
        <c:title>
          <c:tx>
            <c:rich>
              <a:bodyPr/>
              <a:lstStyle/>
              <a:p>
                <a:pPr>
                  <a:defRPr sz="1450" b="1" i="0" u="none" strike="noStrike" baseline="0">
                    <a:solidFill>
                      <a:srgbClr val="000000"/>
                    </a:solidFill>
                    <a:latin typeface="Arial"/>
                    <a:ea typeface="Arial"/>
                    <a:cs typeface="Arial"/>
                  </a:defRPr>
                </a:pPr>
                <a:r>
                  <a:rPr lang="en-US"/>
                  <a:t>Breakeven Sales (Units @ Given Mix)</a:t>
                </a:r>
              </a:p>
            </c:rich>
          </c:tx>
          <c:layout>
            <c:manualLayout>
              <c:xMode val="edge"/>
              <c:yMode val="edge"/>
              <c:x val="0.24900398406374499"/>
              <c:y val="0.89338315482029995"/>
            </c:manualLayout>
          </c:layout>
          <c:overlay val="0"/>
          <c:spPr>
            <a:noFill/>
            <a:ln w="25400">
              <a:noFill/>
            </a:ln>
          </c:spPr>
        </c:title>
        <c:numFmt formatCode="_(* #,##0_);_(* \(#,##0\);_(* &quot;-&quot;??_);_(@_)" sourceLinked="1"/>
        <c:majorTickMark val="out"/>
        <c:minorTickMark val="none"/>
        <c:tickLblPos val="nextTo"/>
        <c:spPr>
          <a:ln w="3175">
            <a:solidFill>
              <a:srgbClr val="000000"/>
            </a:solidFill>
            <a:prstDash val="solid"/>
          </a:ln>
        </c:spPr>
        <c:txPr>
          <a:bodyPr rot="0" vert="horz"/>
          <a:lstStyle/>
          <a:p>
            <a:pPr>
              <a:defRPr sz="1450" b="0" i="0" u="none" strike="noStrike" baseline="0">
                <a:solidFill>
                  <a:srgbClr val="000000"/>
                </a:solidFill>
                <a:latin typeface="ARIAL"/>
                <a:ea typeface="ARIAL"/>
                <a:cs typeface="ARIAL"/>
              </a:defRPr>
            </a:pPr>
            <a:endParaRPr lang="en-US"/>
          </a:p>
        </c:txPr>
        <c:crossAx val="1296903664"/>
        <c:crosses val="autoZero"/>
        <c:auto val="1"/>
        <c:lblAlgn val="ctr"/>
        <c:lblOffset val="100"/>
        <c:tickLblSkip val="1"/>
        <c:tickMarkSkip val="1"/>
        <c:noMultiLvlLbl val="0"/>
      </c:catAx>
      <c:valAx>
        <c:axId val="1296903664"/>
        <c:scaling>
          <c:orientation val="minMax"/>
        </c:scaling>
        <c:delete val="0"/>
        <c:axPos val="l"/>
        <c:majorGridlines>
          <c:spPr>
            <a:ln w="3175">
              <a:solidFill>
                <a:srgbClr val="000000"/>
              </a:solidFill>
              <a:prstDash val="solid"/>
            </a:ln>
          </c:spPr>
        </c:majorGridlines>
        <c:title>
          <c:tx>
            <c:rich>
              <a:bodyPr/>
              <a:lstStyle/>
              <a:p>
                <a:pPr>
                  <a:defRPr sz="1450" b="1" i="0" u="none" strike="noStrike" baseline="0">
                    <a:solidFill>
                      <a:srgbClr val="000000"/>
                    </a:solidFill>
                    <a:latin typeface="Arial"/>
                    <a:ea typeface="Arial"/>
                    <a:cs typeface="Arial"/>
                  </a:defRPr>
                </a:pPr>
                <a:r>
                  <a:rPr lang="en-US"/>
                  <a:t>$</a:t>
                </a:r>
              </a:p>
            </c:rich>
          </c:tx>
          <c:layout>
            <c:manualLayout>
              <c:xMode val="edge"/>
              <c:yMode val="edge"/>
              <c:x val="4.9800796812749003E-3"/>
              <c:y val="0.48161807934757001"/>
            </c:manualLayout>
          </c:layout>
          <c:overlay val="0"/>
          <c:spPr>
            <a:noFill/>
            <a:ln w="25400">
              <a:noFill/>
            </a:ln>
          </c:spPr>
        </c:title>
        <c:numFmt formatCode="\$#,##0_);[Red]\(\$#,##0\)" sourceLinked="0"/>
        <c:majorTickMark val="out"/>
        <c:minorTickMark val="none"/>
        <c:tickLblPos val="nextTo"/>
        <c:spPr>
          <a:ln w="3175">
            <a:solidFill>
              <a:srgbClr val="000000"/>
            </a:solidFill>
            <a:prstDash val="solid"/>
          </a:ln>
        </c:spPr>
        <c:txPr>
          <a:bodyPr rot="0" vert="horz"/>
          <a:lstStyle/>
          <a:p>
            <a:pPr>
              <a:defRPr sz="1450" b="0" i="0" u="none" strike="noStrike" baseline="0">
                <a:solidFill>
                  <a:srgbClr val="000000"/>
                </a:solidFill>
                <a:latin typeface="ARIAL"/>
                <a:ea typeface="ARIAL"/>
                <a:cs typeface="ARIAL"/>
              </a:defRPr>
            </a:pPr>
            <a:endParaRPr lang="en-US"/>
          </a:p>
        </c:txPr>
        <c:crossAx val="1296909104"/>
        <c:crosses val="autoZero"/>
        <c:crossBetween val="midCat"/>
      </c:valAx>
      <c:spPr>
        <a:solidFill>
          <a:srgbClr val="C0C0C0"/>
        </a:solidFill>
        <a:ln w="12700">
          <a:solidFill>
            <a:srgbClr val="808080"/>
          </a:solidFill>
          <a:prstDash val="solid"/>
        </a:ln>
      </c:spPr>
    </c:plotArea>
    <c:legend>
      <c:legendPos val="r"/>
      <c:layout>
        <c:manualLayout>
          <c:xMode val="edge"/>
          <c:yMode val="edge"/>
          <c:x val="0.81075697211155395"/>
          <c:y val="0.64522116737021695"/>
          <c:w val="0.18326693227091601"/>
          <c:h val="0.13602953386152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Discounted Payback Period</a:t>
            </a:r>
          </a:p>
        </c:rich>
      </c:tx>
      <c:layout>
        <c:manualLayout>
          <c:xMode val="edge"/>
          <c:yMode val="edge"/>
          <c:x val="0.33367556468172499"/>
          <c:y val="2.8571428571428598E-2"/>
        </c:manualLayout>
      </c:layout>
      <c:overlay val="0"/>
      <c:spPr>
        <a:noFill/>
        <a:ln w="25400">
          <a:noFill/>
        </a:ln>
      </c:spPr>
    </c:title>
    <c:autoTitleDeleted val="0"/>
    <c:plotArea>
      <c:layout>
        <c:manualLayout>
          <c:layoutTarget val="inner"/>
          <c:xMode val="edge"/>
          <c:yMode val="edge"/>
          <c:x val="0.16427104722792599"/>
          <c:y val="0.223214285714286"/>
          <c:w val="0.632443531827515"/>
          <c:h val="0.65714285714285703"/>
        </c:manualLayout>
      </c:layout>
      <c:lineChart>
        <c:grouping val="standard"/>
        <c:varyColors val="0"/>
        <c:ser>
          <c:idx val="0"/>
          <c:order val="0"/>
          <c:tx>
            <c:v>NPV</c:v>
          </c:tx>
          <c:spPr>
            <a:ln w="12700">
              <a:solidFill>
                <a:srgbClr val="000080"/>
              </a:solidFill>
              <a:prstDash val="solid"/>
            </a:ln>
          </c:spPr>
          <c:marker>
            <c:symbol val="diamond"/>
            <c:size val="5"/>
            <c:spPr>
              <a:solidFill>
                <a:srgbClr val="000080"/>
              </a:solidFill>
              <a:ln>
                <a:solidFill>
                  <a:srgbClr val="000080"/>
                </a:solidFill>
                <a:prstDash val="solid"/>
              </a:ln>
            </c:spPr>
          </c:marker>
          <c:cat>
            <c:numRef>
              <c:f>'Break Even Analysis'!$L$14:$V$14</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'Break Even Analysis'!$L$18:$V$18</c:f>
              <c:numCache>
                <c:formatCode>"$"#,##0_);[Red]\("$"#,##0\)</c:formatCode>
                <c:ptCount val="11"/>
                <c:pt idx="0">
                  <c:v>-92550000</c:v>
                </c:pt>
                <c:pt idx="1">
                  <c:v>-49435560.344827585</c:v>
                </c:pt>
                <c:pt idx="2">
                  <c:v>-16585684.824613534</c:v>
                </c:pt>
                <c:pt idx="3">
                  <c:v>6120627.5012076572</c:v>
                </c:pt>
                <c:pt idx="4">
                  <c:v>19989406.26645577</c:v>
                </c:pt>
                <c:pt idx="5">
                  <c:v>60173850.627423033</c:v>
                </c:pt>
                <c:pt idx="6">
                  <c:v>60173850.627423033</c:v>
                </c:pt>
                <c:pt idx="7">
                  <c:v>60173850.627423033</c:v>
                </c:pt>
                <c:pt idx="8">
                  <c:v>60173850.627423033</c:v>
                </c:pt>
                <c:pt idx="9">
                  <c:v>60173850.627423033</c:v>
                </c:pt>
                <c:pt idx="10">
                  <c:v>60173850.627423033</c:v>
                </c:pt>
              </c:numCache>
            </c:numRef>
          </c:val>
          <c:smooth val="0"/>
          <c:extLst>
            <c:ext xmlns:c16="http://schemas.microsoft.com/office/drawing/2014/chart" uri="{C3380CC4-5D6E-409C-BE32-E72D297353CC}">
              <c16:uniqueId val="{00000000-CFB6-E344-B65D-62D6B7B354F6}"/>
            </c:ext>
          </c:extLst>
        </c:ser>
        <c:ser>
          <c:idx val="1"/>
          <c:order val="1"/>
          <c:tx>
            <c:v>B.E. (NPV=0)</c:v>
          </c:tx>
          <c:spPr>
            <a:ln w="12700">
              <a:solidFill>
                <a:srgbClr val="FF0000"/>
              </a:solidFill>
              <a:prstDash val="solid"/>
            </a:ln>
          </c:spPr>
          <c:marker>
            <c:symbol val="triangle"/>
            <c:size val="5"/>
            <c:spPr>
              <a:solidFill>
                <a:srgbClr val="FF0000"/>
              </a:solidFill>
              <a:ln>
                <a:solidFill>
                  <a:srgbClr val="FF0000"/>
                </a:solidFill>
                <a:prstDash val="solid"/>
              </a:ln>
            </c:spPr>
          </c:marker>
          <c:val>
            <c:numRef>
              <c:f>'Break Even Analysis'!$C$135:$M$135</c:f>
              <c:numCache>
                <c:formatCode>"$"#,##0_);[Red]\("$"#,##0\)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CFB6-E344-B65D-62D6B7B354F6}"/>
            </c:ext>
          </c:extLst>
        </c:ser>
        <c:dLbls>
          <c:showLegendKey val="0"/>
          <c:showVal val="0"/>
          <c:showCatName val="0"/>
          <c:showSerName val="0"/>
          <c:showPercent val="0"/>
          <c:showBubbleSize val="0"/>
        </c:dLbls>
        <c:marker val="1"/>
        <c:smooth val="0"/>
        <c:axId val="1296892784"/>
        <c:axId val="1296915088"/>
      </c:lineChart>
      <c:catAx>
        <c:axId val="1296892784"/>
        <c:scaling>
          <c:orientation val="minMax"/>
        </c:scaling>
        <c:delete val="0"/>
        <c:axPos val="b"/>
        <c:title>
          <c:tx>
            <c:rich>
              <a:bodyPr/>
              <a:lstStyle/>
              <a:p>
                <a:pPr>
                  <a:defRPr sz="1500" b="1" i="0" u="none" strike="noStrike" baseline="0">
                    <a:solidFill>
                      <a:srgbClr val="000000"/>
                    </a:solidFill>
                    <a:latin typeface="Arial"/>
                    <a:ea typeface="Arial"/>
                    <a:cs typeface="Arial"/>
                  </a:defRPr>
                </a:pPr>
                <a:r>
                  <a:rPr lang="en-US"/>
                  <a:t>End of Year</a:t>
                </a:r>
              </a:p>
            </c:rich>
          </c:tx>
          <c:layout>
            <c:manualLayout>
              <c:xMode val="edge"/>
              <c:yMode val="edge"/>
              <c:x val="0.42094455852156099"/>
              <c:y val="0.90892857142857197"/>
            </c:manualLayout>
          </c:layout>
          <c:overlay val="0"/>
          <c:spPr>
            <a:noFill/>
            <a:ln w="25400">
              <a:noFill/>
            </a:ln>
          </c:spPr>
        </c:title>
        <c:numFmt formatCode="General" sourceLinked="1"/>
        <c:majorTickMark val="out"/>
        <c:minorTickMark val="none"/>
        <c:tickLblPos val="high"/>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en-US"/>
          </a:p>
        </c:txPr>
        <c:crossAx val="1296915088"/>
        <c:crosses val="autoZero"/>
        <c:auto val="1"/>
        <c:lblAlgn val="ctr"/>
        <c:lblOffset val="100"/>
        <c:tickLblSkip val="1"/>
        <c:tickMarkSkip val="1"/>
        <c:noMultiLvlLbl val="0"/>
      </c:catAx>
      <c:valAx>
        <c:axId val="1296915088"/>
        <c:scaling>
          <c:orientation val="minMax"/>
          <c:max val="500000"/>
        </c:scaling>
        <c:delete val="0"/>
        <c:axPos val="l"/>
        <c:majorGridlines>
          <c:spPr>
            <a:ln w="3175">
              <a:solidFill>
                <a:srgbClr val="000000"/>
              </a:solidFill>
              <a:prstDash val="solid"/>
            </a:ln>
          </c:spPr>
        </c:majorGridlines>
        <c:title>
          <c:tx>
            <c:rich>
              <a:bodyPr/>
              <a:lstStyle/>
              <a:p>
                <a:pPr>
                  <a:defRPr sz="1500" b="1" i="0" u="none" strike="noStrike" baseline="0">
                    <a:solidFill>
                      <a:srgbClr val="000000"/>
                    </a:solidFill>
                    <a:latin typeface="Arial"/>
                    <a:ea typeface="Arial"/>
                    <a:cs typeface="Arial"/>
                  </a:defRPr>
                </a:pPr>
                <a:r>
                  <a:rPr lang="en-US"/>
                  <a:t>NPV ($)</a:t>
                </a:r>
              </a:p>
            </c:rich>
          </c:tx>
          <c:layout>
            <c:manualLayout>
              <c:xMode val="edge"/>
              <c:yMode val="edge"/>
              <c:x val="1.6427104722792601E-2"/>
              <c:y val="0.48392857142857199"/>
            </c:manualLayout>
          </c:layout>
          <c:overlay val="0"/>
          <c:spPr>
            <a:noFill/>
            <a:ln w="25400">
              <a:noFill/>
            </a:ln>
          </c:spPr>
        </c:title>
        <c:numFmt formatCode="&quot;$&quot;#,##0_);[Red]\(&quot;$&quot;#,##0\)" sourceLinked="1"/>
        <c:majorTickMark val="out"/>
        <c:minorTickMark val="none"/>
        <c:tickLblPos val="low"/>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en-US"/>
          </a:p>
        </c:txPr>
        <c:crossAx val="1296892784"/>
        <c:crosses val="autoZero"/>
        <c:crossBetween val="midCat"/>
      </c:valAx>
      <c:spPr>
        <a:solidFill>
          <a:srgbClr val="C0C0C0"/>
        </a:solidFill>
        <a:ln w="12700">
          <a:solidFill>
            <a:srgbClr val="808080"/>
          </a:solidFill>
          <a:prstDash val="solid"/>
        </a:ln>
      </c:spPr>
    </c:plotArea>
    <c:legend>
      <c:legendPos val="r"/>
      <c:layout>
        <c:manualLayout>
          <c:xMode val="edge"/>
          <c:yMode val="edge"/>
          <c:x val="0.82238193018480499"/>
          <c:y val="0.50178571428571395"/>
          <c:w val="0.169404517453799"/>
          <c:h val="0.10178571428571399"/>
        </c:manualLayout>
      </c:layout>
      <c:overlay val="0"/>
      <c:spPr>
        <a:solidFill>
          <a:srgbClr val="FFFFFF"/>
        </a:solidFill>
        <a:ln w="3175">
          <a:solidFill>
            <a:srgbClr val="000000"/>
          </a:solidFill>
          <a:prstDash val="solid"/>
        </a:ln>
      </c:spPr>
      <c:txPr>
        <a:bodyPr/>
        <a:lstStyle/>
        <a:p>
          <a:pPr>
            <a:defRPr sz="138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Sensitivity Analysis (FOM=IRR)</a:t>
            </a:r>
          </a:p>
        </c:rich>
      </c:tx>
      <c:layout>
        <c:manualLayout>
          <c:xMode val="edge"/>
          <c:yMode val="edge"/>
          <c:x val="0.33562608511681502"/>
          <c:y val="3.11751329603496E-2"/>
        </c:manualLayout>
      </c:layout>
      <c:overlay val="0"/>
      <c:spPr>
        <a:noFill/>
        <a:ln w="25400">
          <a:noFill/>
        </a:ln>
      </c:spPr>
    </c:title>
    <c:autoTitleDeleted val="0"/>
    <c:plotArea>
      <c:layout>
        <c:manualLayout>
          <c:layoutTarget val="inner"/>
          <c:xMode val="edge"/>
          <c:yMode val="edge"/>
          <c:x val="0.143053741197331"/>
          <c:y val="0.11750627038901"/>
          <c:w val="0.54883118017052901"/>
          <c:h val="0.72422231954042904"/>
        </c:manualLayout>
      </c:layout>
      <c:lineChart>
        <c:grouping val="standard"/>
        <c:varyColors val="0"/>
        <c:ser>
          <c:idx val="0"/>
          <c:order val="0"/>
          <c:tx>
            <c:strRef>
              <c:f>'Sensitivity Analysis'!$D$8</c:f>
              <c:strCache>
                <c:ptCount val="1"/>
                <c:pt idx="0">
                  <c:v>Product 1       Price</c:v>
                </c:pt>
              </c:strCache>
            </c:strRef>
          </c:tx>
          <c:spPr>
            <a:ln w="12700">
              <a:solidFill>
                <a:srgbClr val="000080"/>
              </a:solidFill>
              <a:prstDash val="solid"/>
            </a:ln>
          </c:spPr>
          <c:marker>
            <c:symbol val="diamond"/>
            <c:size val="7"/>
            <c:spPr>
              <a:noFill/>
              <a:ln>
                <a:solidFill>
                  <a:srgbClr val="000080"/>
                </a:solidFill>
                <a:prstDash val="solid"/>
              </a:ln>
            </c:spPr>
          </c:marker>
          <c:cat>
            <c:strRef>
              <c:f>'Sensitivity Analysis'!$C$9:$C$19</c:f>
              <c:strCache>
                <c:ptCount val="11"/>
                <c:pt idx="0">
                  <c:v>-25%</c:v>
                </c:pt>
                <c:pt idx="1">
                  <c:v>-20%</c:v>
                </c:pt>
                <c:pt idx="2">
                  <c:v>-15%</c:v>
                </c:pt>
                <c:pt idx="3">
                  <c:v>-10%</c:v>
                </c:pt>
                <c:pt idx="4">
                  <c:v>-5%</c:v>
                </c:pt>
                <c:pt idx="5">
                  <c:v>0%</c:v>
                </c:pt>
                <c:pt idx="6">
                  <c:v>+5%</c:v>
                </c:pt>
                <c:pt idx="7">
                  <c:v>+10%</c:v>
                </c:pt>
                <c:pt idx="8">
                  <c:v>+15%</c:v>
                </c:pt>
                <c:pt idx="9">
                  <c:v>+20%</c:v>
                </c:pt>
                <c:pt idx="10">
                  <c:v>+25%</c:v>
                </c:pt>
              </c:strCache>
            </c:strRef>
          </c:cat>
          <c:val>
            <c:numRef>
              <c:f>'Sensitivity Analysis'!$D$9:$D$19</c:f>
              <c:numCache>
                <c:formatCode>0.00%</c:formatCode>
                <c:ptCount val="11"/>
                <c:pt idx="0">
                  <c:v>0</c:v>
                </c:pt>
                <c:pt idx="1">
                  <c:v>-1.7450509133377925</c:v>
                </c:pt>
                <c:pt idx="2">
                  <c:v>-1.209034746515806</c:v>
                </c:pt>
                <c:pt idx="3">
                  <c:v>-0.76054912610273795</c:v>
                </c:pt>
                <c:pt idx="4">
                  <c:v>-0.36428925972666276</c:v>
                </c:pt>
                <c:pt idx="5">
                  <c:v>0</c:v>
                </c:pt>
                <c:pt idx="6">
                  <c:v>0.34350826668310619</c:v>
                </c:pt>
                <c:pt idx="7">
                  <c:v>0.67279515005977342</c:v>
                </c:pt>
                <c:pt idx="8">
                  <c:v>0.99194757562718749</c:v>
                </c:pt>
                <c:pt idx="9">
                  <c:v>1.3036436857222857</c:v>
                </c:pt>
                <c:pt idx="10">
                  <c:v>1.6097110904148668</c:v>
                </c:pt>
              </c:numCache>
            </c:numRef>
          </c:val>
          <c:smooth val="0"/>
          <c:extLst>
            <c:ext xmlns:c16="http://schemas.microsoft.com/office/drawing/2014/chart" uri="{C3380CC4-5D6E-409C-BE32-E72D297353CC}">
              <c16:uniqueId val="{00000000-3C66-7349-8FEF-488BBC45FBDF}"/>
            </c:ext>
          </c:extLst>
        </c:ser>
        <c:ser>
          <c:idx val="1"/>
          <c:order val="1"/>
          <c:tx>
            <c:v>Expenses</c:v>
          </c:tx>
          <c:spPr>
            <a:ln w="12700">
              <a:solidFill>
                <a:srgbClr val="FF00FF"/>
              </a:solidFill>
              <a:prstDash val="solid"/>
            </a:ln>
          </c:spPr>
          <c:marker>
            <c:symbol val="square"/>
            <c:size val="7"/>
            <c:spPr>
              <a:noFill/>
              <a:ln>
                <a:solidFill>
                  <a:srgbClr val="FF00FF"/>
                </a:solidFill>
                <a:prstDash val="solid"/>
              </a:ln>
            </c:spPr>
          </c:marker>
          <c:cat>
            <c:strRef>
              <c:f>'Sensitivity Analysis'!$C$9:$C$19</c:f>
              <c:strCache>
                <c:ptCount val="11"/>
                <c:pt idx="0">
                  <c:v>-25%</c:v>
                </c:pt>
                <c:pt idx="1">
                  <c:v>-20%</c:v>
                </c:pt>
                <c:pt idx="2">
                  <c:v>-15%</c:v>
                </c:pt>
                <c:pt idx="3">
                  <c:v>-10%</c:v>
                </c:pt>
                <c:pt idx="4">
                  <c:v>-5%</c:v>
                </c:pt>
                <c:pt idx="5">
                  <c:v>0%</c:v>
                </c:pt>
                <c:pt idx="6">
                  <c:v>+5%</c:v>
                </c:pt>
                <c:pt idx="7">
                  <c:v>+10%</c:v>
                </c:pt>
                <c:pt idx="8">
                  <c:v>+15%</c:v>
                </c:pt>
                <c:pt idx="9">
                  <c:v>+20%</c:v>
                </c:pt>
                <c:pt idx="10">
                  <c:v>+25%</c:v>
                </c:pt>
              </c:strCache>
            </c:strRef>
          </c:cat>
          <c:val>
            <c:numRef>
              <c:f>'Sensitivity Analysis'!$J$9:$J$19</c:f>
              <c:numCache>
                <c:formatCode>0.00%</c:formatCode>
                <c:ptCount val="11"/>
                <c:pt idx="0">
                  <c:v>1.3141020422717431</c:v>
                </c:pt>
                <c:pt idx="1">
                  <c:v>1.0672300558248371</c:v>
                </c:pt>
                <c:pt idx="2">
                  <c:v>0.81446830598027209</c:v>
                </c:pt>
                <c:pt idx="3">
                  <c:v>0.55413589587484113</c:v>
                </c:pt>
                <c:pt idx="4">
                  <c:v>0.28383482286405232</c:v>
                </c:pt>
                <c:pt idx="5">
                  <c:v>0</c:v>
                </c:pt>
                <c:pt idx="6">
                  <c:v>-0.30295779994404254</c:v>
                </c:pt>
                <c:pt idx="7">
                  <c:v>-0.63443210573614206</c:v>
                </c:pt>
                <c:pt idx="8">
                  <c:v>-1.0116982302934325</c:v>
                </c:pt>
                <c:pt idx="9">
                  <c:v>-1.4697412033600048</c:v>
                </c:pt>
                <c:pt idx="10">
                  <c:v>0</c:v>
                </c:pt>
              </c:numCache>
            </c:numRef>
          </c:val>
          <c:smooth val="0"/>
          <c:extLst>
            <c:ext xmlns:c16="http://schemas.microsoft.com/office/drawing/2014/chart" uri="{C3380CC4-5D6E-409C-BE32-E72D297353CC}">
              <c16:uniqueId val="{00000001-3C66-7349-8FEF-488BBC45FBDF}"/>
            </c:ext>
          </c:extLst>
        </c:ser>
        <c:ser>
          <c:idx val="2"/>
          <c:order val="2"/>
          <c:tx>
            <c:v>MARR</c:v>
          </c:tx>
          <c:spPr>
            <a:ln w="12700">
              <a:solidFill>
                <a:srgbClr val="008000"/>
              </a:solidFill>
              <a:prstDash val="solid"/>
            </a:ln>
          </c:spPr>
          <c:marker>
            <c:symbol val="triangle"/>
            <c:size val="7"/>
            <c:spPr>
              <a:noFill/>
              <a:ln>
                <a:solidFill>
                  <a:srgbClr val="008000"/>
                </a:solidFill>
                <a:prstDash val="solid"/>
              </a:ln>
            </c:spPr>
          </c:marker>
          <c:cat>
            <c:strRef>
              <c:f>'Sensitivity Analysis'!$C$9:$C$19</c:f>
              <c:strCache>
                <c:ptCount val="11"/>
                <c:pt idx="0">
                  <c:v>-25%</c:v>
                </c:pt>
                <c:pt idx="1">
                  <c:v>-20%</c:v>
                </c:pt>
                <c:pt idx="2">
                  <c:v>-15%</c:v>
                </c:pt>
                <c:pt idx="3">
                  <c:v>-10%</c:v>
                </c:pt>
                <c:pt idx="4">
                  <c:v>-5%</c:v>
                </c:pt>
                <c:pt idx="5">
                  <c:v>0%</c:v>
                </c:pt>
                <c:pt idx="6">
                  <c:v>+5%</c:v>
                </c:pt>
                <c:pt idx="7">
                  <c:v>+10%</c:v>
                </c:pt>
                <c:pt idx="8">
                  <c:v>+15%</c:v>
                </c:pt>
                <c:pt idx="9">
                  <c:v>+20%</c:v>
                </c:pt>
                <c:pt idx="10">
                  <c:v>+25%</c:v>
                </c:pt>
              </c:strCache>
            </c:strRef>
          </c:cat>
          <c:val>
            <c:numRef>
              <c:f>'Sensitivity Analysis'!#REF!</c:f>
              <c:numCache>
                <c:formatCode>General</c:formatCode>
                <c:ptCount val="1"/>
                <c:pt idx="0">
                  <c:v>1</c:v>
                </c:pt>
              </c:numCache>
            </c:numRef>
          </c:val>
          <c:smooth val="0"/>
          <c:extLst>
            <c:ext xmlns:c16="http://schemas.microsoft.com/office/drawing/2014/chart" uri="{C3380CC4-5D6E-409C-BE32-E72D297353CC}">
              <c16:uniqueId val="{00000002-3C66-7349-8FEF-488BBC45FBDF}"/>
            </c:ext>
          </c:extLst>
        </c:ser>
        <c:ser>
          <c:idx val="3"/>
          <c:order val="3"/>
          <c:tx>
            <c:v>Financing</c:v>
          </c:tx>
          <c:spPr>
            <a:ln w="12700">
              <a:solidFill>
                <a:srgbClr val="FF0000"/>
              </a:solidFill>
              <a:prstDash val="solid"/>
            </a:ln>
          </c:spPr>
          <c:marker>
            <c:symbol val="x"/>
            <c:size val="7"/>
            <c:spPr>
              <a:noFill/>
              <a:ln>
                <a:solidFill>
                  <a:srgbClr val="FF0000"/>
                </a:solidFill>
                <a:prstDash val="solid"/>
              </a:ln>
            </c:spPr>
          </c:marker>
          <c:cat>
            <c:strRef>
              <c:f>'Sensitivity Analysis'!$C$9:$C$19</c:f>
              <c:strCache>
                <c:ptCount val="11"/>
                <c:pt idx="0">
                  <c:v>-25%</c:v>
                </c:pt>
                <c:pt idx="1">
                  <c:v>-20%</c:v>
                </c:pt>
                <c:pt idx="2">
                  <c:v>-15%</c:v>
                </c:pt>
                <c:pt idx="3">
                  <c:v>-10%</c:v>
                </c:pt>
                <c:pt idx="4">
                  <c:v>-5%</c:v>
                </c:pt>
                <c:pt idx="5">
                  <c:v>0%</c:v>
                </c:pt>
                <c:pt idx="6">
                  <c:v>+5%</c:v>
                </c:pt>
                <c:pt idx="7">
                  <c:v>+10%</c:v>
                </c:pt>
                <c:pt idx="8">
                  <c:v>+15%</c:v>
                </c:pt>
                <c:pt idx="9">
                  <c:v>+20%</c:v>
                </c:pt>
                <c:pt idx="10">
                  <c:v>+25%</c:v>
                </c:pt>
              </c:strCache>
            </c:strRef>
          </c:cat>
          <c:val>
            <c:numRef>
              <c:f>'Sensitivity Analysis'!$L$9:$L$19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3-3C66-7349-8FEF-488BBC45FBDF}"/>
            </c:ext>
          </c:extLst>
        </c:ser>
        <c:ser>
          <c:idx val="4"/>
          <c:order val="4"/>
          <c:tx>
            <c:strRef>
              <c:f>'Sensitivity Analysis'!$M$8</c:f>
              <c:strCache>
                <c:ptCount val="1"/>
                <c:pt idx="0">
                  <c:v>Proceeds From Asset Disposal</c:v>
                </c:pt>
              </c:strCache>
            </c:strRef>
          </c:tx>
          <c:spPr>
            <a:ln w="12700">
              <a:solidFill>
                <a:srgbClr val="800080"/>
              </a:solidFill>
              <a:prstDash val="solid"/>
            </a:ln>
          </c:spPr>
          <c:marker>
            <c:symbol val="circle"/>
            <c:size val="7"/>
            <c:spPr>
              <a:noFill/>
              <a:ln>
                <a:solidFill>
                  <a:srgbClr val="800080"/>
                </a:solidFill>
                <a:prstDash val="solid"/>
              </a:ln>
            </c:spPr>
          </c:marker>
          <c:cat>
            <c:strRef>
              <c:f>'Sensitivity Analysis'!$C$9:$C$19</c:f>
              <c:strCache>
                <c:ptCount val="11"/>
                <c:pt idx="0">
                  <c:v>-25%</c:v>
                </c:pt>
                <c:pt idx="1">
                  <c:v>-20%</c:v>
                </c:pt>
                <c:pt idx="2">
                  <c:v>-15%</c:v>
                </c:pt>
                <c:pt idx="3">
                  <c:v>-10%</c:v>
                </c:pt>
                <c:pt idx="4">
                  <c:v>-5%</c:v>
                </c:pt>
                <c:pt idx="5">
                  <c:v>0%</c:v>
                </c:pt>
                <c:pt idx="6">
                  <c:v>+5%</c:v>
                </c:pt>
                <c:pt idx="7">
                  <c:v>+10%</c:v>
                </c:pt>
                <c:pt idx="8">
                  <c:v>+15%</c:v>
                </c:pt>
                <c:pt idx="9">
                  <c:v>+20%</c:v>
                </c:pt>
                <c:pt idx="10">
                  <c:v>+25%</c:v>
                </c:pt>
              </c:strCache>
            </c:strRef>
          </c:cat>
          <c:val>
            <c:numRef>
              <c:f>'Sensitivity Analysis'!$M$9:$M$19</c:f>
              <c:numCache>
                <c:formatCode>0.00%</c:formatCode>
                <c:ptCount val="11"/>
                <c:pt idx="0">
                  <c:v>-9.1137721861563308E-3</c:v>
                </c:pt>
                <c:pt idx="1">
                  <c:v>-7.5884703294288851E-3</c:v>
                </c:pt>
                <c:pt idx="2">
                  <c:v>-6.0657175325402601E-3</c:v>
                </c:pt>
                <c:pt idx="3">
                  <c:v>-4.5455039037259172E-3</c:v>
                </c:pt>
                <c:pt idx="4">
                  <c:v>-3.0278196108760739E-3</c:v>
                </c:pt>
                <c:pt idx="5">
                  <c:v>0</c:v>
                </c:pt>
                <c:pt idx="6">
                  <c:v>1.5101546883107184E-3</c:v>
                </c:pt>
                <c:pt idx="7">
                  <c:v>3.017818782171409E-3</c:v>
                </c:pt>
                <c:pt idx="8">
                  <c:v>4.5230018225965009E-3</c:v>
                </c:pt>
                <c:pt idx="9">
                  <c:v>6.025713293778376E-3</c:v>
                </c:pt>
                <c:pt idx="10">
                  <c:v>0</c:v>
                </c:pt>
              </c:numCache>
            </c:numRef>
          </c:val>
          <c:smooth val="0"/>
          <c:extLst>
            <c:ext xmlns:c16="http://schemas.microsoft.com/office/drawing/2014/chart" uri="{C3380CC4-5D6E-409C-BE32-E72D297353CC}">
              <c16:uniqueId val="{00000004-3C66-7349-8FEF-488BBC45FBDF}"/>
            </c:ext>
          </c:extLst>
        </c:ser>
        <c:ser>
          <c:idx val="5"/>
          <c:order val="5"/>
          <c:tx>
            <c:strRef>
              <c:f>'Sensitivity Analysis'!$E$8</c:f>
              <c:strCache>
                <c:ptCount val="1"/>
                <c:pt idx="0">
                  <c:v>Product 1       Volume</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strRef>
              <c:f>'Sensitivity Analysis'!$C$9:$C$19</c:f>
              <c:strCache>
                <c:ptCount val="11"/>
                <c:pt idx="0">
                  <c:v>-25%</c:v>
                </c:pt>
                <c:pt idx="1">
                  <c:v>-20%</c:v>
                </c:pt>
                <c:pt idx="2">
                  <c:v>-15%</c:v>
                </c:pt>
                <c:pt idx="3">
                  <c:v>-10%</c:v>
                </c:pt>
                <c:pt idx="4">
                  <c:v>-5%</c:v>
                </c:pt>
                <c:pt idx="5">
                  <c:v>0%</c:v>
                </c:pt>
                <c:pt idx="6">
                  <c:v>+5%</c:v>
                </c:pt>
                <c:pt idx="7">
                  <c:v>+10%</c:v>
                </c:pt>
                <c:pt idx="8">
                  <c:v>+15%</c:v>
                </c:pt>
                <c:pt idx="9">
                  <c:v>+20%</c:v>
                </c:pt>
                <c:pt idx="10">
                  <c:v>+25%</c:v>
                </c:pt>
              </c:strCache>
            </c:strRef>
          </c:cat>
          <c:val>
            <c:numRef>
              <c:f>'Sensitivity Analysis'!$E$9:$E$19</c:f>
              <c:numCache>
                <c:formatCode>0.00%</c:formatCode>
                <c:ptCount val="11"/>
                <c:pt idx="0">
                  <c:v>-0.99346674351085817</c:v>
                </c:pt>
                <c:pt idx="1">
                  <c:v>-0.78381985118305864</c:v>
                </c:pt>
                <c:pt idx="2">
                  <c:v>-0.58058221967809087</c:v>
                </c:pt>
                <c:pt idx="3">
                  <c:v>-0.38275620523318166</c:v>
                </c:pt>
                <c:pt idx="4">
                  <c:v>-0.18947256590481742</c:v>
                </c:pt>
                <c:pt idx="5">
                  <c:v>0</c:v>
                </c:pt>
                <c:pt idx="6">
                  <c:v>0.1862671241643532</c:v>
                </c:pt>
                <c:pt idx="7">
                  <c:v>0.3698273977666478</c:v>
                </c:pt>
                <c:pt idx="8">
                  <c:v>0.55109101182388898</c:v>
                </c:pt>
                <c:pt idx="9">
                  <c:v>0.73039616777393557</c:v>
                </c:pt>
                <c:pt idx="10">
                  <c:v>0.90802275334679639</c:v>
                </c:pt>
              </c:numCache>
            </c:numRef>
          </c:val>
          <c:smooth val="0"/>
          <c:extLst>
            <c:ext xmlns:c16="http://schemas.microsoft.com/office/drawing/2014/chart" uri="{C3380CC4-5D6E-409C-BE32-E72D297353CC}">
              <c16:uniqueId val="{00000005-3C66-7349-8FEF-488BBC45FBDF}"/>
            </c:ext>
          </c:extLst>
        </c:ser>
        <c:ser>
          <c:idx val="6"/>
          <c:order val="6"/>
          <c:tx>
            <c:strRef>
              <c:f>'Sensitivity Analysis'!$F$8</c:f>
              <c:strCache>
                <c:ptCount val="1"/>
                <c:pt idx="0">
                  <c:v>Product 2        Price</c:v>
                </c:pt>
              </c:strCache>
            </c:strRef>
          </c:tx>
          <c:spPr>
            <a:ln w="12700">
              <a:solidFill>
                <a:srgbClr val="008080"/>
              </a:solidFill>
              <a:prstDash val="solid"/>
            </a:ln>
          </c:spPr>
          <c:marker>
            <c:symbol val="plus"/>
            <c:size val="5"/>
            <c:spPr>
              <a:noFill/>
              <a:ln>
                <a:solidFill>
                  <a:srgbClr val="008080"/>
                </a:solidFill>
                <a:prstDash val="solid"/>
              </a:ln>
            </c:spPr>
          </c:marker>
          <c:cat>
            <c:strRef>
              <c:f>'Sensitivity Analysis'!$C$9:$C$19</c:f>
              <c:strCache>
                <c:ptCount val="11"/>
                <c:pt idx="0">
                  <c:v>-25%</c:v>
                </c:pt>
                <c:pt idx="1">
                  <c:v>-20%</c:v>
                </c:pt>
                <c:pt idx="2">
                  <c:v>-15%</c:v>
                </c:pt>
                <c:pt idx="3">
                  <c:v>-10%</c:v>
                </c:pt>
                <c:pt idx="4">
                  <c:v>-5%</c:v>
                </c:pt>
                <c:pt idx="5">
                  <c:v>0%</c:v>
                </c:pt>
                <c:pt idx="6">
                  <c:v>+5%</c:v>
                </c:pt>
                <c:pt idx="7">
                  <c:v>+10%</c:v>
                </c:pt>
                <c:pt idx="8">
                  <c:v>+15%</c:v>
                </c:pt>
                <c:pt idx="9">
                  <c:v>+20%</c:v>
                </c:pt>
                <c:pt idx="10">
                  <c:v>+25%</c:v>
                </c:pt>
              </c:strCache>
            </c:strRef>
          </c:cat>
          <c:val>
            <c:numRef>
              <c:f>'Sensitivity Analysis'!$F$9:$F$19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6-3C66-7349-8FEF-488BBC45FBDF}"/>
            </c:ext>
          </c:extLst>
        </c:ser>
        <c:dLbls>
          <c:showLegendKey val="0"/>
          <c:showVal val="0"/>
          <c:showCatName val="0"/>
          <c:showSerName val="0"/>
          <c:showPercent val="0"/>
          <c:showBubbleSize val="0"/>
        </c:dLbls>
        <c:marker val="1"/>
        <c:smooth val="0"/>
        <c:axId val="1296910736"/>
        <c:axId val="1296913456"/>
      </c:lineChart>
      <c:catAx>
        <c:axId val="1296910736"/>
        <c:scaling>
          <c:orientation val="minMax"/>
        </c:scaling>
        <c:delete val="0"/>
        <c:axPos val="b"/>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 Change from Base Case</a:t>
                </a:r>
              </a:p>
            </c:rich>
          </c:tx>
          <c:layout>
            <c:manualLayout>
              <c:xMode val="edge"/>
              <c:yMode val="edge"/>
              <c:x val="0.28473196565238001"/>
              <c:y val="0.923263553056506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296913456"/>
        <c:crossesAt val="-0.2"/>
        <c:auto val="1"/>
        <c:lblAlgn val="ctr"/>
        <c:lblOffset val="100"/>
        <c:tickLblSkip val="2"/>
        <c:tickMarkSkip val="1"/>
        <c:noMultiLvlLbl val="0"/>
      </c:catAx>
      <c:valAx>
        <c:axId val="1296913456"/>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IRR</a:t>
                </a:r>
              </a:p>
            </c:rich>
          </c:tx>
          <c:layout>
            <c:manualLayout>
              <c:xMode val="edge"/>
              <c:yMode val="edge"/>
              <c:x val="6.8775837114101396E-3"/>
              <c:y val="0.44364612289728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296910736"/>
        <c:crosses val="autoZero"/>
        <c:crossBetween val="between"/>
      </c:valAx>
      <c:spPr>
        <a:solidFill>
          <a:srgbClr val="C0C0C0"/>
        </a:solidFill>
        <a:ln w="12700">
          <a:solidFill>
            <a:srgbClr val="808080"/>
          </a:solidFill>
          <a:prstDash val="solid"/>
        </a:ln>
      </c:spPr>
    </c:plotArea>
    <c:legend>
      <c:legendPos val="r"/>
      <c:layout>
        <c:manualLayout>
          <c:xMode val="edge"/>
          <c:yMode val="edge"/>
          <c:x val="0.74277904083229496"/>
          <c:y val="0.27578002234155402"/>
          <c:w val="0.248968530353047"/>
          <c:h val="0.36690733407180698"/>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oddHeader>&amp;LEngineering Economics Model for Senior Design&amp;R&amp;"Times New Roman,Bold"&amp;14Sensitivity Analysis</c:oddHeader>
      <c:oddFooter>&amp;LJ:/EM355/Spring01/Labs/EEworkingfolder/&amp;F&amp;CPage &amp;P of &amp;N&amp;R&amp;T&amp;D</c:oddFooter>
    </c:headerFooter>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Sensitivity Analysis (FOM=NPV)</a:t>
            </a:r>
          </a:p>
        </c:rich>
      </c:tx>
      <c:layout>
        <c:manualLayout>
          <c:xMode val="edge"/>
          <c:yMode val="edge"/>
          <c:x val="0.36313641996245499"/>
          <c:y val="3.4482811402226497E-2"/>
        </c:manualLayout>
      </c:layout>
      <c:overlay val="0"/>
      <c:spPr>
        <a:noFill/>
        <a:ln w="25400">
          <a:noFill/>
        </a:ln>
      </c:spPr>
    </c:title>
    <c:autoTitleDeleted val="0"/>
    <c:plotArea>
      <c:layout>
        <c:manualLayout>
          <c:layoutTarget val="inner"/>
          <c:xMode val="edge"/>
          <c:yMode val="edge"/>
          <c:x val="0.123796506805383"/>
          <c:y val="0.18808806219396301"/>
          <c:w val="0.56671289782019596"/>
          <c:h val="0.61442100316694503"/>
        </c:manualLayout>
      </c:layout>
      <c:scatterChart>
        <c:scatterStyle val="lineMarker"/>
        <c:varyColors val="0"/>
        <c:ser>
          <c:idx val="0"/>
          <c:order val="0"/>
          <c:tx>
            <c:v>Revenue</c:v>
          </c:tx>
          <c:spPr>
            <a:ln w="12700">
              <a:solidFill>
                <a:srgbClr val="000080"/>
              </a:solidFill>
              <a:prstDash val="solid"/>
            </a:ln>
          </c:spPr>
          <c:marker>
            <c:symbol val="diamond"/>
            <c:size val="7"/>
            <c:spPr>
              <a:noFill/>
              <a:ln>
                <a:solidFill>
                  <a:srgbClr val="000080"/>
                </a:solidFill>
                <a:prstDash val="solid"/>
              </a:ln>
            </c:spPr>
          </c:marker>
          <c:xVal>
            <c:strRef>
              <c:f>'Sensitivity Analysis'!$C$29:$C$39</c:f>
              <c:strCache>
                <c:ptCount val="11"/>
                <c:pt idx="0">
                  <c:v>-25%</c:v>
                </c:pt>
                <c:pt idx="1">
                  <c:v>-20%</c:v>
                </c:pt>
                <c:pt idx="2">
                  <c:v>-15%</c:v>
                </c:pt>
                <c:pt idx="3">
                  <c:v>-10%</c:v>
                </c:pt>
                <c:pt idx="4">
                  <c:v>-5%</c:v>
                </c:pt>
                <c:pt idx="5">
                  <c:v>0%</c:v>
                </c:pt>
                <c:pt idx="6">
                  <c:v>+5%</c:v>
                </c:pt>
                <c:pt idx="7">
                  <c:v>+10%</c:v>
                </c:pt>
                <c:pt idx="8">
                  <c:v>+15%</c:v>
                </c:pt>
                <c:pt idx="9">
                  <c:v>+20%</c:v>
                </c:pt>
                <c:pt idx="10">
                  <c:v>+25%</c:v>
                </c:pt>
              </c:strCache>
            </c:strRef>
          </c:xVal>
          <c:yVal>
            <c:numRef>
              <c:f>'Sensitivity Analysis'!$E$29:$E$39</c:f>
              <c:numCache>
                <c:formatCode>0.00%</c:formatCode>
                <c:ptCount val="11"/>
                <c:pt idx="0">
                  <c:v>-1.6006512568117754</c:v>
                </c:pt>
                <c:pt idx="1">
                  <c:v>-1.2805210054494207</c:v>
                </c:pt>
                <c:pt idx="2">
                  <c:v>-0.96039075408706565</c:v>
                </c:pt>
                <c:pt idx="3">
                  <c:v>-0.64026050272471058</c:v>
                </c:pt>
                <c:pt idx="4">
                  <c:v>-0.32013025136235485</c:v>
                </c:pt>
                <c:pt idx="5">
                  <c:v>0</c:v>
                </c:pt>
                <c:pt idx="6">
                  <c:v>0.32013025136235607</c:v>
                </c:pt>
                <c:pt idx="7">
                  <c:v>0.64026050272471113</c:v>
                </c:pt>
                <c:pt idx="8">
                  <c:v>0.96039075408706565</c:v>
                </c:pt>
                <c:pt idx="9">
                  <c:v>1.2805210054494212</c:v>
                </c:pt>
                <c:pt idx="10">
                  <c:v>1.6006512568117759</c:v>
                </c:pt>
              </c:numCache>
            </c:numRef>
          </c:yVal>
          <c:smooth val="0"/>
          <c:extLst>
            <c:ext xmlns:c16="http://schemas.microsoft.com/office/drawing/2014/chart" uri="{C3380CC4-5D6E-409C-BE32-E72D297353CC}">
              <c16:uniqueId val="{00000000-DD0B-BA43-8E67-D155CEDD0B6F}"/>
            </c:ext>
          </c:extLst>
        </c:ser>
        <c:ser>
          <c:idx val="1"/>
          <c:order val="1"/>
          <c:tx>
            <c:v>Expenses</c:v>
          </c:tx>
          <c:spPr>
            <a:ln w="12700">
              <a:solidFill>
                <a:srgbClr val="FF00FF"/>
              </a:solidFill>
              <a:prstDash val="solid"/>
            </a:ln>
          </c:spPr>
          <c:marker>
            <c:symbol val="square"/>
            <c:size val="7"/>
            <c:spPr>
              <a:noFill/>
              <a:ln>
                <a:solidFill>
                  <a:srgbClr val="FF00FF"/>
                </a:solidFill>
                <a:prstDash val="solid"/>
              </a:ln>
            </c:spPr>
          </c:marker>
          <c:xVal>
            <c:strRef>
              <c:f>'Sensitivity Analysis'!$C$29:$C$39</c:f>
              <c:strCache>
                <c:ptCount val="11"/>
                <c:pt idx="0">
                  <c:v>-25%</c:v>
                </c:pt>
                <c:pt idx="1">
                  <c:v>-20%</c:v>
                </c:pt>
                <c:pt idx="2">
                  <c:v>-15%</c:v>
                </c:pt>
                <c:pt idx="3">
                  <c:v>-10%</c:v>
                </c:pt>
                <c:pt idx="4">
                  <c:v>-5%</c:v>
                </c:pt>
                <c:pt idx="5">
                  <c:v>0%</c:v>
                </c:pt>
                <c:pt idx="6">
                  <c:v>+5%</c:v>
                </c:pt>
                <c:pt idx="7">
                  <c:v>+10%</c:v>
                </c:pt>
                <c:pt idx="8">
                  <c:v>+15%</c:v>
                </c:pt>
                <c:pt idx="9">
                  <c:v>+20%</c:v>
                </c:pt>
                <c:pt idx="10">
                  <c:v>+25%</c:v>
                </c:pt>
              </c:strCache>
            </c:strRef>
          </c:xVal>
          <c:yVal>
            <c:numRef>
              <c:f>'Sensitivity Analysis'!$J$29:$J$39</c:f>
              <c:numCache>
                <c:formatCode>0.00%</c:formatCode>
                <c:ptCount val="11"/>
                <c:pt idx="0">
                  <c:v>2.6085420080934751</c:v>
                </c:pt>
                <c:pt idx="1">
                  <c:v>2.0868336064747792</c:v>
                </c:pt>
                <c:pt idx="2">
                  <c:v>1.5651252048560853</c:v>
                </c:pt>
                <c:pt idx="3">
                  <c:v>1.0434168032373907</c:v>
                </c:pt>
                <c:pt idx="4">
                  <c:v>0.52170840161869558</c:v>
                </c:pt>
                <c:pt idx="5">
                  <c:v>0</c:v>
                </c:pt>
                <c:pt idx="6">
                  <c:v>-0.52170840161869581</c:v>
                </c:pt>
                <c:pt idx="7">
                  <c:v>-1.0434168032373907</c:v>
                </c:pt>
                <c:pt idx="8">
                  <c:v>-1.5651252048560842</c:v>
                </c:pt>
                <c:pt idx="9">
                  <c:v>-2.0868336064747792</c:v>
                </c:pt>
                <c:pt idx="10">
                  <c:v>-2.6085420080934751</c:v>
                </c:pt>
              </c:numCache>
            </c:numRef>
          </c:yVal>
          <c:smooth val="0"/>
          <c:extLst>
            <c:ext xmlns:c16="http://schemas.microsoft.com/office/drawing/2014/chart" uri="{C3380CC4-5D6E-409C-BE32-E72D297353CC}">
              <c16:uniqueId val="{00000001-DD0B-BA43-8E67-D155CEDD0B6F}"/>
            </c:ext>
          </c:extLst>
        </c:ser>
        <c:ser>
          <c:idx val="2"/>
          <c:order val="2"/>
          <c:tx>
            <c:v>MARR</c:v>
          </c:tx>
          <c:spPr>
            <a:ln w="12700">
              <a:solidFill>
                <a:srgbClr val="008000"/>
              </a:solidFill>
              <a:prstDash val="solid"/>
            </a:ln>
          </c:spPr>
          <c:marker>
            <c:symbol val="triangle"/>
            <c:size val="7"/>
            <c:spPr>
              <a:noFill/>
              <a:ln>
                <a:solidFill>
                  <a:srgbClr val="008000"/>
                </a:solidFill>
                <a:prstDash val="solid"/>
              </a:ln>
            </c:spPr>
          </c:marker>
          <c:xVal>
            <c:strRef>
              <c:f>'Sensitivity Analysis'!$C$29:$C$39</c:f>
              <c:strCache>
                <c:ptCount val="11"/>
                <c:pt idx="0">
                  <c:v>-25%</c:v>
                </c:pt>
                <c:pt idx="1">
                  <c:v>-20%</c:v>
                </c:pt>
                <c:pt idx="2">
                  <c:v>-15%</c:v>
                </c:pt>
                <c:pt idx="3">
                  <c:v>-10%</c:v>
                </c:pt>
                <c:pt idx="4">
                  <c:v>-5%</c:v>
                </c:pt>
                <c:pt idx="5">
                  <c:v>0%</c:v>
                </c:pt>
                <c:pt idx="6">
                  <c:v>+5%</c:v>
                </c:pt>
                <c:pt idx="7">
                  <c:v>+10%</c:v>
                </c:pt>
                <c:pt idx="8">
                  <c:v>+15%</c:v>
                </c:pt>
                <c:pt idx="9">
                  <c:v>+20%</c:v>
                </c:pt>
                <c:pt idx="10">
                  <c:v>+25%</c:v>
                </c:pt>
              </c:strCache>
            </c:strRef>
          </c:xVal>
          <c:yVal>
            <c:numRef>
              <c:f>'Sensitivity Analysis'!$K$29:$K$39</c:f>
              <c:numCache>
                <c:formatCode>0.00%</c:formatCode>
                <c:ptCount val="11"/>
                <c:pt idx="0">
                  <c:v>0.26998087630300172</c:v>
                </c:pt>
                <c:pt idx="1">
                  <c:v>0.21231463304349432</c:v>
                </c:pt>
                <c:pt idx="2">
                  <c:v>0.1565631110427981</c:v>
                </c:pt>
                <c:pt idx="3">
                  <c:v>0.10264457176148457</c:v>
                </c:pt>
                <c:pt idx="4">
                  <c:v>5.0481427506521868E-2</c:v>
                </c:pt>
                <c:pt idx="5">
                  <c:v>0</c:v>
                </c:pt>
                <c:pt idx="6">
                  <c:v>-4.8869705327818896E-2</c:v>
                </c:pt>
                <c:pt idx="7">
                  <c:v>-9.6194210450440049E-2</c:v>
                </c:pt>
                <c:pt idx="8">
                  <c:v>-0.14203676230290968</c:v>
                </c:pt>
                <c:pt idx="9">
                  <c:v>-0.18645751774535754</c:v>
                </c:pt>
                <c:pt idx="10">
                  <c:v>-0.22951371681807481</c:v>
                </c:pt>
              </c:numCache>
            </c:numRef>
          </c:yVal>
          <c:smooth val="0"/>
          <c:extLst>
            <c:ext xmlns:c16="http://schemas.microsoft.com/office/drawing/2014/chart" uri="{C3380CC4-5D6E-409C-BE32-E72D297353CC}">
              <c16:uniqueId val="{00000002-DD0B-BA43-8E67-D155CEDD0B6F}"/>
            </c:ext>
          </c:extLst>
        </c:ser>
        <c:ser>
          <c:idx val="3"/>
          <c:order val="3"/>
          <c:tx>
            <c:v>Financing</c:v>
          </c:tx>
          <c:spPr>
            <a:ln w="12700">
              <a:solidFill>
                <a:srgbClr val="FF0000"/>
              </a:solidFill>
              <a:prstDash val="solid"/>
            </a:ln>
          </c:spPr>
          <c:marker>
            <c:symbol val="x"/>
            <c:size val="7"/>
            <c:spPr>
              <a:noFill/>
              <a:ln>
                <a:solidFill>
                  <a:srgbClr val="FF0000"/>
                </a:solidFill>
                <a:prstDash val="solid"/>
              </a:ln>
            </c:spPr>
          </c:marker>
          <c:xVal>
            <c:strRef>
              <c:f>'Sensitivity Analysis'!$C$29:$C$39</c:f>
              <c:strCache>
                <c:ptCount val="11"/>
                <c:pt idx="0">
                  <c:v>-25%</c:v>
                </c:pt>
                <c:pt idx="1">
                  <c:v>-20%</c:v>
                </c:pt>
                <c:pt idx="2">
                  <c:v>-15%</c:v>
                </c:pt>
                <c:pt idx="3">
                  <c:v>-10%</c:v>
                </c:pt>
                <c:pt idx="4">
                  <c:v>-5%</c:v>
                </c:pt>
                <c:pt idx="5">
                  <c:v>0%</c:v>
                </c:pt>
                <c:pt idx="6">
                  <c:v>+5%</c:v>
                </c:pt>
                <c:pt idx="7">
                  <c:v>+10%</c:v>
                </c:pt>
                <c:pt idx="8">
                  <c:v>+15%</c:v>
                </c:pt>
                <c:pt idx="9">
                  <c:v>+20%</c:v>
                </c:pt>
                <c:pt idx="10">
                  <c:v>+25%</c:v>
                </c:pt>
              </c:strCache>
            </c:strRef>
          </c:xVal>
          <c:yVal>
            <c:numRef>
              <c:f>'Sensitivity Analysis'!$L$29:$L$39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yVal>
          <c:smooth val="0"/>
          <c:extLst>
            <c:ext xmlns:c16="http://schemas.microsoft.com/office/drawing/2014/chart" uri="{C3380CC4-5D6E-409C-BE32-E72D297353CC}">
              <c16:uniqueId val="{00000003-DD0B-BA43-8E67-D155CEDD0B6F}"/>
            </c:ext>
          </c:extLst>
        </c:ser>
        <c:ser>
          <c:idx val="4"/>
          <c:order val="4"/>
          <c:tx>
            <c:strRef>
              <c:f>'Sensitivity Analysis'!$M$28</c:f>
              <c:strCache>
                <c:ptCount val="1"/>
                <c:pt idx="0">
                  <c:v>Proceeds From Asset Disposal</c:v>
                </c:pt>
              </c:strCache>
            </c:strRef>
          </c:tx>
          <c:spPr>
            <a:ln w="12700">
              <a:solidFill>
                <a:srgbClr val="800080"/>
              </a:solidFill>
              <a:prstDash val="solid"/>
            </a:ln>
          </c:spPr>
          <c:marker>
            <c:symbol val="circle"/>
            <c:size val="7"/>
            <c:spPr>
              <a:noFill/>
              <a:ln>
                <a:solidFill>
                  <a:srgbClr val="800080"/>
                </a:solidFill>
                <a:prstDash val="solid"/>
              </a:ln>
            </c:spPr>
          </c:marker>
          <c:xVal>
            <c:strRef>
              <c:f>'Sensitivity Analysis'!$C$29:$C$39</c:f>
              <c:strCache>
                <c:ptCount val="11"/>
                <c:pt idx="0">
                  <c:v>-25%</c:v>
                </c:pt>
                <c:pt idx="1">
                  <c:v>-20%</c:v>
                </c:pt>
                <c:pt idx="2">
                  <c:v>-15%</c:v>
                </c:pt>
                <c:pt idx="3">
                  <c:v>-10%</c:v>
                </c:pt>
                <c:pt idx="4">
                  <c:v>-5%</c:v>
                </c:pt>
                <c:pt idx="5">
                  <c:v>0%</c:v>
                </c:pt>
                <c:pt idx="6">
                  <c:v>+5%</c:v>
                </c:pt>
                <c:pt idx="7">
                  <c:v>+10%</c:v>
                </c:pt>
                <c:pt idx="8">
                  <c:v>+15%</c:v>
                </c:pt>
                <c:pt idx="9">
                  <c:v>+20%</c:v>
                </c:pt>
                <c:pt idx="10">
                  <c:v>+25%</c:v>
                </c:pt>
              </c:strCache>
            </c:strRef>
          </c:xVal>
          <c:yVal>
            <c:numRef>
              <c:f>'Sensitivity Analysis'!$M$29:$M$39</c:f>
              <c:numCache>
                <c:formatCode>0.00%</c:formatCode>
                <c:ptCount val="11"/>
                <c:pt idx="0">
                  <c:v>-2.7488595522853158E-3</c:v>
                </c:pt>
                <c:pt idx="1">
                  <c:v>7.8091473020135106E-4</c:v>
                </c:pt>
                <c:pt idx="2">
                  <c:v>4.3106890126880177E-3</c:v>
                </c:pt>
                <c:pt idx="3">
                  <c:v>7.8404632951748088E-3</c:v>
                </c:pt>
                <c:pt idx="4">
                  <c:v>1.1370237577661351E-2</c:v>
                </c:pt>
                <c:pt idx="5">
                  <c:v>0</c:v>
                </c:pt>
                <c:pt idx="6">
                  <c:v>1.8429786142634685E-2</c:v>
                </c:pt>
                <c:pt idx="7">
                  <c:v>2.1959560425121476E-2</c:v>
                </c:pt>
                <c:pt idx="8">
                  <c:v>2.5489334707608145E-2</c:v>
                </c:pt>
                <c:pt idx="9">
                  <c:v>2.901910899009481E-2</c:v>
                </c:pt>
                <c:pt idx="10">
                  <c:v>3.2548883272581479E-2</c:v>
                </c:pt>
              </c:numCache>
            </c:numRef>
          </c:yVal>
          <c:smooth val="0"/>
          <c:extLst>
            <c:ext xmlns:c16="http://schemas.microsoft.com/office/drawing/2014/chart" uri="{C3380CC4-5D6E-409C-BE32-E72D297353CC}">
              <c16:uniqueId val="{00000004-DD0B-BA43-8E67-D155CEDD0B6F}"/>
            </c:ext>
          </c:extLst>
        </c:ser>
        <c:dLbls>
          <c:showLegendKey val="0"/>
          <c:showVal val="0"/>
          <c:showCatName val="0"/>
          <c:showSerName val="0"/>
          <c:showPercent val="0"/>
          <c:showBubbleSize val="0"/>
        </c:dLbls>
        <c:axId val="1296914000"/>
        <c:axId val="1296914544"/>
      </c:scatterChart>
      <c:valAx>
        <c:axId val="1296914000"/>
        <c:scaling>
          <c:orientation val="minMax"/>
        </c:scaling>
        <c:delete val="0"/>
        <c:axPos val="b"/>
        <c:title>
          <c:tx>
            <c:rich>
              <a:bodyPr/>
              <a:lstStyle/>
              <a:p>
                <a:pPr>
                  <a:defRPr sz="825" b="1" i="0" u="none" strike="noStrike" baseline="0">
                    <a:solidFill>
                      <a:srgbClr val="000000"/>
                    </a:solidFill>
                    <a:latin typeface="Arial"/>
                    <a:ea typeface="Arial"/>
                    <a:cs typeface="Arial"/>
                  </a:defRPr>
                </a:pPr>
                <a:r>
                  <a:rPr lang="en-US"/>
                  <a:t>% Change from Base Case</a:t>
                </a:r>
              </a:p>
            </c:rich>
          </c:tx>
          <c:layout>
            <c:manualLayout>
              <c:xMode val="edge"/>
              <c:yMode val="edge"/>
              <c:x val="0.30536471678660998"/>
              <c:y val="0.88714869334819102"/>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296914544"/>
        <c:crossesAt val="-20000000"/>
        <c:crossBetween val="midCat"/>
      </c:valAx>
      <c:valAx>
        <c:axId val="1296914544"/>
        <c:scaling>
          <c:orientation val="minMax"/>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n-US"/>
                  <a:t>NPV</a:t>
                </a:r>
              </a:p>
            </c:rich>
          </c:tx>
          <c:layout>
            <c:manualLayout>
              <c:xMode val="edge"/>
              <c:yMode val="edge"/>
              <c:x val="2.2008267876512499E-2"/>
              <c:y val="0.45454615030207701"/>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296914000"/>
        <c:crossesAt val="-0.6"/>
        <c:crossBetween val="midCat"/>
      </c:valAx>
      <c:spPr>
        <a:solidFill>
          <a:srgbClr val="C0C0C0"/>
        </a:solidFill>
        <a:ln w="12700">
          <a:solidFill>
            <a:srgbClr val="808080"/>
          </a:solidFill>
          <a:prstDash val="solid"/>
        </a:ln>
      </c:spPr>
    </c:plotArea>
    <c:legend>
      <c:legendPos val="r"/>
      <c:layout>
        <c:manualLayout>
          <c:xMode val="edge"/>
          <c:yMode val="edge"/>
          <c:x val="0.73177490689403901"/>
          <c:y val="0.34482811402226499"/>
          <c:w val="0.25722163080673899"/>
          <c:h val="0.30094089951033998"/>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printSettings>
    <c:headerFooter alignWithMargins="0">
      <c:oddHeader>&amp;LEngineering Economics Model for Senior Design&amp;R&amp;"Times New Roman,Bold"&amp;14Sensitivity Analysis</c:oddHeader>
      <c:oddFooter>&amp;LJ:/EM355/Spring01/Labs/EEworkingfolder/&amp;F&amp;CPage &amp;Pof &amp;N&amp;R&amp;T&amp;D</c:oddFooter>
    </c:headerFooter>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Return on Assets</a:t>
            </a:r>
          </a:p>
        </c:rich>
      </c:tx>
      <c:layout>
        <c:manualLayout>
          <c:xMode val="edge"/>
          <c:yMode val="edge"/>
          <c:x val="0.39449600191131801"/>
          <c:y val="3.14136527191037E-2"/>
        </c:manualLayout>
      </c:layout>
      <c:overlay val="0"/>
      <c:spPr>
        <a:noFill/>
        <a:ln w="25400">
          <a:noFill/>
        </a:ln>
      </c:spPr>
    </c:title>
    <c:autoTitleDeleted val="0"/>
    <c:plotArea>
      <c:layout>
        <c:manualLayout>
          <c:layoutTarget val="inner"/>
          <c:xMode val="edge"/>
          <c:yMode val="edge"/>
          <c:x val="0.155963535639358"/>
          <c:y val="0.183246307528105"/>
          <c:w val="0.71712645308685297"/>
          <c:h val="0.56282794455060803"/>
        </c:manualLayout>
      </c:layout>
      <c:lineChart>
        <c:grouping val="standard"/>
        <c:varyColors val="0"/>
        <c:ser>
          <c:idx val="1"/>
          <c:order val="0"/>
          <c:tx>
            <c:strRef>
              <c:f>'Financial Ratios'!$C$18</c:f>
              <c:strCache>
                <c:ptCount val="1"/>
                <c:pt idx="0">
                  <c:v>ROA</c:v>
                </c:pt>
              </c:strCache>
            </c:strRef>
          </c:tx>
          <c:spPr>
            <a:ln w="12700">
              <a:solidFill>
                <a:srgbClr val="800000"/>
              </a:solidFill>
              <a:prstDash val="solid"/>
            </a:ln>
          </c:spPr>
          <c:marker>
            <c:symbol val="square"/>
            <c:size val="7"/>
            <c:spPr>
              <a:noFill/>
              <a:ln>
                <a:solidFill>
                  <a:srgbClr val="800000"/>
                </a:solidFill>
                <a:prstDash val="solid"/>
              </a:ln>
            </c:spPr>
          </c:marker>
          <c:cat>
            <c:numRef>
              <c:f>'Financial Ratios'!$D$15:$M$15</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'Financial Ratios'!$D$18:$M$18</c:f>
              <c:numCache>
                <c:formatCode>0.00%</c:formatCode>
                <c:ptCount val="10"/>
                <c:pt idx="0">
                  <c:v>0.33316641478778225</c:v>
                </c:pt>
                <c:pt idx="1">
                  <c:v>0.21487266870134347</c:v>
                </c:pt>
                <c:pt idx="2">
                  <c:v>0.15066811481013156</c:v>
                </c:pt>
                <c:pt idx="3">
                  <c:v>9.6914720978249574E-2</c:v>
                </c:pt>
                <c:pt idx="4">
                  <c:v>3.6036433036277925E-2</c:v>
                </c:pt>
                <c:pt idx="5">
                  <c:v>0</c:v>
                </c:pt>
                <c:pt idx="6">
                  <c:v>0</c:v>
                </c:pt>
                <c:pt idx="7">
                  <c:v>0</c:v>
                </c:pt>
                <c:pt idx="8">
                  <c:v>0</c:v>
                </c:pt>
                <c:pt idx="9">
                  <c:v>0</c:v>
                </c:pt>
              </c:numCache>
            </c:numRef>
          </c:val>
          <c:smooth val="0"/>
          <c:extLst>
            <c:ext xmlns:c16="http://schemas.microsoft.com/office/drawing/2014/chart" uri="{C3380CC4-5D6E-409C-BE32-E72D297353CC}">
              <c16:uniqueId val="{00000000-23AD-F84E-82E6-F838875A4EBA}"/>
            </c:ext>
          </c:extLst>
        </c:ser>
        <c:ser>
          <c:idx val="0"/>
          <c:order val="1"/>
          <c:tx>
            <c:strRef>
              <c:f>'Financial Ratios'!$C$16</c:f>
              <c:strCache>
                <c:ptCount val="1"/>
                <c:pt idx="0">
                  <c:v>net profit margin</c:v>
                </c:pt>
              </c:strCache>
            </c:strRef>
          </c:tx>
          <c:spPr>
            <a:ln w="12700">
              <a:solidFill>
                <a:srgbClr val="000080"/>
              </a:solidFill>
              <a:prstDash val="solid"/>
            </a:ln>
          </c:spPr>
          <c:marker>
            <c:symbol val="diamond"/>
            <c:size val="7"/>
            <c:spPr>
              <a:noFill/>
              <a:ln>
                <a:solidFill>
                  <a:srgbClr val="000080"/>
                </a:solidFill>
                <a:prstDash val="solid"/>
              </a:ln>
            </c:spPr>
          </c:marker>
          <c:cat>
            <c:numRef>
              <c:f>'Financial Ratios'!$D$15:$M$15</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'Financial Ratios'!$D$16:$M$16</c:f>
              <c:numCache>
                <c:formatCode>0.00%</c:formatCode>
                <c:ptCount val="10"/>
                <c:pt idx="0">
                  <c:v>0.15413416666666666</c:v>
                </c:pt>
                <c:pt idx="1">
                  <c:v>0.12116090111642748</c:v>
                </c:pt>
                <c:pt idx="2">
                  <c:v>9.5721380261822406E-2</c:v>
                </c:pt>
                <c:pt idx="3">
                  <c:v>6.5242755394882945E-2</c:v>
                </c:pt>
                <c:pt idx="4">
                  <c:v>3.1580335303023448E-2</c:v>
                </c:pt>
                <c:pt idx="5">
                  <c:v>0</c:v>
                </c:pt>
                <c:pt idx="6">
                  <c:v>0</c:v>
                </c:pt>
                <c:pt idx="7">
                  <c:v>0</c:v>
                </c:pt>
                <c:pt idx="8">
                  <c:v>0</c:v>
                </c:pt>
                <c:pt idx="9">
                  <c:v>0</c:v>
                </c:pt>
              </c:numCache>
            </c:numRef>
          </c:val>
          <c:smooth val="0"/>
          <c:extLst>
            <c:ext xmlns:c16="http://schemas.microsoft.com/office/drawing/2014/chart" uri="{C3380CC4-5D6E-409C-BE32-E72D297353CC}">
              <c16:uniqueId val="{00000001-23AD-F84E-82E6-F838875A4EBA}"/>
            </c:ext>
          </c:extLst>
        </c:ser>
        <c:dLbls>
          <c:showLegendKey val="0"/>
          <c:showVal val="0"/>
          <c:showCatName val="0"/>
          <c:showSerName val="0"/>
          <c:showPercent val="0"/>
          <c:showBubbleSize val="0"/>
        </c:dLbls>
        <c:marker val="1"/>
        <c:smooth val="0"/>
        <c:axId val="1292097168"/>
        <c:axId val="1292091728"/>
      </c:lineChart>
      <c:lineChart>
        <c:grouping val="standard"/>
        <c:varyColors val="0"/>
        <c:ser>
          <c:idx val="2"/>
          <c:order val="2"/>
          <c:tx>
            <c:strRef>
              <c:f>'Financial Ratios'!$C$17</c:f>
              <c:strCache>
                <c:ptCount val="1"/>
                <c:pt idx="0">
                  <c:v>total asset turnover</c:v>
                </c:pt>
              </c:strCache>
            </c:strRef>
          </c:tx>
          <c:spPr>
            <a:ln w="12700">
              <a:solidFill>
                <a:srgbClr val="008000"/>
              </a:solidFill>
              <a:prstDash val="solid"/>
            </a:ln>
          </c:spPr>
          <c:marker>
            <c:symbol val="circle"/>
            <c:size val="7"/>
            <c:spPr>
              <a:noFill/>
              <a:ln>
                <a:solidFill>
                  <a:srgbClr val="008000"/>
                </a:solidFill>
                <a:prstDash val="solid"/>
              </a:ln>
            </c:spPr>
          </c:marker>
          <c:cat>
            <c:numRef>
              <c:f>'Financial Ratios'!$D$15:$M$15</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'Financial Ratios'!$D$17:$M$17</c:f>
              <c:numCache>
                <c:formatCode>_(* #,##0.00_);_(* \(#,##0.00\);_(* "-"??_);_(@_)</c:formatCode>
                <c:ptCount val="10"/>
                <c:pt idx="0">
                  <c:v>2.1615351222438175</c:v>
                </c:pt>
                <c:pt idx="1">
                  <c:v>1.7734489156272062</c:v>
                </c:pt>
                <c:pt idx="2">
                  <c:v>1.5740278127834744</c:v>
                </c:pt>
                <c:pt idx="3">
                  <c:v>1.4854480070878597</c:v>
                </c:pt>
                <c:pt idx="4">
                  <c:v>1.1411035598734716</c:v>
                </c:pt>
                <c:pt idx="5">
                  <c:v>0</c:v>
                </c:pt>
                <c:pt idx="6">
                  <c:v>0</c:v>
                </c:pt>
                <c:pt idx="7">
                  <c:v>0</c:v>
                </c:pt>
                <c:pt idx="8">
                  <c:v>0</c:v>
                </c:pt>
                <c:pt idx="9">
                  <c:v>0</c:v>
                </c:pt>
              </c:numCache>
            </c:numRef>
          </c:val>
          <c:smooth val="0"/>
          <c:extLst>
            <c:ext xmlns:c16="http://schemas.microsoft.com/office/drawing/2014/chart" uri="{C3380CC4-5D6E-409C-BE32-E72D297353CC}">
              <c16:uniqueId val="{00000002-23AD-F84E-82E6-F838875A4EBA}"/>
            </c:ext>
          </c:extLst>
        </c:ser>
        <c:dLbls>
          <c:showLegendKey val="0"/>
          <c:showVal val="0"/>
          <c:showCatName val="0"/>
          <c:showSerName val="0"/>
          <c:showPercent val="0"/>
          <c:showBubbleSize val="0"/>
        </c:dLbls>
        <c:marker val="1"/>
        <c:smooth val="0"/>
        <c:axId val="1292092816"/>
        <c:axId val="1292093904"/>
      </c:lineChart>
      <c:catAx>
        <c:axId val="1292097168"/>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End of Year</a:t>
                </a:r>
              </a:p>
            </c:rich>
          </c:tx>
          <c:layout>
            <c:manualLayout>
              <c:xMode val="edge"/>
              <c:yMode val="edge"/>
              <c:x val="0.45565817275028198"/>
              <c:y val="0.827226188269731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92091728"/>
        <c:crossesAt val="-0.5"/>
        <c:auto val="1"/>
        <c:lblAlgn val="ctr"/>
        <c:lblOffset val="100"/>
        <c:tickLblSkip val="1"/>
        <c:tickMarkSkip val="1"/>
        <c:noMultiLvlLbl val="0"/>
      </c:catAx>
      <c:valAx>
        <c:axId val="1292091728"/>
        <c:scaling>
          <c:orientation val="minMax"/>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a:t>
                </a:r>
              </a:p>
            </c:rich>
          </c:tx>
          <c:layout>
            <c:manualLayout>
              <c:xMode val="edge"/>
              <c:yMode val="edge"/>
              <c:x val="2.4464868335585602E-2"/>
              <c:y val="0.4450267468539689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92097168"/>
        <c:crosses val="autoZero"/>
        <c:crossBetween val="midCat"/>
      </c:valAx>
      <c:catAx>
        <c:axId val="1292092816"/>
        <c:scaling>
          <c:orientation val="minMax"/>
        </c:scaling>
        <c:delete val="1"/>
        <c:axPos val="b"/>
        <c:numFmt formatCode="General" sourceLinked="1"/>
        <c:majorTickMark val="out"/>
        <c:minorTickMark val="none"/>
        <c:tickLblPos val="nextTo"/>
        <c:crossAx val="1292093904"/>
        <c:crosses val="autoZero"/>
        <c:auto val="1"/>
        <c:lblAlgn val="ctr"/>
        <c:lblOffset val="100"/>
        <c:noMultiLvlLbl val="0"/>
      </c:catAx>
      <c:valAx>
        <c:axId val="1292093904"/>
        <c:scaling>
          <c:orientation val="minMax"/>
        </c:scaling>
        <c:delete val="0"/>
        <c:axPos val="r"/>
        <c:title>
          <c:tx>
            <c:rich>
              <a:bodyPr/>
              <a:lstStyle/>
              <a:p>
                <a:pPr>
                  <a:defRPr sz="975" b="1" i="0" u="none" strike="noStrike" baseline="0">
                    <a:solidFill>
                      <a:srgbClr val="000000"/>
                    </a:solidFill>
                    <a:latin typeface="Arial"/>
                    <a:ea typeface="Arial"/>
                    <a:cs typeface="Arial"/>
                  </a:defRPr>
                </a:pPr>
                <a:r>
                  <a:rPr lang="en-US"/>
                  <a:t>Total Asset Turnover</a:t>
                </a:r>
              </a:p>
            </c:rich>
          </c:tx>
          <c:layout>
            <c:manualLayout>
              <c:xMode val="edge"/>
              <c:yMode val="edge"/>
              <c:x val="0.94189743092004596"/>
              <c:y val="0.28795848325845103"/>
            </c:manualLayout>
          </c:layout>
          <c:overlay val="0"/>
          <c:spPr>
            <a:noFill/>
            <a:ln w="25400">
              <a:noFill/>
            </a:ln>
          </c:spPr>
        </c:title>
        <c:numFmt formatCode="_(* #,##0.00_);_(* \(#,##0.00\);_(* &quot;-&quot;??_);_(@_)" sourceLinked="1"/>
        <c:majorTickMark val="cross"/>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92092816"/>
        <c:crosses val="max"/>
        <c:crossBetween val="midCat"/>
      </c:valAx>
      <c:spPr>
        <a:solidFill>
          <a:srgbClr val="C0C0C0"/>
        </a:solidFill>
        <a:ln w="12700">
          <a:solidFill>
            <a:srgbClr val="808080"/>
          </a:solidFill>
          <a:prstDash val="solid"/>
        </a:ln>
      </c:spPr>
    </c:plotArea>
    <c:legend>
      <c:legendPos val="b"/>
      <c:layout>
        <c:manualLayout>
          <c:xMode val="edge"/>
          <c:yMode val="edge"/>
          <c:x val="0.249235846168778"/>
          <c:y val="0.91884934203378399"/>
          <c:w val="0.53058183202801301"/>
          <c:h val="6.2827305438207401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Return on Equity</a:t>
            </a:r>
          </a:p>
        </c:rich>
      </c:tx>
      <c:layout>
        <c:manualLayout>
          <c:xMode val="edge"/>
          <c:yMode val="edge"/>
          <c:x val="0.40853658536585402"/>
          <c:y val="3.3898398598601401E-2"/>
        </c:manualLayout>
      </c:layout>
      <c:overlay val="0"/>
      <c:spPr>
        <a:noFill/>
        <a:ln w="25400">
          <a:noFill/>
        </a:ln>
      </c:spPr>
    </c:title>
    <c:autoTitleDeleted val="0"/>
    <c:plotArea>
      <c:layout>
        <c:manualLayout>
          <c:layoutTarget val="inner"/>
          <c:xMode val="edge"/>
          <c:yMode val="edge"/>
          <c:x val="0.15091463414634099"/>
          <c:y val="0.180791459192541"/>
          <c:w val="0.71341463414634099"/>
          <c:h val="0.55367384377715601"/>
        </c:manualLayout>
      </c:layout>
      <c:lineChart>
        <c:grouping val="standard"/>
        <c:varyColors val="0"/>
        <c:ser>
          <c:idx val="2"/>
          <c:order val="0"/>
          <c:tx>
            <c:strRef>
              <c:f>'Financial Ratios'!$C$30</c:f>
              <c:strCache>
                <c:ptCount val="1"/>
                <c:pt idx="0">
                  <c:v>ROE</c:v>
                </c:pt>
              </c:strCache>
            </c:strRef>
          </c:tx>
          <c:spPr>
            <a:ln w="12700">
              <a:solidFill>
                <a:srgbClr val="FF0000"/>
              </a:solidFill>
              <a:prstDash val="solid"/>
            </a:ln>
          </c:spPr>
          <c:marker>
            <c:symbol val="triangle"/>
            <c:size val="7"/>
            <c:spPr>
              <a:noFill/>
              <a:ln>
                <a:solidFill>
                  <a:srgbClr val="FF0000"/>
                </a:solidFill>
                <a:prstDash val="solid"/>
              </a:ln>
            </c:spPr>
          </c:marker>
          <c:cat>
            <c:numRef>
              <c:f>'Financial Ratios'!$D$15:$M$15</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'Financial Ratios'!$D$30:$M$30</c:f>
              <c:numCache>
                <c:formatCode>0.00%</c:formatCode>
                <c:ptCount val="10"/>
                <c:pt idx="0">
                  <c:v>0.33316641478778225</c:v>
                </c:pt>
                <c:pt idx="1">
                  <c:v>0.21487266870134347</c:v>
                </c:pt>
                <c:pt idx="2">
                  <c:v>0.15066811481013156</c:v>
                </c:pt>
                <c:pt idx="3">
                  <c:v>9.6914720978249574E-2</c:v>
                </c:pt>
                <c:pt idx="4">
                  <c:v>3.6209675573868318E-2</c:v>
                </c:pt>
                <c:pt idx="5">
                  <c:v>0</c:v>
                </c:pt>
                <c:pt idx="6">
                  <c:v>0</c:v>
                </c:pt>
                <c:pt idx="7">
                  <c:v>0</c:v>
                </c:pt>
                <c:pt idx="8">
                  <c:v>0</c:v>
                </c:pt>
                <c:pt idx="9">
                  <c:v>0</c:v>
                </c:pt>
              </c:numCache>
            </c:numRef>
          </c:val>
          <c:smooth val="0"/>
          <c:extLst>
            <c:ext xmlns:c16="http://schemas.microsoft.com/office/drawing/2014/chart" uri="{C3380CC4-5D6E-409C-BE32-E72D297353CC}">
              <c16:uniqueId val="{00000000-4F1A-474A-8AF6-3ED7D3E114D0}"/>
            </c:ext>
          </c:extLst>
        </c:ser>
        <c:ser>
          <c:idx val="1"/>
          <c:order val="1"/>
          <c:tx>
            <c:strRef>
              <c:f>'Financial Ratios'!$C$18</c:f>
              <c:strCache>
                <c:ptCount val="1"/>
                <c:pt idx="0">
                  <c:v>ROA</c:v>
                </c:pt>
              </c:strCache>
            </c:strRef>
          </c:tx>
          <c:spPr>
            <a:ln w="12700">
              <a:solidFill>
                <a:srgbClr val="800000"/>
              </a:solidFill>
              <a:prstDash val="solid"/>
            </a:ln>
          </c:spPr>
          <c:marker>
            <c:symbol val="square"/>
            <c:size val="7"/>
            <c:spPr>
              <a:noFill/>
              <a:ln>
                <a:solidFill>
                  <a:srgbClr val="800000"/>
                </a:solidFill>
                <a:prstDash val="solid"/>
              </a:ln>
            </c:spPr>
          </c:marker>
          <c:cat>
            <c:numRef>
              <c:f>'Financial Ratios'!$D$15:$M$15</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'Financial Ratios'!$D$18:$M$18</c:f>
              <c:numCache>
                <c:formatCode>0.00%</c:formatCode>
                <c:ptCount val="10"/>
                <c:pt idx="0">
                  <c:v>0.33316641478778225</c:v>
                </c:pt>
                <c:pt idx="1">
                  <c:v>0.21487266870134347</c:v>
                </c:pt>
                <c:pt idx="2">
                  <c:v>0.15066811481013156</c:v>
                </c:pt>
                <c:pt idx="3">
                  <c:v>9.6914720978249574E-2</c:v>
                </c:pt>
                <c:pt idx="4">
                  <c:v>3.6036433036277925E-2</c:v>
                </c:pt>
                <c:pt idx="5">
                  <c:v>0</c:v>
                </c:pt>
                <c:pt idx="6">
                  <c:v>0</c:v>
                </c:pt>
                <c:pt idx="7">
                  <c:v>0</c:v>
                </c:pt>
                <c:pt idx="8">
                  <c:v>0</c:v>
                </c:pt>
                <c:pt idx="9">
                  <c:v>0</c:v>
                </c:pt>
              </c:numCache>
            </c:numRef>
          </c:val>
          <c:smooth val="0"/>
          <c:extLst>
            <c:ext xmlns:c16="http://schemas.microsoft.com/office/drawing/2014/chart" uri="{C3380CC4-5D6E-409C-BE32-E72D297353CC}">
              <c16:uniqueId val="{00000001-4F1A-474A-8AF6-3ED7D3E114D0}"/>
            </c:ext>
          </c:extLst>
        </c:ser>
        <c:dLbls>
          <c:showLegendKey val="0"/>
          <c:showVal val="0"/>
          <c:showCatName val="0"/>
          <c:showSerName val="0"/>
          <c:showPercent val="0"/>
          <c:showBubbleSize val="0"/>
        </c:dLbls>
        <c:marker val="1"/>
        <c:smooth val="0"/>
        <c:axId val="1292098800"/>
        <c:axId val="1292095536"/>
      </c:lineChart>
      <c:lineChart>
        <c:grouping val="standard"/>
        <c:varyColors val="0"/>
        <c:ser>
          <c:idx val="0"/>
          <c:order val="2"/>
          <c:tx>
            <c:strRef>
              <c:f>'Financial Ratios'!$C$29</c:f>
              <c:strCache>
                <c:ptCount val="1"/>
                <c:pt idx="0">
                  <c:v>financial leverage multipler</c:v>
                </c:pt>
              </c:strCache>
            </c:strRef>
          </c:tx>
          <c:spPr>
            <a:ln w="12700">
              <a:solidFill>
                <a:srgbClr val="0000FF"/>
              </a:solidFill>
              <a:prstDash val="solid"/>
            </a:ln>
          </c:spPr>
          <c:marker>
            <c:symbol val="x"/>
            <c:size val="7"/>
            <c:spPr>
              <a:noFill/>
              <a:ln>
                <a:solidFill>
                  <a:srgbClr val="0000FF"/>
                </a:solidFill>
                <a:prstDash val="solid"/>
              </a:ln>
            </c:spPr>
          </c:marker>
          <c:cat>
            <c:numRef>
              <c:f>'Financial Ratios'!$D$15:$M$15</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'Financial Ratios'!$D$29:$M$29</c:f>
              <c:numCache>
                <c:formatCode>0.00</c:formatCode>
                <c:ptCount val="10"/>
                <c:pt idx="0">
                  <c:v>1</c:v>
                </c:pt>
                <c:pt idx="1">
                  <c:v>1</c:v>
                </c:pt>
                <c:pt idx="2">
                  <c:v>1</c:v>
                </c:pt>
                <c:pt idx="3">
                  <c:v>1</c:v>
                </c:pt>
                <c:pt idx="4">
                  <c:v>1.0048074274558747</c:v>
                </c:pt>
                <c:pt idx="5">
                  <c:v>1</c:v>
                </c:pt>
                <c:pt idx="6">
                  <c:v>1</c:v>
                </c:pt>
                <c:pt idx="7">
                  <c:v>1</c:v>
                </c:pt>
                <c:pt idx="8">
                  <c:v>1</c:v>
                </c:pt>
                <c:pt idx="9">
                  <c:v>1</c:v>
                </c:pt>
              </c:numCache>
            </c:numRef>
          </c:val>
          <c:smooth val="0"/>
          <c:extLst>
            <c:ext xmlns:c16="http://schemas.microsoft.com/office/drawing/2014/chart" uri="{C3380CC4-5D6E-409C-BE32-E72D297353CC}">
              <c16:uniqueId val="{00000002-4F1A-474A-8AF6-3ED7D3E114D0}"/>
            </c:ext>
          </c:extLst>
        </c:ser>
        <c:dLbls>
          <c:showLegendKey val="0"/>
          <c:showVal val="0"/>
          <c:showCatName val="0"/>
          <c:showSerName val="0"/>
          <c:showPercent val="0"/>
          <c:showBubbleSize val="0"/>
        </c:dLbls>
        <c:marker val="1"/>
        <c:smooth val="0"/>
        <c:axId val="1292088464"/>
        <c:axId val="1292086288"/>
      </c:lineChart>
      <c:catAx>
        <c:axId val="1292098800"/>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End of Year</a:t>
                </a:r>
              </a:p>
            </c:rich>
          </c:tx>
          <c:layout>
            <c:manualLayout>
              <c:xMode val="edge"/>
              <c:yMode val="edge"/>
              <c:x val="0.45579268292682901"/>
              <c:y val="0.819211299466199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92095536"/>
        <c:crossesAt val="-0.5"/>
        <c:auto val="1"/>
        <c:lblAlgn val="ctr"/>
        <c:lblOffset val="100"/>
        <c:tickLblSkip val="1"/>
        <c:tickMarkSkip val="1"/>
        <c:noMultiLvlLbl val="0"/>
      </c:catAx>
      <c:valAx>
        <c:axId val="1292095536"/>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a:t>
                </a:r>
              </a:p>
            </c:rich>
          </c:tx>
          <c:layout>
            <c:manualLayout>
              <c:xMode val="edge"/>
              <c:yMode val="edge"/>
              <c:x val="2.4390243902439001E-2"/>
              <c:y val="0.44067918178181797"/>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92098800"/>
        <c:crosses val="autoZero"/>
        <c:crossBetween val="midCat"/>
      </c:valAx>
      <c:catAx>
        <c:axId val="1292088464"/>
        <c:scaling>
          <c:orientation val="minMax"/>
        </c:scaling>
        <c:delete val="1"/>
        <c:axPos val="b"/>
        <c:numFmt formatCode="General" sourceLinked="1"/>
        <c:majorTickMark val="out"/>
        <c:minorTickMark val="none"/>
        <c:tickLblPos val="nextTo"/>
        <c:crossAx val="1292086288"/>
        <c:crosses val="autoZero"/>
        <c:auto val="1"/>
        <c:lblAlgn val="ctr"/>
        <c:lblOffset val="100"/>
        <c:noMultiLvlLbl val="0"/>
      </c:catAx>
      <c:valAx>
        <c:axId val="1292086288"/>
        <c:scaling>
          <c:orientation val="minMax"/>
        </c:scaling>
        <c:delete val="0"/>
        <c:axPos val="r"/>
        <c:title>
          <c:tx>
            <c:rich>
              <a:bodyPr/>
              <a:lstStyle/>
              <a:p>
                <a:pPr>
                  <a:defRPr sz="900" b="1" i="0" u="none" strike="noStrike" baseline="0">
                    <a:solidFill>
                      <a:srgbClr val="000000"/>
                    </a:solidFill>
                    <a:latin typeface="Arial"/>
                    <a:ea typeface="Arial"/>
                    <a:cs typeface="Arial"/>
                  </a:defRPr>
                </a:pPr>
                <a:r>
                  <a:rPr lang="en-US"/>
                  <a:t>Financial Leverage Multiplier</a:t>
                </a:r>
              </a:p>
            </c:rich>
          </c:tx>
          <c:layout>
            <c:manualLayout>
              <c:xMode val="edge"/>
              <c:yMode val="edge"/>
              <c:x val="0.91920731707317105"/>
              <c:y val="0.30226072083752897"/>
            </c:manualLayout>
          </c:layout>
          <c:overlay val="0"/>
          <c:spPr>
            <a:noFill/>
            <a:ln w="25400">
              <a:noFill/>
            </a:ln>
          </c:spPr>
        </c:title>
        <c:numFmt formatCode="0.00" sourceLinked="0"/>
        <c:majorTickMark val="cross"/>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92088464"/>
        <c:crosses val="max"/>
        <c:crossBetween val="midCat"/>
      </c:valAx>
      <c:spPr>
        <a:solidFill>
          <a:srgbClr val="C0C0C0"/>
        </a:solidFill>
        <a:ln w="12700">
          <a:solidFill>
            <a:srgbClr val="808080"/>
          </a:solidFill>
          <a:prstDash val="solid"/>
        </a:ln>
      </c:spPr>
    </c:plotArea>
    <c:legend>
      <c:legendPos val="b"/>
      <c:layout>
        <c:manualLayout>
          <c:xMode val="edge"/>
          <c:yMode val="edge"/>
          <c:x val="0.26829268292682901"/>
          <c:y val="0.91525676216223595"/>
          <c:w val="0.478658536585366"/>
          <c:h val="6.4971930647319306E-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53879941434846"/>
          <c:y val="3.14136527191037E-2"/>
        </c:manualLayout>
      </c:layout>
      <c:overlay val="0"/>
      <c:spPr>
        <a:noFill/>
        <a:ln w="25400">
          <a:noFill/>
        </a:ln>
      </c:spPr>
      <c:txPr>
        <a:bodyPr/>
        <a:lstStyle/>
        <a:p>
          <a:pPr>
            <a:defRPr sz="975"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14202049780381"/>
          <c:y val="0.16753948116855299"/>
          <c:w val="0.85212298682284005"/>
          <c:h val="0.57853477091016003"/>
        </c:manualLayout>
      </c:layout>
      <c:lineChart>
        <c:grouping val="standard"/>
        <c:varyColors val="0"/>
        <c:ser>
          <c:idx val="0"/>
          <c:order val="0"/>
          <c:tx>
            <c:strRef>
              <c:f>'Financial Ratios'!$B$40</c:f>
              <c:strCache>
                <c:ptCount val="1"/>
                <c:pt idx="0">
                  <c:v>Debt Ratio</c:v>
                </c:pt>
              </c:strCache>
            </c:strRef>
          </c:tx>
          <c:spPr>
            <a:ln w="12700">
              <a:solidFill>
                <a:srgbClr val="000080"/>
              </a:solidFill>
              <a:prstDash val="solid"/>
            </a:ln>
          </c:spPr>
          <c:marker>
            <c:symbol val="diamond"/>
            <c:size val="7"/>
            <c:spPr>
              <a:noFill/>
              <a:ln>
                <a:solidFill>
                  <a:srgbClr val="000080"/>
                </a:solidFill>
                <a:prstDash val="solid"/>
              </a:ln>
            </c:spPr>
          </c:marker>
          <c:cat>
            <c:numRef>
              <c:f>'Financial Ratios'!$C$39:$M$39</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'Financial Ratios'!$C$40:$M$40</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0-AC8A-B749-A97F-BBBB0FBACBD4}"/>
            </c:ext>
          </c:extLst>
        </c:ser>
        <c:dLbls>
          <c:showLegendKey val="0"/>
          <c:showVal val="0"/>
          <c:showCatName val="0"/>
          <c:showSerName val="0"/>
          <c:showPercent val="0"/>
          <c:showBubbleSize val="0"/>
        </c:dLbls>
        <c:marker val="1"/>
        <c:smooth val="0"/>
        <c:axId val="1292097712"/>
        <c:axId val="919312160"/>
      </c:lineChart>
      <c:catAx>
        <c:axId val="1292097712"/>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End of Year</a:t>
                </a:r>
              </a:p>
            </c:rich>
          </c:tx>
          <c:layout>
            <c:manualLayout>
              <c:xMode val="edge"/>
              <c:yMode val="edge"/>
              <c:x val="0.48462664714494902"/>
              <c:y val="0.827226188269731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919312160"/>
        <c:crosses val="autoZero"/>
        <c:auto val="0"/>
        <c:lblAlgn val="ctr"/>
        <c:lblOffset val="100"/>
        <c:tickLblSkip val="1"/>
        <c:tickMarkSkip val="1"/>
        <c:noMultiLvlLbl val="0"/>
      </c:catAx>
      <c:valAx>
        <c:axId val="91931216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292097712"/>
        <c:crosses val="autoZero"/>
        <c:crossBetween val="midCat"/>
      </c:valAx>
      <c:spPr>
        <a:solidFill>
          <a:srgbClr val="C0C0C0"/>
        </a:solidFill>
        <a:ln w="12700">
          <a:solidFill>
            <a:srgbClr val="808080"/>
          </a:solidFill>
          <a:prstDash val="solid"/>
        </a:ln>
      </c:spPr>
    </c:plotArea>
    <c:legend>
      <c:legendPos val="b"/>
      <c:layout>
        <c:manualLayout>
          <c:xMode val="edge"/>
          <c:yMode val="edge"/>
          <c:x val="0.46412884333821403"/>
          <c:y val="0.91884934203378399"/>
          <c:w val="0.15080527086383599"/>
          <c:h val="6.2827305438207401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Coverage Ratios</a:t>
            </a:r>
          </a:p>
        </c:rich>
      </c:tx>
      <c:layout>
        <c:manualLayout>
          <c:xMode val="edge"/>
          <c:yMode val="edge"/>
          <c:x val="0.398773304775349"/>
          <c:y val="3.1578947368421102E-2"/>
        </c:manualLayout>
      </c:layout>
      <c:overlay val="0"/>
      <c:spPr>
        <a:noFill/>
        <a:ln w="25400">
          <a:noFill/>
        </a:ln>
      </c:spPr>
    </c:title>
    <c:autoTitleDeleted val="0"/>
    <c:plotArea>
      <c:layout>
        <c:manualLayout>
          <c:layoutTarget val="inner"/>
          <c:xMode val="edge"/>
          <c:yMode val="edge"/>
          <c:x val="0.116564504472794"/>
          <c:y val="0.18421052631578899"/>
          <c:w val="0.76840548343250004"/>
          <c:h val="0.56052631578947398"/>
        </c:manualLayout>
      </c:layout>
      <c:lineChart>
        <c:grouping val="standard"/>
        <c:varyColors val="0"/>
        <c:ser>
          <c:idx val="0"/>
          <c:order val="0"/>
          <c:tx>
            <c:strRef>
              <c:f>'Financial Ratios'!$B$76</c:f>
              <c:strCache>
                <c:ptCount val="1"/>
                <c:pt idx="0">
                  <c:v>Times Interest Earned</c:v>
                </c:pt>
              </c:strCache>
            </c:strRef>
          </c:tx>
          <c:spPr>
            <a:ln w="12700">
              <a:solidFill>
                <a:srgbClr val="0000FF"/>
              </a:solidFill>
              <a:prstDash val="solid"/>
            </a:ln>
          </c:spPr>
          <c:marker>
            <c:symbol val="diamond"/>
            <c:size val="7"/>
            <c:spPr>
              <a:noFill/>
              <a:ln>
                <a:solidFill>
                  <a:srgbClr val="0000FF"/>
                </a:solidFill>
                <a:prstDash val="solid"/>
              </a:ln>
            </c:spPr>
          </c:marker>
          <c:cat>
            <c:numRef>
              <c:f>'Financial Ratios'!$C$75:$L$75</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'Financial Ratios'!$C$76:$L$76</c:f>
              <c:numCache>
                <c:formatCode>0.00</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7442-BE40-BCC7-342DB84B1F2D}"/>
            </c:ext>
          </c:extLst>
        </c:ser>
        <c:dLbls>
          <c:showLegendKey val="0"/>
          <c:showVal val="0"/>
          <c:showCatName val="0"/>
          <c:showSerName val="0"/>
          <c:showPercent val="0"/>
          <c:showBubbleSize val="0"/>
        </c:dLbls>
        <c:marker val="1"/>
        <c:smooth val="0"/>
        <c:axId val="919312704"/>
        <c:axId val="919319232"/>
      </c:lineChart>
      <c:lineChart>
        <c:grouping val="standard"/>
        <c:varyColors val="0"/>
        <c:ser>
          <c:idx val="1"/>
          <c:order val="1"/>
          <c:tx>
            <c:strRef>
              <c:f>'Financial Ratios'!$B$85</c:f>
              <c:strCache>
                <c:ptCount val="1"/>
                <c:pt idx="0">
                  <c:v>Fixed Payment Coverage Ratio</c:v>
                </c:pt>
              </c:strCache>
            </c:strRef>
          </c:tx>
          <c:spPr>
            <a:ln w="12700">
              <a:solidFill>
                <a:srgbClr val="800000"/>
              </a:solidFill>
              <a:prstDash val="solid"/>
            </a:ln>
          </c:spPr>
          <c:marker>
            <c:symbol val="square"/>
            <c:size val="7"/>
            <c:spPr>
              <a:noFill/>
              <a:ln>
                <a:solidFill>
                  <a:srgbClr val="800000"/>
                </a:solidFill>
                <a:prstDash val="solid"/>
              </a:ln>
            </c:spPr>
          </c:marker>
          <c:cat>
            <c:numRef>
              <c:f>'Financial Ratios'!$C$75:$L$75</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'Financial Ratios'!$C$85:$L$85</c:f>
              <c:numCache>
                <c:formatCode>0.00</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7442-BE40-BCC7-342DB84B1F2D}"/>
            </c:ext>
          </c:extLst>
        </c:ser>
        <c:dLbls>
          <c:showLegendKey val="0"/>
          <c:showVal val="0"/>
          <c:showCatName val="0"/>
          <c:showSerName val="0"/>
          <c:showPercent val="0"/>
          <c:showBubbleSize val="0"/>
        </c:dLbls>
        <c:marker val="1"/>
        <c:smooth val="0"/>
        <c:axId val="919320320"/>
        <c:axId val="919313248"/>
      </c:lineChart>
      <c:catAx>
        <c:axId val="919312704"/>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End of Year</a:t>
                </a:r>
              </a:p>
            </c:rich>
          </c:tx>
          <c:layout>
            <c:manualLayout>
              <c:xMode val="edge"/>
              <c:yMode val="edge"/>
              <c:x val="0.44171812221269502"/>
              <c:y val="0.8263157894736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919319232"/>
        <c:crossesAt val="-20"/>
        <c:auto val="1"/>
        <c:lblAlgn val="ctr"/>
        <c:lblOffset val="100"/>
        <c:tickLblSkip val="1"/>
        <c:tickMarkSkip val="1"/>
        <c:noMultiLvlLbl val="0"/>
      </c:catAx>
      <c:valAx>
        <c:axId val="919319232"/>
        <c:scaling>
          <c:orientation val="minMax"/>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Times Interest Earned</a:t>
                </a:r>
              </a:p>
            </c:rich>
          </c:tx>
          <c:layout>
            <c:manualLayout>
              <c:xMode val="edge"/>
              <c:yMode val="edge"/>
              <c:x val="2.4539895678483001E-2"/>
              <c:y val="0.27631578947368401"/>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919312704"/>
        <c:crosses val="autoZero"/>
        <c:crossBetween val="midCat"/>
      </c:valAx>
      <c:catAx>
        <c:axId val="919320320"/>
        <c:scaling>
          <c:orientation val="minMax"/>
        </c:scaling>
        <c:delete val="1"/>
        <c:axPos val="b"/>
        <c:numFmt formatCode="General" sourceLinked="1"/>
        <c:majorTickMark val="out"/>
        <c:minorTickMark val="none"/>
        <c:tickLblPos val="nextTo"/>
        <c:crossAx val="919313248"/>
        <c:crosses val="autoZero"/>
        <c:auto val="1"/>
        <c:lblAlgn val="ctr"/>
        <c:lblOffset val="100"/>
        <c:noMultiLvlLbl val="0"/>
      </c:catAx>
      <c:valAx>
        <c:axId val="919313248"/>
        <c:scaling>
          <c:orientation val="minMax"/>
        </c:scaling>
        <c:delete val="0"/>
        <c:axPos val="r"/>
        <c:title>
          <c:tx>
            <c:rich>
              <a:bodyPr/>
              <a:lstStyle/>
              <a:p>
                <a:pPr>
                  <a:defRPr sz="975" b="1" i="0" u="none" strike="noStrike" baseline="0">
                    <a:solidFill>
                      <a:srgbClr val="000000"/>
                    </a:solidFill>
                    <a:latin typeface="Arial"/>
                    <a:ea typeface="Arial"/>
                    <a:cs typeface="Arial"/>
                  </a:defRPr>
                </a:pPr>
                <a:r>
                  <a:rPr lang="en-US"/>
                  <a:t>Fixed Payment Coverage</a:t>
                </a:r>
              </a:p>
            </c:rich>
          </c:tx>
          <c:layout>
            <c:manualLayout>
              <c:xMode val="edge"/>
              <c:yMode val="edge"/>
              <c:x val="0.94171849666178697"/>
              <c:y val="0.24736842105263199"/>
            </c:manualLayout>
          </c:layout>
          <c:overlay val="0"/>
          <c:spPr>
            <a:noFill/>
            <a:ln w="25400">
              <a:noFill/>
            </a:ln>
          </c:spPr>
        </c:title>
        <c:numFmt formatCode="0.00" sourceLinked="1"/>
        <c:majorTickMark val="cross"/>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919320320"/>
        <c:crosses val="max"/>
        <c:crossBetween val="midCat"/>
      </c:valAx>
      <c:spPr>
        <a:solidFill>
          <a:srgbClr val="C0C0C0"/>
        </a:solidFill>
        <a:ln w="12700">
          <a:solidFill>
            <a:srgbClr val="808080"/>
          </a:solidFill>
          <a:prstDash val="solid"/>
        </a:ln>
      </c:spPr>
    </c:plotArea>
    <c:legend>
      <c:legendPos val="b"/>
      <c:layout>
        <c:manualLayout>
          <c:xMode val="edge"/>
          <c:yMode val="edge"/>
          <c:x val="0.20552162630729501"/>
          <c:y val="0.91842105263157903"/>
          <c:w val="0.59049123976349804"/>
          <c:h val="6.3157894736842093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14662" cy="264560"/>
    <xdr:sp macro="" textlink="">
      <xdr:nvSpPr>
        <xdr:cNvPr id="2" name="TextBox 1">
          <a:extLst>
            <a:ext uri="{FF2B5EF4-FFF2-40B4-BE49-F238E27FC236}">
              <a16:creationId xmlns:a16="http://schemas.microsoft.com/office/drawing/2014/main" id="{E32BC304-2862-9947-8EC8-8A61AB20C4EB}"/>
            </a:ext>
          </a:extLst>
        </xdr:cNvPr>
        <xdr:cNvSpPr txBox="1"/>
      </xdr:nvSpPr>
      <xdr:spPr>
        <a:xfrm>
          <a:off x="0" y="0"/>
          <a:ext cx="914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0</xdr:row>
      <xdr:rowOff>0</xdr:rowOff>
    </xdr:from>
    <xdr:ext cx="1022977" cy="264560"/>
    <xdr:sp macro="" textlink="">
      <xdr:nvSpPr>
        <xdr:cNvPr id="3" name="TextBox 2">
          <a:extLst>
            <a:ext uri="{FF2B5EF4-FFF2-40B4-BE49-F238E27FC236}">
              <a16:creationId xmlns:a16="http://schemas.microsoft.com/office/drawing/2014/main" id="{24CC5AC8-C2FD-D54A-BD4E-89FB1D8D8BD7}"/>
            </a:ext>
          </a:extLst>
        </xdr:cNvPr>
        <xdr:cNvSpPr txBox="1"/>
      </xdr:nvSpPr>
      <xdr:spPr>
        <a:xfrm>
          <a:off x="0" y="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0</xdr:row>
      <xdr:rowOff>0</xdr:rowOff>
    </xdr:from>
    <xdr:ext cx="1022977" cy="264560"/>
    <xdr:sp macro="" textlink="">
      <xdr:nvSpPr>
        <xdr:cNvPr id="4" name="TextBox 3">
          <a:extLst>
            <a:ext uri="{FF2B5EF4-FFF2-40B4-BE49-F238E27FC236}">
              <a16:creationId xmlns:a16="http://schemas.microsoft.com/office/drawing/2014/main" id="{168ED8D2-3D8F-6A4F-81A7-7AE4DCF8DC91}"/>
            </a:ext>
          </a:extLst>
        </xdr:cNvPr>
        <xdr:cNvSpPr txBox="1"/>
      </xdr:nvSpPr>
      <xdr:spPr>
        <a:xfrm>
          <a:off x="0" y="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40</xdr:row>
      <xdr:rowOff>0</xdr:rowOff>
    </xdr:from>
    <xdr:ext cx="914662" cy="264560"/>
    <xdr:sp macro="" textlink="">
      <xdr:nvSpPr>
        <xdr:cNvPr id="5" name="TextBox 4">
          <a:extLst>
            <a:ext uri="{FF2B5EF4-FFF2-40B4-BE49-F238E27FC236}">
              <a16:creationId xmlns:a16="http://schemas.microsoft.com/office/drawing/2014/main" id="{2FAEBE22-B3EE-6B43-8A15-8E62A1A5BEFD}"/>
            </a:ext>
          </a:extLst>
        </xdr:cNvPr>
        <xdr:cNvSpPr txBox="1"/>
      </xdr:nvSpPr>
      <xdr:spPr>
        <a:xfrm>
          <a:off x="0" y="6642100"/>
          <a:ext cx="914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40</xdr:row>
      <xdr:rowOff>0</xdr:rowOff>
    </xdr:from>
    <xdr:ext cx="1022977" cy="264560"/>
    <xdr:sp macro="" textlink="">
      <xdr:nvSpPr>
        <xdr:cNvPr id="6" name="TextBox 5">
          <a:extLst>
            <a:ext uri="{FF2B5EF4-FFF2-40B4-BE49-F238E27FC236}">
              <a16:creationId xmlns:a16="http://schemas.microsoft.com/office/drawing/2014/main" id="{891DD568-AFA6-2D4C-8008-2631F87DD815}"/>
            </a:ext>
          </a:extLst>
        </xdr:cNvPr>
        <xdr:cNvSpPr txBox="1"/>
      </xdr:nvSpPr>
      <xdr:spPr>
        <a:xfrm>
          <a:off x="0" y="66421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40</xdr:row>
      <xdr:rowOff>0</xdr:rowOff>
    </xdr:from>
    <xdr:ext cx="1022977" cy="264560"/>
    <xdr:sp macro="" textlink="">
      <xdr:nvSpPr>
        <xdr:cNvPr id="7" name="TextBox 6">
          <a:extLst>
            <a:ext uri="{FF2B5EF4-FFF2-40B4-BE49-F238E27FC236}">
              <a16:creationId xmlns:a16="http://schemas.microsoft.com/office/drawing/2014/main" id="{89D57D2F-C766-8C4E-AAAF-F6D05ABEE48C}"/>
            </a:ext>
          </a:extLst>
        </xdr:cNvPr>
        <xdr:cNvSpPr txBox="1"/>
      </xdr:nvSpPr>
      <xdr:spPr>
        <a:xfrm>
          <a:off x="0" y="66421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40</xdr:row>
      <xdr:rowOff>0</xdr:rowOff>
    </xdr:from>
    <xdr:ext cx="914662" cy="264560"/>
    <xdr:sp macro="" textlink="">
      <xdr:nvSpPr>
        <xdr:cNvPr id="8" name="TextBox 7">
          <a:extLst>
            <a:ext uri="{FF2B5EF4-FFF2-40B4-BE49-F238E27FC236}">
              <a16:creationId xmlns:a16="http://schemas.microsoft.com/office/drawing/2014/main" id="{CE5314E4-06E7-7845-8DF2-05ACA5247527}"/>
            </a:ext>
          </a:extLst>
        </xdr:cNvPr>
        <xdr:cNvSpPr txBox="1"/>
      </xdr:nvSpPr>
      <xdr:spPr>
        <a:xfrm>
          <a:off x="0" y="6642100"/>
          <a:ext cx="914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40</xdr:row>
      <xdr:rowOff>0</xdr:rowOff>
    </xdr:from>
    <xdr:ext cx="1022977" cy="264560"/>
    <xdr:sp macro="" textlink="">
      <xdr:nvSpPr>
        <xdr:cNvPr id="9" name="TextBox 8">
          <a:extLst>
            <a:ext uri="{FF2B5EF4-FFF2-40B4-BE49-F238E27FC236}">
              <a16:creationId xmlns:a16="http://schemas.microsoft.com/office/drawing/2014/main" id="{0218A952-6602-3549-93E4-8F20604E23AD}"/>
            </a:ext>
          </a:extLst>
        </xdr:cNvPr>
        <xdr:cNvSpPr txBox="1"/>
      </xdr:nvSpPr>
      <xdr:spPr>
        <a:xfrm>
          <a:off x="0" y="66421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40</xdr:row>
      <xdr:rowOff>0</xdr:rowOff>
    </xdr:from>
    <xdr:ext cx="1022977" cy="264560"/>
    <xdr:sp macro="" textlink="">
      <xdr:nvSpPr>
        <xdr:cNvPr id="10" name="TextBox 9">
          <a:extLst>
            <a:ext uri="{FF2B5EF4-FFF2-40B4-BE49-F238E27FC236}">
              <a16:creationId xmlns:a16="http://schemas.microsoft.com/office/drawing/2014/main" id="{6B83C7A5-5D94-0B46-971E-BFB855CE3275}"/>
            </a:ext>
          </a:extLst>
        </xdr:cNvPr>
        <xdr:cNvSpPr txBox="1"/>
      </xdr:nvSpPr>
      <xdr:spPr>
        <a:xfrm>
          <a:off x="0" y="66421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75</xdr:row>
      <xdr:rowOff>0</xdr:rowOff>
    </xdr:from>
    <xdr:ext cx="914662" cy="264560"/>
    <xdr:sp macro="" textlink="">
      <xdr:nvSpPr>
        <xdr:cNvPr id="11" name="TextBox 10">
          <a:extLst>
            <a:ext uri="{FF2B5EF4-FFF2-40B4-BE49-F238E27FC236}">
              <a16:creationId xmlns:a16="http://schemas.microsoft.com/office/drawing/2014/main" id="{F770C2C3-7EDB-A745-A28F-3EDE6C09DE1F}"/>
            </a:ext>
          </a:extLst>
        </xdr:cNvPr>
        <xdr:cNvSpPr txBox="1"/>
      </xdr:nvSpPr>
      <xdr:spPr>
        <a:xfrm>
          <a:off x="6400800" y="4000500"/>
          <a:ext cx="914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75</xdr:row>
      <xdr:rowOff>0</xdr:rowOff>
    </xdr:from>
    <xdr:ext cx="1022977" cy="264560"/>
    <xdr:sp macro="" textlink="">
      <xdr:nvSpPr>
        <xdr:cNvPr id="12" name="TextBox 11">
          <a:extLst>
            <a:ext uri="{FF2B5EF4-FFF2-40B4-BE49-F238E27FC236}">
              <a16:creationId xmlns:a16="http://schemas.microsoft.com/office/drawing/2014/main" id="{11A1E4EF-1A64-1746-8C4F-E15D242BBB1E}"/>
            </a:ext>
          </a:extLst>
        </xdr:cNvPr>
        <xdr:cNvSpPr txBox="1"/>
      </xdr:nvSpPr>
      <xdr:spPr>
        <a:xfrm>
          <a:off x="6400800" y="40005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75</xdr:row>
      <xdr:rowOff>0</xdr:rowOff>
    </xdr:from>
    <xdr:ext cx="1022977" cy="264560"/>
    <xdr:sp macro="" textlink="">
      <xdr:nvSpPr>
        <xdr:cNvPr id="13" name="TextBox 12">
          <a:extLst>
            <a:ext uri="{FF2B5EF4-FFF2-40B4-BE49-F238E27FC236}">
              <a16:creationId xmlns:a16="http://schemas.microsoft.com/office/drawing/2014/main" id="{1CA367C0-F740-314B-9A65-9912A5E9A786}"/>
            </a:ext>
          </a:extLst>
        </xdr:cNvPr>
        <xdr:cNvSpPr txBox="1"/>
      </xdr:nvSpPr>
      <xdr:spPr>
        <a:xfrm>
          <a:off x="6400800" y="40005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75</xdr:row>
      <xdr:rowOff>0</xdr:rowOff>
    </xdr:from>
    <xdr:ext cx="914662" cy="264560"/>
    <xdr:sp macro="" textlink="">
      <xdr:nvSpPr>
        <xdr:cNvPr id="14" name="TextBox 13">
          <a:extLst>
            <a:ext uri="{FF2B5EF4-FFF2-40B4-BE49-F238E27FC236}">
              <a16:creationId xmlns:a16="http://schemas.microsoft.com/office/drawing/2014/main" id="{A6322DEC-BF0E-D948-8201-6C71AC5F722B}"/>
            </a:ext>
          </a:extLst>
        </xdr:cNvPr>
        <xdr:cNvSpPr txBox="1"/>
      </xdr:nvSpPr>
      <xdr:spPr>
        <a:xfrm>
          <a:off x="6400800" y="4000500"/>
          <a:ext cx="914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75</xdr:row>
      <xdr:rowOff>0</xdr:rowOff>
    </xdr:from>
    <xdr:ext cx="1022977" cy="264560"/>
    <xdr:sp macro="" textlink="">
      <xdr:nvSpPr>
        <xdr:cNvPr id="15" name="TextBox 14">
          <a:extLst>
            <a:ext uri="{FF2B5EF4-FFF2-40B4-BE49-F238E27FC236}">
              <a16:creationId xmlns:a16="http://schemas.microsoft.com/office/drawing/2014/main" id="{54DB7D9F-C907-AC4E-9B84-A5D78B2BA6EE}"/>
            </a:ext>
          </a:extLst>
        </xdr:cNvPr>
        <xdr:cNvSpPr txBox="1"/>
      </xdr:nvSpPr>
      <xdr:spPr>
        <a:xfrm>
          <a:off x="6400800" y="40005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75</xdr:row>
      <xdr:rowOff>0</xdr:rowOff>
    </xdr:from>
    <xdr:ext cx="1022977" cy="264560"/>
    <xdr:sp macro="" textlink="">
      <xdr:nvSpPr>
        <xdr:cNvPr id="16" name="TextBox 15">
          <a:extLst>
            <a:ext uri="{FF2B5EF4-FFF2-40B4-BE49-F238E27FC236}">
              <a16:creationId xmlns:a16="http://schemas.microsoft.com/office/drawing/2014/main" id="{E71474AA-1DF0-EC4C-AF5B-678244E53CF3}"/>
            </a:ext>
          </a:extLst>
        </xdr:cNvPr>
        <xdr:cNvSpPr txBox="1"/>
      </xdr:nvSpPr>
      <xdr:spPr>
        <a:xfrm>
          <a:off x="6400800" y="40005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40</xdr:row>
      <xdr:rowOff>0</xdr:rowOff>
    </xdr:from>
    <xdr:ext cx="914662" cy="264560"/>
    <xdr:sp macro="" textlink="">
      <xdr:nvSpPr>
        <xdr:cNvPr id="17" name="TextBox 16">
          <a:extLst>
            <a:ext uri="{FF2B5EF4-FFF2-40B4-BE49-F238E27FC236}">
              <a16:creationId xmlns:a16="http://schemas.microsoft.com/office/drawing/2014/main" id="{01FAE01D-C783-E542-BA0E-0D684F6D5BC8}"/>
            </a:ext>
          </a:extLst>
        </xdr:cNvPr>
        <xdr:cNvSpPr txBox="1"/>
      </xdr:nvSpPr>
      <xdr:spPr>
        <a:xfrm>
          <a:off x="0" y="6642100"/>
          <a:ext cx="914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40</xdr:row>
      <xdr:rowOff>0</xdr:rowOff>
    </xdr:from>
    <xdr:ext cx="1022977" cy="264560"/>
    <xdr:sp macro="" textlink="">
      <xdr:nvSpPr>
        <xdr:cNvPr id="18" name="TextBox 17">
          <a:extLst>
            <a:ext uri="{FF2B5EF4-FFF2-40B4-BE49-F238E27FC236}">
              <a16:creationId xmlns:a16="http://schemas.microsoft.com/office/drawing/2014/main" id="{375027E3-C136-444F-9317-7962FC0154DB}"/>
            </a:ext>
          </a:extLst>
        </xdr:cNvPr>
        <xdr:cNvSpPr txBox="1"/>
      </xdr:nvSpPr>
      <xdr:spPr>
        <a:xfrm>
          <a:off x="0" y="66421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40</xdr:row>
      <xdr:rowOff>0</xdr:rowOff>
    </xdr:from>
    <xdr:ext cx="1022977" cy="264560"/>
    <xdr:sp macro="" textlink="">
      <xdr:nvSpPr>
        <xdr:cNvPr id="19" name="TextBox 18">
          <a:extLst>
            <a:ext uri="{FF2B5EF4-FFF2-40B4-BE49-F238E27FC236}">
              <a16:creationId xmlns:a16="http://schemas.microsoft.com/office/drawing/2014/main" id="{4F1D0A39-DD3A-774B-8CD8-E247B819FE9D}"/>
            </a:ext>
          </a:extLst>
        </xdr:cNvPr>
        <xdr:cNvSpPr txBox="1"/>
      </xdr:nvSpPr>
      <xdr:spPr>
        <a:xfrm>
          <a:off x="0" y="66421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0</xdr:row>
      <xdr:rowOff>0</xdr:rowOff>
    </xdr:from>
    <xdr:ext cx="914662" cy="264560"/>
    <xdr:sp macro="" textlink="">
      <xdr:nvSpPr>
        <xdr:cNvPr id="20" name="TextBox 19">
          <a:extLst>
            <a:ext uri="{FF2B5EF4-FFF2-40B4-BE49-F238E27FC236}">
              <a16:creationId xmlns:a16="http://schemas.microsoft.com/office/drawing/2014/main" id="{ECB85EAC-25EB-5D4C-9BB9-5ED8C89CF857}"/>
            </a:ext>
          </a:extLst>
        </xdr:cNvPr>
        <xdr:cNvSpPr txBox="1"/>
      </xdr:nvSpPr>
      <xdr:spPr>
        <a:xfrm>
          <a:off x="0" y="0"/>
          <a:ext cx="914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0</xdr:row>
      <xdr:rowOff>0</xdr:rowOff>
    </xdr:from>
    <xdr:ext cx="1022977" cy="264560"/>
    <xdr:sp macro="" textlink="">
      <xdr:nvSpPr>
        <xdr:cNvPr id="21" name="TextBox 20">
          <a:extLst>
            <a:ext uri="{FF2B5EF4-FFF2-40B4-BE49-F238E27FC236}">
              <a16:creationId xmlns:a16="http://schemas.microsoft.com/office/drawing/2014/main" id="{3532E888-2223-AF4B-8C8C-56CB59CF71EE}"/>
            </a:ext>
          </a:extLst>
        </xdr:cNvPr>
        <xdr:cNvSpPr txBox="1"/>
      </xdr:nvSpPr>
      <xdr:spPr>
        <a:xfrm>
          <a:off x="0" y="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0</xdr:row>
      <xdr:rowOff>0</xdr:rowOff>
    </xdr:from>
    <xdr:ext cx="1022977" cy="264560"/>
    <xdr:sp macro="" textlink="">
      <xdr:nvSpPr>
        <xdr:cNvPr id="22" name="TextBox 21">
          <a:extLst>
            <a:ext uri="{FF2B5EF4-FFF2-40B4-BE49-F238E27FC236}">
              <a16:creationId xmlns:a16="http://schemas.microsoft.com/office/drawing/2014/main" id="{EEE88C78-10E4-DE43-9DF4-A23A02D74657}"/>
            </a:ext>
          </a:extLst>
        </xdr:cNvPr>
        <xdr:cNvSpPr txBox="1"/>
      </xdr:nvSpPr>
      <xdr:spPr>
        <a:xfrm>
          <a:off x="0" y="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40</xdr:row>
      <xdr:rowOff>0</xdr:rowOff>
    </xdr:from>
    <xdr:ext cx="914662" cy="264560"/>
    <xdr:sp macro="" textlink="">
      <xdr:nvSpPr>
        <xdr:cNvPr id="23" name="TextBox 22">
          <a:extLst>
            <a:ext uri="{FF2B5EF4-FFF2-40B4-BE49-F238E27FC236}">
              <a16:creationId xmlns:a16="http://schemas.microsoft.com/office/drawing/2014/main" id="{97B32B51-73A9-C745-B79B-04ABA42056CC}"/>
            </a:ext>
          </a:extLst>
        </xdr:cNvPr>
        <xdr:cNvSpPr txBox="1"/>
      </xdr:nvSpPr>
      <xdr:spPr>
        <a:xfrm>
          <a:off x="0" y="6642100"/>
          <a:ext cx="914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40</xdr:row>
      <xdr:rowOff>0</xdr:rowOff>
    </xdr:from>
    <xdr:ext cx="1022977" cy="264560"/>
    <xdr:sp macro="" textlink="">
      <xdr:nvSpPr>
        <xdr:cNvPr id="24" name="TextBox 23">
          <a:extLst>
            <a:ext uri="{FF2B5EF4-FFF2-40B4-BE49-F238E27FC236}">
              <a16:creationId xmlns:a16="http://schemas.microsoft.com/office/drawing/2014/main" id="{C6B89EA7-640C-6145-9B24-3E43B1DBE30E}"/>
            </a:ext>
          </a:extLst>
        </xdr:cNvPr>
        <xdr:cNvSpPr txBox="1"/>
      </xdr:nvSpPr>
      <xdr:spPr>
        <a:xfrm>
          <a:off x="0" y="66421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40</xdr:row>
      <xdr:rowOff>0</xdr:rowOff>
    </xdr:from>
    <xdr:ext cx="1022977" cy="264560"/>
    <xdr:sp macro="" textlink="">
      <xdr:nvSpPr>
        <xdr:cNvPr id="25" name="TextBox 24">
          <a:extLst>
            <a:ext uri="{FF2B5EF4-FFF2-40B4-BE49-F238E27FC236}">
              <a16:creationId xmlns:a16="http://schemas.microsoft.com/office/drawing/2014/main" id="{A7187960-9113-8141-BA8F-A4DD89219973}"/>
            </a:ext>
          </a:extLst>
        </xdr:cNvPr>
        <xdr:cNvSpPr txBox="1"/>
      </xdr:nvSpPr>
      <xdr:spPr>
        <a:xfrm>
          <a:off x="0" y="66421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40</xdr:row>
      <xdr:rowOff>0</xdr:rowOff>
    </xdr:from>
    <xdr:ext cx="914662" cy="264560"/>
    <xdr:sp macro="" textlink="">
      <xdr:nvSpPr>
        <xdr:cNvPr id="26" name="TextBox 25">
          <a:extLst>
            <a:ext uri="{FF2B5EF4-FFF2-40B4-BE49-F238E27FC236}">
              <a16:creationId xmlns:a16="http://schemas.microsoft.com/office/drawing/2014/main" id="{F5B8B1E1-34B8-8846-92D0-FC07EB140F61}"/>
            </a:ext>
          </a:extLst>
        </xdr:cNvPr>
        <xdr:cNvSpPr txBox="1"/>
      </xdr:nvSpPr>
      <xdr:spPr>
        <a:xfrm>
          <a:off x="0" y="6642100"/>
          <a:ext cx="914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40</xdr:row>
      <xdr:rowOff>0</xdr:rowOff>
    </xdr:from>
    <xdr:ext cx="1022977" cy="264560"/>
    <xdr:sp macro="" textlink="">
      <xdr:nvSpPr>
        <xdr:cNvPr id="27" name="TextBox 26">
          <a:extLst>
            <a:ext uri="{FF2B5EF4-FFF2-40B4-BE49-F238E27FC236}">
              <a16:creationId xmlns:a16="http://schemas.microsoft.com/office/drawing/2014/main" id="{E87D322A-3DDF-F549-B5FF-B06781858895}"/>
            </a:ext>
          </a:extLst>
        </xdr:cNvPr>
        <xdr:cNvSpPr txBox="1"/>
      </xdr:nvSpPr>
      <xdr:spPr>
        <a:xfrm>
          <a:off x="0" y="66421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40</xdr:row>
      <xdr:rowOff>0</xdr:rowOff>
    </xdr:from>
    <xdr:ext cx="1022977" cy="264560"/>
    <xdr:sp macro="" textlink="">
      <xdr:nvSpPr>
        <xdr:cNvPr id="28" name="TextBox 27">
          <a:extLst>
            <a:ext uri="{FF2B5EF4-FFF2-40B4-BE49-F238E27FC236}">
              <a16:creationId xmlns:a16="http://schemas.microsoft.com/office/drawing/2014/main" id="{E10EFA50-0312-CB4B-A59C-99AEE6F5CAA3}"/>
            </a:ext>
          </a:extLst>
        </xdr:cNvPr>
        <xdr:cNvSpPr txBox="1"/>
      </xdr:nvSpPr>
      <xdr:spPr>
        <a:xfrm>
          <a:off x="0" y="66421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42</xdr:row>
      <xdr:rowOff>0</xdr:rowOff>
    </xdr:from>
    <xdr:ext cx="914662" cy="264560"/>
    <xdr:sp macro="" textlink="">
      <xdr:nvSpPr>
        <xdr:cNvPr id="29" name="TextBox 28">
          <a:extLst>
            <a:ext uri="{FF2B5EF4-FFF2-40B4-BE49-F238E27FC236}">
              <a16:creationId xmlns:a16="http://schemas.microsoft.com/office/drawing/2014/main" id="{4A19A482-382D-8044-805C-9C9320C3D717}"/>
            </a:ext>
          </a:extLst>
        </xdr:cNvPr>
        <xdr:cNvSpPr txBox="1"/>
      </xdr:nvSpPr>
      <xdr:spPr>
        <a:xfrm>
          <a:off x="0" y="6972300"/>
          <a:ext cx="914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42</xdr:row>
      <xdr:rowOff>0</xdr:rowOff>
    </xdr:from>
    <xdr:ext cx="1022977" cy="264560"/>
    <xdr:sp macro="" textlink="">
      <xdr:nvSpPr>
        <xdr:cNvPr id="30" name="TextBox 29">
          <a:extLst>
            <a:ext uri="{FF2B5EF4-FFF2-40B4-BE49-F238E27FC236}">
              <a16:creationId xmlns:a16="http://schemas.microsoft.com/office/drawing/2014/main" id="{FD1A882C-E84E-8344-B7B5-69FEBD59D590}"/>
            </a:ext>
          </a:extLst>
        </xdr:cNvPr>
        <xdr:cNvSpPr txBox="1"/>
      </xdr:nvSpPr>
      <xdr:spPr>
        <a:xfrm>
          <a:off x="0" y="69723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42</xdr:row>
      <xdr:rowOff>0</xdr:rowOff>
    </xdr:from>
    <xdr:ext cx="1022977" cy="264560"/>
    <xdr:sp macro="" textlink="">
      <xdr:nvSpPr>
        <xdr:cNvPr id="31" name="TextBox 30">
          <a:extLst>
            <a:ext uri="{FF2B5EF4-FFF2-40B4-BE49-F238E27FC236}">
              <a16:creationId xmlns:a16="http://schemas.microsoft.com/office/drawing/2014/main" id="{1859C76E-DD13-A44E-9106-AB333C9FE7C5}"/>
            </a:ext>
          </a:extLst>
        </xdr:cNvPr>
        <xdr:cNvSpPr txBox="1"/>
      </xdr:nvSpPr>
      <xdr:spPr>
        <a:xfrm>
          <a:off x="0" y="69723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42</xdr:row>
      <xdr:rowOff>0</xdr:rowOff>
    </xdr:from>
    <xdr:ext cx="914662" cy="264560"/>
    <xdr:sp macro="" textlink="">
      <xdr:nvSpPr>
        <xdr:cNvPr id="32" name="TextBox 31">
          <a:extLst>
            <a:ext uri="{FF2B5EF4-FFF2-40B4-BE49-F238E27FC236}">
              <a16:creationId xmlns:a16="http://schemas.microsoft.com/office/drawing/2014/main" id="{F8D66371-36CC-6645-BDC9-1198A4C2EB01}"/>
            </a:ext>
          </a:extLst>
        </xdr:cNvPr>
        <xdr:cNvSpPr txBox="1"/>
      </xdr:nvSpPr>
      <xdr:spPr>
        <a:xfrm>
          <a:off x="0" y="6972300"/>
          <a:ext cx="914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42</xdr:row>
      <xdr:rowOff>0</xdr:rowOff>
    </xdr:from>
    <xdr:ext cx="1022977" cy="264560"/>
    <xdr:sp macro="" textlink="">
      <xdr:nvSpPr>
        <xdr:cNvPr id="33" name="TextBox 32">
          <a:extLst>
            <a:ext uri="{FF2B5EF4-FFF2-40B4-BE49-F238E27FC236}">
              <a16:creationId xmlns:a16="http://schemas.microsoft.com/office/drawing/2014/main" id="{9D182E8D-9E9D-FE4A-9465-C9CDB2434D96}"/>
            </a:ext>
          </a:extLst>
        </xdr:cNvPr>
        <xdr:cNvSpPr txBox="1"/>
      </xdr:nvSpPr>
      <xdr:spPr>
        <a:xfrm>
          <a:off x="0" y="69723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104</xdr:row>
      <xdr:rowOff>0</xdr:rowOff>
    </xdr:from>
    <xdr:ext cx="914662" cy="264560"/>
    <xdr:sp macro="" textlink="">
      <xdr:nvSpPr>
        <xdr:cNvPr id="34" name="TextBox 33">
          <a:extLst>
            <a:ext uri="{FF2B5EF4-FFF2-40B4-BE49-F238E27FC236}">
              <a16:creationId xmlns:a16="http://schemas.microsoft.com/office/drawing/2014/main" id="{7088A946-A2C4-CC40-9DE2-DD6C2839FFE3}"/>
            </a:ext>
          </a:extLst>
        </xdr:cNvPr>
        <xdr:cNvSpPr txBox="1"/>
      </xdr:nvSpPr>
      <xdr:spPr>
        <a:xfrm>
          <a:off x="0" y="8826500"/>
          <a:ext cx="914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104</xdr:row>
      <xdr:rowOff>0</xdr:rowOff>
    </xdr:from>
    <xdr:ext cx="1022977" cy="264560"/>
    <xdr:sp macro="" textlink="">
      <xdr:nvSpPr>
        <xdr:cNvPr id="35" name="TextBox 34">
          <a:extLst>
            <a:ext uri="{FF2B5EF4-FFF2-40B4-BE49-F238E27FC236}">
              <a16:creationId xmlns:a16="http://schemas.microsoft.com/office/drawing/2014/main" id="{2178BE73-232A-A24B-A7B7-213E37A2BD9E}"/>
            </a:ext>
          </a:extLst>
        </xdr:cNvPr>
        <xdr:cNvSpPr txBox="1"/>
      </xdr:nvSpPr>
      <xdr:spPr>
        <a:xfrm>
          <a:off x="0" y="88265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104</xdr:row>
      <xdr:rowOff>0</xdr:rowOff>
    </xdr:from>
    <xdr:ext cx="1022977" cy="264560"/>
    <xdr:sp macro="" textlink="">
      <xdr:nvSpPr>
        <xdr:cNvPr id="36" name="TextBox 35">
          <a:extLst>
            <a:ext uri="{FF2B5EF4-FFF2-40B4-BE49-F238E27FC236}">
              <a16:creationId xmlns:a16="http://schemas.microsoft.com/office/drawing/2014/main" id="{CD659F29-5113-2B42-A3F6-5E516B0C7721}"/>
            </a:ext>
          </a:extLst>
        </xdr:cNvPr>
        <xdr:cNvSpPr txBox="1"/>
      </xdr:nvSpPr>
      <xdr:spPr>
        <a:xfrm>
          <a:off x="0" y="88265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104</xdr:row>
      <xdr:rowOff>0</xdr:rowOff>
    </xdr:from>
    <xdr:ext cx="914662" cy="264560"/>
    <xdr:sp macro="" textlink="">
      <xdr:nvSpPr>
        <xdr:cNvPr id="37" name="TextBox 36">
          <a:extLst>
            <a:ext uri="{FF2B5EF4-FFF2-40B4-BE49-F238E27FC236}">
              <a16:creationId xmlns:a16="http://schemas.microsoft.com/office/drawing/2014/main" id="{B8642674-590E-A148-8D0C-EDED44CCC1F3}"/>
            </a:ext>
          </a:extLst>
        </xdr:cNvPr>
        <xdr:cNvSpPr txBox="1"/>
      </xdr:nvSpPr>
      <xdr:spPr>
        <a:xfrm>
          <a:off x="0" y="8826500"/>
          <a:ext cx="914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104</xdr:row>
      <xdr:rowOff>0</xdr:rowOff>
    </xdr:from>
    <xdr:ext cx="1022977" cy="264560"/>
    <xdr:sp macro="" textlink="">
      <xdr:nvSpPr>
        <xdr:cNvPr id="38" name="TextBox 37">
          <a:extLst>
            <a:ext uri="{FF2B5EF4-FFF2-40B4-BE49-F238E27FC236}">
              <a16:creationId xmlns:a16="http://schemas.microsoft.com/office/drawing/2014/main" id="{C5AE6153-9C01-9A45-923C-F6FAF64653B7}"/>
            </a:ext>
          </a:extLst>
        </xdr:cNvPr>
        <xdr:cNvSpPr txBox="1"/>
      </xdr:nvSpPr>
      <xdr:spPr>
        <a:xfrm>
          <a:off x="0" y="88265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104</xdr:row>
      <xdr:rowOff>0</xdr:rowOff>
    </xdr:from>
    <xdr:ext cx="1022977" cy="264560"/>
    <xdr:sp macro="" textlink="">
      <xdr:nvSpPr>
        <xdr:cNvPr id="39" name="TextBox 38">
          <a:extLst>
            <a:ext uri="{FF2B5EF4-FFF2-40B4-BE49-F238E27FC236}">
              <a16:creationId xmlns:a16="http://schemas.microsoft.com/office/drawing/2014/main" id="{4AB6E8FF-9400-0042-AFE8-BEB0222B26BD}"/>
            </a:ext>
          </a:extLst>
        </xdr:cNvPr>
        <xdr:cNvSpPr txBox="1"/>
      </xdr:nvSpPr>
      <xdr:spPr>
        <a:xfrm>
          <a:off x="0" y="88265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105</xdr:row>
      <xdr:rowOff>0</xdr:rowOff>
    </xdr:from>
    <xdr:ext cx="914662" cy="264560"/>
    <xdr:sp macro="" textlink="">
      <xdr:nvSpPr>
        <xdr:cNvPr id="40" name="TextBox 39">
          <a:extLst>
            <a:ext uri="{FF2B5EF4-FFF2-40B4-BE49-F238E27FC236}">
              <a16:creationId xmlns:a16="http://schemas.microsoft.com/office/drawing/2014/main" id="{42ECAED1-A658-0447-9C81-CFACC3448369}"/>
            </a:ext>
          </a:extLst>
        </xdr:cNvPr>
        <xdr:cNvSpPr txBox="1"/>
      </xdr:nvSpPr>
      <xdr:spPr>
        <a:xfrm>
          <a:off x="0" y="16090900"/>
          <a:ext cx="914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105</xdr:row>
      <xdr:rowOff>0</xdr:rowOff>
    </xdr:from>
    <xdr:ext cx="1022977" cy="264560"/>
    <xdr:sp macro="" textlink="">
      <xdr:nvSpPr>
        <xdr:cNvPr id="41" name="TextBox 40">
          <a:extLst>
            <a:ext uri="{FF2B5EF4-FFF2-40B4-BE49-F238E27FC236}">
              <a16:creationId xmlns:a16="http://schemas.microsoft.com/office/drawing/2014/main" id="{F48E543C-BE42-DD49-BDE3-C5CBE3966793}"/>
            </a:ext>
          </a:extLst>
        </xdr:cNvPr>
        <xdr:cNvSpPr txBox="1"/>
      </xdr:nvSpPr>
      <xdr:spPr>
        <a:xfrm>
          <a:off x="0" y="160909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105</xdr:row>
      <xdr:rowOff>0</xdr:rowOff>
    </xdr:from>
    <xdr:ext cx="1022977" cy="264560"/>
    <xdr:sp macro="" textlink="">
      <xdr:nvSpPr>
        <xdr:cNvPr id="42" name="TextBox 41">
          <a:extLst>
            <a:ext uri="{FF2B5EF4-FFF2-40B4-BE49-F238E27FC236}">
              <a16:creationId xmlns:a16="http://schemas.microsoft.com/office/drawing/2014/main" id="{0F6791A3-0533-C646-BF6E-45408C622D92}"/>
            </a:ext>
          </a:extLst>
        </xdr:cNvPr>
        <xdr:cNvSpPr txBox="1"/>
      </xdr:nvSpPr>
      <xdr:spPr>
        <a:xfrm>
          <a:off x="0" y="160909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105</xdr:row>
      <xdr:rowOff>0</xdr:rowOff>
    </xdr:from>
    <xdr:ext cx="914662" cy="264560"/>
    <xdr:sp macro="" textlink="">
      <xdr:nvSpPr>
        <xdr:cNvPr id="43" name="TextBox 42">
          <a:extLst>
            <a:ext uri="{FF2B5EF4-FFF2-40B4-BE49-F238E27FC236}">
              <a16:creationId xmlns:a16="http://schemas.microsoft.com/office/drawing/2014/main" id="{6430C6D0-7823-1A43-AA2F-1E19422CC3E8}"/>
            </a:ext>
          </a:extLst>
        </xdr:cNvPr>
        <xdr:cNvSpPr txBox="1"/>
      </xdr:nvSpPr>
      <xdr:spPr>
        <a:xfrm>
          <a:off x="0" y="16090900"/>
          <a:ext cx="914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105</xdr:row>
      <xdr:rowOff>0</xdr:rowOff>
    </xdr:from>
    <xdr:ext cx="1022977" cy="264560"/>
    <xdr:sp macro="" textlink="">
      <xdr:nvSpPr>
        <xdr:cNvPr id="44" name="TextBox 43">
          <a:extLst>
            <a:ext uri="{FF2B5EF4-FFF2-40B4-BE49-F238E27FC236}">
              <a16:creationId xmlns:a16="http://schemas.microsoft.com/office/drawing/2014/main" id="{9409F024-503F-4946-8AD5-F028A87E4B3A}"/>
            </a:ext>
          </a:extLst>
        </xdr:cNvPr>
        <xdr:cNvSpPr txBox="1"/>
      </xdr:nvSpPr>
      <xdr:spPr>
        <a:xfrm>
          <a:off x="0" y="160909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105</xdr:row>
      <xdr:rowOff>0</xdr:rowOff>
    </xdr:from>
    <xdr:ext cx="1022977" cy="264560"/>
    <xdr:sp macro="" textlink="">
      <xdr:nvSpPr>
        <xdr:cNvPr id="45" name="TextBox 44">
          <a:extLst>
            <a:ext uri="{FF2B5EF4-FFF2-40B4-BE49-F238E27FC236}">
              <a16:creationId xmlns:a16="http://schemas.microsoft.com/office/drawing/2014/main" id="{F1CFF1FB-660E-EE46-BA94-F65D148599BB}"/>
            </a:ext>
          </a:extLst>
        </xdr:cNvPr>
        <xdr:cNvSpPr txBox="1"/>
      </xdr:nvSpPr>
      <xdr:spPr>
        <a:xfrm>
          <a:off x="0" y="160909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105</xdr:row>
      <xdr:rowOff>0</xdr:rowOff>
    </xdr:from>
    <xdr:ext cx="914662" cy="264560"/>
    <xdr:sp macro="" textlink="">
      <xdr:nvSpPr>
        <xdr:cNvPr id="46" name="TextBox 45">
          <a:extLst>
            <a:ext uri="{FF2B5EF4-FFF2-40B4-BE49-F238E27FC236}">
              <a16:creationId xmlns:a16="http://schemas.microsoft.com/office/drawing/2014/main" id="{EC232346-FB72-7B43-9226-6071FD42AE89}"/>
            </a:ext>
          </a:extLst>
        </xdr:cNvPr>
        <xdr:cNvSpPr txBox="1"/>
      </xdr:nvSpPr>
      <xdr:spPr>
        <a:xfrm>
          <a:off x="0" y="16090900"/>
          <a:ext cx="914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105</xdr:row>
      <xdr:rowOff>0</xdr:rowOff>
    </xdr:from>
    <xdr:ext cx="1022977" cy="264560"/>
    <xdr:sp macro="" textlink="">
      <xdr:nvSpPr>
        <xdr:cNvPr id="47" name="TextBox 46">
          <a:extLst>
            <a:ext uri="{FF2B5EF4-FFF2-40B4-BE49-F238E27FC236}">
              <a16:creationId xmlns:a16="http://schemas.microsoft.com/office/drawing/2014/main" id="{EAE0C952-F2AF-B642-94F0-EDB083932861}"/>
            </a:ext>
          </a:extLst>
        </xdr:cNvPr>
        <xdr:cNvSpPr txBox="1"/>
      </xdr:nvSpPr>
      <xdr:spPr>
        <a:xfrm>
          <a:off x="0" y="160909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105</xdr:row>
      <xdr:rowOff>0</xdr:rowOff>
    </xdr:from>
    <xdr:ext cx="1022977" cy="264560"/>
    <xdr:sp macro="" textlink="">
      <xdr:nvSpPr>
        <xdr:cNvPr id="48" name="TextBox 47">
          <a:extLst>
            <a:ext uri="{FF2B5EF4-FFF2-40B4-BE49-F238E27FC236}">
              <a16:creationId xmlns:a16="http://schemas.microsoft.com/office/drawing/2014/main" id="{0B89BD5F-1AC8-B94D-9DB5-E6E166A14D07}"/>
            </a:ext>
          </a:extLst>
        </xdr:cNvPr>
        <xdr:cNvSpPr txBox="1"/>
      </xdr:nvSpPr>
      <xdr:spPr>
        <a:xfrm>
          <a:off x="0" y="160909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105</xdr:row>
      <xdr:rowOff>0</xdr:rowOff>
    </xdr:from>
    <xdr:ext cx="914662" cy="264560"/>
    <xdr:sp macro="" textlink="">
      <xdr:nvSpPr>
        <xdr:cNvPr id="49" name="TextBox 48">
          <a:extLst>
            <a:ext uri="{FF2B5EF4-FFF2-40B4-BE49-F238E27FC236}">
              <a16:creationId xmlns:a16="http://schemas.microsoft.com/office/drawing/2014/main" id="{B499C895-4C1E-9B48-AB35-556DA6B20125}"/>
            </a:ext>
          </a:extLst>
        </xdr:cNvPr>
        <xdr:cNvSpPr txBox="1"/>
      </xdr:nvSpPr>
      <xdr:spPr>
        <a:xfrm>
          <a:off x="0" y="16090900"/>
          <a:ext cx="914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105</xdr:row>
      <xdr:rowOff>0</xdr:rowOff>
    </xdr:from>
    <xdr:ext cx="1022977" cy="264560"/>
    <xdr:sp macro="" textlink="">
      <xdr:nvSpPr>
        <xdr:cNvPr id="50" name="TextBox 49">
          <a:extLst>
            <a:ext uri="{FF2B5EF4-FFF2-40B4-BE49-F238E27FC236}">
              <a16:creationId xmlns:a16="http://schemas.microsoft.com/office/drawing/2014/main" id="{A2879570-FCE2-FC45-BF43-13CD7C6EB483}"/>
            </a:ext>
          </a:extLst>
        </xdr:cNvPr>
        <xdr:cNvSpPr txBox="1"/>
      </xdr:nvSpPr>
      <xdr:spPr>
        <a:xfrm>
          <a:off x="0" y="160909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105</xdr:row>
      <xdr:rowOff>0</xdr:rowOff>
    </xdr:from>
    <xdr:ext cx="1022977" cy="264560"/>
    <xdr:sp macro="" textlink="">
      <xdr:nvSpPr>
        <xdr:cNvPr id="51" name="TextBox 50">
          <a:extLst>
            <a:ext uri="{FF2B5EF4-FFF2-40B4-BE49-F238E27FC236}">
              <a16:creationId xmlns:a16="http://schemas.microsoft.com/office/drawing/2014/main" id="{DBF90012-2C66-6643-B888-5A983A29802E}"/>
            </a:ext>
          </a:extLst>
        </xdr:cNvPr>
        <xdr:cNvSpPr txBox="1"/>
      </xdr:nvSpPr>
      <xdr:spPr>
        <a:xfrm>
          <a:off x="0" y="160909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102</xdr:row>
      <xdr:rowOff>0</xdr:rowOff>
    </xdr:from>
    <xdr:ext cx="914662" cy="264560"/>
    <xdr:sp macro="" textlink="">
      <xdr:nvSpPr>
        <xdr:cNvPr id="52" name="TextBox 51">
          <a:extLst>
            <a:ext uri="{FF2B5EF4-FFF2-40B4-BE49-F238E27FC236}">
              <a16:creationId xmlns:a16="http://schemas.microsoft.com/office/drawing/2014/main" id="{A3038A1E-B74A-AA4E-864A-5FEA2F85466C}"/>
            </a:ext>
          </a:extLst>
        </xdr:cNvPr>
        <xdr:cNvSpPr txBox="1"/>
      </xdr:nvSpPr>
      <xdr:spPr>
        <a:xfrm>
          <a:off x="6400800" y="8661400"/>
          <a:ext cx="914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102</xdr:row>
      <xdr:rowOff>0</xdr:rowOff>
    </xdr:from>
    <xdr:ext cx="1022977" cy="264560"/>
    <xdr:sp macro="" textlink="">
      <xdr:nvSpPr>
        <xdr:cNvPr id="53" name="TextBox 52">
          <a:extLst>
            <a:ext uri="{FF2B5EF4-FFF2-40B4-BE49-F238E27FC236}">
              <a16:creationId xmlns:a16="http://schemas.microsoft.com/office/drawing/2014/main" id="{3097AE1F-525E-FF48-85F1-7A1BD3F2C150}"/>
            </a:ext>
          </a:extLst>
        </xdr:cNvPr>
        <xdr:cNvSpPr txBox="1"/>
      </xdr:nvSpPr>
      <xdr:spPr>
        <a:xfrm>
          <a:off x="6400800" y="86614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102</xdr:row>
      <xdr:rowOff>0</xdr:rowOff>
    </xdr:from>
    <xdr:ext cx="1022977" cy="264560"/>
    <xdr:sp macro="" textlink="">
      <xdr:nvSpPr>
        <xdr:cNvPr id="54" name="TextBox 53">
          <a:extLst>
            <a:ext uri="{FF2B5EF4-FFF2-40B4-BE49-F238E27FC236}">
              <a16:creationId xmlns:a16="http://schemas.microsoft.com/office/drawing/2014/main" id="{70C61B52-5D09-7042-81E8-D138C88605AD}"/>
            </a:ext>
          </a:extLst>
        </xdr:cNvPr>
        <xdr:cNvSpPr txBox="1"/>
      </xdr:nvSpPr>
      <xdr:spPr>
        <a:xfrm>
          <a:off x="6400800" y="86614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102</xdr:row>
      <xdr:rowOff>0</xdr:rowOff>
    </xdr:from>
    <xdr:ext cx="914662" cy="264560"/>
    <xdr:sp macro="" textlink="">
      <xdr:nvSpPr>
        <xdr:cNvPr id="55" name="TextBox 54">
          <a:extLst>
            <a:ext uri="{FF2B5EF4-FFF2-40B4-BE49-F238E27FC236}">
              <a16:creationId xmlns:a16="http://schemas.microsoft.com/office/drawing/2014/main" id="{0E9F3F12-A160-B14A-A97A-4ED26E841C25}"/>
            </a:ext>
          </a:extLst>
        </xdr:cNvPr>
        <xdr:cNvSpPr txBox="1"/>
      </xdr:nvSpPr>
      <xdr:spPr>
        <a:xfrm>
          <a:off x="6400800" y="8661400"/>
          <a:ext cx="914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102</xdr:row>
      <xdr:rowOff>0</xdr:rowOff>
    </xdr:from>
    <xdr:ext cx="1022977" cy="264560"/>
    <xdr:sp macro="" textlink="">
      <xdr:nvSpPr>
        <xdr:cNvPr id="56" name="TextBox 55">
          <a:extLst>
            <a:ext uri="{FF2B5EF4-FFF2-40B4-BE49-F238E27FC236}">
              <a16:creationId xmlns:a16="http://schemas.microsoft.com/office/drawing/2014/main" id="{51B1C855-F35F-2841-BF7B-5E3A22B3476B}"/>
            </a:ext>
          </a:extLst>
        </xdr:cNvPr>
        <xdr:cNvSpPr txBox="1"/>
      </xdr:nvSpPr>
      <xdr:spPr>
        <a:xfrm>
          <a:off x="6400800" y="86614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102</xdr:row>
      <xdr:rowOff>0</xdr:rowOff>
    </xdr:from>
    <xdr:ext cx="1022977" cy="264560"/>
    <xdr:sp macro="" textlink="">
      <xdr:nvSpPr>
        <xdr:cNvPr id="57" name="TextBox 56">
          <a:extLst>
            <a:ext uri="{FF2B5EF4-FFF2-40B4-BE49-F238E27FC236}">
              <a16:creationId xmlns:a16="http://schemas.microsoft.com/office/drawing/2014/main" id="{5BBB13A2-2C51-E449-98E6-1848E79EAABC}"/>
            </a:ext>
          </a:extLst>
        </xdr:cNvPr>
        <xdr:cNvSpPr txBox="1"/>
      </xdr:nvSpPr>
      <xdr:spPr>
        <a:xfrm>
          <a:off x="6400800" y="86614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102</xdr:row>
      <xdr:rowOff>0</xdr:rowOff>
    </xdr:from>
    <xdr:ext cx="914662" cy="264560"/>
    <xdr:sp macro="" textlink="">
      <xdr:nvSpPr>
        <xdr:cNvPr id="58" name="TextBox 57">
          <a:extLst>
            <a:ext uri="{FF2B5EF4-FFF2-40B4-BE49-F238E27FC236}">
              <a16:creationId xmlns:a16="http://schemas.microsoft.com/office/drawing/2014/main" id="{BDDE37E4-0940-3B4E-87D8-B70B7DE8FFC9}"/>
            </a:ext>
          </a:extLst>
        </xdr:cNvPr>
        <xdr:cNvSpPr txBox="1"/>
      </xdr:nvSpPr>
      <xdr:spPr>
        <a:xfrm>
          <a:off x="6400800" y="8661400"/>
          <a:ext cx="914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102</xdr:row>
      <xdr:rowOff>0</xdr:rowOff>
    </xdr:from>
    <xdr:ext cx="1022977" cy="264560"/>
    <xdr:sp macro="" textlink="">
      <xdr:nvSpPr>
        <xdr:cNvPr id="59" name="TextBox 58">
          <a:extLst>
            <a:ext uri="{FF2B5EF4-FFF2-40B4-BE49-F238E27FC236}">
              <a16:creationId xmlns:a16="http://schemas.microsoft.com/office/drawing/2014/main" id="{DD0B249B-8E6F-A74E-922E-012E0042FDBA}"/>
            </a:ext>
          </a:extLst>
        </xdr:cNvPr>
        <xdr:cNvSpPr txBox="1"/>
      </xdr:nvSpPr>
      <xdr:spPr>
        <a:xfrm>
          <a:off x="6400800" y="86614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102</xdr:row>
      <xdr:rowOff>0</xdr:rowOff>
    </xdr:from>
    <xdr:ext cx="1022977" cy="264560"/>
    <xdr:sp macro="" textlink="">
      <xdr:nvSpPr>
        <xdr:cNvPr id="60" name="TextBox 59">
          <a:extLst>
            <a:ext uri="{FF2B5EF4-FFF2-40B4-BE49-F238E27FC236}">
              <a16:creationId xmlns:a16="http://schemas.microsoft.com/office/drawing/2014/main" id="{3B741827-EBE1-A345-9743-AF2791FC1EB5}"/>
            </a:ext>
          </a:extLst>
        </xdr:cNvPr>
        <xdr:cNvSpPr txBox="1"/>
      </xdr:nvSpPr>
      <xdr:spPr>
        <a:xfrm>
          <a:off x="6400800" y="86614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102</xdr:row>
      <xdr:rowOff>0</xdr:rowOff>
    </xdr:from>
    <xdr:ext cx="914662" cy="264560"/>
    <xdr:sp macro="" textlink="">
      <xdr:nvSpPr>
        <xdr:cNvPr id="61" name="TextBox 60">
          <a:extLst>
            <a:ext uri="{FF2B5EF4-FFF2-40B4-BE49-F238E27FC236}">
              <a16:creationId xmlns:a16="http://schemas.microsoft.com/office/drawing/2014/main" id="{0EC21592-AA0B-E845-87CE-25181031B4AC}"/>
            </a:ext>
          </a:extLst>
        </xdr:cNvPr>
        <xdr:cNvSpPr txBox="1"/>
      </xdr:nvSpPr>
      <xdr:spPr>
        <a:xfrm>
          <a:off x="6400800" y="8661400"/>
          <a:ext cx="914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102</xdr:row>
      <xdr:rowOff>0</xdr:rowOff>
    </xdr:from>
    <xdr:ext cx="1022977" cy="264560"/>
    <xdr:sp macro="" textlink="">
      <xdr:nvSpPr>
        <xdr:cNvPr id="62" name="TextBox 61">
          <a:extLst>
            <a:ext uri="{FF2B5EF4-FFF2-40B4-BE49-F238E27FC236}">
              <a16:creationId xmlns:a16="http://schemas.microsoft.com/office/drawing/2014/main" id="{280713EE-ADD7-DA4A-9290-B2DC72304633}"/>
            </a:ext>
          </a:extLst>
        </xdr:cNvPr>
        <xdr:cNvSpPr txBox="1"/>
      </xdr:nvSpPr>
      <xdr:spPr>
        <a:xfrm>
          <a:off x="6400800" y="86614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102</xdr:row>
      <xdr:rowOff>0</xdr:rowOff>
    </xdr:from>
    <xdr:ext cx="1022977" cy="264560"/>
    <xdr:sp macro="" textlink="">
      <xdr:nvSpPr>
        <xdr:cNvPr id="63" name="TextBox 62">
          <a:extLst>
            <a:ext uri="{FF2B5EF4-FFF2-40B4-BE49-F238E27FC236}">
              <a16:creationId xmlns:a16="http://schemas.microsoft.com/office/drawing/2014/main" id="{844224C0-4A8B-074D-8F3E-A49353F5FDAF}"/>
            </a:ext>
          </a:extLst>
        </xdr:cNvPr>
        <xdr:cNvSpPr txBox="1"/>
      </xdr:nvSpPr>
      <xdr:spPr>
        <a:xfrm>
          <a:off x="6400800" y="86614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102</xdr:row>
      <xdr:rowOff>0</xdr:rowOff>
    </xdr:from>
    <xdr:ext cx="914662" cy="264560"/>
    <xdr:sp macro="" textlink="">
      <xdr:nvSpPr>
        <xdr:cNvPr id="64" name="TextBox 63">
          <a:extLst>
            <a:ext uri="{FF2B5EF4-FFF2-40B4-BE49-F238E27FC236}">
              <a16:creationId xmlns:a16="http://schemas.microsoft.com/office/drawing/2014/main" id="{9170367F-F253-1041-919A-815D00903786}"/>
            </a:ext>
          </a:extLst>
        </xdr:cNvPr>
        <xdr:cNvSpPr txBox="1"/>
      </xdr:nvSpPr>
      <xdr:spPr>
        <a:xfrm>
          <a:off x="6400800" y="8661400"/>
          <a:ext cx="914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102</xdr:row>
      <xdr:rowOff>0</xdr:rowOff>
    </xdr:from>
    <xdr:ext cx="1022977" cy="264560"/>
    <xdr:sp macro="" textlink="">
      <xdr:nvSpPr>
        <xdr:cNvPr id="65" name="TextBox 64">
          <a:extLst>
            <a:ext uri="{FF2B5EF4-FFF2-40B4-BE49-F238E27FC236}">
              <a16:creationId xmlns:a16="http://schemas.microsoft.com/office/drawing/2014/main" id="{10E53083-8368-F747-9401-7E4640630829}"/>
            </a:ext>
          </a:extLst>
        </xdr:cNvPr>
        <xdr:cNvSpPr txBox="1"/>
      </xdr:nvSpPr>
      <xdr:spPr>
        <a:xfrm>
          <a:off x="6400800" y="86614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102</xdr:row>
      <xdr:rowOff>0</xdr:rowOff>
    </xdr:from>
    <xdr:ext cx="1022977" cy="264560"/>
    <xdr:sp macro="" textlink="">
      <xdr:nvSpPr>
        <xdr:cNvPr id="66" name="TextBox 65">
          <a:extLst>
            <a:ext uri="{FF2B5EF4-FFF2-40B4-BE49-F238E27FC236}">
              <a16:creationId xmlns:a16="http://schemas.microsoft.com/office/drawing/2014/main" id="{43A836C8-F245-2F4D-BC97-0631AA54B905}"/>
            </a:ext>
          </a:extLst>
        </xdr:cNvPr>
        <xdr:cNvSpPr txBox="1"/>
      </xdr:nvSpPr>
      <xdr:spPr>
        <a:xfrm>
          <a:off x="6400800" y="8661400"/>
          <a:ext cx="10229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oneCellAnchor>
    <xdr:from>
      <xdr:col>0</xdr:col>
      <xdr:colOff>0</xdr:colOff>
      <xdr:row>102</xdr:row>
      <xdr:rowOff>0</xdr:rowOff>
    </xdr:from>
    <xdr:ext cx="914662" cy="264560"/>
    <xdr:sp macro="" textlink="">
      <xdr:nvSpPr>
        <xdr:cNvPr id="67" name="TextBox 66">
          <a:extLst>
            <a:ext uri="{FF2B5EF4-FFF2-40B4-BE49-F238E27FC236}">
              <a16:creationId xmlns:a16="http://schemas.microsoft.com/office/drawing/2014/main" id="{3AC4FDE0-01F7-4A49-8AB9-F7E6358A805E}"/>
            </a:ext>
          </a:extLst>
        </xdr:cNvPr>
        <xdr:cNvSpPr txBox="1"/>
      </xdr:nvSpPr>
      <xdr:spPr>
        <a:xfrm>
          <a:off x="6400800" y="8661400"/>
          <a:ext cx="9146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12</xdr:col>
      <xdr:colOff>85725</xdr:colOff>
      <xdr:row>13</xdr:row>
      <xdr:rowOff>66675</xdr:rowOff>
    </xdr:from>
    <xdr:to>
      <xdr:col>12</xdr:col>
      <xdr:colOff>666750</xdr:colOff>
      <xdr:row>13</xdr:row>
      <xdr:rowOff>66675</xdr:rowOff>
    </xdr:to>
    <xdr:sp macro="" textlink="">
      <xdr:nvSpPr>
        <xdr:cNvPr id="5123" name="Line 3">
          <a:extLst>
            <a:ext uri="{FF2B5EF4-FFF2-40B4-BE49-F238E27FC236}">
              <a16:creationId xmlns:a16="http://schemas.microsoft.com/office/drawing/2014/main" id="{00000000-0008-0000-0200-000003140000}"/>
            </a:ext>
          </a:extLst>
        </xdr:cNvPr>
        <xdr:cNvSpPr>
          <a:spLocks noChangeShapeType="1"/>
        </xdr:cNvSpPr>
      </xdr:nvSpPr>
      <xdr:spPr bwMode="auto">
        <a:xfrm flipH="1" flipV="1">
          <a:off x="10972800" y="2428875"/>
          <a:ext cx="581025" cy="0"/>
        </a:xfrm>
        <a:prstGeom prst="line">
          <a:avLst/>
        </a:prstGeom>
        <a:noFill/>
        <a:ln w="25400">
          <a:solidFill>
            <a:srgbClr xmlns:mc="http://schemas.openxmlformats.org/markup-compatibility/2006" xmlns:a14="http://schemas.microsoft.com/office/drawing/2010/main" val="000000" mc:Ignorable="a14" a14:legacySpreadsheetColorIndex="64"/>
          </a:solidFill>
          <a:round/>
          <a:headEnd/>
          <a:tailEnd type="triangle" w="med" len="lg"/>
        </a:ln>
        <a:extLst>
          <a:ext uri="{909E8E84-426E-40dd-AFC4-6F175D3DCCD1}">
            <a14:hiddenFill xmlns:a14="http://schemas.microsoft.com/office/drawing/2010/main" xmlns="">
              <a:noFill/>
            </a14:hiddenFill>
          </a:ext>
        </a:extLst>
      </xdr:spPr>
    </xdr:sp>
    <xdr:clientData/>
  </xdr:twoCellAnchor>
  <xdr:twoCellAnchor>
    <xdr:from>
      <xdr:col>12</xdr:col>
      <xdr:colOff>85725</xdr:colOff>
      <xdr:row>17</xdr:row>
      <xdr:rowOff>66675</xdr:rowOff>
    </xdr:from>
    <xdr:to>
      <xdr:col>12</xdr:col>
      <xdr:colOff>666750</xdr:colOff>
      <xdr:row>17</xdr:row>
      <xdr:rowOff>66675</xdr:rowOff>
    </xdr:to>
    <xdr:sp macro="" textlink="">
      <xdr:nvSpPr>
        <xdr:cNvPr id="5124" name="Line 4">
          <a:extLst>
            <a:ext uri="{FF2B5EF4-FFF2-40B4-BE49-F238E27FC236}">
              <a16:creationId xmlns:a16="http://schemas.microsoft.com/office/drawing/2014/main" id="{00000000-0008-0000-0200-000004140000}"/>
            </a:ext>
          </a:extLst>
        </xdr:cNvPr>
        <xdr:cNvSpPr>
          <a:spLocks noChangeShapeType="1"/>
        </xdr:cNvSpPr>
      </xdr:nvSpPr>
      <xdr:spPr bwMode="auto">
        <a:xfrm flipH="1" flipV="1">
          <a:off x="10972800" y="3076575"/>
          <a:ext cx="581025" cy="0"/>
        </a:xfrm>
        <a:prstGeom prst="line">
          <a:avLst/>
        </a:prstGeom>
        <a:noFill/>
        <a:ln w="25400">
          <a:solidFill>
            <a:srgbClr xmlns:mc="http://schemas.openxmlformats.org/markup-compatibility/2006" xmlns:a14="http://schemas.microsoft.com/office/drawing/2010/main" val="000000" mc:Ignorable="a14" a14:legacySpreadsheetColorIndex="64"/>
          </a:solidFill>
          <a:round/>
          <a:headEnd/>
          <a:tailEnd type="triangle" w="med" len="lg"/>
        </a:ln>
        <a:extLst>
          <a:ext uri="{909E8E84-426E-40dd-AFC4-6F175D3DCCD1}">
            <a14:hiddenFill xmlns:a14="http://schemas.microsoft.com/office/drawing/2010/main" xmlns="">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114300</xdr:colOff>
      <xdr:row>41</xdr:row>
      <xdr:rowOff>114300</xdr:rowOff>
    </xdr:from>
    <xdr:to>
      <xdr:col>8</xdr:col>
      <xdr:colOff>476250</xdr:colOff>
      <xdr:row>68</xdr:row>
      <xdr:rowOff>133350</xdr:rowOff>
    </xdr:to>
    <xdr:graphicFrame macro="">
      <xdr:nvGraphicFramePr>
        <xdr:cNvPr id="2058" name="Chart 10">
          <a:extLst>
            <a:ext uri="{FF2B5EF4-FFF2-40B4-BE49-F238E27FC236}">
              <a16:creationId xmlns:a16="http://schemas.microsoft.com/office/drawing/2014/main" id="{00000000-0008-0000-0700-00000A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190500</xdr:colOff>
      <xdr:row>6</xdr:row>
      <xdr:rowOff>0</xdr:rowOff>
    </xdr:from>
    <xdr:to>
      <xdr:col>8</xdr:col>
      <xdr:colOff>266700</xdr:colOff>
      <xdr:row>37</xdr:row>
      <xdr:rowOff>114300</xdr:rowOff>
    </xdr:to>
    <xdr:graphicFrame macro="">
      <xdr:nvGraphicFramePr>
        <xdr:cNvPr id="2061" name="Chart 13">
          <a:extLst>
            <a:ext uri="{FF2B5EF4-FFF2-40B4-BE49-F238E27FC236}">
              <a16:creationId xmlns:a16="http://schemas.microsoft.com/office/drawing/2014/main" id="{00000000-0008-0000-0700-00000D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257175</xdr:colOff>
      <xdr:row>2</xdr:row>
      <xdr:rowOff>28575</xdr:rowOff>
    </xdr:from>
    <xdr:to>
      <xdr:col>25</xdr:col>
      <xdr:colOff>409575</xdr:colOff>
      <xdr:row>23</xdr:row>
      <xdr:rowOff>104775</xdr:rowOff>
    </xdr:to>
    <xdr:graphicFrame macro="">
      <xdr:nvGraphicFramePr>
        <xdr:cNvPr id="1025" name="Chart 1">
          <a:extLst>
            <a:ext uri="{FF2B5EF4-FFF2-40B4-BE49-F238E27FC236}">
              <a16:creationId xmlns:a16="http://schemas.microsoft.com/office/drawing/2014/main" id="{00000000-0008-0000-08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257175</xdr:colOff>
      <xdr:row>26</xdr:row>
      <xdr:rowOff>9525</xdr:rowOff>
    </xdr:from>
    <xdr:to>
      <xdr:col>25</xdr:col>
      <xdr:colOff>409575</xdr:colOff>
      <xdr:row>42</xdr:row>
      <xdr:rowOff>0</xdr:rowOff>
    </xdr:to>
    <xdr:graphicFrame macro="">
      <xdr:nvGraphicFramePr>
        <xdr:cNvPr id="1026" name="Chart 2">
          <a:extLst>
            <a:ext uri="{FF2B5EF4-FFF2-40B4-BE49-F238E27FC236}">
              <a16:creationId xmlns:a16="http://schemas.microsoft.com/office/drawing/2014/main" id="{00000000-0008-0000-0800-000002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0</xdr:colOff>
      <xdr:row>3</xdr:row>
      <xdr:rowOff>28575</xdr:rowOff>
    </xdr:from>
    <xdr:to>
      <xdr:col>24</xdr:col>
      <xdr:colOff>133350</xdr:colOff>
      <xdr:row>23</xdr:row>
      <xdr:rowOff>104775</xdr:rowOff>
    </xdr:to>
    <xdr:graphicFrame macro="">
      <xdr:nvGraphicFramePr>
        <xdr:cNvPr id="3073" name="Chart 1">
          <a:extLst>
            <a:ext uri="{FF2B5EF4-FFF2-40B4-BE49-F238E27FC236}">
              <a16:creationId xmlns:a16="http://schemas.microsoft.com/office/drawing/2014/main" id="{00000000-0008-0000-0C00-000001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28575</xdr:colOff>
      <xdr:row>24</xdr:row>
      <xdr:rowOff>152400</xdr:rowOff>
    </xdr:from>
    <xdr:to>
      <xdr:col>24</xdr:col>
      <xdr:colOff>180975</xdr:colOff>
      <xdr:row>43</xdr:row>
      <xdr:rowOff>123825</xdr:rowOff>
    </xdr:to>
    <xdr:graphicFrame macro="">
      <xdr:nvGraphicFramePr>
        <xdr:cNvPr id="3074" name="Chart 2">
          <a:extLst>
            <a:ext uri="{FF2B5EF4-FFF2-40B4-BE49-F238E27FC236}">
              <a16:creationId xmlns:a16="http://schemas.microsoft.com/office/drawing/2014/main" id="{00000000-0008-0000-0C00-000002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257175</xdr:colOff>
      <xdr:row>43</xdr:row>
      <xdr:rowOff>104775</xdr:rowOff>
    </xdr:from>
    <xdr:to>
      <xdr:col>10</xdr:col>
      <xdr:colOff>647700</xdr:colOff>
      <xdr:row>66</xdr:row>
      <xdr:rowOff>19050</xdr:rowOff>
    </xdr:to>
    <xdr:graphicFrame macro="">
      <xdr:nvGraphicFramePr>
        <xdr:cNvPr id="3075" name="Chart 3">
          <a:extLst>
            <a:ext uri="{FF2B5EF4-FFF2-40B4-BE49-F238E27FC236}">
              <a16:creationId xmlns:a16="http://schemas.microsoft.com/office/drawing/2014/main" id="{00000000-0008-0000-0C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542925</xdr:colOff>
      <xdr:row>86</xdr:row>
      <xdr:rowOff>85725</xdr:rowOff>
    </xdr:from>
    <xdr:to>
      <xdr:col>10</xdr:col>
      <xdr:colOff>638175</xdr:colOff>
      <xdr:row>108</xdr:row>
      <xdr:rowOff>142875</xdr:rowOff>
    </xdr:to>
    <xdr:graphicFrame macro="">
      <xdr:nvGraphicFramePr>
        <xdr:cNvPr id="3076" name="Chart 4">
          <a:extLst>
            <a:ext uri="{FF2B5EF4-FFF2-40B4-BE49-F238E27FC236}">
              <a16:creationId xmlns:a16="http://schemas.microsoft.com/office/drawing/2014/main" id="{00000000-0008-0000-0C00-000004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ntonio/Dropbox/PERSONAL/PhD/TA/E%20355%20Summer%202015/Labs/Lab8/DugasSEED/AfterTax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tevens0-my.sharepoint.com/Volumes/E%20355/355%20-%20Fall%202018/Labs/Lab%20Solutions/SEED_Model_Fall18-NEW_solution%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Q2_a"/>
      <sheetName val="Q2_b"/>
      <sheetName val="Q2_c"/>
    </sheetNames>
    <sheetDataSet>
      <sheetData sheetId="0">
        <row r="27">
          <cell r="C27">
            <v>80000</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8 PDF"/>
      <sheetName val="Lab 8 Questions"/>
      <sheetName val="Introduction"/>
      <sheetName val="Initial Inputs"/>
      <sheetName val="Capital &amp; Depr"/>
      <sheetName val="Loan Amortization"/>
      <sheetName val="Revenues"/>
      <sheetName val="Expenses"/>
      <sheetName val="After Tax Analysis"/>
      <sheetName val="Break Even Analysis"/>
      <sheetName val="Sensitivity Analysis"/>
      <sheetName val="Income Statement"/>
      <sheetName val="Balance Sheet"/>
      <sheetName val="Economic Life"/>
      <sheetName val="Financial Ratios"/>
      <sheetName val="Capital Gains Wksht"/>
      <sheetName val="Disposl $ Sensitivity Wksht"/>
      <sheetName val="Level Payment Fin Sens Wksht"/>
      <sheetName val="Level Prin Paymt Fin Sens Wksht"/>
      <sheetName val="Level Prin Paymt Fin Sens Calc"/>
      <sheetName val="Amort Sensitivity Wksht"/>
      <sheetName val="Lvl Prin Pmt Int Rate Sens Calc"/>
      <sheetName val="Lvl Prin Pmt Int Rate Sens Wksh"/>
      <sheetName val="Lvl Pmt Int Rate Sens Calc"/>
      <sheetName val="Lvl Pmt Int Rate Sens Wksht"/>
      <sheetName val="Level Payment Fin Sens Calc"/>
      <sheetName val="Price Sens Wksht Prod X"/>
      <sheetName val="Volume Sens Wksht Prod X"/>
      <sheetName val="Price Sens Wksht Prod Y"/>
      <sheetName val="Volume Sens Wksht Prod Y"/>
      <sheetName val="Price Sens Wksht Prod Z"/>
      <sheetName val="Volume Sens Wksht Prod Z"/>
      <sheetName val="Expense Sens Wksht"/>
      <sheetName val="MARR Sens Wksh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21B2B-76F7-0E4A-B4B7-CFBFA5C896C2}">
  <dimension ref="A1:X109"/>
  <sheetViews>
    <sheetView showGridLines="0" tabSelected="1" zoomScale="150" zoomScaleNormal="150" zoomScalePageLayoutView="142" workbookViewId="0">
      <selection activeCell="H22" sqref="H22"/>
    </sheetView>
  </sheetViews>
  <sheetFormatPr baseColWidth="10" defaultColWidth="6.6640625" defaultRowHeight="13" x14ac:dyDescent="0.15"/>
  <cols>
    <col min="1" max="2" width="7" style="681" customWidth="1"/>
    <col min="3" max="3" width="14.6640625" style="681" bestFit="1" customWidth="1"/>
    <col min="4" max="6" width="7" style="681" customWidth="1"/>
    <col min="7" max="7" width="16.5" style="681" customWidth="1"/>
    <col min="8" max="8" width="16.83203125" style="681" bestFit="1" customWidth="1"/>
    <col min="9" max="23" width="7" style="681" customWidth="1"/>
    <col min="24" max="16384" width="6.6640625" style="681"/>
  </cols>
  <sheetData>
    <row r="1" spans="1:24" ht="13" customHeight="1" x14ac:dyDescent="0.15">
      <c r="A1" s="735" t="s">
        <v>0</v>
      </c>
      <c r="B1" s="735"/>
      <c r="C1" s="735"/>
      <c r="D1" s="735"/>
      <c r="E1" s="735"/>
      <c r="F1" s="735"/>
      <c r="G1" s="735"/>
      <c r="H1" s="735"/>
      <c r="I1" s="735"/>
      <c r="J1" s="735"/>
      <c r="K1" s="735"/>
    </row>
    <row r="2" spans="1:24" x14ac:dyDescent="0.15">
      <c r="A2" s="739" t="s">
        <v>1</v>
      </c>
      <c r="B2" s="739"/>
      <c r="C2" s="739"/>
      <c r="D2" s="739"/>
      <c r="E2" s="739"/>
      <c r="F2" s="739"/>
      <c r="G2" s="739"/>
      <c r="H2" s="739"/>
      <c r="I2" s="739"/>
      <c r="J2" s="739"/>
      <c r="K2" s="739"/>
    </row>
    <row r="3" spans="1:24" x14ac:dyDescent="0.15">
      <c r="A3" s="740" t="s">
        <v>2</v>
      </c>
      <c r="B3" s="740"/>
      <c r="C3" s="740"/>
      <c r="D3" s="740"/>
      <c r="E3" s="740"/>
      <c r="F3" s="740"/>
      <c r="G3" s="740"/>
      <c r="H3" s="740"/>
      <c r="I3" s="740"/>
      <c r="J3" s="740"/>
      <c r="K3" s="740"/>
    </row>
    <row r="4" spans="1:24" ht="21" customHeight="1" x14ac:dyDescent="0.15">
      <c r="A4" s="719" t="s">
        <v>3</v>
      </c>
      <c r="B4" s="742" t="s">
        <v>726</v>
      </c>
      <c r="C4" s="742"/>
      <c r="D4" s="742"/>
      <c r="E4" s="742"/>
      <c r="F4" s="742"/>
      <c r="G4" s="742"/>
      <c r="H4" s="742"/>
      <c r="I4" s="742"/>
      <c r="J4" s="742"/>
      <c r="K4" s="742"/>
    </row>
    <row r="5" spans="1:24" ht="19" customHeight="1" x14ac:dyDescent="0.15">
      <c r="A5" s="743" t="s">
        <v>727</v>
      </c>
      <c r="B5" s="743"/>
      <c r="C5" s="743"/>
      <c r="D5" s="743"/>
      <c r="E5" s="743"/>
      <c r="F5" s="743"/>
      <c r="G5" s="743"/>
      <c r="H5" s="743"/>
      <c r="I5" s="743"/>
      <c r="J5" s="743"/>
      <c r="K5" s="743"/>
    </row>
    <row r="6" spans="1:24" ht="13" customHeight="1" x14ac:dyDescent="0.15">
      <c r="A6" s="741" t="s">
        <v>4</v>
      </c>
      <c r="B6" s="741"/>
      <c r="C6" s="688"/>
      <c r="D6" s="688"/>
      <c r="E6" s="688"/>
      <c r="F6" s="688"/>
      <c r="G6" s="688"/>
      <c r="H6" s="688"/>
      <c r="I6" s="688"/>
      <c r="J6" s="688"/>
      <c r="K6" s="688"/>
    </row>
    <row r="7" spans="1:24" ht="13" customHeight="1" x14ac:dyDescent="0.15">
      <c r="A7" s="741"/>
      <c r="B7" s="741"/>
      <c r="C7" s="682"/>
      <c r="D7" s="682"/>
      <c r="E7" s="682"/>
      <c r="F7" s="682"/>
      <c r="G7" s="682"/>
      <c r="H7" s="682"/>
      <c r="I7" s="682"/>
      <c r="J7" s="682"/>
      <c r="K7" s="682"/>
    </row>
    <row r="8" spans="1:24" ht="13" customHeight="1" x14ac:dyDescent="0.15">
      <c r="A8" s="730" t="s">
        <v>5</v>
      </c>
      <c r="B8" s="730"/>
      <c r="C8" s="730"/>
      <c r="D8" s="730"/>
      <c r="E8" s="730"/>
      <c r="F8" s="730"/>
      <c r="G8" s="730"/>
      <c r="H8" s="730"/>
      <c r="I8" s="730"/>
      <c r="J8" s="730"/>
      <c r="K8" s="730"/>
    </row>
    <row r="9" spans="1:24" ht="13" customHeight="1" x14ac:dyDescent="0.15">
      <c r="A9" s="730"/>
      <c r="B9" s="730"/>
      <c r="C9" s="730"/>
      <c r="D9" s="730"/>
      <c r="E9" s="730"/>
      <c r="F9" s="730"/>
      <c r="G9" s="730"/>
      <c r="H9" s="730"/>
      <c r="I9" s="730"/>
      <c r="J9" s="730"/>
      <c r="K9" s="730"/>
    </row>
    <row r="10" spans="1:24" ht="13" customHeight="1" x14ac:dyDescent="0.15">
      <c r="A10" s="681" t="s">
        <v>6</v>
      </c>
      <c r="B10" s="683"/>
      <c r="C10" s="683"/>
      <c r="D10" s="683"/>
      <c r="E10" s="683"/>
      <c r="F10" s="683"/>
      <c r="G10" s="683"/>
      <c r="H10" s="683"/>
      <c r="I10" s="683"/>
      <c r="J10" s="683"/>
      <c r="K10" s="683"/>
    </row>
    <row r="11" spans="1:24" x14ac:dyDescent="0.15">
      <c r="B11" s="683"/>
      <c r="C11" s="683"/>
      <c r="D11" s="683"/>
      <c r="E11" s="683"/>
      <c r="F11" s="683"/>
      <c r="G11" s="683"/>
      <c r="H11" s="683"/>
      <c r="I11" s="683"/>
      <c r="J11" s="683"/>
      <c r="K11" s="683"/>
    </row>
    <row r="12" spans="1:24" ht="13" customHeight="1" x14ac:dyDescent="0.15">
      <c r="A12" s="741" t="s">
        <v>7</v>
      </c>
      <c r="B12" s="741"/>
      <c r="C12" s="683"/>
      <c r="D12" s="683"/>
      <c r="G12" s="683"/>
      <c r="H12" s="683"/>
      <c r="I12" s="683"/>
      <c r="J12" s="683"/>
      <c r="K12" s="683"/>
    </row>
    <row r="13" spans="1:24" ht="13" customHeight="1" x14ac:dyDescent="0.15">
      <c r="A13" s="741"/>
      <c r="B13" s="741"/>
      <c r="C13" s="683"/>
      <c r="D13" s="683"/>
      <c r="G13" s="683"/>
      <c r="H13" s="683"/>
      <c r="I13" s="683"/>
      <c r="J13" s="683"/>
      <c r="K13" s="683"/>
      <c r="X13" s="683"/>
    </row>
    <row r="14" spans="1:24" ht="13" customHeight="1" x14ac:dyDescent="0.15">
      <c r="A14" s="730" t="s">
        <v>8</v>
      </c>
      <c r="B14" s="730"/>
      <c r="C14" s="730"/>
      <c r="D14" s="730"/>
      <c r="E14" s="730"/>
      <c r="F14" s="730"/>
      <c r="G14" s="730"/>
      <c r="H14" s="730"/>
      <c r="I14" s="730"/>
      <c r="J14" s="730"/>
      <c r="K14" s="730"/>
      <c r="X14" s="683"/>
    </row>
    <row r="15" spans="1:24" ht="13" customHeight="1" x14ac:dyDescent="0.15">
      <c r="A15" s="730"/>
      <c r="B15" s="730"/>
      <c r="C15" s="730"/>
      <c r="D15" s="730"/>
      <c r="E15" s="730"/>
      <c r="F15" s="730"/>
      <c r="G15" s="730"/>
      <c r="H15" s="730"/>
      <c r="I15" s="730"/>
      <c r="J15" s="730"/>
      <c r="K15" s="730"/>
    </row>
    <row r="16" spans="1:24" ht="13" customHeight="1" x14ac:dyDescent="0.15">
      <c r="A16" s="730"/>
      <c r="B16" s="730"/>
      <c r="C16" s="730"/>
      <c r="D16" s="730"/>
      <c r="E16" s="730"/>
      <c r="F16" s="730"/>
      <c r="G16" s="730"/>
      <c r="H16" s="730"/>
      <c r="I16" s="730"/>
      <c r="J16" s="730"/>
      <c r="K16" s="730"/>
    </row>
    <row r="17" spans="1:24" x14ac:dyDescent="0.15">
      <c r="A17" s="730"/>
      <c r="B17" s="730"/>
      <c r="C17" s="730"/>
      <c r="D17" s="730"/>
      <c r="E17" s="730"/>
      <c r="F17" s="730"/>
      <c r="G17" s="730"/>
      <c r="H17" s="730"/>
      <c r="I17" s="730"/>
      <c r="J17" s="730"/>
      <c r="K17" s="730"/>
    </row>
    <row r="18" spans="1:24" ht="13" customHeight="1" x14ac:dyDescent="0.15">
      <c r="B18" s="694" t="s">
        <v>9</v>
      </c>
      <c r="C18" s="716">
        <v>0.25640000000000002</v>
      </c>
      <c r="D18" s="685"/>
      <c r="E18" s="685"/>
      <c r="F18" s="685"/>
      <c r="G18" s="685"/>
      <c r="H18" s="685"/>
      <c r="I18" s="685"/>
      <c r="J18" s="685"/>
      <c r="K18" s="685"/>
    </row>
    <row r="19" spans="1:24" ht="13" customHeight="1" x14ac:dyDescent="0.15">
      <c r="G19" s="689"/>
    </row>
    <row r="20" spans="1:24" ht="13" customHeight="1" x14ac:dyDescent="0.15">
      <c r="A20" s="730" t="s">
        <v>10</v>
      </c>
      <c r="B20" s="730"/>
      <c r="C20" s="730"/>
      <c r="D20" s="730"/>
      <c r="E20" s="730"/>
      <c r="F20" s="730"/>
      <c r="G20" s="730"/>
      <c r="H20" s="730"/>
      <c r="I20" s="730"/>
      <c r="J20" s="730"/>
      <c r="K20" s="730"/>
    </row>
    <row r="21" spans="1:24" ht="13" customHeight="1" x14ac:dyDescent="0.15">
      <c r="A21" s="730"/>
      <c r="B21" s="730"/>
      <c r="C21" s="730"/>
      <c r="D21" s="730"/>
      <c r="E21" s="730"/>
      <c r="F21" s="730"/>
      <c r="G21" s="730"/>
      <c r="H21" s="730"/>
      <c r="I21" s="730"/>
      <c r="J21" s="730"/>
      <c r="K21" s="730"/>
    </row>
    <row r="22" spans="1:24" ht="13" customHeight="1" x14ac:dyDescent="0.15">
      <c r="D22" s="700"/>
      <c r="E22" s="700"/>
    </row>
    <row r="23" spans="1:24" ht="13" customHeight="1" x14ac:dyDescent="0.15">
      <c r="B23" s="681" t="s">
        <v>11</v>
      </c>
      <c r="D23" s="699"/>
      <c r="E23" s="699"/>
      <c r="F23" s="694" t="s">
        <v>9</v>
      </c>
      <c r="G23" s="718">
        <v>12200000</v>
      </c>
    </row>
    <row r="24" spans="1:24" ht="13" customHeight="1" x14ac:dyDescent="0.15">
      <c r="A24" s="687"/>
      <c r="D24" s="699"/>
      <c r="E24" s="699"/>
    </row>
    <row r="25" spans="1:24" ht="13" customHeight="1" x14ac:dyDescent="0.15">
      <c r="A25" s="687"/>
      <c r="B25" s="684" t="s">
        <v>12</v>
      </c>
      <c r="F25" s="694" t="s">
        <v>9</v>
      </c>
      <c r="G25" s="718">
        <v>4880000</v>
      </c>
    </row>
    <row r="26" spans="1:24" ht="13" customHeight="1" x14ac:dyDescent="0.15">
      <c r="A26" s="683"/>
      <c r="B26" s="683"/>
      <c r="C26" s="683"/>
      <c r="D26" s="683"/>
      <c r="E26" s="683"/>
      <c r="F26" s="683"/>
      <c r="G26" s="683"/>
      <c r="I26" s="683"/>
      <c r="J26" s="683"/>
      <c r="K26" s="683"/>
    </row>
    <row r="27" spans="1:24" ht="13" customHeight="1" x14ac:dyDescent="0.15">
      <c r="A27" s="683"/>
      <c r="B27" s="684" t="s">
        <v>13</v>
      </c>
      <c r="C27" s="683"/>
      <c r="D27" s="683"/>
      <c r="E27" s="683"/>
      <c r="F27" s="694" t="s">
        <v>9</v>
      </c>
      <c r="G27" s="718">
        <v>7320000</v>
      </c>
      <c r="I27" s="683"/>
      <c r="J27" s="683"/>
      <c r="K27" s="683"/>
      <c r="X27" s="691"/>
    </row>
    <row r="28" spans="1:24" ht="13" customHeight="1" x14ac:dyDescent="0.15">
      <c r="A28" s="683"/>
      <c r="B28" s="683"/>
      <c r="C28" s="683"/>
      <c r="D28" s="683"/>
      <c r="E28" s="683"/>
      <c r="F28" s="683"/>
      <c r="G28" s="683"/>
      <c r="I28" s="683"/>
      <c r="J28" s="683"/>
      <c r="K28" s="683"/>
      <c r="X28" s="691"/>
    </row>
    <row r="29" spans="1:24" x14ac:dyDescent="0.15">
      <c r="A29" s="684" t="s">
        <v>14</v>
      </c>
      <c r="B29" s="683"/>
      <c r="C29" s="683"/>
      <c r="D29" s="683"/>
      <c r="E29" s="683"/>
      <c r="F29" s="683"/>
      <c r="G29" s="683"/>
      <c r="H29" s="683"/>
      <c r="I29" s="683"/>
      <c r="J29" s="683"/>
      <c r="K29" s="683"/>
      <c r="X29" s="697"/>
    </row>
    <row r="30" spans="1:24" ht="13" customHeight="1" x14ac:dyDescent="0.15">
      <c r="A30" s="683"/>
      <c r="B30" s="683"/>
      <c r="C30" s="683"/>
      <c r="D30" s="683"/>
      <c r="E30" s="683"/>
      <c r="F30" s="683"/>
      <c r="G30" s="683"/>
      <c r="H30" s="683"/>
      <c r="I30" s="683"/>
      <c r="J30" s="683"/>
      <c r="K30" s="683"/>
      <c r="X30" s="697"/>
    </row>
    <row r="31" spans="1:24" ht="13" customHeight="1" x14ac:dyDescent="0.15">
      <c r="A31" s="729" t="s">
        <v>15</v>
      </c>
      <c r="B31" s="729"/>
      <c r="C31" s="729"/>
      <c r="D31" s="729"/>
      <c r="E31" s="729"/>
      <c r="F31" s="729"/>
      <c r="G31" s="729"/>
      <c r="H31" s="729"/>
      <c r="I31" s="729"/>
      <c r="J31" s="729"/>
      <c r="K31" s="729"/>
      <c r="X31" s="697"/>
    </row>
    <row r="32" spans="1:24" ht="13" customHeight="1" x14ac:dyDescent="0.15">
      <c r="A32" s="729"/>
      <c r="B32" s="729"/>
      <c r="C32" s="729"/>
      <c r="D32" s="729"/>
      <c r="E32" s="729"/>
      <c r="F32" s="729"/>
      <c r="G32" s="729"/>
      <c r="H32" s="729"/>
      <c r="I32" s="729"/>
      <c r="J32" s="729"/>
      <c r="K32" s="729"/>
      <c r="X32" s="697"/>
    </row>
    <row r="33" spans="1:24" ht="13" customHeight="1" x14ac:dyDescent="0.15">
      <c r="A33" s="702"/>
      <c r="B33" s="702" t="s">
        <v>16</v>
      </c>
      <c r="C33" s="702"/>
      <c r="D33" s="703"/>
      <c r="E33" s="703"/>
      <c r="F33" s="702"/>
      <c r="G33" s="702"/>
      <c r="H33" s="702"/>
      <c r="I33" s="702"/>
      <c r="J33" s="702"/>
      <c r="K33" s="702"/>
    </row>
    <row r="34" spans="1:24" ht="13" customHeight="1" x14ac:dyDescent="0.15">
      <c r="A34" s="702"/>
      <c r="B34" s="702" t="s">
        <v>17</v>
      </c>
      <c r="C34" s="702"/>
      <c r="D34" s="704"/>
      <c r="E34" s="704"/>
      <c r="F34" s="702"/>
      <c r="G34" s="702"/>
      <c r="H34" s="702"/>
      <c r="I34" s="702"/>
      <c r="J34" s="702"/>
      <c r="K34" s="702"/>
    </row>
    <row r="35" spans="1:24" ht="13" customHeight="1" x14ac:dyDescent="0.15">
      <c r="A35" s="702"/>
      <c r="B35" s="729" t="s">
        <v>18</v>
      </c>
      <c r="C35" s="729"/>
      <c r="D35" s="729"/>
      <c r="E35" s="729"/>
      <c r="F35" s="729"/>
      <c r="G35" s="729"/>
      <c r="H35" s="729"/>
      <c r="I35" s="729"/>
      <c r="J35" s="729"/>
      <c r="K35" s="729"/>
      <c r="X35" s="683"/>
    </row>
    <row r="36" spans="1:24" ht="13" customHeight="1" x14ac:dyDescent="0.15">
      <c r="A36" s="702"/>
      <c r="B36" s="729"/>
      <c r="C36" s="729"/>
      <c r="D36" s="729"/>
      <c r="E36" s="729"/>
      <c r="F36" s="729"/>
      <c r="G36" s="729"/>
      <c r="H36" s="729"/>
      <c r="I36" s="729"/>
      <c r="J36" s="729"/>
      <c r="K36" s="729"/>
    </row>
    <row r="37" spans="1:24" ht="13" customHeight="1" x14ac:dyDescent="0.15">
      <c r="A37" s="693"/>
      <c r="B37" s="693"/>
      <c r="C37" s="693"/>
      <c r="D37" s="693"/>
      <c r="E37" s="693"/>
      <c r="F37" s="693"/>
      <c r="G37" s="693"/>
      <c r="H37" s="693"/>
      <c r="I37" s="693"/>
      <c r="J37" s="693"/>
      <c r="K37" s="693"/>
    </row>
    <row r="38" spans="1:24" ht="13" customHeight="1" x14ac:dyDescent="0.15">
      <c r="A38" s="684" t="s">
        <v>19</v>
      </c>
      <c r="B38" s="693"/>
      <c r="C38" s="693"/>
      <c r="D38" s="693"/>
      <c r="E38" s="693"/>
      <c r="F38" s="693"/>
      <c r="G38" s="693"/>
      <c r="H38" s="693"/>
      <c r="I38" s="693"/>
      <c r="J38" s="693"/>
      <c r="K38" s="693"/>
    </row>
    <row r="39" spans="1:24" ht="13" customHeight="1" x14ac:dyDescent="0.15">
      <c r="A39" s="693"/>
      <c r="B39" s="693"/>
      <c r="C39" s="693"/>
      <c r="D39" s="693"/>
      <c r="E39" s="693"/>
      <c r="F39" s="693"/>
      <c r="G39" s="693"/>
      <c r="H39" s="693"/>
      <c r="I39" s="693"/>
      <c r="J39" s="693"/>
      <c r="K39" s="693"/>
    </row>
    <row r="40" spans="1:24" ht="13" customHeight="1" x14ac:dyDescent="0.15">
      <c r="B40" s="681" t="s">
        <v>20</v>
      </c>
      <c r="D40" s="699"/>
      <c r="E40" s="699"/>
      <c r="G40" s="694" t="s">
        <v>9</v>
      </c>
      <c r="H40" s="716">
        <v>0.40550000000000003</v>
      </c>
      <c r="I40" s="693"/>
    </row>
    <row r="41" spans="1:24" x14ac:dyDescent="0.15">
      <c r="A41" s="683"/>
      <c r="D41" s="699"/>
      <c r="E41" s="699"/>
      <c r="I41" s="693"/>
      <c r="J41" s="683"/>
      <c r="K41" s="683"/>
    </row>
    <row r="42" spans="1:24" x14ac:dyDescent="0.15">
      <c r="A42" s="683"/>
      <c r="B42" s="684" t="s">
        <v>21</v>
      </c>
      <c r="G42" s="694" t="s">
        <v>9</v>
      </c>
      <c r="H42" s="712">
        <v>60173851</v>
      </c>
      <c r="I42" s="693"/>
      <c r="J42" s="683"/>
      <c r="K42" s="683"/>
    </row>
    <row r="43" spans="1:24" x14ac:dyDescent="0.15">
      <c r="A43" s="683"/>
      <c r="B43" s="683"/>
      <c r="C43" s="683"/>
      <c r="D43" s="683"/>
      <c r="E43" s="683"/>
      <c r="G43" s="683"/>
      <c r="H43" s="683"/>
      <c r="I43" s="693"/>
      <c r="J43" s="683"/>
      <c r="K43" s="683"/>
    </row>
    <row r="44" spans="1:24" ht="13" customHeight="1" x14ac:dyDescent="0.15">
      <c r="A44" s="682"/>
      <c r="B44" s="684" t="s">
        <v>22</v>
      </c>
      <c r="C44" s="683"/>
      <c r="D44" s="683"/>
      <c r="E44" s="683"/>
      <c r="G44" s="694" t="s">
        <v>23</v>
      </c>
      <c r="H44" s="714" t="s">
        <v>24</v>
      </c>
      <c r="I44" s="693"/>
      <c r="J44" s="682"/>
    </row>
    <row r="45" spans="1:24" ht="16" customHeight="1" x14ac:dyDescent="0.15">
      <c r="A45" s="684" t="s">
        <v>25</v>
      </c>
      <c r="B45" s="683"/>
      <c r="C45" s="683"/>
      <c r="D45" s="683"/>
      <c r="E45" s="683"/>
      <c r="F45" s="683"/>
      <c r="G45" s="683"/>
      <c r="H45" s="683"/>
    </row>
    <row r="46" spans="1:24" ht="13" customHeight="1" x14ac:dyDescent="0.15">
      <c r="B46" s="683"/>
      <c r="C46" s="683"/>
      <c r="D46" s="683"/>
      <c r="E46" s="683"/>
      <c r="F46" s="683"/>
      <c r="G46" s="683"/>
      <c r="H46" s="683"/>
    </row>
    <row r="47" spans="1:24" x14ac:dyDescent="0.15">
      <c r="A47" s="732" t="s">
        <v>26</v>
      </c>
      <c r="B47" s="732"/>
      <c r="C47" s="732"/>
      <c r="D47" s="732"/>
      <c r="E47" s="732"/>
      <c r="F47" s="732"/>
      <c r="G47" s="732"/>
      <c r="H47" s="732"/>
      <c r="I47" s="732"/>
      <c r="J47" s="732"/>
      <c r="K47" s="732"/>
    </row>
    <row r="48" spans="1:24" x14ac:dyDescent="0.15">
      <c r="A48" s="732"/>
      <c r="B48" s="732"/>
      <c r="C48" s="732"/>
      <c r="D48" s="732"/>
      <c r="E48" s="732"/>
      <c r="F48" s="732"/>
      <c r="G48" s="732"/>
      <c r="H48" s="732"/>
      <c r="I48" s="732"/>
      <c r="J48" s="732"/>
      <c r="K48" s="732"/>
    </row>
    <row r="49" spans="1:23" ht="13" customHeight="1" x14ac:dyDescent="0.15"/>
    <row r="50" spans="1:23" ht="13" customHeight="1" x14ac:dyDescent="0.15">
      <c r="A50" s="684"/>
      <c r="B50" s="692" t="s">
        <v>27</v>
      </c>
      <c r="C50" s="692"/>
      <c r="D50" s="692"/>
      <c r="E50" s="692"/>
      <c r="F50" s="692"/>
      <c r="G50" s="692"/>
      <c r="H50" s="692"/>
      <c r="I50" s="692"/>
      <c r="J50" s="692"/>
      <c r="K50" s="692"/>
    </row>
    <row r="51" spans="1:23" ht="13" customHeight="1" x14ac:dyDescent="0.15">
      <c r="A51" s="690"/>
      <c r="B51" s="690"/>
      <c r="C51" s="690"/>
      <c r="D51" s="690"/>
      <c r="E51" s="690"/>
      <c r="F51" s="690"/>
      <c r="G51" s="690"/>
      <c r="H51" s="690"/>
      <c r="K51" s="705" t="s">
        <v>24</v>
      </c>
    </row>
    <row r="52" spans="1:23" x14ac:dyDescent="0.15">
      <c r="A52" s="690"/>
      <c r="B52" s="694" t="s">
        <v>9</v>
      </c>
      <c r="C52" s="717">
        <v>2.8</v>
      </c>
      <c r="D52" s="692" t="s">
        <v>28</v>
      </c>
      <c r="E52" s="690"/>
      <c r="F52" s="690"/>
      <c r="G52" s="690"/>
      <c r="H52" s="690"/>
      <c r="K52" s="705" t="s">
        <v>29</v>
      </c>
    </row>
    <row r="53" spans="1:23" x14ac:dyDescent="0.15">
      <c r="A53" s="690"/>
      <c r="B53" s="694"/>
      <c r="C53" s="710"/>
      <c r="D53" s="692"/>
      <c r="E53" s="690"/>
      <c r="F53" s="690"/>
      <c r="G53" s="690"/>
      <c r="H53" s="690"/>
      <c r="K53" s="705"/>
      <c r="N53" s="694"/>
      <c r="O53" s="711"/>
      <c r="P53" s="711"/>
      <c r="V53" s="705"/>
      <c r="W53" s="705"/>
    </row>
    <row r="54" spans="1:23" ht="14" x14ac:dyDescent="0.15">
      <c r="A54" s="684"/>
      <c r="B54" s="692" t="s">
        <v>30</v>
      </c>
      <c r="C54" s="692"/>
      <c r="D54" s="692"/>
      <c r="E54" s="692"/>
      <c r="G54" s="694" t="s">
        <v>23</v>
      </c>
      <c r="H54" s="714" t="s">
        <v>24</v>
      </c>
      <c r="I54" s="684"/>
      <c r="J54" s="684"/>
      <c r="K54" s="684"/>
      <c r="N54" s="694"/>
      <c r="O54" s="711"/>
      <c r="P54" s="711"/>
      <c r="V54" s="705"/>
      <c r="W54" s="705"/>
    </row>
    <row r="55" spans="1:23" x14ac:dyDescent="0.15">
      <c r="N55" s="694"/>
      <c r="O55" s="711"/>
      <c r="P55" s="711"/>
      <c r="V55" s="705"/>
      <c r="W55" s="705"/>
    </row>
    <row r="56" spans="1:23" x14ac:dyDescent="0.15">
      <c r="A56" s="684" t="s">
        <v>31</v>
      </c>
      <c r="B56" s="683"/>
      <c r="C56" s="683"/>
      <c r="D56" s="683"/>
      <c r="E56" s="683"/>
      <c r="F56" s="683"/>
      <c r="G56" s="683"/>
      <c r="H56" s="683"/>
      <c r="I56" s="683"/>
      <c r="J56" s="683"/>
      <c r="K56" s="683"/>
      <c r="N56" s="694"/>
      <c r="O56" s="711"/>
      <c r="P56" s="711"/>
      <c r="V56" s="705"/>
      <c r="W56" s="705"/>
    </row>
    <row r="57" spans="1:23" x14ac:dyDescent="0.15">
      <c r="A57" s="683"/>
      <c r="B57" s="683"/>
      <c r="C57" s="683"/>
      <c r="D57" s="683"/>
      <c r="E57" s="683"/>
      <c r="F57" s="683"/>
      <c r="G57" s="683"/>
      <c r="H57" s="683"/>
      <c r="I57" s="683"/>
      <c r="J57" s="683"/>
      <c r="K57" s="683"/>
      <c r="N57" s="694"/>
      <c r="O57" s="711"/>
      <c r="P57" s="711"/>
      <c r="V57" s="705"/>
      <c r="W57" s="705"/>
    </row>
    <row r="58" spans="1:23" x14ac:dyDescent="0.15">
      <c r="B58" s="681" t="s">
        <v>32</v>
      </c>
      <c r="G58" s="694" t="s">
        <v>9</v>
      </c>
      <c r="H58" s="713">
        <v>156396739</v>
      </c>
      <c r="M58" s="694"/>
      <c r="N58" s="711"/>
      <c r="O58" s="711"/>
      <c r="U58" s="705"/>
      <c r="V58" s="705"/>
    </row>
    <row r="59" spans="1:23" x14ac:dyDescent="0.15">
      <c r="M59" s="694"/>
      <c r="N59" s="711"/>
      <c r="O59" s="711"/>
      <c r="U59" s="705"/>
      <c r="V59" s="705"/>
    </row>
    <row r="60" spans="1:23" ht="14" x14ac:dyDescent="0.15">
      <c r="B60" s="681" t="s">
        <v>33</v>
      </c>
      <c r="G60" s="694" t="s">
        <v>9</v>
      </c>
      <c r="H60" s="715">
        <v>781984</v>
      </c>
      <c r="I60" s="683" t="s">
        <v>34</v>
      </c>
      <c r="J60" s="683"/>
      <c r="M60" s="694"/>
      <c r="N60" s="711"/>
      <c r="O60" s="711"/>
      <c r="U60" s="705"/>
      <c r="V60" s="705"/>
    </row>
    <row r="61" spans="1:23" x14ac:dyDescent="0.15">
      <c r="B61" s="683"/>
      <c r="C61" s="683"/>
      <c r="D61" s="683"/>
      <c r="E61" s="683"/>
      <c r="F61" s="683"/>
      <c r="G61" s="683"/>
      <c r="H61" s="683"/>
      <c r="I61" s="683"/>
      <c r="J61" s="683"/>
      <c r="K61" s="683"/>
      <c r="N61" s="694"/>
      <c r="O61" s="711"/>
      <c r="P61" s="711"/>
      <c r="V61" s="705"/>
      <c r="W61" s="705"/>
    </row>
    <row r="62" spans="1:23" x14ac:dyDescent="0.15">
      <c r="A62" s="729" t="s">
        <v>35</v>
      </c>
      <c r="B62" s="729"/>
      <c r="C62" s="729"/>
      <c r="D62" s="729"/>
      <c r="E62" s="729"/>
      <c r="F62" s="729"/>
      <c r="G62" s="729"/>
      <c r="H62" s="729"/>
      <c r="I62" s="729"/>
      <c r="J62" s="729"/>
      <c r="K62" s="729"/>
      <c r="N62" s="694"/>
      <c r="O62" s="711"/>
      <c r="P62" s="711"/>
      <c r="V62" s="705"/>
      <c r="W62" s="705"/>
    </row>
    <row r="63" spans="1:23" x14ac:dyDescent="0.15">
      <c r="A63" s="729"/>
      <c r="B63" s="729"/>
      <c r="C63" s="729"/>
      <c r="D63" s="729"/>
      <c r="E63" s="729"/>
      <c r="F63" s="729"/>
      <c r="G63" s="729"/>
      <c r="H63" s="729"/>
      <c r="I63" s="729"/>
      <c r="J63" s="729"/>
      <c r="K63" s="729"/>
      <c r="N63" s="694"/>
      <c r="O63" s="711"/>
      <c r="P63" s="711"/>
      <c r="V63" s="705"/>
      <c r="W63" s="705"/>
    </row>
    <row r="64" spans="1:23" x14ac:dyDescent="0.15">
      <c r="A64" s="729"/>
      <c r="B64" s="729"/>
      <c r="C64" s="729"/>
      <c r="D64" s="729"/>
      <c r="E64" s="729"/>
      <c r="F64" s="729"/>
      <c r="G64" s="729"/>
      <c r="H64" s="729"/>
      <c r="I64" s="729"/>
      <c r="J64" s="729"/>
      <c r="K64" s="729"/>
      <c r="N64" s="694"/>
      <c r="O64" s="711"/>
      <c r="P64" s="711"/>
      <c r="V64" s="705"/>
      <c r="W64" s="705"/>
    </row>
    <row r="65" spans="1:23" x14ac:dyDescent="0.15">
      <c r="A65" s="729"/>
      <c r="B65" s="729"/>
      <c r="C65" s="729"/>
      <c r="D65" s="729"/>
      <c r="E65" s="729"/>
      <c r="F65" s="729"/>
      <c r="G65" s="729"/>
      <c r="H65" s="729"/>
      <c r="I65" s="729"/>
      <c r="J65" s="729"/>
      <c r="K65" s="729"/>
      <c r="N65" s="694"/>
      <c r="O65" s="711"/>
      <c r="P65" s="711"/>
      <c r="V65" s="705"/>
      <c r="W65" s="705"/>
    </row>
    <row r="66" spans="1:23" x14ac:dyDescent="0.15">
      <c r="A66" s="729"/>
      <c r="B66" s="729"/>
      <c r="C66" s="729"/>
      <c r="D66" s="729"/>
      <c r="E66" s="729"/>
      <c r="F66" s="729"/>
      <c r="G66" s="729"/>
      <c r="H66" s="729"/>
      <c r="I66" s="729"/>
      <c r="J66" s="729"/>
      <c r="K66" s="729"/>
      <c r="N66" s="694"/>
      <c r="O66" s="711"/>
      <c r="P66" s="711"/>
      <c r="V66" s="705"/>
      <c r="W66" s="705"/>
    </row>
    <row r="67" spans="1:23" x14ac:dyDescent="0.15">
      <c r="A67" s="729"/>
      <c r="B67" s="729"/>
      <c r="C67" s="729"/>
      <c r="D67" s="729"/>
      <c r="E67" s="729"/>
      <c r="F67" s="729"/>
      <c r="G67" s="729"/>
      <c r="H67" s="729"/>
      <c r="I67" s="729"/>
      <c r="J67" s="729"/>
      <c r="K67" s="729"/>
      <c r="N67" s="694"/>
      <c r="O67" s="711"/>
      <c r="P67" s="711"/>
      <c r="V67" s="705"/>
      <c r="W67" s="705"/>
    </row>
    <row r="68" spans="1:23" x14ac:dyDescent="0.15">
      <c r="A68" s="706"/>
      <c r="B68" s="706"/>
      <c r="C68" s="706"/>
      <c r="D68" s="706"/>
      <c r="E68" s="706"/>
      <c r="F68" s="706"/>
      <c r="G68" s="706"/>
      <c r="H68" s="706"/>
      <c r="I68" s="706"/>
      <c r="J68" s="706"/>
      <c r="K68" s="706"/>
      <c r="N68" s="694"/>
      <c r="O68" s="711"/>
      <c r="P68" s="711"/>
      <c r="V68" s="705"/>
      <c r="W68" s="705"/>
    </row>
    <row r="69" spans="1:23" x14ac:dyDescent="0.15">
      <c r="A69" s="729" t="s">
        <v>36</v>
      </c>
      <c r="B69" s="729"/>
      <c r="C69" s="729"/>
      <c r="D69" s="729"/>
      <c r="E69" s="729"/>
      <c r="F69" s="729"/>
      <c r="G69" s="729"/>
      <c r="H69" s="729"/>
      <c r="I69" s="729"/>
      <c r="J69" s="729"/>
      <c r="K69" s="729"/>
      <c r="N69" s="694"/>
      <c r="O69" s="711"/>
      <c r="P69" s="711"/>
      <c r="V69" s="705"/>
      <c r="W69" s="705"/>
    </row>
    <row r="70" spans="1:23" x14ac:dyDescent="0.15">
      <c r="A70" s="729"/>
      <c r="B70" s="729"/>
      <c r="C70" s="729"/>
      <c r="D70" s="729"/>
      <c r="E70" s="729"/>
      <c r="F70" s="729"/>
      <c r="G70" s="729"/>
      <c r="H70" s="729"/>
      <c r="I70" s="729"/>
      <c r="J70" s="729"/>
      <c r="K70" s="729"/>
      <c r="N70" s="694"/>
      <c r="O70" s="711"/>
      <c r="P70" s="711"/>
      <c r="V70" s="705"/>
      <c r="W70" s="705"/>
    </row>
    <row r="71" spans="1:23" x14ac:dyDescent="0.15">
      <c r="A71" s="729"/>
      <c r="B71" s="729"/>
      <c r="C71" s="729"/>
      <c r="D71" s="729"/>
      <c r="E71" s="729"/>
      <c r="F71" s="729"/>
      <c r="G71" s="729"/>
      <c r="H71" s="729"/>
      <c r="I71" s="729"/>
      <c r="J71" s="729"/>
      <c r="K71" s="729"/>
      <c r="N71" s="694"/>
      <c r="O71" s="711"/>
      <c r="P71" s="711"/>
      <c r="V71" s="705"/>
      <c r="W71" s="705"/>
    </row>
    <row r="72" spans="1:23" x14ac:dyDescent="0.15">
      <c r="A72" s="729"/>
      <c r="B72" s="729"/>
      <c r="C72" s="729"/>
      <c r="D72" s="729"/>
      <c r="E72" s="729"/>
      <c r="F72" s="729"/>
      <c r="G72" s="729"/>
      <c r="H72" s="729"/>
      <c r="I72" s="729"/>
      <c r="J72" s="729"/>
      <c r="K72" s="729"/>
      <c r="N72" s="694"/>
      <c r="O72" s="711"/>
      <c r="P72" s="711"/>
      <c r="V72" s="705"/>
      <c r="W72" s="705"/>
    </row>
    <row r="73" spans="1:23" x14ac:dyDescent="0.15">
      <c r="A73" s="729"/>
      <c r="B73" s="729"/>
      <c r="C73" s="729"/>
      <c r="D73" s="729"/>
      <c r="E73" s="729"/>
      <c r="F73" s="729"/>
      <c r="G73" s="729"/>
      <c r="H73" s="729"/>
      <c r="I73" s="729"/>
      <c r="J73" s="729"/>
      <c r="K73" s="729"/>
      <c r="N73" s="694"/>
      <c r="O73" s="711"/>
      <c r="P73" s="711"/>
      <c r="V73" s="705"/>
      <c r="W73" s="705"/>
    </row>
    <row r="74" spans="1:23" x14ac:dyDescent="0.15">
      <c r="A74" s="683"/>
      <c r="B74" s="683"/>
      <c r="C74" s="683"/>
      <c r="D74" s="683"/>
      <c r="E74" s="683"/>
      <c r="F74" s="683"/>
      <c r="G74" s="683"/>
      <c r="H74" s="683"/>
      <c r="I74" s="683"/>
      <c r="J74" s="683"/>
      <c r="K74" s="683"/>
      <c r="N74" s="694"/>
      <c r="O74" s="711"/>
      <c r="P74" s="711"/>
      <c r="V74" s="705"/>
      <c r="W74" s="705"/>
    </row>
    <row r="75" spans="1:23" x14ac:dyDescent="0.15">
      <c r="A75" s="730" t="s">
        <v>37</v>
      </c>
      <c r="B75" s="730"/>
      <c r="C75" s="730"/>
      <c r="D75" s="730"/>
      <c r="E75" s="730"/>
      <c r="F75" s="730"/>
      <c r="G75" s="730"/>
      <c r="H75" s="730"/>
      <c r="I75" s="730"/>
      <c r="J75" s="730"/>
      <c r="K75" s="730"/>
      <c r="N75" s="694"/>
      <c r="O75" s="711"/>
      <c r="P75" s="711"/>
      <c r="V75" s="705"/>
      <c r="W75" s="705"/>
    </row>
    <row r="76" spans="1:23" x14ac:dyDescent="0.15">
      <c r="A76" s="730"/>
      <c r="B76" s="730"/>
      <c r="C76" s="730"/>
      <c r="D76" s="730"/>
      <c r="E76" s="730"/>
      <c r="F76" s="730"/>
      <c r="G76" s="730"/>
      <c r="H76" s="730"/>
      <c r="I76" s="730"/>
      <c r="J76" s="730"/>
      <c r="K76" s="730"/>
      <c r="N76" s="694"/>
      <c r="O76" s="711"/>
      <c r="P76" s="711"/>
      <c r="V76" s="705"/>
      <c r="W76" s="705"/>
    </row>
    <row r="77" spans="1:23" x14ac:dyDescent="0.15">
      <c r="A77" s="686"/>
      <c r="B77" s="686"/>
      <c r="C77" s="686"/>
      <c r="D77" s="686"/>
      <c r="E77" s="686"/>
      <c r="F77" s="691"/>
      <c r="G77" s="691"/>
      <c r="H77" s="691"/>
      <c r="I77" s="691"/>
      <c r="J77" s="691"/>
      <c r="K77" s="691"/>
      <c r="N77" s="694"/>
      <c r="O77" s="711"/>
      <c r="P77" s="711"/>
      <c r="V77" s="705"/>
      <c r="W77" s="705"/>
    </row>
    <row r="78" spans="1:23" x14ac:dyDescent="0.15">
      <c r="A78" s="686"/>
      <c r="B78" s="684" t="s">
        <v>38</v>
      </c>
      <c r="D78" s="707"/>
      <c r="E78" s="707"/>
      <c r="F78" s="694" t="s">
        <v>9</v>
      </c>
      <c r="G78" s="713">
        <v>18510000</v>
      </c>
      <c r="I78" s="691"/>
      <c r="J78" s="691"/>
      <c r="M78" s="694"/>
      <c r="N78" s="711"/>
      <c r="O78" s="711"/>
      <c r="U78" s="705"/>
      <c r="V78" s="705"/>
    </row>
    <row r="79" spans="1:23" x14ac:dyDescent="0.15">
      <c r="A79" s="686"/>
      <c r="B79" s="686"/>
      <c r="C79" s="686"/>
      <c r="D79" s="686"/>
      <c r="E79" s="686"/>
      <c r="F79" s="691"/>
      <c r="G79" s="691"/>
      <c r="I79" s="691"/>
      <c r="J79" s="691"/>
      <c r="M79" s="694"/>
      <c r="N79" s="711"/>
      <c r="O79" s="711"/>
      <c r="U79" s="705"/>
      <c r="V79" s="705"/>
    </row>
    <row r="80" spans="1:23" x14ac:dyDescent="0.15">
      <c r="A80" s="695"/>
      <c r="B80" s="681" t="s">
        <v>39</v>
      </c>
      <c r="F80" s="694" t="s">
        <v>9</v>
      </c>
      <c r="G80" s="716">
        <v>0.48259999999999997</v>
      </c>
      <c r="I80" s="697"/>
      <c r="J80" s="697"/>
      <c r="M80" s="694"/>
      <c r="N80" s="711"/>
      <c r="O80" s="711"/>
      <c r="U80" s="705"/>
      <c r="V80" s="705"/>
    </row>
    <row r="81" spans="1:23" x14ac:dyDescent="0.15">
      <c r="A81" s="695"/>
      <c r="F81" s="696"/>
      <c r="G81" s="696"/>
      <c r="I81" s="697"/>
      <c r="J81" s="697"/>
      <c r="M81" s="694"/>
      <c r="N81" s="711"/>
      <c r="O81" s="711"/>
      <c r="U81" s="705"/>
      <c r="V81" s="705"/>
    </row>
    <row r="82" spans="1:23" x14ac:dyDescent="0.15">
      <c r="A82" s="684" t="s">
        <v>40</v>
      </c>
      <c r="F82" s="696"/>
      <c r="G82" s="696"/>
      <c r="I82" s="697"/>
      <c r="J82" s="697"/>
      <c r="M82" s="694"/>
      <c r="N82" s="711"/>
      <c r="O82" s="711"/>
      <c r="U82" s="705"/>
      <c r="V82" s="705"/>
    </row>
    <row r="83" spans="1:23" x14ac:dyDescent="0.15">
      <c r="A83" s="695"/>
      <c r="F83" s="696"/>
      <c r="G83" s="696"/>
      <c r="I83" s="697"/>
      <c r="J83" s="697"/>
      <c r="M83" s="694"/>
      <c r="N83" s="711"/>
      <c r="O83" s="711"/>
      <c r="U83" s="705"/>
      <c r="V83" s="705"/>
    </row>
    <row r="84" spans="1:23" x14ac:dyDescent="0.15">
      <c r="A84" s="695"/>
      <c r="B84" s="684" t="s">
        <v>38</v>
      </c>
      <c r="D84" s="707"/>
      <c r="E84" s="707"/>
      <c r="F84" s="694" t="s">
        <v>9</v>
      </c>
      <c r="G84" s="713">
        <v>55530000</v>
      </c>
      <c r="M84" s="694"/>
      <c r="N84" s="711"/>
      <c r="O84" s="711"/>
      <c r="U84" s="705"/>
      <c r="V84" s="705"/>
    </row>
    <row r="85" spans="1:23" x14ac:dyDescent="0.15">
      <c r="B85" s="686"/>
      <c r="M85" s="694"/>
      <c r="N85" s="711"/>
      <c r="O85" s="711"/>
      <c r="U85" s="705"/>
      <c r="V85" s="705"/>
    </row>
    <row r="86" spans="1:23" x14ac:dyDescent="0.15">
      <c r="A86" s="683"/>
      <c r="B86" s="681" t="s">
        <v>39</v>
      </c>
      <c r="F86" s="694" t="s">
        <v>9</v>
      </c>
      <c r="G86" s="716">
        <v>0.85540000000000005</v>
      </c>
      <c r="I86" s="683"/>
      <c r="J86" s="683"/>
      <c r="M86" s="694"/>
      <c r="N86" s="711"/>
      <c r="O86" s="711"/>
      <c r="U86" s="705"/>
      <c r="V86" s="705"/>
    </row>
    <row r="87" spans="1:23" x14ac:dyDescent="0.15">
      <c r="A87" s="683"/>
      <c r="B87" s="683"/>
      <c r="C87" s="683"/>
      <c r="D87" s="683"/>
      <c r="E87" s="683"/>
      <c r="F87" s="683"/>
      <c r="G87" s="683"/>
      <c r="H87" s="683"/>
      <c r="I87" s="683"/>
      <c r="J87" s="683"/>
      <c r="K87" s="683"/>
      <c r="N87" s="694"/>
      <c r="O87" s="711"/>
      <c r="P87" s="711"/>
      <c r="V87" s="705"/>
      <c r="W87" s="705"/>
    </row>
    <row r="88" spans="1:23" x14ac:dyDescent="0.15">
      <c r="A88" s="730" t="s">
        <v>41</v>
      </c>
      <c r="B88" s="730"/>
      <c r="C88" s="730"/>
      <c r="D88" s="730"/>
      <c r="E88" s="730"/>
      <c r="F88" s="730"/>
      <c r="G88" s="730"/>
      <c r="H88" s="730"/>
      <c r="I88" s="730"/>
      <c r="J88" s="730"/>
      <c r="K88" s="730"/>
      <c r="N88" s="694"/>
      <c r="O88" s="711"/>
      <c r="P88" s="711"/>
      <c r="V88" s="705"/>
      <c r="W88" s="705"/>
    </row>
    <row r="89" spans="1:23" x14ac:dyDescent="0.15">
      <c r="A89" s="730"/>
      <c r="B89" s="730"/>
      <c r="C89" s="730"/>
      <c r="D89" s="730"/>
      <c r="E89" s="730"/>
      <c r="F89" s="730"/>
      <c r="G89" s="730"/>
      <c r="H89" s="730"/>
      <c r="I89" s="730"/>
      <c r="J89" s="730"/>
      <c r="K89" s="730"/>
      <c r="N89" s="694"/>
      <c r="O89" s="711"/>
      <c r="P89" s="711"/>
      <c r="V89" s="705"/>
      <c r="W89" s="705"/>
    </row>
    <row r="90" spans="1:23" x14ac:dyDescent="0.15">
      <c r="N90" s="694"/>
      <c r="O90" s="711"/>
      <c r="P90" s="711"/>
      <c r="V90" s="705"/>
      <c r="W90" s="705"/>
    </row>
    <row r="91" spans="1:23" x14ac:dyDescent="0.15">
      <c r="A91" s="694" t="s">
        <v>9</v>
      </c>
      <c r="B91" s="736" t="s">
        <v>42</v>
      </c>
      <c r="C91" s="737"/>
      <c r="D91" s="737"/>
      <c r="E91" s="737"/>
      <c r="F91" s="737"/>
      <c r="G91" s="737"/>
      <c r="H91" s="737"/>
      <c r="I91" s="737"/>
      <c r="J91" s="737"/>
      <c r="K91" s="738"/>
      <c r="N91" s="694"/>
      <c r="O91" s="711"/>
      <c r="P91" s="711"/>
      <c r="V91" s="705"/>
      <c r="W91" s="705"/>
    </row>
    <row r="92" spans="1:23" x14ac:dyDescent="0.15">
      <c r="A92" s="694"/>
      <c r="B92" s="698"/>
      <c r="C92" s="698"/>
      <c r="D92" s="698"/>
      <c r="E92" s="698"/>
      <c r="F92" s="698"/>
      <c r="G92" s="698"/>
      <c r="H92" s="698"/>
      <c r="I92" s="698"/>
      <c r="J92" s="698"/>
      <c r="K92" s="698"/>
      <c r="N92" s="694"/>
      <c r="O92" s="711"/>
      <c r="P92" s="711"/>
      <c r="V92" s="705"/>
      <c r="W92" s="705"/>
    </row>
    <row r="93" spans="1:23" x14ac:dyDescent="0.15">
      <c r="A93" s="731" t="s">
        <v>43</v>
      </c>
      <c r="B93" s="731"/>
      <c r="C93" s="731"/>
      <c r="D93" s="731"/>
      <c r="E93" s="731"/>
      <c r="F93" s="731"/>
      <c r="G93" s="731"/>
      <c r="H93" s="731"/>
      <c r="I93" s="731"/>
      <c r="J93" s="731"/>
      <c r="K93" s="731"/>
      <c r="N93" s="694"/>
      <c r="O93" s="711"/>
      <c r="P93" s="711"/>
      <c r="V93" s="705"/>
      <c r="W93" s="705"/>
    </row>
    <row r="94" spans="1:23" x14ac:dyDescent="0.15">
      <c r="A94" s="731"/>
      <c r="B94" s="731"/>
      <c r="C94" s="731"/>
      <c r="D94" s="731"/>
      <c r="E94" s="731"/>
      <c r="F94" s="731"/>
      <c r="G94" s="731"/>
      <c r="H94" s="731"/>
      <c r="I94" s="731"/>
      <c r="J94" s="731"/>
      <c r="K94" s="731"/>
      <c r="N94" s="694"/>
      <c r="O94" s="711"/>
      <c r="P94" s="711"/>
      <c r="V94" s="705"/>
      <c r="W94" s="705"/>
    </row>
    <row r="95" spans="1:23" x14ac:dyDescent="0.15">
      <c r="K95" s="698"/>
      <c r="N95" s="694"/>
      <c r="O95" s="711"/>
      <c r="P95" s="711"/>
      <c r="V95" s="705"/>
      <c r="W95" s="705"/>
    </row>
    <row r="96" spans="1:23" x14ac:dyDescent="0.15">
      <c r="A96" s="708" t="s">
        <v>44</v>
      </c>
      <c r="B96" s="698"/>
      <c r="C96" s="698"/>
      <c r="D96" s="698"/>
      <c r="E96" s="698"/>
      <c r="F96" s="698"/>
      <c r="G96" s="694" t="s">
        <v>9</v>
      </c>
      <c r="H96" s="713">
        <v>246000</v>
      </c>
      <c r="M96" s="694"/>
      <c r="N96" s="711"/>
      <c r="O96" s="711"/>
      <c r="U96" s="705"/>
      <c r="V96" s="705"/>
    </row>
    <row r="97" spans="1:23" x14ac:dyDescent="0.15">
      <c r="N97" s="694"/>
      <c r="O97" s="711"/>
      <c r="P97" s="711"/>
      <c r="S97" s="681" t="s">
        <v>45</v>
      </c>
      <c r="V97" s="705"/>
      <c r="W97" s="705"/>
    </row>
    <row r="98" spans="1:23" x14ac:dyDescent="0.15">
      <c r="A98" s="733" t="s">
        <v>46</v>
      </c>
      <c r="B98" s="733"/>
      <c r="C98" s="733"/>
      <c r="D98" s="733"/>
      <c r="E98" s="733"/>
      <c r="F98" s="733"/>
      <c r="G98" s="733"/>
      <c r="H98" s="733"/>
      <c r="I98" s="733"/>
      <c r="J98" s="733"/>
      <c r="K98" s="733"/>
      <c r="N98" s="694"/>
      <c r="O98" s="711"/>
      <c r="P98" s="711"/>
      <c r="V98" s="705"/>
      <c r="W98" s="705"/>
    </row>
    <row r="99" spans="1:23" x14ac:dyDescent="0.15">
      <c r="A99" s="733"/>
      <c r="B99" s="733"/>
      <c r="C99" s="733"/>
      <c r="D99" s="733"/>
      <c r="E99" s="733"/>
      <c r="F99" s="733"/>
      <c r="G99" s="733"/>
      <c r="H99" s="733"/>
      <c r="I99" s="733"/>
      <c r="J99" s="733"/>
      <c r="K99" s="733"/>
      <c r="N99" s="694"/>
      <c r="O99" s="711"/>
      <c r="P99" s="711"/>
      <c r="V99" s="705"/>
      <c r="W99" s="705"/>
    </row>
    <row r="100" spans="1:23" x14ac:dyDescent="0.15">
      <c r="N100" s="694"/>
      <c r="O100" s="711"/>
      <c r="P100" s="711"/>
      <c r="V100" s="705"/>
      <c r="W100" s="705"/>
    </row>
    <row r="101" spans="1:23" x14ac:dyDescent="0.15">
      <c r="A101" s="734" t="s">
        <v>47</v>
      </c>
      <c r="B101" s="734"/>
      <c r="C101" s="734"/>
      <c r="D101" s="734"/>
      <c r="E101" s="734"/>
      <c r="F101" s="734"/>
      <c r="G101" s="734"/>
      <c r="H101" s="734"/>
      <c r="I101" s="734"/>
      <c r="J101" s="734"/>
      <c r="K101" s="734"/>
      <c r="N101" s="694"/>
      <c r="O101" s="711"/>
      <c r="P101" s="711"/>
      <c r="V101" s="705"/>
      <c r="W101" s="705"/>
    </row>
    <row r="102" spans="1:23" x14ac:dyDescent="0.15">
      <c r="A102" s="734"/>
      <c r="B102" s="734"/>
      <c r="C102" s="734"/>
      <c r="D102" s="734"/>
      <c r="E102" s="734"/>
      <c r="F102" s="734"/>
      <c r="G102" s="734"/>
      <c r="H102" s="734"/>
      <c r="I102" s="734"/>
      <c r="J102" s="734"/>
      <c r="K102" s="734"/>
      <c r="N102" s="694"/>
      <c r="O102" s="711"/>
      <c r="P102" s="711"/>
      <c r="V102" s="705"/>
      <c r="W102" s="705"/>
    </row>
    <row r="103" spans="1:23" ht="13" customHeight="1" x14ac:dyDescent="0.15">
      <c r="A103" s="694"/>
      <c r="B103" s="694" t="s">
        <v>48</v>
      </c>
      <c r="C103" s="710"/>
      <c r="D103" s="728" t="s">
        <v>49</v>
      </c>
      <c r="E103" s="694"/>
      <c r="F103" s="694"/>
      <c r="G103" s="694"/>
      <c r="H103" s="694"/>
      <c r="I103" s="694"/>
      <c r="J103" s="694"/>
      <c r="K103" s="694"/>
      <c r="M103" s="694"/>
      <c r="N103" s="711"/>
      <c r="O103" s="711"/>
      <c r="U103" s="705"/>
      <c r="V103" s="705"/>
    </row>
    <row r="104" spans="1:23" x14ac:dyDescent="0.15">
      <c r="A104" s="690"/>
      <c r="B104" s="694"/>
      <c r="C104" s="710"/>
      <c r="D104" s="692"/>
      <c r="E104" s="690"/>
      <c r="F104" s="690"/>
      <c r="G104" s="690"/>
      <c r="H104" s="690"/>
      <c r="K104" s="705"/>
      <c r="N104" s="694"/>
      <c r="O104" s="711"/>
      <c r="P104" s="711"/>
      <c r="V104" s="705"/>
      <c r="W104" s="705"/>
    </row>
    <row r="105" spans="1:23" x14ac:dyDescent="0.15">
      <c r="A105" s="735"/>
      <c r="B105" s="735"/>
      <c r="C105" s="735"/>
      <c r="D105" s="735"/>
      <c r="E105" s="735"/>
      <c r="F105" s="735"/>
      <c r="G105" s="735"/>
      <c r="H105" s="735"/>
      <c r="I105" s="735"/>
      <c r="J105" s="735"/>
      <c r="K105" s="735"/>
    </row>
    <row r="109" spans="1:23" x14ac:dyDescent="0.15">
      <c r="A109" s="701"/>
      <c r="B109" s="694"/>
    </row>
  </sheetData>
  <mergeCells count="22">
    <mergeCell ref="A12:B13"/>
    <mergeCell ref="A62:K67"/>
    <mergeCell ref="A14:K17"/>
    <mergeCell ref="B4:K4"/>
    <mergeCell ref="A5:K5"/>
    <mergeCell ref="A31:K32"/>
    <mergeCell ref="B35:K36"/>
    <mergeCell ref="A1:K1"/>
    <mergeCell ref="A2:K2"/>
    <mergeCell ref="A3:K3"/>
    <mergeCell ref="A6:B7"/>
    <mergeCell ref="A8:K9"/>
    <mergeCell ref="A101:K102"/>
    <mergeCell ref="A105:K105"/>
    <mergeCell ref="B91:K91"/>
    <mergeCell ref="A75:K76"/>
    <mergeCell ref="A88:K89"/>
    <mergeCell ref="A69:K73"/>
    <mergeCell ref="A20:K21"/>
    <mergeCell ref="A93:K94"/>
    <mergeCell ref="A47:K48"/>
    <mergeCell ref="A98:K99"/>
  </mergeCells>
  <dataValidations count="4">
    <dataValidation type="decimal" allowBlank="1" showInputMessage="1" showErrorMessage="1" sqref="C53:C104" xr:uid="{E5DF04C0-8E38-5F43-BBEF-0615A387DF37}">
      <formula1>0</formula1>
      <formula2>10</formula2>
    </dataValidation>
    <dataValidation type="list" allowBlank="1" showInputMessage="1" showErrorMessage="1" sqref="H54 H44" xr:uid="{94B9C93D-6090-0949-A8BE-272489DD2480}">
      <formula1>$K$51:$K$52</formula1>
    </dataValidation>
    <dataValidation type="list" allowBlank="1" showInputMessage="1" showErrorMessage="1" sqref="O87:P95 O97:P102 N96:O96 O104:P104 N103:O103 N58:O60 O53:P57 N78:O86 O61:P77" xr:uid="{DB4AECD3-87F4-C140-BC07-BFF7691DD75A}">
      <formula1>$I$103:$J$103</formula1>
    </dataValidation>
    <dataValidation type="decimal" allowBlank="1" showInputMessage="1" showErrorMessage="1" error="Please enter a decimal number." prompt="Please enter a decimal number." sqref="C52" xr:uid="{F5A8617C-4FF8-884F-83A3-10B748F6492C}">
      <formula1>0</formula1>
      <formula2>10</formula2>
    </dataValidation>
  </dataValidations>
  <pageMargins left="0.75757575757575801" right="0.48868312757201599" top="0.75" bottom="0.50724637681159401" header="0.3" footer="0.3"/>
  <pageSetup fitToHeight="4" pageOrder="overThenDown" orientation="portrait" horizontalDpi="0" verticalDpi="0"/>
  <headerFooter alignWithMargins="0">
    <oddHeader xml:space="preserve">&amp;CLab 8 SEED Model
</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198"/>
  <sheetViews>
    <sheetView zoomScale="110" zoomScaleNormal="110" workbookViewId="0">
      <selection activeCell="D28" sqref="D28"/>
    </sheetView>
  </sheetViews>
  <sheetFormatPr baseColWidth="10" defaultColWidth="8.83203125" defaultRowHeight="13" x14ac:dyDescent="0.15"/>
  <cols>
    <col min="2" max="2" width="15.33203125" customWidth="1"/>
    <col min="3" max="3" width="17.5" customWidth="1"/>
    <col min="4" max="4" width="17.6640625" customWidth="1"/>
    <col min="5" max="5" width="14" customWidth="1"/>
    <col min="6" max="6" width="15.5" customWidth="1"/>
    <col min="7" max="7" width="14" customWidth="1"/>
    <col min="8" max="9" width="12.5" customWidth="1"/>
    <col min="10" max="10" width="14.5" customWidth="1"/>
    <col min="11" max="11" width="13.83203125" customWidth="1"/>
    <col min="12" max="12" width="14.1640625" customWidth="1"/>
    <col min="13" max="15" width="14.5" customWidth="1"/>
    <col min="19" max="19" width="19.33203125" bestFit="1" customWidth="1"/>
  </cols>
  <sheetData>
    <row r="1" spans="1:13" ht="16" x14ac:dyDescent="0.2">
      <c r="A1" s="215" t="s">
        <v>399</v>
      </c>
    </row>
    <row r="4" spans="1:13" ht="16" x14ac:dyDescent="0.2">
      <c r="B4" s="206" t="s">
        <v>400</v>
      </c>
    </row>
    <row r="6" spans="1:13" x14ac:dyDescent="0.15">
      <c r="C6" s="1" t="s">
        <v>401</v>
      </c>
    </row>
    <row r="7" spans="1:13" ht="14" thickBot="1" x14ac:dyDescent="0.2"/>
    <row r="8" spans="1:13" ht="51" x14ac:dyDescent="0.2">
      <c r="C8" s="400" t="s">
        <v>402</v>
      </c>
      <c r="D8" s="401" t="s">
        <v>403</v>
      </c>
      <c r="E8" s="401" t="s">
        <v>404</v>
      </c>
      <c r="F8" s="401" t="s">
        <v>405</v>
      </c>
      <c r="G8" s="401" t="s">
        <v>406</v>
      </c>
      <c r="H8" s="401" t="s">
        <v>407</v>
      </c>
      <c r="I8" s="401" t="s">
        <v>408</v>
      </c>
      <c r="J8" s="642" t="s">
        <v>409</v>
      </c>
      <c r="K8" s="414"/>
      <c r="L8" s="413" t="s">
        <v>410</v>
      </c>
      <c r="M8" s="408" t="s">
        <v>411</v>
      </c>
    </row>
    <row r="9" spans="1:13" x14ac:dyDescent="0.15">
      <c r="C9" s="409" t="s">
        <v>412</v>
      </c>
      <c r="D9" s="398" t="str">
        <f>'Price Sens Wksht Prod X'!I3</f>
        <v>NMF</v>
      </c>
      <c r="E9" s="398">
        <f>'Volume Sens Wksht Prod X'!I3</f>
        <v>-0.99346674351085817</v>
      </c>
      <c r="F9" s="398">
        <f>'Price Sens Wksht Prod Y'!I3</f>
        <v>0</v>
      </c>
      <c r="G9" s="398">
        <f>'Volume Sens Wksht Prod Y'!I3</f>
        <v>0</v>
      </c>
      <c r="H9" s="398">
        <f>'Price Sens Wksht Prod Z'!I3</f>
        <v>0</v>
      </c>
      <c r="I9" s="398">
        <f>'Volume Sens Wksht Prod Z'!I3</f>
        <v>0</v>
      </c>
      <c r="J9" s="399">
        <f>'Expense Sens Wksht'!I3</f>
        <v>1.3141020422717431</v>
      </c>
      <c r="K9" s="415"/>
      <c r="L9" s="405">
        <f>IF('Initial Inputs'!$E$36=0,'Level Payment Fin Sens Wksht'!D188,'Level Prin Paymt Fin Sens Wksht'!G188)</f>
        <v>0</v>
      </c>
      <c r="M9" s="402">
        <f>'Disposl $ Sensitivity Wksht'!E231</f>
        <v>-9.1137721861563308E-3</v>
      </c>
    </row>
    <row r="10" spans="1:13" x14ac:dyDescent="0.15">
      <c r="C10" s="409" t="s">
        <v>413</v>
      </c>
      <c r="D10" s="398">
        <f>'Price Sens Wksht Prod X'!I4</f>
        <v>-1.7450509133377925</v>
      </c>
      <c r="E10" s="398">
        <f>'Volume Sens Wksht Prod X'!I4</f>
        <v>-0.78381985118305864</v>
      </c>
      <c r="F10" s="398">
        <f>'Price Sens Wksht Prod Y'!I4</f>
        <v>0</v>
      </c>
      <c r="G10" s="398">
        <f>'Volume Sens Wksht Prod Y'!I4</f>
        <v>0</v>
      </c>
      <c r="H10" s="398">
        <f>'Price Sens Wksht Prod Z'!I4</f>
        <v>0</v>
      </c>
      <c r="I10" s="398">
        <f>'Volume Sens Wksht Prod Z'!I4</f>
        <v>0</v>
      </c>
      <c r="J10" s="399">
        <f>'Expense Sens Wksht'!I4</f>
        <v>1.0672300558248371</v>
      </c>
      <c r="K10" s="415"/>
      <c r="L10" s="405">
        <f>IF('Initial Inputs'!$E$36=0,'Level Payment Fin Sens Wksht'!D189,'Level Prin Paymt Fin Sens Wksht'!G189)</f>
        <v>0</v>
      </c>
      <c r="M10" s="402">
        <f>'Disposl $ Sensitivity Wksht'!E232</f>
        <v>-7.5884703294288851E-3</v>
      </c>
    </row>
    <row r="11" spans="1:13" x14ac:dyDescent="0.15">
      <c r="C11" s="409" t="s">
        <v>414</v>
      </c>
      <c r="D11" s="398">
        <f>'Price Sens Wksht Prod X'!I5</f>
        <v>-1.209034746515806</v>
      </c>
      <c r="E11" s="398">
        <f>'Volume Sens Wksht Prod X'!I5</f>
        <v>-0.58058221967809087</v>
      </c>
      <c r="F11" s="398">
        <f>'Price Sens Wksht Prod Y'!I5</f>
        <v>0</v>
      </c>
      <c r="G11" s="398">
        <f>'Volume Sens Wksht Prod Y'!I5</f>
        <v>0</v>
      </c>
      <c r="H11" s="398">
        <f>'Price Sens Wksht Prod Z'!I5</f>
        <v>0</v>
      </c>
      <c r="I11" s="398">
        <f>'Volume Sens Wksht Prod Z'!I5</f>
        <v>0</v>
      </c>
      <c r="J11" s="399">
        <f>'Expense Sens Wksht'!I5</f>
        <v>0.81446830598027209</v>
      </c>
      <c r="K11" s="415"/>
      <c r="L11" s="405">
        <f>IF('Initial Inputs'!$E$36=0,'Level Payment Fin Sens Wksht'!D190,'Level Prin Paymt Fin Sens Wksht'!G190)</f>
        <v>0</v>
      </c>
      <c r="M11" s="402">
        <f>'Disposl $ Sensitivity Wksht'!E233</f>
        <v>-6.0657175325402601E-3</v>
      </c>
    </row>
    <row r="12" spans="1:13" x14ac:dyDescent="0.15">
      <c r="C12" s="409" t="s">
        <v>415</v>
      </c>
      <c r="D12" s="398">
        <f>'Price Sens Wksht Prod X'!I6</f>
        <v>-0.76054912610273795</v>
      </c>
      <c r="E12" s="398">
        <f>'Volume Sens Wksht Prod X'!I6</f>
        <v>-0.38275620523318166</v>
      </c>
      <c r="F12" s="398">
        <f>'Price Sens Wksht Prod Y'!I6</f>
        <v>0</v>
      </c>
      <c r="G12" s="398">
        <f>'Volume Sens Wksht Prod Y'!I6</f>
        <v>0</v>
      </c>
      <c r="H12" s="398">
        <f>'Price Sens Wksht Prod Z'!I6</f>
        <v>0</v>
      </c>
      <c r="I12" s="398">
        <f>'Volume Sens Wksht Prod Z'!I6</f>
        <v>0</v>
      </c>
      <c r="J12" s="399">
        <f>'Expense Sens Wksht'!I6</f>
        <v>0.55413589587484113</v>
      </c>
      <c r="K12" s="415"/>
      <c r="L12" s="405">
        <f>IF('Initial Inputs'!$E$36=0,'Level Payment Fin Sens Wksht'!D191,'Level Prin Paymt Fin Sens Wksht'!G191)</f>
        <v>0</v>
      </c>
      <c r="M12" s="402">
        <f>'Disposl $ Sensitivity Wksht'!E234</f>
        <v>-4.5455039037259172E-3</v>
      </c>
    </row>
    <row r="13" spans="1:13" x14ac:dyDescent="0.15">
      <c r="C13" s="409" t="s">
        <v>416</v>
      </c>
      <c r="D13" s="398">
        <f>'Price Sens Wksht Prod X'!I7</f>
        <v>-0.36428925972666276</v>
      </c>
      <c r="E13" s="398">
        <f>'Volume Sens Wksht Prod X'!I7</f>
        <v>-0.18947256590481742</v>
      </c>
      <c r="F13" s="398">
        <f>'Price Sens Wksht Prod Y'!I7</f>
        <v>0</v>
      </c>
      <c r="G13" s="398">
        <f>'Volume Sens Wksht Prod Y'!I7</f>
        <v>0</v>
      </c>
      <c r="H13" s="398">
        <f>'Price Sens Wksht Prod Z'!I7</f>
        <v>0</v>
      </c>
      <c r="I13" s="398">
        <f>'Volume Sens Wksht Prod Z'!I7</f>
        <v>0</v>
      </c>
      <c r="J13" s="399">
        <f>'Expense Sens Wksht'!I7</f>
        <v>0.28383482286405232</v>
      </c>
      <c r="K13" s="415"/>
      <c r="L13" s="405">
        <f>IF('Initial Inputs'!$E$36=0,'Level Payment Fin Sens Wksht'!D192,'Level Prin Paymt Fin Sens Wksht'!G192)</f>
        <v>0</v>
      </c>
      <c r="M13" s="402">
        <f>'Disposl $ Sensitivity Wksht'!E235</f>
        <v>-3.0278196108760739E-3</v>
      </c>
    </row>
    <row r="14" spans="1:13" x14ac:dyDescent="0.15">
      <c r="B14" s="1" t="s">
        <v>417</v>
      </c>
      <c r="C14" s="410">
        <v>0</v>
      </c>
      <c r="D14" s="398">
        <f>'Price Sens Wksht Prod X'!I8</f>
        <v>0</v>
      </c>
      <c r="E14" s="398">
        <f>'Volume Sens Wksht Prod X'!I8</f>
        <v>0</v>
      </c>
      <c r="F14" s="398">
        <f>'Price Sens Wksht Prod Y'!I8</f>
        <v>0</v>
      </c>
      <c r="G14" s="398">
        <f>'Volume Sens Wksht Prod Y'!I8</f>
        <v>0</v>
      </c>
      <c r="H14" s="398">
        <f>'Price Sens Wksht Prod Z'!I8</f>
        <v>0</v>
      </c>
      <c r="I14" s="398">
        <f>'Volume Sens Wksht Prod Z'!I8</f>
        <v>0</v>
      </c>
      <c r="J14" s="399">
        <f>'Expense Sens Wksht'!I8</f>
        <v>0</v>
      </c>
      <c r="K14" s="415"/>
      <c r="L14" s="405">
        <f>IF('Initial Inputs'!$E$36=0,'Level Payment Fin Sens Wksht'!D193,'Level Prin Paymt Fin Sens Wksht'!G193)</f>
        <v>0</v>
      </c>
      <c r="M14" s="402">
        <f>'Disposl $ Sensitivity Wksht'!E236</f>
        <v>0</v>
      </c>
    </row>
    <row r="15" spans="1:13" x14ac:dyDescent="0.15">
      <c r="C15" s="409" t="s">
        <v>418</v>
      </c>
      <c r="D15" s="398">
        <f>'Price Sens Wksht Prod X'!I9</f>
        <v>0.34350826668310619</v>
      </c>
      <c r="E15" s="398">
        <f>'Volume Sens Wksht Prod X'!I9</f>
        <v>0.1862671241643532</v>
      </c>
      <c r="F15" s="398">
        <f>'Price Sens Wksht Prod Y'!I9</f>
        <v>0</v>
      </c>
      <c r="G15" s="398">
        <f>'Volume Sens Wksht Prod Y'!I9</f>
        <v>0</v>
      </c>
      <c r="H15" s="398">
        <f>'Price Sens Wksht Prod Z'!I9</f>
        <v>0</v>
      </c>
      <c r="I15" s="398">
        <f>'Volume Sens Wksht Prod Z'!I9</f>
        <v>0</v>
      </c>
      <c r="J15" s="399">
        <f>'Expense Sens Wksht'!I9</f>
        <v>-0.30295779994404254</v>
      </c>
      <c r="K15" s="415"/>
      <c r="L15" s="405">
        <f>IF('Initial Inputs'!$E$36=0,'Level Payment Fin Sens Wksht'!D194,'Level Prin Paymt Fin Sens Wksht'!G194)</f>
        <v>0</v>
      </c>
      <c r="M15" s="402">
        <f>'Disposl $ Sensitivity Wksht'!E237</f>
        <v>1.5101546883107184E-3</v>
      </c>
    </row>
    <row r="16" spans="1:13" x14ac:dyDescent="0.15">
      <c r="C16" s="409" t="s">
        <v>419</v>
      </c>
      <c r="D16" s="398">
        <f>'Price Sens Wksht Prod X'!I10</f>
        <v>0.67279515005977342</v>
      </c>
      <c r="E16" s="398">
        <f>'Volume Sens Wksht Prod X'!I10</f>
        <v>0.3698273977666478</v>
      </c>
      <c r="F16" s="398">
        <f>'Price Sens Wksht Prod Y'!I10</f>
        <v>0</v>
      </c>
      <c r="G16" s="398">
        <f>'Volume Sens Wksht Prod Y'!I10</f>
        <v>0</v>
      </c>
      <c r="H16" s="398">
        <f>'Price Sens Wksht Prod Z'!I10</f>
        <v>0</v>
      </c>
      <c r="I16" s="398">
        <f>'Volume Sens Wksht Prod Z'!I10</f>
        <v>0</v>
      </c>
      <c r="J16" s="399">
        <f>'Expense Sens Wksht'!I10</f>
        <v>-0.63443210573614206</v>
      </c>
      <c r="K16" s="415"/>
      <c r="L16" s="405">
        <f>IF('Initial Inputs'!$E$36=0,'Level Payment Fin Sens Wksht'!D195,'Level Prin Paymt Fin Sens Wksht'!G195)</f>
        <v>0</v>
      </c>
      <c r="M16" s="402">
        <f>'Disposl $ Sensitivity Wksht'!E238</f>
        <v>3.017818782171409E-3</v>
      </c>
    </row>
    <row r="17" spans="2:13" x14ac:dyDescent="0.15">
      <c r="C17" s="409" t="s">
        <v>420</v>
      </c>
      <c r="D17" s="398">
        <f>'Price Sens Wksht Prod X'!I11</f>
        <v>0.99194757562718749</v>
      </c>
      <c r="E17" s="398">
        <f>'Volume Sens Wksht Prod X'!I11</f>
        <v>0.55109101182388898</v>
      </c>
      <c r="F17" s="398">
        <f>'Price Sens Wksht Prod Y'!I11</f>
        <v>0</v>
      </c>
      <c r="G17" s="398">
        <f>'Volume Sens Wksht Prod Y'!I11</f>
        <v>0</v>
      </c>
      <c r="H17" s="398">
        <f>'Price Sens Wksht Prod Z'!I11</f>
        <v>0</v>
      </c>
      <c r="I17" s="398">
        <f>'Volume Sens Wksht Prod Z'!I11</f>
        <v>0</v>
      </c>
      <c r="J17" s="399">
        <f>'Expense Sens Wksht'!I11</f>
        <v>-1.0116982302934325</v>
      </c>
      <c r="K17" s="415"/>
      <c r="L17" s="405">
        <f>IF('Initial Inputs'!$E$36=0,'Level Payment Fin Sens Wksht'!D196,'Level Prin Paymt Fin Sens Wksht'!G196)</f>
        <v>0</v>
      </c>
      <c r="M17" s="402">
        <f>'Disposl $ Sensitivity Wksht'!E239</f>
        <v>4.5230018225965009E-3</v>
      </c>
    </row>
    <row r="18" spans="2:13" x14ac:dyDescent="0.15">
      <c r="C18" s="409" t="s">
        <v>421</v>
      </c>
      <c r="D18" s="398">
        <f>'Price Sens Wksht Prod X'!I12</f>
        <v>1.3036436857222857</v>
      </c>
      <c r="E18" s="398">
        <f>'Volume Sens Wksht Prod X'!I12</f>
        <v>0.73039616777393557</v>
      </c>
      <c r="F18" s="398">
        <f>'Price Sens Wksht Prod Y'!I12</f>
        <v>0</v>
      </c>
      <c r="G18" s="398">
        <f>'Volume Sens Wksht Prod Y'!I12</f>
        <v>0</v>
      </c>
      <c r="H18" s="398">
        <f>'Price Sens Wksht Prod Z'!I12</f>
        <v>0</v>
      </c>
      <c r="I18" s="398">
        <f>'Volume Sens Wksht Prod Z'!I12</f>
        <v>0</v>
      </c>
      <c r="J18" s="399">
        <f>'Expense Sens Wksht'!I12</f>
        <v>-1.4697412033600048</v>
      </c>
      <c r="K18" s="415"/>
      <c r="L18" s="405">
        <f>IF('Initial Inputs'!$E$36=0,'Level Payment Fin Sens Wksht'!D197,'Level Prin Paymt Fin Sens Wksht'!G197)</f>
        <v>0</v>
      </c>
      <c r="M18" s="402">
        <f>'Disposl $ Sensitivity Wksht'!E240</f>
        <v>6.025713293778376E-3</v>
      </c>
    </row>
    <row r="19" spans="2:13" ht="14" thickBot="1" x14ac:dyDescent="0.2">
      <c r="C19" s="411" t="s">
        <v>422</v>
      </c>
      <c r="D19" s="403">
        <f>'Price Sens Wksht Prod X'!I13</f>
        <v>1.6097110904148668</v>
      </c>
      <c r="E19" s="403">
        <f>'Volume Sens Wksht Prod X'!I13</f>
        <v>0.90802275334679639</v>
      </c>
      <c r="F19" s="403">
        <f>'Price Sens Wksht Prod Y'!I13</f>
        <v>0</v>
      </c>
      <c r="G19" s="403">
        <f>'Volume Sens Wksht Prod Y'!I13</f>
        <v>0</v>
      </c>
      <c r="H19" s="403">
        <f>'Price Sens Wksht Prod Z'!I13</f>
        <v>0</v>
      </c>
      <c r="I19" s="403">
        <f>'Volume Sens Wksht Prod Z'!I13</f>
        <v>0</v>
      </c>
      <c r="J19" s="412" t="str">
        <f>'Expense Sens Wksht'!I13</f>
        <v>NMF</v>
      </c>
      <c r="K19" s="416"/>
      <c r="L19" s="405">
        <f>IF('Initial Inputs'!$E$36=0,'Level Payment Fin Sens Wksht'!D198,'Level Prin Paymt Fin Sens Wksht'!G198)</f>
        <v>0</v>
      </c>
      <c r="M19" s="402" t="str">
        <f>'Disposl $ Sensitivity Wksht'!E241</f>
        <v>NMF</v>
      </c>
    </row>
    <row r="21" spans="2:13" x14ac:dyDescent="0.15">
      <c r="C21" s="1" t="s">
        <v>423</v>
      </c>
      <c r="D21" t="s">
        <v>424</v>
      </c>
    </row>
    <row r="24" spans="2:13" ht="16" x14ac:dyDescent="0.2">
      <c r="B24" s="206" t="s">
        <v>425</v>
      </c>
    </row>
    <row r="26" spans="2:13" x14ac:dyDescent="0.15">
      <c r="C26" s="1" t="s">
        <v>426</v>
      </c>
    </row>
    <row r="27" spans="2:13" ht="14" thickBot="1" x14ac:dyDescent="0.2"/>
    <row r="28" spans="2:13" ht="51" x14ac:dyDescent="0.2">
      <c r="C28" s="400" t="s">
        <v>402</v>
      </c>
      <c r="D28" s="401" t="s">
        <v>403</v>
      </c>
      <c r="E28" s="401" t="s">
        <v>404</v>
      </c>
      <c r="F28" s="401" t="s">
        <v>427</v>
      </c>
      <c r="G28" s="401" t="s">
        <v>406</v>
      </c>
      <c r="H28" s="401" t="s">
        <v>407</v>
      </c>
      <c r="I28" s="401" t="s">
        <v>408</v>
      </c>
      <c r="J28" s="642" t="s">
        <v>409</v>
      </c>
      <c r="K28" s="406" t="s">
        <v>85</v>
      </c>
      <c r="L28" s="424" t="s">
        <v>410</v>
      </c>
      <c r="M28" s="423" t="s">
        <v>411</v>
      </c>
    </row>
    <row r="29" spans="2:13" x14ac:dyDescent="0.15">
      <c r="C29" s="409" t="s">
        <v>412</v>
      </c>
      <c r="D29" s="398">
        <f>'Price Sens Wksht Prod X'!K3</f>
        <v>-3.0853383730232355</v>
      </c>
      <c r="E29" s="398">
        <f>'Volume Sens Wksht Prod X'!K3</f>
        <v>-1.6006512568117754</v>
      </c>
      <c r="F29" s="398">
        <f>'Price Sens Wksht Prod Y'!K3</f>
        <v>0</v>
      </c>
      <c r="G29" s="398">
        <f>'Volume Sens Wksht Prod Y'!K3</f>
        <v>0</v>
      </c>
      <c r="H29" s="398">
        <f>'Price Sens Wksht Prod Z'!K3</f>
        <v>0</v>
      </c>
      <c r="I29" s="398">
        <f>'Volume Sens Wksht Prod Z'!K3</f>
        <v>0</v>
      </c>
      <c r="J29" s="402">
        <f>'Expense Sens Wksht'!K3</f>
        <v>2.6085420080934751</v>
      </c>
      <c r="K29" s="407">
        <f>'MARR Sens Wksht'!J3</f>
        <v>0.26998087630300172</v>
      </c>
      <c r="L29" s="405">
        <f>IF('Initial Inputs'!$E$36=0,'Level Payment Fin Sens Wksht'!G188,'Level Prin Paymt Fin Sens Wksht'!G188)</f>
        <v>0</v>
      </c>
      <c r="M29" s="443">
        <f>'Disposl $ Sensitivity Wksht'!H231</f>
        <v>-2.7488595522853158E-3</v>
      </c>
    </row>
    <row r="30" spans="2:13" x14ac:dyDescent="0.15">
      <c r="C30" s="409" t="s">
        <v>413</v>
      </c>
      <c r="D30" s="398">
        <f>'Price Sens Wksht Prod X'!K4</f>
        <v>-2.4682706984185883</v>
      </c>
      <c r="E30" s="398">
        <f>'Volume Sens Wksht Prod X'!K4</f>
        <v>-1.2805210054494207</v>
      </c>
      <c r="F30" s="398">
        <f>'Price Sens Wksht Prod Y'!K4</f>
        <v>0</v>
      </c>
      <c r="G30" s="398">
        <f>'Volume Sens Wksht Prod Y'!K4</f>
        <v>0</v>
      </c>
      <c r="H30" s="398">
        <f>'Price Sens Wksht Prod Z'!K4</f>
        <v>0</v>
      </c>
      <c r="I30" s="398">
        <f>'Volume Sens Wksht Prod Z'!K4</f>
        <v>0</v>
      </c>
      <c r="J30" s="402">
        <f>'Expense Sens Wksht'!K4</f>
        <v>2.0868336064747792</v>
      </c>
      <c r="K30" s="407">
        <f>'MARR Sens Wksht'!J4</f>
        <v>0.21231463304349432</v>
      </c>
      <c r="L30" s="405">
        <f>IF('Initial Inputs'!$E$36=0,'Level Payment Fin Sens Wksht'!G189,'Level Prin Paymt Fin Sens Wksht'!G189)</f>
        <v>0</v>
      </c>
      <c r="M30" s="443">
        <f>'Disposl $ Sensitivity Wksht'!H232</f>
        <v>7.8091473020135106E-4</v>
      </c>
    </row>
    <row r="31" spans="2:13" x14ac:dyDescent="0.15">
      <c r="C31" s="409" t="s">
        <v>414</v>
      </c>
      <c r="D31" s="398">
        <f>'Price Sens Wksht Prod X'!K5</f>
        <v>-1.8512030238139414</v>
      </c>
      <c r="E31" s="398">
        <f>'Volume Sens Wksht Prod X'!K5</f>
        <v>-0.96039075408706565</v>
      </c>
      <c r="F31" s="398">
        <f>'Price Sens Wksht Prod Y'!K5</f>
        <v>0</v>
      </c>
      <c r="G31" s="398">
        <f>'Volume Sens Wksht Prod Y'!K5</f>
        <v>0</v>
      </c>
      <c r="H31" s="398">
        <f>'Price Sens Wksht Prod Z'!K5</f>
        <v>0</v>
      </c>
      <c r="I31" s="398">
        <f>'Volume Sens Wksht Prod Z'!K5</f>
        <v>0</v>
      </c>
      <c r="J31" s="402">
        <f>'Expense Sens Wksht'!K5</f>
        <v>1.5651252048560853</v>
      </c>
      <c r="K31" s="407">
        <f>'MARR Sens Wksht'!J5</f>
        <v>0.1565631110427981</v>
      </c>
      <c r="L31" s="405">
        <f>IF('Initial Inputs'!$E$36=0,'Level Payment Fin Sens Wksht'!G190,'Level Prin Paymt Fin Sens Wksht'!G190)</f>
        <v>0</v>
      </c>
      <c r="M31" s="443">
        <f>'Disposl $ Sensitivity Wksht'!H233</f>
        <v>4.3106890126880177E-3</v>
      </c>
    </row>
    <row r="32" spans="2:13" x14ac:dyDescent="0.15">
      <c r="C32" s="409" t="s">
        <v>415</v>
      </c>
      <c r="D32" s="398">
        <f>'Price Sens Wksht Prod X'!K6</f>
        <v>-1.2341353492092939</v>
      </c>
      <c r="E32" s="398">
        <f>'Volume Sens Wksht Prod X'!K6</f>
        <v>-0.64026050272471058</v>
      </c>
      <c r="F32" s="398">
        <f>'Price Sens Wksht Prod Y'!K6</f>
        <v>0</v>
      </c>
      <c r="G32" s="398">
        <f>'Volume Sens Wksht Prod Y'!K6</f>
        <v>0</v>
      </c>
      <c r="H32" s="398">
        <f>'Price Sens Wksht Prod Z'!K6</f>
        <v>0</v>
      </c>
      <c r="I32" s="398">
        <f>'Volume Sens Wksht Prod Z'!K6</f>
        <v>0</v>
      </c>
      <c r="J32" s="402">
        <f>'Expense Sens Wksht'!K6</f>
        <v>1.0434168032373907</v>
      </c>
      <c r="K32" s="407">
        <f>'MARR Sens Wksht'!J6</f>
        <v>0.10264457176148457</v>
      </c>
      <c r="L32" s="405">
        <f>IF('Initial Inputs'!$E$36=0,'Level Payment Fin Sens Wksht'!G191,'Level Prin Paymt Fin Sens Wksht'!G191)</f>
        <v>0</v>
      </c>
      <c r="M32" s="443">
        <f>'Disposl $ Sensitivity Wksht'!H234</f>
        <v>7.8404632951748088E-3</v>
      </c>
    </row>
    <row r="33" spans="2:13" x14ac:dyDescent="0.15">
      <c r="C33" s="409" t="s">
        <v>416</v>
      </c>
      <c r="D33" s="398">
        <f>'Price Sens Wksht Prod X'!K7</f>
        <v>-0.61706767460464707</v>
      </c>
      <c r="E33" s="398">
        <f>'Volume Sens Wksht Prod X'!K7</f>
        <v>-0.32013025136235485</v>
      </c>
      <c r="F33" s="398">
        <f>'Price Sens Wksht Prod Y'!K7</f>
        <v>0</v>
      </c>
      <c r="G33" s="398">
        <f>'Volume Sens Wksht Prod Y'!K7</f>
        <v>0</v>
      </c>
      <c r="H33" s="398">
        <f>'Price Sens Wksht Prod Z'!K7</f>
        <v>0</v>
      </c>
      <c r="I33" s="398">
        <f>'Volume Sens Wksht Prod Z'!K7</f>
        <v>0</v>
      </c>
      <c r="J33" s="402">
        <f>'Expense Sens Wksht'!K7</f>
        <v>0.52170840161869558</v>
      </c>
      <c r="K33" s="407">
        <f>'MARR Sens Wksht'!J7</f>
        <v>5.0481427506521868E-2</v>
      </c>
      <c r="L33" s="405">
        <f>IF('Initial Inputs'!$E$36=0,'Level Payment Fin Sens Wksht'!G192,'Level Prin Paymt Fin Sens Wksht'!G192)</f>
        <v>0</v>
      </c>
      <c r="M33" s="443">
        <f>'Disposl $ Sensitivity Wksht'!H235</f>
        <v>1.1370237577661351E-2</v>
      </c>
    </row>
    <row r="34" spans="2:13" x14ac:dyDescent="0.15">
      <c r="B34" s="1" t="s">
        <v>417</v>
      </c>
      <c r="C34" s="410">
        <v>0</v>
      </c>
      <c r="D34" s="398">
        <f>'Price Sens Wksht Prod X'!K8</f>
        <v>0</v>
      </c>
      <c r="E34" s="398">
        <f>'Volume Sens Wksht Prod X'!K8</f>
        <v>0</v>
      </c>
      <c r="F34" s="398">
        <f>'Price Sens Wksht Prod Y'!K8</f>
        <v>0</v>
      </c>
      <c r="G34" s="398">
        <f>'Volume Sens Wksht Prod Y'!K8</f>
        <v>0</v>
      </c>
      <c r="H34" s="398">
        <f>'Price Sens Wksht Prod Z'!K8</f>
        <v>0</v>
      </c>
      <c r="I34" s="398">
        <f>'Volume Sens Wksht Prod Z'!K8</f>
        <v>0</v>
      </c>
      <c r="J34" s="402">
        <f>'Expense Sens Wksht'!K8</f>
        <v>0</v>
      </c>
      <c r="K34" s="407">
        <f>'MARR Sens Wksht'!J8</f>
        <v>0</v>
      </c>
      <c r="L34" s="405">
        <f>IF('Initial Inputs'!$E$36=0,'Level Payment Fin Sens Wksht'!G193,'Level Prin Paymt Fin Sens Wksht'!G193)</f>
        <v>0</v>
      </c>
      <c r="M34" s="443">
        <f>'Disposl $ Sensitivity Wksht'!H236</f>
        <v>0</v>
      </c>
    </row>
    <row r="35" spans="2:13" x14ac:dyDescent="0.15">
      <c r="C35" s="409" t="s">
        <v>418</v>
      </c>
      <c r="D35" s="398">
        <f>'Price Sens Wksht Prod X'!K9</f>
        <v>0.61706767460464773</v>
      </c>
      <c r="E35" s="398">
        <f>'Volume Sens Wksht Prod X'!K9</f>
        <v>0.32013025136235607</v>
      </c>
      <c r="F35" s="398">
        <f>'Price Sens Wksht Prod Y'!K9</f>
        <v>0</v>
      </c>
      <c r="G35" s="398">
        <f>'Volume Sens Wksht Prod Y'!K9</f>
        <v>0</v>
      </c>
      <c r="H35" s="398">
        <f>'Price Sens Wksht Prod Z'!K9</f>
        <v>0</v>
      </c>
      <c r="I35" s="398">
        <f>'Volume Sens Wksht Prod Z'!K9</f>
        <v>0</v>
      </c>
      <c r="J35" s="402">
        <f>'Expense Sens Wksht'!K9</f>
        <v>-0.52170840161869581</v>
      </c>
      <c r="K35" s="407">
        <f>'MARR Sens Wksht'!J9</f>
        <v>-4.8869705327818896E-2</v>
      </c>
      <c r="L35" s="405">
        <f>IF('Initial Inputs'!$E$36=0,'Level Payment Fin Sens Wksht'!G194,'Level Prin Paymt Fin Sens Wksht'!G194)</f>
        <v>0</v>
      </c>
      <c r="M35" s="443">
        <f>'Disposl $ Sensitivity Wksht'!H237</f>
        <v>1.8429786142634685E-2</v>
      </c>
    </row>
    <row r="36" spans="2:13" x14ac:dyDescent="0.15">
      <c r="C36" s="409" t="s">
        <v>419</v>
      </c>
      <c r="D36" s="398">
        <f>'Price Sens Wksht Prod X'!K10</f>
        <v>1.234135349209295</v>
      </c>
      <c r="E36" s="398">
        <f>'Volume Sens Wksht Prod X'!K10</f>
        <v>0.64026050272471113</v>
      </c>
      <c r="F36" s="398">
        <f>'Price Sens Wksht Prod Y'!K10</f>
        <v>0</v>
      </c>
      <c r="G36" s="398">
        <f>'Volume Sens Wksht Prod Y'!K10</f>
        <v>0</v>
      </c>
      <c r="H36" s="398">
        <f>'Price Sens Wksht Prod Z'!K10</f>
        <v>0</v>
      </c>
      <c r="I36" s="398">
        <f>'Volume Sens Wksht Prod Z'!K10</f>
        <v>0</v>
      </c>
      <c r="J36" s="402">
        <f>'Expense Sens Wksht'!K10</f>
        <v>-1.0434168032373907</v>
      </c>
      <c r="K36" s="407">
        <f>'MARR Sens Wksht'!J10</f>
        <v>-9.6194210450440049E-2</v>
      </c>
      <c r="L36" s="405">
        <f>IF('Initial Inputs'!$E$36=0,'Level Payment Fin Sens Wksht'!G195,'Level Prin Paymt Fin Sens Wksht'!G195)</f>
        <v>0</v>
      </c>
      <c r="M36" s="443">
        <f>'Disposl $ Sensitivity Wksht'!H238</f>
        <v>2.1959560425121476E-2</v>
      </c>
    </row>
    <row r="37" spans="2:13" x14ac:dyDescent="0.15">
      <c r="C37" s="409" t="s">
        <v>420</v>
      </c>
      <c r="D37" s="398">
        <f>'Price Sens Wksht Prod X'!K11</f>
        <v>1.8512030238139403</v>
      </c>
      <c r="E37" s="398">
        <f>'Volume Sens Wksht Prod X'!K11</f>
        <v>0.96039075408706565</v>
      </c>
      <c r="F37" s="398">
        <f>'Price Sens Wksht Prod Y'!K11</f>
        <v>0</v>
      </c>
      <c r="G37" s="398">
        <f>'Volume Sens Wksht Prod Y'!K11</f>
        <v>0</v>
      </c>
      <c r="H37" s="398">
        <f>'Price Sens Wksht Prod Z'!K11</f>
        <v>0</v>
      </c>
      <c r="I37" s="398">
        <f>'Volume Sens Wksht Prod Z'!K11</f>
        <v>0</v>
      </c>
      <c r="J37" s="402">
        <f>'Expense Sens Wksht'!K11</f>
        <v>-1.5651252048560842</v>
      </c>
      <c r="K37" s="407">
        <f>'MARR Sens Wksht'!J11</f>
        <v>-0.14203676230290968</v>
      </c>
      <c r="L37" s="405">
        <f>IF('Initial Inputs'!$E$36=0,'Level Payment Fin Sens Wksht'!G196,'Level Prin Paymt Fin Sens Wksht'!G196)</f>
        <v>0</v>
      </c>
      <c r="M37" s="443">
        <f>'Disposl $ Sensitivity Wksht'!H239</f>
        <v>2.5489334707608145E-2</v>
      </c>
    </row>
    <row r="38" spans="2:13" x14ac:dyDescent="0.15">
      <c r="C38" s="409" t="s">
        <v>421</v>
      </c>
      <c r="D38" s="398">
        <f>'Price Sens Wksht Prod X'!K12</f>
        <v>2.4682706984185883</v>
      </c>
      <c r="E38" s="398">
        <f>'Volume Sens Wksht Prod X'!K12</f>
        <v>1.2805210054494212</v>
      </c>
      <c r="F38" s="398">
        <f>'Price Sens Wksht Prod Y'!K12</f>
        <v>0</v>
      </c>
      <c r="G38" s="398">
        <f>'Volume Sens Wksht Prod Y'!K12</f>
        <v>0</v>
      </c>
      <c r="H38" s="398">
        <f>'Price Sens Wksht Prod Z'!K12</f>
        <v>0</v>
      </c>
      <c r="I38" s="398">
        <f>'Volume Sens Wksht Prod Z'!K12</f>
        <v>0</v>
      </c>
      <c r="J38" s="402">
        <f>'Expense Sens Wksht'!K12</f>
        <v>-2.0868336064747792</v>
      </c>
      <c r="K38" s="407">
        <f>'MARR Sens Wksht'!J12</f>
        <v>-0.18645751774535754</v>
      </c>
      <c r="L38" s="405">
        <f>IF('Initial Inputs'!$E$36=0,'Level Payment Fin Sens Wksht'!G197,'Level Prin Paymt Fin Sens Wksht'!G197)</f>
        <v>0</v>
      </c>
      <c r="M38" s="443">
        <f>'Disposl $ Sensitivity Wksht'!H240</f>
        <v>2.901910899009481E-2</v>
      </c>
    </row>
    <row r="39" spans="2:13" ht="14" thickBot="1" x14ac:dyDescent="0.2">
      <c r="C39" s="411" t="s">
        <v>422</v>
      </c>
      <c r="D39" s="403">
        <f>'Price Sens Wksht Prod X'!K13</f>
        <v>3.0853383730232342</v>
      </c>
      <c r="E39" s="403">
        <f>'Volume Sens Wksht Prod X'!K13</f>
        <v>1.6006512568117759</v>
      </c>
      <c r="F39" s="403">
        <f>'Price Sens Wksht Prod Y'!K13</f>
        <v>0</v>
      </c>
      <c r="G39" s="403">
        <f>'Volume Sens Wksht Prod Y'!K13</f>
        <v>0</v>
      </c>
      <c r="H39" s="403">
        <f>'Price Sens Wksht Prod Z'!K13</f>
        <v>0</v>
      </c>
      <c r="I39" s="403">
        <f>'Volume Sens Wksht Prod Z'!K13</f>
        <v>0</v>
      </c>
      <c r="J39" s="404">
        <f>'Expense Sens Wksht'!K13</f>
        <v>-2.6085420080934751</v>
      </c>
      <c r="K39" s="407">
        <f>'MARR Sens Wksht'!J13</f>
        <v>-0.22951371681807481</v>
      </c>
      <c r="L39" s="405">
        <f>IF('Initial Inputs'!$E$36=0,'Level Payment Fin Sens Wksht'!G198,'Level Prin Paymt Fin Sens Wksht'!G198)</f>
        <v>0</v>
      </c>
      <c r="M39" s="443">
        <f>'Disposl $ Sensitivity Wksht'!H241</f>
        <v>3.2548883272581479E-2</v>
      </c>
    </row>
    <row r="40" spans="2:13" x14ac:dyDescent="0.15">
      <c r="L40" s="585"/>
    </row>
    <row r="41" spans="2:13" x14ac:dyDescent="0.15">
      <c r="C41" s="1" t="s">
        <v>428</v>
      </c>
      <c r="D41" t="s">
        <v>424</v>
      </c>
    </row>
    <row r="44" spans="2:13" ht="16" x14ac:dyDescent="0.2">
      <c r="B44" s="215" t="s">
        <v>429</v>
      </c>
    </row>
    <row r="45" spans="2:13" ht="12.25" customHeight="1" thickBot="1" x14ac:dyDescent="0.2"/>
    <row r="46" spans="2:13" ht="15.75" customHeight="1" thickBot="1" x14ac:dyDescent="0.25">
      <c r="B46" s="48" t="s">
        <v>430</v>
      </c>
      <c r="D46" s="438" t="str">
        <f>'Price Sens Wksht Prod X'!H2</f>
        <v>IRR</v>
      </c>
      <c r="E46" s="439" t="str">
        <f>'Price Sens Wksht Prod X'!I2</f>
        <v>% chg fm Base</v>
      </c>
      <c r="F46" s="439" t="str">
        <f>'Price Sens Wksht Prod X'!J2</f>
        <v>NPV</v>
      </c>
      <c r="G46" s="440" t="str">
        <f>'Price Sens Wksht Prod X'!K2</f>
        <v>% chg fm Base</v>
      </c>
    </row>
    <row r="47" spans="2:13" ht="16" x14ac:dyDescent="0.2">
      <c r="B47" s="48" t="s">
        <v>49</v>
      </c>
      <c r="C47" s="447" t="str">
        <f>'Price Sens Wksht Prod X'!G3</f>
        <v>-25%</v>
      </c>
      <c r="D47" s="454" t="str">
        <f>'Price Sens Wksht Prod X'!H3</f>
        <v>NMF</v>
      </c>
      <c r="E47" s="454" t="str">
        <f>'Price Sens Wksht Prod X'!I3</f>
        <v>NMF</v>
      </c>
      <c r="F47" s="564">
        <f>'Price Sens Wksht Prod X'!J3</f>
        <v>-125482839.76593356</v>
      </c>
      <c r="G47" s="455">
        <f>'Price Sens Wksht Prod X'!K3</f>
        <v>-3.0853383730232355</v>
      </c>
    </row>
    <row r="48" spans="2:13" ht="16" x14ac:dyDescent="0.2">
      <c r="B48" s="48" t="s">
        <v>431</v>
      </c>
      <c r="C48" s="448" t="str">
        <f>'Price Sens Wksht Prod X'!G4</f>
        <v>-20%</v>
      </c>
      <c r="D48" s="452">
        <f>'Price Sens Wksht Prod X'!H4</f>
        <v>-0.30211094768243363</v>
      </c>
      <c r="E48" s="452">
        <f>'Price Sens Wksht Prod X'!I4</f>
        <v>-1.7450509133377925</v>
      </c>
      <c r="F48" s="60">
        <f>'Price Sens Wksht Prod X'!J4</f>
        <v>-88351501.687262237</v>
      </c>
      <c r="G48" s="418">
        <f>'Price Sens Wksht Prod X'!K4</f>
        <v>-2.4682706984185883</v>
      </c>
    </row>
    <row r="49" spans="2:7" x14ac:dyDescent="0.15">
      <c r="C49" s="448" t="str">
        <f>'Price Sens Wksht Prod X'!G5</f>
        <v>-15%</v>
      </c>
      <c r="D49" s="452">
        <f>'Price Sens Wksht Prod X'!H5</f>
        <v>-8.4761570300653566E-2</v>
      </c>
      <c r="E49" s="452">
        <f>'Price Sens Wksht Prod X'!I5</f>
        <v>-1.209034746515806</v>
      </c>
      <c r="F49" s="60">
        <f>'Price Sens Wksht Prod X'!J5</f>
        <v>-51220163.608590938</v>
      </c>
      <c r="G49" s="418">
        <f>'Price Sens Wksht Prod X'!K5</f>
        <v>-1.8512030238139414</v>
      </c>
    </row>
    <row r="50" spans="2:7" x14ac:dyDescent="0.15">
      <c r="C50" s="448" t="str">
        <f>'Price Sens Wksht Prod X'!G6</f>
        <v>-10%</v>
      </c>
      <c r="D50" s="452">
        <f>'Price Sens Wksht Prod X'!H6</f>
        <v>9.7095016114275623E-2</v>
      </c>
      <c r="E50" s="452">
        <f>'Price Sens Wksht Prod X'!I6</f>
        <v>-0.76054912610273795</v>
      </c>
      <c r="F50" s="60">
        <f>'Price Sens Wksht Prod X'!J6</f>
        <v>-14088825.52991958</v>
      </c>
      <c r="G50" s="418">
        <f>'Price Sens Wksht Prod X'!K6</f>
        <v>-1.2341353492092939</v>
      </c>
    </row>
    <row r="51" spans="2:7" x14ac:dyDescent="0.15">
      <c r="C51" s="448" t="str">
        <f>'Price Sens Wksht Prod X'!G7</f>
        <v>-5%</v>
      </c>
      <c r="D51" s="452">
        <f>'Price Sens Wksht Prod X'!H7</f>
        <v>0.25777456380193042</v>
      </c>
      <c r="E51" s="452">
        <f>'Price Sens Wksht Prod X'!I7</f>
        <v>-0.36428925972666276</v>
      </c>
      <c r="F51" s="60">
        <f>'Price Sens Wksht Prod X'!J7</f>
        <v>23042512.548751727</v>
      </c>
      <c r="G51" s="418">
        <f>'Price Sens Wksht Prod X'!K7</f>
        <v>-0.61706767460464707</v>
      </c>
    </row>
    <row r="52" spans="2:7" x14ac:dyDescent="0.15">
      <c r="C52" s="448" t="str">
        <f>'Price Sens Wksht Prod X'!G8</f>
        <v>0%</v>
      </c>
      <c r="D52" s="452">
        <f>'Price Sens Wksht Prod X'!H8</f>
        <v>0.40549033935008683</v>
      </c>
      <c r="E52" s="452">
        <f>'Price Sens Wksht Prod X'!I8</f>
        <v>0</v>
      </c>
      <c r="F52" s="60">
        <f>'Price Sens Wksht Prod X'!J8</f>
        <v>60173850.627423048</v>
      </c>
      <c r="G52" s="418">
        <f>'Price Sens Wksht Prod X'!K8</f>
        <v>0</v>
      </c>
    </row>
    <row r="53" spans="2:7" x14ac:dyDescent="0.15">
      <c r="C53" s="448" t="str">
        <f>'Price Sens Wksht Prod X'!G9</f>
        <v>+5%</v>
      </c>
      <c r="D53" s="452">
        <f>'Price Sens Wksht Prod X'!H9</f>
        <v>0.54477962297697968</v>
      </c>
      <c r="E53" s="452">
        <f>'Price Sens Wksht Prod X'!I9</f>
        <v>0.34350826668310619</v>
      </c>
      <c r="F53" s="60">
        <f>'Price Sens Wksht Prod X'!J9</f>
        <v>97305188.706094414</v>
      </c>
      <c r="G53" s="418">
        <f>'Price Sens Wksht Prod X'!K9</f>
        <v>0.61706767460464773</v>
      </c>
    </row>
    <row r="54" spans="2:7" x14ac:dyDescent="0.15">
      <c r="C54" s="448" t="str">
        <f>'Price Sens Wksht Prod X'!G10</f>
        <v>+10%</v>
      </c>
      <c r="D54" s="452">
        <f>'Price Sens Wksht Prod X'!H10</f>
        <v>0.67830227306091695</v>
      </c>
      <c r="E54" s="452">
        <f>'Price Sens Wksht Prod X'!I10</f>
        <v>0.67279515005977342</v>
      </c>
      <c r="F54" s="60">
        <f>'Price Sens Wksht Prod X'!J10</f>
        <v>134436526.78476575</v>
      </c>
      <c r="G54" s="418">
        <f>'Price Sens Wksht Prod X'!K10</f>
        <v>1.234135349209295</v>
      </c>
    </row>
    <row r="55" spans="2:7" x14ac:dyDescent="0.15">
      <c r="C55" s="448" t="str">
        <f>'Price Sens Wksht Prod X'!G11</f>
        <v>+15%</v>
      </c>
      <c r="D55" s="452">
        <f>'Price Sens Wksht Prod X'!H11</f>
        <v>0.80771549840865098</v>
      </c>
      <c r="E55" s="452">
        <f>'Price Sens Wksht Prod X'!I11</f>
        <v>0.99194757562718749</v>
      </c>
      <c r="F55" s="60">
        <f>'Price Sens Wksht Prod X'!J11</f>
        <v>171567864.86343697</v>
      </c>
      <c r="G55" s="418">
        <f>'Price Sens Wksht Prod X'!K11</f>
        <v>1.8512030238139403</v>
      </c>
    </row>
    <row r="56" spans="2:7" x14ac:dyDescent="0.15">
      <c r="C56" s="448" t="str">
        <f>'Price Sens Wksht Prod X'!G12</f>
        <v>+20%</v>
      </c>
      <c r="D56" s="452">
        <f>'Price Sens Wksht Prod X'!H12</f>
        <v>0.93410525986521442</v>
      </c>
      <c r="E56" s="452">
        <f>'Price Sens Wksht Prod X'!I12</f>
        <v>1.3036436857222857</v>
      </c>
      <c r="F56" s="60">
        <f>'Price Sens Wksht Prod X'!J12</f>
        <v>208699202.94210833</v>
      </c>
      <c r="G56" s="418">
        <f>'Price Sens Wksht Prod X'!K12</f>
        <v>2.4682706984185883</v>
      </c>
    </row>
    <row r="57" spans="2:7" ht="14" thickBot="1" x14ac:dyDescent="0.2">
      <c r="C57" s="449" t="str">
        <f>'Price Sens Wksht Prod X'!G13</f>
        <v>+25%</v>
      </c>
      <c r="D57" s="453">
        <f>'Price Sens Wksht Prod X'!H13</f>
        <v>1.0582126356580095</v>
      </c>
      <c r="E57" s="453">
        <f>'Price Sens Wksht Prod X'!I13</f>
        <v>1.6097110904148668</v>
      </c>
      <c r="F57" s="602">
        <f>'Price Sens Wksht Prod X'!J13</f>
        <v>245830541.02077961</v>
      </c>
      <c r="G57" s="419">
        <f>'Price Sens Wksht Prod X'!K13</f>
        <v>3.0853383730232342</v>
      </c>
    </row>
    <row r="59" spans="2:7" ht="14" thickBot="1" x14ac:dyDescent="0.2"/>
    <row r="60" spans="2:7" ht="17" thickBot="1" x14ac:dyDescent="0.25">
      <c r="B60" s="48" t="s">
        <v>430</v>
      </c>
      <c r="D60" s="438" t="str">
        <f>'Volume Sens Wksht Prod X'!H2</f>
        <v>IRR</v>
      </c>
      <c r="E60" s="439" t="str">
        <f>'Volume Sens Wksht Prod X'!I2</f>
        <v>% chg fm Base</v>
      </c>
      <c r="F60" s="439" t="str">
        <f>'Volume Sens Wksht Prod X'!J2</f>
        <v>NPV</v>
      </c>
      <c r="G60" s="440" t="str">
        <f>'Volume Sens Wksht Prod X'!K2</f>
        <v>% chg fm Base</v>
      </c>
    </row>
    <row r="61" spans="2:7" ht="16" x14ac:dyDescent="0.2">
      <c r="B61" s="48" t="s">
        <v>432</v>
      </c>
      <c r="C61" s="447" t="str">
        <f>'Volume Sens Wksht Prod X'!G3</f>
        <v>-25%</v>
      </c>
      <c r="D61" s="454">
        <f>'Volume Sens Wksht Prod X'!H3</f>
        <v>2.6491723908432796E-3</v>
      </c>
      <c r="E61" s="454">
        <f>'Volume Sens Wksht Prod X'!I3</f>
        <v>-0.99346674351085817</v>
      </c>
      <c r="F61" s="564">
        <f>'Volume Sens Wksht Prod X'!J3</f>
        <v>-36143499.006565697</v>
      </c>
      <c r="G61" s="455">
        <f>'Volume Sens Wksht Prod X'!K3</f>
        <v>-1.6006512568117754</v>
      </c>
    </row>
    <row r="62" spans="2:7" ht="16" x14ac:dyDescent="0.2">
      <c r="B62" s="48" t="s">
        <v>431</v>
      </c>
      <c r="C62" s="448" t="str">
        <f>'Volume Sens Wksht Prod X'!G4</f>
        <v>-20%</v>
      </c>
      <c r="D62" s="452">
        <f>'Volume Sens Wksht Prod X'!H4</f>
        <v>8.7658961904533816E-2</v>
      </c>
      <c r="E62" s="452">
        <f>'Volume Sens Wksht Prod X'!I4</f>
        <v>-0.78381985118305864</v>
      </c>
      <c r="F62" s="60">
        <f>'Volume Sens Wksht Prod X'!J4</f>
        <v>-16880029.079767972</v>
      </c>
      <c r="G62" s="418">
        <f>'Volume Sens Wksht Prod X'!K4</f>
        <v>-1.2805210054494207</v>
      </c>
    </row>
    <row r="63" spans="2:7" x14ac:dyDescent="0.15">
      <c r="C63" s="448" t="str">
        <f>'Volume Sens Wksht Prod X'!G5</f>
        <v>-15%</v>
      </c>
      <c r="D63" s="452">
        <f>'Volume Sens Wksht Prod X'!H5</f>
        <v>0.1700698580721911</v>
      </c>
      <c r="E63" s="452">
        <f>'Volume Sens Wksht Prod X'!I5</f>
        <v>-0.58058221967809087</v>
      </c>
      <c r="F63" s="60">
        <f>'Volume Sens Wksht Prod X'!J5</f>
        <v>2383440.8470297754</v>
      </c>
      <c r="G63" s="418">
        <f>'Volume Sens Wksht Prod X'!K5</f>
        <v>-0.96039075408706565</v>
      </c>
    </row>
    <row r="64" spans="2:7" x14ac:dyDescent="0.15">
      <c r="C64" s="448" t="str">
        <f>'Volume Sens Wksht Prod X'!G6</f>
        <v>-10%</v>
      </c>
      <c r="D64" s="452">
        <f>'Volume Sens Wksht Prod X'!H6</f>
        <v>0.25028639580173251</v>
      </c>
      <c r="E64" s="452">
        <f>'Volume Sens Wksht Prod X'!I6</f>
        <v>-0.38275620523318166</v>
      </c>
      <c r="F64" s="60">
        <f>'Volume Sens Wksht Prod X'!J6</f>
        <v>21646910.773827523</v>
      </c>
      <c r="G64" s="418">
        <f>'Volume Sens Wksht Prod X'!K6</f>
        <v>-0.64026050272471058</v>
      </c>
    </row>
    <row r="65" spans="2:7" x14ac:dyDescent="0.15">
      <c r="C65" s="448" t="str">
        <f>'Volume Sens Wksht Prod X'!G7</f>
        <v>-5%</v>
      </c>
      <c r="D65" s="452">
        <f>'Volume Sens Wksht Prod X'!H7</f>
        <v>0.32866104430381071</v>
      </c>
      <c r="E65" s="452">
        <f>'Volume Sens Wksht Prod X'!I7</f>
        <v>-0.18947256590481742</v>
      </c>
      <c r="F65" s="60">
        <f>'Volume Sens Wksht Prod X'!J7</f>
        <v>40910380.700625315</v>
      </c>
      <c r="G65" s="418">
        <f>'Volume Sens Wksht Prod X'!K7</f>
        <v>-0.32013025136235485</v>
      </c>
    </row>
    <row r="66" spans="2:7" x14ac:dyDescent="0.15">
      <c r="C66" s="448" t="str">
        <f>'Volume Sens Wksht Prod X'!G8</f>
        <v>0%</v>
      </c>
      <c r="D66" s="452">
        <f>'Volume Sens Wksht Prod X'!H8</f>
        <v>0.40549033935008683</v>
      </c>
      <c r="E66" s="452">
        <f>'Volume Sens Wksht Prod X'!I8</f>
        <v>0</v>
      </c>
      <c r="F66" s="60">
        <f>'Volume Sens Wksht Prod X'!J8</f>
        <v>60173850.627423048</v>
      </c>
      <c r="G66" s="418">
        <f>'Volume Sens Wksht Prod X'!K8</f>
        <v>0</v>
      </c>
    </row>
    <row r="67" spans="2:7" x14ac:dyDescent="0.15">
      <c r="C67" s="448" t="str">
        <f>'Volume Sens Wksht Prod X'!G9</f>
        <v>+5%</v>
      </c>
      <c r="D67" s="452">
        <f>'Volume Sens Wksht Prod X'!H9</f>
        <v>0.48101985873725517</v>
      </c>
      <c r="E67" s="452">
        <f>'Volume Sens Wksht Prod X'!I9</f>
        <v>0.1862671241643532</v>
      </c>
      <c r="F67" s="60">
        <f>'Volume Sens Wksht Prod X'!J9</f>
        <v>79437320.554220855</v>
      </c>
      <c r="G67" s="418">
        <f>'Volume Sens Wksht Prod X'!K9</f>
        <v>0.32013025136235607</v>
      </c>
    </row>
    <row r="68" spans="2:7" x14ac:dyDescent="0.15">
      <c r="C68" s="448" t="str">
        <f>'Volume Sens Wksht Prod X'!G10</f>
        <v>+10%</v>
      </c>
      <c r="D68" s="452">
        <f>'Volume Sens Wksht Prod X'!H10</f>
        <v>0.55545177637144438</v>
      </c>
      <c r="E68" s="452">
        <f>'Volume Sens Wksht Prod X'!I10</f>
        <v>0.3698273977666478</v>
      </c>
      <c r="F68" s="60">
        <f>'Volume Sens Wksht Prod X'!J10</f>
        <v>98700790.481018603</v>
      </c>
      <c r="G68" s="418">
        <f>'Volume Sens Wksht Prod X'!K10</f>
        <v>0.64026050272471113</v>
      </c>
    </row>
    <row r="69" spans="2:7" x14ac:dyDescent="0.15">
      <c r="C69" s="448" t="str">
        <f>'Volume Sens Wksht Prod X'!G11</f>
        <v>+15%</v>
      </c>
      <c r="D69" s="452">
        <f>'Volume Sens Wksht Prod X'!H11</f>
        <v>0.62895242074733826</v>
      </c>
      <c r="E69" s="452">
        <f>'Volume Sens Wksht Prod X'!I11</f>
        <v>0.55109101182388898</v>
      </c>
      <c r="F69" s="60">
        <f>'Volume Sens Wksht Prod X'!J11</f>
        <v>117964260.40781632</v>
      </c>
      <c r="G69" s="418">
        <f>'Volume Sens Wksht Prod X'!K11</f>
        <v>0.96039075408706565</v>
      </c>
    </row>
    <row r="70" spans="2:7" x14ac:dyDescent="0.15">
      <c r="C70" s="448" t="str">
        <f>'Volume Sens Wksht Prod X'!G12</f>
        <v>+20%</v>
      </c>
      <c r="D70" s="452">
        <f>'Volume Sens Wksht Prod X'!H12</f>
        <v>0.70165892928074292</v>
      </c>
      <c r="E70" s="452">
        <f>'Volume Sens Wksht Prod X'!I12</f>
        <v>0.73039616777393557</v>
      </c>
      <c r="F70" s="60">
        <f>'Volume Sens Wksht Prod X'!J12</f>
        <v>137227730.3346141</v>
      </c>
      <c r="G70" s="418">
        <f>'Volume Sens Wksht Prod X'!K12</f>
        <v>1.2805210054494212</v>
      </c>
    </row>
    <row r="71" spans="2:7" ht="14" thickBot="1" x14ac:dyDescent="0.2">
      <c r="C71" s="449" t="str">
        <f>'Volume Sens Wksht Prod X'!G13</f>
        <v>+25%</v>
      </c>
      <c r="D71" s="453">
        <f>'Volume Sens Wksht Prod X'!H13</f>
        <v>0.7736847937422795</v>
      </c>
      <c r="E71" s="453">
        <f>'Volume Sens Wksht Prod X'!I13</f>
        <v>0.90802275334679639</v>
      </c>
      <c r="F71" s="602">
        <f>'Volume Sens Wksht Prod X'!J13</f>
        <v>156491200.26141182</v>
      </c>
      <c r="G71" s="419">
        <f>'Volume Sens Wksht Prod X'!K13</f>
        <v>1.6006512568117759</v>
      </c>
    </row>
    <row r="73" spans="2:7" ht="14" thickBot="1" x14ac:dyDescent="0.2"/>
    <row r="74" spans="2:7" ht="17" thickBot="1" x14ac:dyDescent="0.25">
      <c r="B74" s="48" t="s">
        <v>433</v>
      </c>
      <c r="D74" s="444" t="str">
        <f>'Price Sens Wksht Prod Y'!H2</f>
        <v>IRR</v>
      </c>
      <c r="E74" s="445" t="str">
        <f>'Price Sens Wksht Prod Y'!I2</f>
        <v>% chg fm Base</v>
      </c>
      <c r="F74" s="445" t="str">
        <f>'Price Sens Wksht Prod Y'!J2</f>
        <v>NPV</v>
      </c>
      <c r="G74" s="446" t="str">
        <f>'Price Sens Wksht Prod Y'!K2</f>
        <v>% chg fm Base</v>
      </c>
    </row>
    <row r="75" spans="2:7" ht="16" x14ac:dyDescent="0.2">
      <c r="B75" s="48" t="s">
        <v>49</v>
      </c>
      <c r="C75" s="447" t="str">
        <f>'Price Sens Wksht Prod Y'!G3</f>
        <v>-25%</v>
      </c>
      <c r="D75" s="450">
        <f>'Price Sens Wksht Prod Y'!H3</f>
        <v>0.40549033935008683</v>
      </c>
      <c r="E75" s="450">
        <f>'Price Sens Wksht Prod Y'!I3</f>
        <v>0</v>
      </c>
      <c r="F75" s="616">
        <f>'Price Sens Wksht Prod Y'!J3</f>
        <v>60173850.627423048</v>
      </c>
      <c r="G75" s="451">
        <f>'Price Sens Wksht Prod Y'!K3</f>
        <v>0</v>
      </c>
    </row>
    <row r="76" spans="2:7" ht="16" x14ac:dyDescent="0.2">
      <c r="B76" s="48" t="s">
        <v>431</v>
      </c>
      <c r="C76" s="448" t="str">
        <f>'Price Sens Wksht Prod Y'!G4</f>
        <v>-20%</v>
      </c>
      <c r="D76" s="452">
        <f>'Price Sens Wksht Prod Y'!H4</f>
        <v>0.40549033935008683</v>
      </c>
      <c r="E76" s="452">
        <f>'Price Sens Wksht Prod Y'!I4</f>
        <v>0</v>
      </c>
      <c r="F76" s="60">
        <f>'Price Sens Wksht Prod Y'!J4</f>
        <v>60173850.627423048</v>
      </c>
      <c r="G76" s="418">
        <f>'Price Sens Wksht Prod Y'!K4</f>
        <v>0</v>
      </c>
    </row>
    <row r="77" spans="2:7" x14ac:dyDescent="0.15">
      <c r="C77" s="448" t="str">
        <f>'Price Sens Wksht Prod Y'!G5</f>
        <v>-15%</v>
      </c>
      <c r="D77" s="452">
        <f>'Price Sens Wksht Prod Y'!H5</f>
        <v>0.40549033935008683</v>
      </c>
      <c r="E77" s="452">
        <f>'Price Sens Wksht Prod Y'!I5</f>
        <v>0</v>
      </c>
      <c r="F77" s="60">
        <f>'Price Sens Wksht Prod Y'!J5</f>
        <v>60173850.627423048</v>
      </c>
      <c r="G77" s="418">
        <f>'Price Sens Wksht Prod Y'!K5</f>
        <v>0</v>
      </c>
    </row>
    <row r="78" spans="2:7" x14ac:dyDescent="0.15">
      <c r="C78" s="448" t="str">
        <f>'Price Sens Wksht Prod Y'!G6</f>
        <v>-10%</v>
      </c>
      <c r="D78" s="452">
        <f>'Price Sens Wksht Prod Y'!H6</f>
        <v>0.40549033935008683</v>
      </c>
      <c r="E78" s="452">
        <f>'Price Sens Wksht Prod Y'!I6</f>
        <v>0</v>
      </c>
      <c r="F78" s="60">
        <f>'Price Sens Wksht Prod Y'!J6</f>
        <v>60173850.627423048</v>
      </c>
      <c r="G78" s="418">
        <f>'Price Sens Wksht Prod Y'!K6</f>
        <v>0</v>
      </c>
    </row>
    <row r="79" spans="2:7" x14ac:dyDescent="0.15">
      <c r="C79" s="448" t="str">
        <f>'Price Sens Wksht Prod Y'!G7</f>
        <v>-5%</v>
      </c>
      <c r="D79" s="452">
        <f>'Price Sens Wksht Prod Y'!H7</f>
        <v>0.40549033935008683</v>
      </c>
      <c r="E79" s="452">
        <f>'Price Sens Wksht Prod Y'!I7</f>
        <v>0</v>
      </c>
      <c r="F79" s="60">
        <f>'Price Sens Wksht Prod Y'!J7</f>
        <v>60173850.627423048</v>
      </c>
      <c r="G79" s="418">
        <f>'Price Sens Wksht Prod Y'!K7</f>
        <v>0</v>
      </c>
    </row>
    <row r="80" spans="2:7" x14ac:dyDescent="0.15">
      <c r="C80" s="448" t="str">
        <f>'Price Sens Wksht Prod Y'!G8</f>
        <v>0%</v>
      </c>
      <c r="D80" s="452">
        <f>'Price Sens Wksht Prod Y'!H8</f>
        <v>0.40549033935008683</v>
      </c>
      <c r="E80" s="452">
        <f>'Price Sens Wksht Prod Y'!I8</f>
        <v>0</v>
      </c>
      <c r="F80" s="60">
        <f>'Price Sens Wksht Prod Y'!J8</f>
        <v>60173850.627423048</v>
      </c>
      <c r="G80" s="418">
        <f>'Price Sens Wksht Prod Y'!K8</f>
        <v>0</v>
      </c>
    </row>
    <row r="81" spans="2:7" x14ac:dyDescent="0.15">
      <c r="C81" s="448" t="str">
        <f>'Price Sens Wksht Prod Y'!G9</f>
        <v>+5%</v>
      </c>
      <c r="D81" s="452">
        <f>'Price Sens Wksht Prod Y'!H9</f>
        <v>0.40549033935008683</v>
      </c>
      <c r="E81" s="452">
        <f>'Price Sens Wksht Prod Y'!I9</f>
        <v>0</v>
      </c>
      <c r="F81" s="60">
        <f>'Price Sens Wksht Prod Y'!J9</f>
        <v>60173850.627423048</v>
      </c>
      <c r="G81" s="418">
        <f>'Price Sens Wksht Prod Y'!K9</f>
        <v>0</v>
      </c>
    </row>
    <row r="82" spans="2:7" x14ac:dyDescent="0.15">
      <c r="C82" s="448" t="str">
        <f>'Price Sens Wksht Prod Y'!G10</f>
        <v>+10%</v>
      </c>
      <c r="D82" s="452">
        <f>'Price Sens Wksht Prod Y'!H10</f>
        <v>0.40549033935008683</v>
      </c>
      <c r="E82" s="452">
        <f>'Price Sens Wksht Prod Y'!I10</f>
        <v>0</v>
      </c>
      <c r="F82" s="60">
        <f>'Price Sens Wksht Prod Y'!J10</f>
        <v>60173850.627423048</v>
      </c>
      <c r="G82" s="418">
        <f>'Price Sens Wksht Prod Y'!K10</f>
        <v>0</v>
      </c>
    </row>
    <row r="83" spans="2:7" x14ac:dyDescent="0.15">
      <c r="C83" s="448" t="str">
        <f>'Price Sens Wksht Prod Y'!G11</f>
        <v>+15%</v>
      </c>
      <c r="D83" s="452">
        <f>'Price Sens Wksht Prod Y'!H11</f>
        <v>0.40549033935008683</v>
      </c>
      <c r="E83" s="452">
        <f>'Price Sens Wksht Prod Y'!I11</f>
        <v>0</v>
      </c>
      <c r="F83" s="60">
        <f>'Price Sens Wksht Prod Y'!J11</f>
        <v>60173850.627423048</v>
      </c>
      <c r="G83" s="418">
        <f>'Price Sens Wksht Prod Y'!K11</f>
        <v>0</v>
      </c>
    </row>
    <row r="84" spans="2:7" x14ac:dyDescent="0.15">
      <c r="C84" s="448" t="str">
        <f>'Price Sens Wksht Prod Y'!G12</f>
        <v>+20%</v>
      </c>
      <c r="D84" s="452">
        <f>'Price Sens Wksht Prod Y'!H12</f>
        <v>0.40549033935008683</v>
      </c>
      <c r="E84" s="452">
        <f>'Price Sens Wksht Prod Y'!I12</f>
        <v>0</v>
      </c>
      <c r="F84" s="60">
        <f>'Price Sens Wksht Prod Y'!J12</f>
        <v>60173850.627423048</v>
      </c>
      <c r="G84" s="418">
        <f>'Price Sens Wksht Prod Y'!K12</f>
        <v>0</v>
      </c>
    </row>
    <row r="85" spans="2:7" ht="14" thickBot="1" x14ac:dyDescent="0.2">
      <c r="C85" s="449" t="str">
        <f>'Price Sens Wksht Prod Y'!G13</f>
        <v>+25%</v>
      </c>
      <c r="D85" s="453">
        <f>'Price Sens Wksht Prod Y'!H13</f>
        <v>0.40549033935008683</v>
      </c>
      <c r="E85" s="453">
        <f>'Price Sens Wksht Prod Y'!I13</f>
        <v>0</v>
      </c>
      <c r="F85" s="602">
        <f>'Price Sens Wksht Prod Y'!J13</f>
        <v>60173850.627423048</v>
      </c>
      <c r="G85" s="419">
        <f>'Price Sens Wksht Prod Y'!K13</f>
        <v>0</v>
      </c>
    </row>
    <row r="87" spans="2:7" ht="14" thickBot="1" x14ac:dyDescent="0.2"/>
    <row r="88" spans="2:7" ht="17" thickBot="1" x14ac:dyDescent="0.25">
      <c r="B88" s="48" t="s">
        <v>433</v>
      </c>
      <c r="D88" s="444" t="str">
        <f>'Volume Sens Wksht Prod Y'!H2</f>
        <v>IRR</v>
      </c>
      <c r="E88" s="445" t="str">
        <f>'Volume Sens Wksht Prod Y'!I2</f>
        <v>% chg fm Base</v>
      </c>
      <c r="F88" s="445" t="str">
        <f>'Volume Sens Wksht Prod Y'!J2</f>
        <v>NPV</v>
      </c>
      <c r="G88" s="446" t="str">
        <f>'Volume Sens Wksht Prod Y'!K2</f>
        <v>% chg fm Base</v>
      </c>
    </row>
    <row r="89" spans="2:7" ht="16" x14ac:dyDescent="0.2">
      <c r="B89" s="48" t="s">
        <v>432</v>
      </c>
      <c r="C89" s="447" t="str">
        <f>'Volume Sens Wksht Prod Y'!G3</f>
        <v>-25%</v>
      </c>
      <c r="D89" s="450">
        <f>'Volume Sens Wksht Prod Y'!H3</f>
        <v>0.40549033935008683</v>
      </c>
      <c r="E89" s="450">
        <f>'Volume Sens Wksht Prod Y'!I3</f>
        <v>0</v>
      </c>
      <c r="F89" s="616">
        <f>'Volume Sens Wksht Prod Y'!J3</f>
        <v>60173850.627423048</v>
      </c>
      <c r="G89" s="451">
        <f>'Volume Sens Wksht Prod Y'!K3</f>
        <v>0</v>
      </c>
    </row>
    <row r="90" spans="2:7" ht="16" x14ac:dyDescent="0.2">
      <c r="B90" s="48" t="s">
        <v>431</v>
      </c>
      <c r="C90" s="448" t="str">
        <f>'Volume Sens Wksht Prod Y'!G4</f>
        <v>-20%</v>
      </c>
      <c r="D90" s="452">
        <f>'Volume Sens Wksht Prod Y'!H4</f>
        <v>0.40549033935008683</v>
      </c>
      <c r="E90" s="452">
        <f>'Volume Sens Wksht Prod Y'!I4</f>
        <v>0</v>
      </c>
      <c r="F90" s="60">
        <f>'Volume Sens Wksht Prod Y'!J4</f>
        <v>60173850.627423048</v>
      </c>
      <c r="G90" s="418">
        <f>'Volume Sens Wksht Prod Y'!K4</f>
        <v>0</v>
      </c>
    </row>
    <row r="91" spans="2:7" x14ac:dyDescent="0.15">
      <c r="C91" s="448" t="str">
        <f>'Volume Sens Wksht Prod Y'!G5</f>
        <v>-15%</v>
      </c>
      <c r="D91" s="452">
        <f>'Volume Sens Wksht Prod Y'!H5</f>
        <v>0.40549033935008683</v>
      </c>
      <c r="E91" s="452">
        <f>'Volume Sens Wksht Prod Y'!I5</f>
        <v>0</v>
      </c>
      <c r="F91" s="60">
        <f>'Volume Sens Wksht Prod Y'!J5</f>
        <v>60173850.627423048</v>
      </c>
      <c r="G91" s="418">
        <f>'Volume Sens Wksht Prod Y'!K5</f>
        <v>0</v>
      </c>
    </row>
    <row r="92" spans="2:7" x14ac:dyDescent="0.15">
      <c r="C92" s="448" t="str">
        <f>'Volume Sens Wksht Prod Y'!G6</f>
        <v>-10%</v>
      </c>
      <c r="D92" s="452">
        <f>'Volume Sens Wksht Prod Y'!H6</f>
        <v>0.40549033935008683</v>
      </c>
      <c r="E92" s="452">
        <f>'Volume Sens Wksht Prod Y'!I6</f>
        <v>0</v>
      </c>
      <c r="F92" s="60">
        <f>'Volume Sens Wksht Prod Y'!J6</f>
        <v>60173850.627423048</v>
      </c>
      <c r="G92" s="418">
        <f>'Volume Sens Wksht Prod Y'!K6</f>
        <v>0</v>
      </c>
    </row>
    <row r="93" spans="2:7" x14ac:dyDescent="0.15">
      <c r="C93" s="448" t="str">
        <f>'Volume Sens Wksht Prod Y'!G7</f>
        <v>-5%</v>
      </c>
      <c r="D93" s="452">
        <f>'Volume Sens Wksht Prod Y'!H7</f>
        <v>0.40549033935008683</v>
      </c>
      <c r="E93" s="452">
        <f>'Volume Sens Wksht Prod Y'!I7</f>
        <v>0</v>
      </c>
      <c r="F93" s="60">
        <f>'Volume Sens Wksht Prod Y'!J7</f>
        <v>60173850.627423048</v>
      </c>
      <c r="G93" s="418">
        <f>'Volume Sens Wksht Prod Y'!K7</f>
        <v>0</v>
      </c>
    </row>
    <row r="94" spans="2:7" x14ac:dyDescent="0.15">
      <c r="C94" s="448" t="str">
        <f>'Volume Sens Wksht Prod Y'!G8</f>
        <v>0%</v>
      </c>
      <c r="D94" s="452">
        <f>'Volume Sens Wksht Prod Y'!H8</f>
        <v>0.40549033935008683</v>
      </c>
      <c r="E94" s="452">
        <f>'Volume Sens Wksht Prod Y'!I8</f>
        <v>0</v>
      </c>
      <c r="F94" s="60">
        <f>'Volume Sens Wksht Prod Y'!J8</f>
        <v>60173850.627423048</v>
      </c>
      <c r="G94" s="418">
        <f>'Volume Sens Wksht Prod Y'!K8</f>
        <v>0</v>
      </c>
    </row>
    <row r="95" spans="2:7" x14ac:dyDescent="0.15">
      <c r="C95" s="448" t="str">
        <f>'Volume Sens Wksht Prod Y'!G9</f>
        <v>+5%</v>
      </c>
      <c r="D95" s="452">
        <f>'Volume Sens Wksht Prod Y'!H9</f>
        <v>0.40549033935008683</v>
      </c>
      <c r="E95" s="452">
        <f>'Volume Sens Wksht Prod Y'!I9</f>
        <v>0</v>
      </c>
      <c r="F95" s="60">
        <f>'Volume Sens Wksht Prod Y'!J9</f>
        <v>60173850.627423048</v>
      </c>
      <c r="G95" s="418">
        <f>'Volume Sens Wksht Prod Y'!K9</f>
        <v>0</v>
      </c>
    </row>
    <row r="96" spans="2:7" x14ac:dyDescent="0.15">
      <c r="C96" s="448" t="str">
        <f>'Volume Sens Wksht Prod Y'!G10</f>
        <v>+10%</v>
      </c>
      <c r="D96" s="452">
        <f>'Volume Sens Wksht Prod Y'!H10</f>
        <v>0.40549033935008683</v>
      </c>
      <c r="E96" s="452">
        <f>'Volume Sens Wksht Prod Y'!I10</f>
        <v>0</v>
      </c>
      <c r="F96" s="60">
        <f>'Volume Sens Wksht Prod Y'!J10</f>
        <v>60173850.627423048</v>
      </c>
      <c r="G96" s="418">
        <f>'Volume Sens Wksht Prod Y'!K10</f>
        <v>0</v>
      </c>
    </row>
    <row r="97" spans="2:7" x14ac:dyDescent="0.15">
      <c r="C97" s="448" t="str">
        <f>'Volume Sens Wksht Prod Y'!G11</f>
        <v>+15%</v>
      </c>
      <c r="D97" s="452">
        <f>'Volume Sens Wksht Prod Y'!H11</f>
        <v>0.40549033935008683</v>
      </c>
      <c r="E97" s="452">
        <f>'Volume Sens Wksht Prod Y'!I11</f>
        <v>0</v>
      </c>
      <c r="F97" s="60">
        <f>'Volume Sens Wksht Prod Y'!J11</f>
        <v>60173850.627423048</v>
      </c>
      <c r="G97" s="418">
        <f>'Volume Sens Wksht Prod Y'!K11</f>
        <v>0</v>
      </c>
    </row>
    <row r="98" spans="2:7" x14ac:dyDescent="0.15">
      <c r="C98" s="448" t="str">
        <f>'Volume Sens Wksht Prod Y'!G12</f>
        <v>+20%</v>
      </c>
      <c r="D98" s="452">
        <f>'Volume Sens Wksht Prod Y'!H12</f>
        <v>0.40549033935008683</v>
      </c>
      <c r="E98" s="452">
        <f>'Volume Sens Wksht Prod Y'!I12</f>
        <v>0</v>
      </c>
      <c r="F98" s="60">
        <f>'Volume Sens Wksht Prod Y'!J12</f>
        <v>60173850.627423048</v>
      </c>
      <c r="G98" s="418">
        <f>'Volume Sens Wksht Prod Y'!K12</f>
        <v>0</v>
      </c>
    </row>
    <row r="99" spans="2:7" ht="14" thickBot="1" x14ac:dyDescent="0.2">
      <c r="C99" s="449" t="str">
        <f>'Volume Sens Wksht Prod Y'!G13</f>
        <v>+25%</v>
      </c>
      <c r="D99" s="453">
        <f>'Volume Sens Wksht Prod Y'!H13</f>
        <v>0.40549033935008683</v>
      </c>
      <c r="E99" s="453">
        <f>'Volume Sens Wksht Prod Y'!I13</f>
        <v>0</v>
      </c>
      <c r="F99" s="602">
        <f>'Volume Sens Wksht Prod Y'!J13</f>
        <v>60173850.627423048</v>
      </c>
      <c r="G99" s="419">
        <f>'Volume Sens Wksht Prod Y'!K13</f>
        <v>0</v>
      </c>
    </row>
    <row r="101" spans="2:7" ht="14" thickBot="1" x14ac:dyDescent="0.2"/>
    <row r="102" spans="2:7" ht="17" thickBot="1" x14ac:dyDescent="0.25">
      <c r="B102" s="48" t="s">
        <v>434</v>
      </c>
      <c r="D102" s="438" t="str">
        <f>'Price Sens Wksht Prod Z'!H2</f>
        <v>IRR</v>
      </c>
      <c r="E102" s="439" t="str">
        <f>'Price Sens Wksht Prod Z'!I2</f>
        <v>% chg fm Base</v>
      </c>
      <c r="F102" s="439" t="str">
        <f>'Price Sens Wksht Prod Z'!J2</f>
        <v>NPV</v>
      </c>
      <c r="G102" s="440" t="str">
        <f>'Price Sens Wksht Prod Z'!K2</f>
        <v>% chg fm Base</v>
      </c>
    </row>
    <row r="103" spans="2:7" ht="16" x14ac:dyDescent="0.2">
      <c r="B103" s="48" t="s">
        <v>49</v>
      </c>
      <c r="C103" s="447" t="str">
        <f>'Price Sens Wksht Prod Z'!G3</f>
        <v>-25%</v>
      </c>
      <c r="D103" s="454">
        <f>'Price Sens Wksht Prod Z'!H3</f>
        <v>0.40549033935008683</v>
      </c>
      <c r="E103" s="454">
        <f>'Price Sens Wksht Prod Z'!I3</f>
        <v>0</v>
      </c>
      <c r="F103" s="564">
        <f>'Price Sens Wksht Prod Z'!J3</f>
        <v>60173850.627423048</v>
      </c>
      <c r="G103" s="455">
        <f>'Price Sens Wksht Prod Z'!K3</f>
        <v>0</v>
      </c>
    </row>
    <row r="104" spans="2:7" ht="16" x14ac:dyDescent="0.2">
      <c r="B104" s="48" t="s">
        <v>431</v>
      </c>
      <c r="C104" s="448" t="str">
        <f>'Price Sens Wksht Prod Z'!G4</f>
        <v>-20%</v>
      </c>
      <c r="D104" s="452">
        <f>'Price Sens Wksht Prod Z'!H4</f>
        <v>0.40549033935008683</v>
      </c>
      <c r="E104" s="452">
        <f>'Price Sens Wksht Prod Z'!I4</f>
        <v>0</v>
      </c>
      <c r="F104" s="60">
        <f>'Price Sens Wksht Prod Z'!J4</f>
        <v>60173850.627423048</v>
      </c>
      <c r="G104" s="418">
        <f>'Price Sens Wksht Prod Z'!K4</f>
        <v>0</v>
      </c>
    </row>
    <row r="105" spans="2:7" x14ac:dyDescent="0.15">
      <c r="C105" s="448" t="str">
        <f>'Price Sens Wksht Prod Z'!G5</f>
        <v>-15%</v>
      </c>
      <c r="D105" s="452">
        <f>'Price Sens Wksht Prod Z'!H5</f>
        <v>0.40549033935008683</v>
      </c>
      <c r="E105" s="452">
        <f>'Price Sens Wksht Prod Z'!I5</f>
        <v>0</v>
      </c>
      <c r="F105" s="60">
        <f>'Price Sens Wksht Prod Z'!J5</f>
        <v>60173850.627423048</v>
      </c>
      <c r="G105" s="418">
        <f>'Price Sens Wksht Prod Z'!K5</f>
        <v>0</v>
      </c>
    </row>
    <row r="106" spans="2:7" x14ac:dyDescent="0.15">
      <c r="C106" s="448" t="str">
        <f>'Price Sens Wksht Prod Z'!G6</f>
        <v>-10%</v>
      </c>
      <c r="D106" s="452">
        <f>'Price Sens Wksht Prod Z'!H6</f>
        <v>0.40549033935008683</v>
      </c>
      <c r="E106" s="452">
        <f>'Price Sens Wksht Prod Z'!I6</f>
        <v>0</v>
      </c>
      <c r="F106" s="60">
        <f>'Price Sens Wksht Prod Z'!J6</f>
        <v>60173850.627423048</v>
      </c>
      <c r="G106" s="418">
        <f>'Price Sens Wksht Prod Z'!K6</f>
        <v>0</v>
      </c>
    </row>
    <row r="107" spans="2:7" x14ac:dyDescent="0.15">
      <c r="C107" s="448" t="str">
        <f>'Price Sens Wksht Prod Z'!G7</f>
        <v>-5%</v>
      </c>
      <c r="D107" s="452">
        <f>'Price Sens Wksht Prod Z'!H7</f>
        <v>0.40549033935008683</v>
      </c>
      <c r="E107" s="452">
        <f>'Price Sens Wksht Prod Z'!I7</f>
        <v>0</v>
      </c>
      <c r="F107" s="60">
        <f>'Price Sens Wksht Prod Z'!J7</f>
        <v>60173850.627423048</v>
      </c>
      <c r="G107" s="418">
        <f>'Price Sens Wksht Prod Z'!K7</f>
        <v>0</v>
      </c>
    </row>
    <row r="108" spans="2:7" x14ac:dyDescent="0.15">
      <c r="C108" s="448" t="str">
        <f>'Price Sens Wksht Prod Z'!G8</f>
        <v>0%</v>
      </c>
      <c r="D108" s="452">
        <f>'Price Sens Wksht Prod Z'!H8</f>
        <v>0.40549033935008683</v>
      </c>
      <c r="E108" s="452">
        <f>'Price Sens Wksht Prod Z'!I8</f>
        <v>0</v>
      </c>
      <c r="F108" s="60">
        <f>'Price Sens Wksht Prod Z'!J8</f>
        <v>60173850.627423048</v>
      </c>
      <c r="G108" s="418">
        <f>'Price Sens Wksht Prod Z'!K8</f>
        <v>0</v>
      </c>
    </row>
    <row r="109" spans="2:7" x14ac:dyDescent="0.15">
      <c r="C109" s="448" t="str">
        <f>'Price Sens Wksht Prod Z'!G9</f>
        <v>+5%</v>
      </c>
      <c r="D109" s="452">
        <f>'Price Sens Wksht Prod Z'!H9</f>
        <v>0.40549033935008683</v>
      </c>
      <c r="E109" s="452">
        <f>'Price Sens Wksht Prod Z'!I9</f>
        <v>0</v>
      </c>
      <c r="F109" s="60">
        <f>'Price Sens Wksht Prod Z'!J9</f>
        <v>60173850.627423048</v>
      </c>
      <c r="G109" s="418">
        <f>'Price Sens Wksht Prod Z'!K9</f>
        <v>0</v>
      </c>
    </row>
    <row r="110" spans="2:7" x14ac:dyDescent="0.15">
      <c r="C110" s="448" t="str">
        <f>'Price Sens Wksht Prod Z'!G10</f>
        <v>+10%</v>
      </c>
      <c r="D110" s="452">
        <f>'Price Sens Wksht Prod Z'!H10</f>
        <v>0.40549033935008683</v>
      </c>
      <c r="E110" s="452">
        <f>'Price Sens Wksht Prod Z'!I10</f>
        <v>0</v>
      </c>
      <c r="F110" s="60">
        <f>'Price Sens Wksht Prod Z'!J10</f>
        <v>60173850.627423048</v>
      </c>
      <c r="G110" s="418">
        <f>'Price Sens Wksht Prod Z'!K10</f>
        <v>0</v>
      </c>
    </row>
    <row r="111" spans="2:7" x14ac:dyDescent="0.15">
      <c r="C111" s="448" t="str">
        <f>'Price Sens Wksht Prod Z'!G11</f>
        <v>+15%</v>
      </c>
      <c r="D111" s="452">
        <f>'Price Sens Wksht Prod Z'!H11</f>
        <v>0.40549033935008683</v>
      </c>
      <c r="E111" s="452">
        <f>'Price Sens Wksht Prod Z'!I11</f>
        <v>0</v>
      </c>
      <c r="F111" s="60">
        <f>'Price Sens Wksht Prod Z'!J11</f>
        <v>60173850.627423048</v>
      </c>
      <c r="G111" s="418">
        <f>'Price Sens Wksht Prod Z'!K11</f>
        <v>0</v>
      </c>
    </row>
    <row r="112" spans="2:7" x14ac:dyDescent="0.15">
      <c r="C112" s="448" t="str">
        <f>'Price Sens Wksht Prod Z'!G12</f>
        <v>+20%</v>
      </c>
      <c r="D112" s="452">
        <f>'Price Sens Wksht Prod Z'!H12</f>
        <v>0.40549033935008683</v>
      </c>
      <c r="E112" s="452">
        <f>'Price Sens Wksht Prod Z'!I12</f>
        <v>0</v>
      </c>
      <c r="F112" s="60">
        <f>'Price Sens Wksht Prod Z'!J12</f>
        <v>60173850.627423048</v>
      </c>
      <c r="G112" s="418">
        <f>'Price Sens Wksht Prod Z'!K12</f>
        <v>0</v>
      </c>
    </row>
    <row r="113" spans="2:7" ht="14" thickBot="1" x14ac:dyDescent="0.2">
      <c r="C113" s="449" t="str">
        <f>'Price Sens Wksht Prod Z'!G13</f>
        <v>+25%</v>
      </c>
      <c r="D113" s="453">
        <f>'Price Sens Wksht Prod Z'!H13</f>
        <v>0.40549033935008683</v>
      </c>
      <c r="E113" s="453">
        <f>'Price Sens Wksht Prod Z'!I13</f>
        <v>0</v>
      </c>
      <c r="F113" s="602">
        <f>'Price Sens Wksht Prod Z'!J13</f>
        <v>60173850.627423048</v>
      </c>
      <c r="G113" s="419">
        <f>'Price Sens Wksht Prod Z'!K13</f>
        <v>0</v>
      </c>
    </row>
    <row r="115" spans="2:7" ht="14" thickBot="1" x14ac:dyDescent="0.2"/>
    <row r="116" spans="2:7" ht="17" thickBot="1" x14ac:dyDescent="0.25">
      <c r="B116" s="48" t="s">
        <v>434</v>
      </c>
      <c r="C116" s="4"/>
      <c r="D116" s="438" t="str">
        <f>'Volume Sens Wksht Prod Z'!H2</f>
        <v>IRR</v>
      </c>
      <c r="E116" s="439" t="str">
        <f>'Volume Sens Wksht Prod Z'!I2</f>
        <v>% chg fm Base</v>
      </c>
      <c r="F116" s="439" t="str">
        <f>'Volume Sens Wksht Prod Z'!J2</f>
        <v>NPV</v>
      </c>
      <c r="G116" s="440" t="str">
        <f>'Volume Sens Wksht Prod Z'!K2</f>
        <v>% chg fm Base</v>
      </c>
    </row>
    <row r="117" spans="2:7" ht="16" x14ac:dyDescent="0.2">
      <c r="B117" s="48" t="s">
        <v>432</v>
      </c>
      <c r="C117" s="447" t="str">
        <f>'Volume Sens Wksht Prod Z'!G3</f>
        <v>-25%</v>
      </c>
      <c r="D117" s="454">
        <f>'Volume Sens Wksht Prod Z'!H3</f>
        <v>0.40549033935008683</v>
      </c>
      <c r="E117" s="454">
        <f>'Volume Sens Wksht Prod Z'!I3</f>
        <v>0</v>
      </c>
      <c r="F117" s="564">
        <f>'Volume Sens Wksht Prod Z'!J3</f>
        <v>60173850.627423048</v>
      </c>
      <c r="G117" s="455">
        <f>'Volume Sens Wksht Prod Z'!K3</f>
        <v>0</v>
      </c>
    </row>
    <row r="118" spans="2:7" ht="16" x14ac:dyDescent="0.2">
      <c r="B118" s="48" t="s">
        <v>431</v>
      </c>
      <c r="C118" s="448" t="str">
        <f>'Volume Sens Wksht Prod Z'!G4</f>
        <v>-20%</v>
      </c>
      <c r="D118" s="452">
        <f>'Volume Sens Wksht Prod Z'!H4</f>
        <v>0.40549033935008683</v>
      </c>
      <c r="E118" s="452">
        <f>'Volume Sens Wksht Prod Z'!I4</f>
        <v>0</v>
      </c>
      <c r="F118" s="60">
        <f>'Volume Sens Wksht Prod Z'!J4</f>
        <v>60173850.627423048</v>
      </c>
      <c r="G118" s="418">
        <f>'Volume Sens Wksht Prod Z'!K4</f>
        <v>0</v>
      </c>
    </row>
    <row r="119" spans="2:7" x14ac:dyDescent="0.15">
      <c r="C119" s="448" t="str">
        <f>'Volume Sens Wksht Prod Z'!G5</f>
        <v>-15%</v>
      </c>
      <c r="D119" s="452">
        <f>'Volume Sens Wksht Prod Z'!H5</f>
        <v>0.40549033935008683</v>
      </c>
      <c r="E119" s="452">
        <f>'Volume Sens Wksht Prod Z'!I5</f>
        <v>0</v>
      </c>
      <c r="F119" s="60">
        <f>'Volume Sens Wksht Prod Z'!J5</f>
        <v>60173850.627423048</v>
      </c>
      <c r="G119" s="418">
        <f>'Volume Sens Wksht Prod Z'!K5</f>
        <v>0</v>
      </c>
    </row>
    <row r="120" spans="2:7" x14ac:dyDescent="0.15">
      <c r="C120" s="448" t="str">
        <f>'Volume Sens Wksht Prod Z'!G6</f>
        <v>-10%</v>
      </c>
      <c r="D120" s="452">
        <f>'Volume Sens Wksht Prod Z'!H6</f>
        <v>0.40549033935008683</v>
      </c>
      <c r="E120" s="452">
        <f>'Volume Sens Wksht Prod Z'!I6</f>
        <v>0</v>
      </c>
      <c r="F120" s="60">
        <f>'Volume Sens Wksht Prod Z'!J6</f>
        <v>60173850.627423048</v>
      </c>
      <c r="G120" s="418">
        <f>'Volume Sens Wksht Prod Z'!K6</f>
        <v>0</v>
      </c>
    </row>
    <row r="121" spans="2:7" x14ac:dyDescent="0.15">
      <c r="C121" s="448" t="str">
        <f>'Volume Sens Wksht Prod Z'!G7</f>
        <v>-5%</v>
      </c>
      <c r="D121" s="452">
        <f>'Volume Sens Wksht Prod Z'!H7</f>
        <v>0.40549033935008683</v>
      </c>
      <c r="E121" s="452">
        <f>'Volume Sens Wksht Prod Z'!I7</f>
        <v>0</v>
      </c>
      <c r="F121" s="60">
        <f>'Volume Sens Wksht Prod Z'!J7</f>
        <v>60173850.627423048</v>
      </c>
      <c r="G121" s="418">
        <f>'Volume Sens Wksht Prod Z'!K7</f>
        <v>0</v>
      </c>
    </row>
    <row r="122" spans="2:7" x14ac:dyDescent="0.15">
      <c r="C122" s="448" t="str">
        <f>'Volume Sens Wksht Prod Z'!G8</f>
        <v>0%</v>
      </c>
      <c r="D122" s="452">
        <f>'Volume Sens Wksht Prod Z'!H8</f>
        <v>0.40549033935008683</v>
      </c>
      <c r="E122" s="452">
        <f>'Volume Sens Wksht Prod Z'!I8</f>
        <v>0</v>
      </c>
      <c r="F122" s="60">
        <f>'Volume Sens Wksht Prod Z'!J8</f>
        <v>60173850.627423048</v>
      </c>
      <c r="G122" s="418">
        <f>'Volume Sens Wksht Prod Z'!K8</f>
        <v>0</v>
      </c>
    </row>
    <row r="123" spans="2:7" x14ac:dyDescent="0.15">
      <c r="C123" s="448" t="str">
        <f>'Volume Sens Wksht Prod Z'!G9</f>
        <v>+5%</v>
      </c>
      <c r="D123" s="452">
        <f>'Volume Sens Wksht Prod Z'!H9</f>
        <v>0.40549033935008683</v>
      </c>
      <c r="E123" s="452">
        <f>'Volume Sens Wksht Prod Z'!I9</f>
        <v>0</v>
      </c>
      <c r="F123" s="60">
        <f>'Volume Sens Wksht Prod Z'!J9</f>
        <v>60173850.627423048</v>
      </c>
      <c r="G123" s="418">
        <f>'Volume Sens Wksht Prod Z'!K9</f>
        <v>0</v>
      </c>
    </row>
    <row r="124" spans="2:7" x14ac:dyDescent="0.15">
      <c r="C124" s="448" t="str">
        <f>'Volume Sens Wksht Prod Z'!G10</f>
        <v>+10%</v>
      </c>
      <c r="D124" s="452">
        <f>'Volume Sens Wksht Prod Z'!H10</f>
        <v>0.40549033935008683</v>
      </c>
      <c r="E124" s="452">
        <f>'Volume Sens Wksht Prod Z'!I10</f>
        <v>0</v>
      </c>
      <c r="F124" s="60">
        <f>'Volume Sens Wksht Prod Z'!J10</f>
        <v>60173850.627423048</v>
      </c>
      <c r="G124" s="418">
        <f>'Volume Sens Wksht Prod Z'!K10</f>
        <v>0</v>
      </c>
    </row>
    <row r="125" spans="2:7" x14ac:dyDescent="0.15">
      <c r="C125" s="448" t="str">
        <f>'Volume Sens Wksht Prod Z'!G11</f>
        <v>+15%</v>
      </c>
      <c r="D125" s="452">
        <f>'Volume Sens Wksht Prod Z'!H11</f>
        <v>0.40549033935008683</v>
      </c>
      <c r="E125" s="452">
        <f>'Volume Sens Wksht Prod Z'!I11</f>
        <v>0</v>
      </c>
      <c r="F125" s="60">
        <f>'Volume Sens Wksht Prod Z'!J11</f>
        <v>60173850.627423048</v>
      </c>
      <c r="G125" s="418">
        <f>'Volume Sens Wksht Prod Z'!K11</f>
        <v>0</v>
      </c>
    </row>
    <row r="126" spans="2:7" x14ac:dyDescent="0.15">
      <c r="C126" s="448" t="str">
        <f>'Volume Sens Wksht Prod Z'!G12</f>
        <v>+20%</v>
      </c>
      <c r="D126" s="452">
        <f>'Volume Sens Wksht Prod Z'!H12</f>
        <v>0.40549033935008683</v>
      </c>
      <c r="E126" s="452">
        <f>'Volume Sens Wksht Prod Z'!I12</f>
        <v>0</v>
      </c>
      <c r="F126" s="60">
        <f>'Volume Sens Wksht Prod Z'!J12</f>
        <v>60173850.627423048</v>
      </c>
      <c r="G126" s="418">
        <f>'Volume Sens Wksht Prod Z'!K12</f>
        <v>0</v>
      </c>
    </row>
    <row r="127" spans="2:7" ht="14" thickBot="1" x14ac:dyDescent="0.2">
      <c r="C127" s="449" t="str">
        <f>'Volume Sens Wksht Prod Z'!G13</f>
        <v>+25%</v>
      </c>
      <c r="D127" s="453">
        <f>'Volume Sens Wksht Prod Z'!H13</f>
        <v>0.40549033935008683</v>
      </c>
      <c r="E127" s="453">
        <f>'Volume Sens Wksht Prod Z'!I13</f>
        <v>0</v>
      </c>
      <c r="F127" s="602">
        <f>'Volume Sens Wksht Prod Z'!J13</f>
        <v>60173850.627423048</v>
      </c>
      <c r="G127" s="419">
        <f>'Volume Sens Wksht Prod Z'!K13</f>
        <v>0</v>
      </c>
    </row>
    <row r="129" spans="2:7" ht="14" thickBot="1" x14ac:dyDescent="0.2"/>
    <row r="130" spans="2:7" ht="17" thickBot="1" x14ac:dyDescent="0.25">
      <c r="B130" s="48" t="s">
        <v>147</v>
      </c>
      <c r="C130" s="4"/>
      <c r="D130" s="438" t="str">
        <f>'Expense Sens Wksht'!H2</f>
        <v>IRR</v>
      </c>
      <c r="E130" s="439" t="str">
        <f>'Expense Sens Wksht'!I2</f>
        <v>% chg fm Base</v>
      </c>
      <c r="F130" s="439" t="str">
        <f>'Expense Sens Wksht'!J2</f>
        <v>NPV</v>
      </c>
      <c r="G130" s="440" t="str">
        <f>'Expense Sens Wksht'!K2</f>
        <v>% chg fm Base</v>
      </c>
    </row>
    <row r="131" spans="2:7" ht="16" x14ac:dyDescent="0.2">
      <c r="B131" s="48" t="s">
        <v>431</v>
      </c>
      <c r="C131" s="447" t="str">
        <f>'Expense Sens Wksht'!G3</f>
        <v>-25%</v>
      </c>
      <c r="D131" s="454">
        <f>'Expense Sens Wksht'!H3</f>
        <v>0.93834602241149812</v>
      </c>
      <c r="E131" s="454">
        <f>'Expense Sens Wksht'!I3</f>
        <v>1.3141020422717431</v>
      </c>
      <c r="F131" s="564">
        <f>'Expense Sens Wksht'!J3</f>
        <v>217139867.777798</v>
      </c>
      <c r="G131" s="455">
        <f>'Expense Sens Wksht'!K3</f>
        <v>2.6085420080934751</v>
      </c>
    </row>
    <row r="132" spans="2:7" x14ac:dyDescent="0.15">
      <c r="C132" s="448" t="str">
        <f>'Expense Sens Wksht'!G4</f>
        <v>-20%</v>
      </c>
      <c r="D132" s="452">
        <f>'Expense Sens Wksht'!H4</f>
        <v>0.8382418168511121</v>
      </c>
      <c r="E132" s="452">
        <f>'Expense Sens Wksht'!I4</f>
        <v>1.0672300558248371</v>
      </c>
      <c r="F132" s="60">
        <f>'Expense Sens Wksht'!J4</f>
        <v>185746664.34772295</v>
      </c>
      <c r="G132" s="418">
        <f>'Expense Sens Wksht'!K4</f>
        <v>2.0868336064747792</v>
      </c>
    </row>
    <row r="133" spans="2:7" x14ac:dyDescent="0.15">
      <c r="C133" s="448" t="str">
        <f>'Expense Sens Wksht'!G5</f>
        <v>-15%</v>
      </c>
      <c r="D133" s="452">
        <f>'Expense Sens Wksht'!H5</f>
        <v>0.73574936913191769</v>
      </c>
      <c r="E133" s="452">
        <f>'Expense Sens Wksht'!I5</f>
        <v>0.81446830598027209</v>
      </c>
      <c r="F133" s="60">
        <f>'Expense Sens Wksht'!J5</f>
        <v>154353460.91764802</v>
      </c>
      <c r="G133" s="418">
        <f>'Expense Sens Wksht'!K5</f>
        <v>1.5651252048560853</v>
      </c>
    </row>
    <row r="134" spans="2:7" x14ac:dyDescent="0.15">
      <c r="C134" s="448" t="str">
        <f>'Expense Sens Wksht'!G6</f>
        <v>-10%</v>
      </c>
      <c r="D134" s="452">
        <f>'Expense Sens Wksht'!H6</f>
        <v>0.63018709181444055</v>
      </c>
      <c r="E134" s="452">
        <f>'Expense Sens Wksht'!I6</f>
        <v>0.55413589587484113</v>
      </c>
      <c r="F134" s="60">
        <f>'Expense Sens Wksht'!J6</f>
        <v>122960257.48757306</v>
      </c>
      <c r="G134" s="418">
        <f>'Expense Sens Wksht'!K6</f>
        <v>1.0434168032373907</v>
      </c>
    </row>
    <row r="135" spans="2:7" x14ac:dyDescent="0.15">
      <c r="C135" s="448" t="str">
        <f>'Expense Sens Wksht'!G7</f>
        <v>-5%</v>
      </c>
      <c r="D135" s="452">
        <f>'Expense Sens Wksht'!H7</f>
        <v>0.52058261799260319</v>
      </c>
      <c r="E135" s="452">
        <f>'Expense Sens Wksht'!I7</f>
        <v>0.28383482286405232</v>
      </c>
      <c r="F135" s="60">
        <f>'Expense Sens Wksht'!J7</f>
        <v>91567054.057498068</v>
      </c>
      <c r="G135" s="418">
        <f>'Expense Sens Wksht'!K7</f>
        <v>0.52170840161869558</v>
      </c>
    </row>
    <row r="136" spans="2:7" x14ac:dyDescent="0.15">
      <c r="C136" s="448" t="str">
        <f>'Expense Sens Wksht'!G8</f>
        <v>0%</v>
      </c>
      <c r="D136" s="452">
        <f>'Expense Sens Wksht'!H8</f>
        <v>0.40549033935008683</v>
      </c>
      <c r="E136" s="452">
        <f>'Expense Sens Wksht'!I8</f>
        <v>0</v>
      </c>
      <c r="F136" s="60">
        <f>'Expense Sens Wksht'!J8</f>
        <v>60173850.627423048</v>
      </c>
      <c r="G136" s="418">
        <f>'Expense Sens Wksht'!K8</f>
        <v>0</v>
      </c>
    </row>
    <row r="137" spans="2:7" x14ac:dyDescent="0.15">
      <c r="C137" s="448" t="str">
        <f>'Expense Sens Wksht'!G9</f>
        <v>+5%</v>
      </c>
      <c r="D137" s="452">
        <f>'Expense Sens Wksht'!H9</f>
        <v>0.28264387824202131</v>
      </c>
      <c r="E137" s="452">
        <f>'Expense Sens Wksht'!I9</f>
        <v>-0.30295779994404254</v>
      </c>
      <c r="F137" s="60">
        <f>'Expense Sens Wksht'!J9</f>
        <v>28780647.197348014</v>
      </c>
      <c r="G137" s="418">
        <f>'Expense Sens Wksht'!K9</f>
        <v>-0.52170840161869581</v>
      </c>
    </row>
    <row r="138" spans="2:7" x14ac:dyDescent="0.15">
      <c r="C138" s="448" t="str">
        <f>'Expense Sens Wksht'!G10</f>
        <v>+10%</v>
      </c>
      <c r="D138" s="452">
        <f>'Expense Sens Wksht'!H10</f>
        <v>0.14823424950054842</v>
      </c>
      <c r="E138" s="452">
        <f>'Expense Sens Wksht'!I10</f>
        <v>-0.63443210573614206</v>
      </c>
      <c r="F138" s="60">
        <f>'Expense Sens Wksht'!J10</f>
        <v>-2612556.2327269614</v>
      </c>
      <c r="G138" s="418">
        <f>'Expense Sens Wksht'!K10</f>
        <v>-1.0434168032373907</v>
      </c>
    </row>
    <row r="139" spans="2:7" x14ac:dyDescent="0.15">
      <c r="C139" s="448" t="str">
        <f>'Expense Sens Wksht'!G11</f>
        <v>+15%</v>
      </c>
      <c r="D139" s="452">
        <f>'Expense Sens Wksht'!H11</f>
        <v>-4.7435193714794321E-3</v>
      </c>
      <c r="E139" s="452">
        <f>'Expense Sens Wksht'!I11</f>
        <v>-1.0116982302934325</v>
      </c>
      <c r="F139" s="60">
        <f>'Expense Sens Wksht'!J11</f>
        <v>-34005759.662801869</v>
      </c>
      <c r="G139" s="418">
        <f>'Expense Sens Wksht'!K11</f>
        <v>-1.5651252048560842</v>
      </c>
    </row>
    <row r="140" spans="2:7" x14ac:dyDescent="0.15">
      <c r="C140" s="448" t="str">
        <f>'Expense Sens Wksht'!G12</f>
        <v>+20%</v>
      </c>
      <c r="D140" s="452">
        <f>'Expense Sens Wksht'!H12</f>
        <v>-0.19047551995716649</v>
      </c>
      <c r="E140" s="452">
        <f>'Expense Sens Wksht'!I12</f>
        <v>-1.4697412033600048</v>
      </c>
      <c r="F140" s="60">
        <f>'Expense Sens Wksht'!J12</f>
        <v>-65398963.092876844</v>
      </c>
      <c r="G140" s="418">
        <f>'Expense Sens Wksht'!K12</f>
        <v>-2.0868336064747792</v>
      </c>
    </row>
    <row r="141" spans="2:7" ht="14" thickBot="1" x14ac:dyDescent="0.2">
      <c r="C141" s="449" t="str">
        <f>'Expense Sens Wksht'!G13</f>
        <v>+25%</v>
      </c>
      <c r="D141" s="453" t="str">
        <f>'Expense Sens Wksht'!H13</f>
        <v>NMF</v>
      </c>
      <c r="E141" s="453" t="str">
        <f>'Expense Sens Wksht'!I13</f>
        <v>NMF</v>
      </c>
      <c r="F141" s="602">
        <f>'Expense Sens Wksht'!J13</f>
        <v>-96792166.522951901</v>
      </c>
      <c r="G141" s="419">
        <f>'Expense Sens Wksht'!K13</f>
        <v>-2.6085420080934751</v>
      </c>
    </row>
    <row r="142" spans="2:7" x14ac:dyDescent="0.15">
      <c r="C142" s="4"/>
      <c r="D142" s="270"/>
      <c r="E142" s="270"/>
      <c r="F142" s="456"/>
      <c r="G142" s="270"/>
    </row>
    <row r="143" spans="2:7" ht="14" thickBot="1" x14ac:dyDescent="0.2">
      <c r="C143" s="4"/>
      <c r="D143" s="270"/>
      <c r="E143" s="270"/>
      <c r="F143" s="456"/>
      <c r="G143" s="270"/>
    </row>
    <row r="144" spans="2:7" ht="17" thickBot="1" x14ac:dyDescent="0.25">
      <c r="B144" s="48" t="s">
        <v>85</v>
      </c>
      <c r="C144" s="4"/>
      <c r="D144" s="444" t="str">
        <f>'MARR Sens Wksht'!H2</f>
        <v>Adj MARR</v>
      </c>
      <c r="E144" s="445" t="str">
        <f>'MARR Sens Wksht'!I2</f>
        <v>NPV</v>
      </c>
      <c r="F144" s="440" t="str">
        <f>'MARR Sens Wksht'!J2</f>
        <v>% chg fm Base</v>
      </c>
      <c r="G144" s="457"/>
    </row>
    <row r="145" spans="2:8" ht="16" x14ac:dyDescent="0.2">
      <c r="B145" s="48" t="s">
        <v>431</v>
      </c>
      <c r="C145" s="447" t="str">
        <f>'MARR Sens Wksht'!G3</f>
        <v>-25%</v>
      </c>
      <c r="D145" s="454">
        <f>'MARR Sens Wksht'!H3</f>
        <v>0.12</v>
      </c>
      <c r="E145" s="603">
        <f>'MARR Sens Wksht'!I3</f>
        <v>76419639.550340652</v>
      </c>
      <c r="F145" s="372">
        <f>'MARR Sens Wksht'!J3</f>
        <v>0.26998087630300172</v>
      </c>
      <c r="G145" s="4"/>
    </row>
    <row r="146" spans="2:8" x14ac:dyDescent="0.15">
      <c r="C146" s="448" t="str">
        <f>'MARR Sens Wksht'!G4</f>
        <v>-20%</v>
      </c>
      <c r="D146" s="452">
        <f>'MARR Sens Wksht'!H4</f>
        <v>0.128</v>
      </c>
      <c r="E146" s="604">
        <f>'MARR Sens Wksht'!I4</f>
        <v>72949639.642198414</v>
      </c>
      <c r="F146" s="373">
        <f>'MARR Sens Wksht'!J4</f>
        <v>0.21231463304349432</v>
      </c>
      <c r="G146" s="4"/>
    </row>
    <row r="147" spans="2:8" x14ac:dyDescent="0.15">
      <c r="C147" s="448" t="str">
        <f>'MARR Sens Wksht'!G5</f>
        <v>-15%</v>
      </c>
      <c r="D147" s="452">
        <f>'MARR Sens Wksht'!H5</f>
        <v>0.13600000000000001</v>
      </c>
      <c r="E147" s="604">
        <f>'MARR Sens Wksht'!I5</f>
        <v>69594855.885077029</v>
      </c>
      <c r="F147" s="373">
        <f>'MARR Sens Wksht'!J5</f>
        <v>0.1565631110427981</v>
      </c>
      <c r="G147" s="4"/>
    </row>
    <row r="148" spans="2:8" x14ac:dyDescent="0.15">
      <c r="C148" s="448" t="str">
        <f>'MARR Sens Wksht'!G6</f>
        <v>-10%</v>
      </c>
      <c r="D148" s="452">
        <f>'MARR Sens Wksht'!H6</f>
        <v>0.14400000000000002</v>
      </c>
      <c r="E148" s="604">
        <f>'MARR Sens Wksht'!I6</f>
        <v>66350369.756314427</v>
      </c>
      <c r="F148" s="373">
        <f>'MARR Sens Wksht'!J6</f>
        <v>0.10264457176148457</v>
      </c>
      <c r="G148" s="4"/>
    </row>
    <row r="149" spans="2:8" x14ac:dyDescent="0.15">
      <c r="C149" s="448" t="str">
        <f>'MARR Sens Wksht'!G7</f>
        <v>-5%</v>
      </c>
      <c r="D149" s="452">
        <f>'MARR Sens Wksht'!H7</f>
        <v>0.152</v>
      </c>
      <c r="E149" s="604">
        <f>'MARR Sens Wksht'!I7</f>
        <v>63211512.50565958</v>
      </c>
      <c r="F149" s="373">
        <f>'MARR Sens Wksht'!J7</f>
        <v>5.0481427506521868E-2</v>
      </c>
      <c r="G149" s="4"/>
    </row>
    <row r="150" spans="2:8" x14ac:dyDescent="0.15">
      <c r="C150" s="448" t="str">
        <f>'MARR Sens Wksht'!G8</f>
        <v>0%</v>
      </c>
      <c r="D150" s="452">
        <f>'MARR Sens Wksht'!H8</f>
        <v>0.16</v>
      </c>
      <c r="E150" s="604">
        <f>'MARR Sens Wksht'!I8</f>
        <v>60173850.627423048</v>
      </c>
      <c r="F150" s="373">
        <f>'MARR Sens Wksht'!J8</f>
        <v>0</v>
      </c>
      <c r="G150" s="4"/>
    </row>
    <row r="151" spans="2:8" x14ac:dyDescent="0.15">
      <c r="C151" s="448" t="str">
        <f>'MARR Sens Wksht'!G9</f>
        <v>+5%</v>
      </c>
      <c r="D151" s="452">
        <f>'MARR Sens Wksht'!H9</f>
        <v>0.16800000000000001</v>
      </c>
      <c r="E151" s="604">
        <f>'MARR Sens Wksht'!I9</f>
        <v>57233172.278820693</v>
      </c>
      <c r="F151" s="373">
        <f>'MARR Sens Wksht'!J9</f>
        <v>-4.8869705327818896E-2</v>
      </c>
      <c r="G151" s="4"/>
    </row>
    <row r="152" spans="2:8" x14ac:dyDescent="0.15">
      <c r="C152" s="448" t="str">
        <f>'MARR Sens Wksht'!G10</f>
        <v>+10%</v>
      </c>
      <c r="D152" s="452">
        <f>'MARR Sens Wksht'!H10</f>
        <v>0.17600000000000002</v>
      </c>
      <c r="E152" s="604">
        <f>'MARR Sens Wksht'!I10</f>
        <v>54385474.576555371</v>
      </c>
      <c r="F152" s="373">
        <f>'MARR Sens Wksht'!J10</f>
        <v>-9.6194210450440049E-2</v>
      </c>
      <c r="G152" s="4"/>
    </row>
    <row r="153" spans="2:8" x14ac:dyDescent="0.15">
      <c r="C153" s="448" t="str">
        <f>'MARR Sens Wksht'!G11</f>
        <v>+15%</v>
      </c>
      <c r="D153" s="452">
        <f>'MARR Sens Wksht'!H11</f>
        <v>0.184</v>
      </c>
      <c r="E153" s="604">
        <f>'MARR Sens Wksht'!I11</f>
        <v>51626951.709004968</v>
      </c>
      <c r="F153" s="373">
        <f>'MARR Sens Wksht'!J11</f>
        <v>-0.14203676230290968</v>
      </c>
      <c r="G153" s="4"/>
    </row>
    <row r="154" spans="2:8" x14ac:dyDescent="0.15">
      <c r="C154" s="448" t="str">
        <f>'MARR Sens Wksht'!G12</f>
        <v>+20%</v>
      </c>
      <c r="D154" s="452">
        <f>'MARR Sens Wksht'!H12</f>
        <v>0.192</v>
      </c>
      <c r="E154" s="604">
        <f>'MARR Sens Wksht'!I12</f>
        <v>48953983.806253821</v>
      </c>
      <c r="F154" s="373">
        <f>'MARR Sens Wksht'!J12</f>
        <v>-0.18645751774535754</v>
      </c>
      <c r="G154" s="4"/>
    </row>
    <row r="155" spans="2:8" ht="14" thickBot="1" x14ac:dyDescent="0.2">
      <c r="C155" s="449" t="str">
        <f>'MARR Sens Wksht'!G13</f>
        <v>+25%</v>
      </c>
      <c r="D155" s="453">
        <f>'MARR Sens Wksht'!H13</f>
        <v>0.2</v>
      </c>
      <c r="E155" s="605">
        <f>'MARR Sens Wksht'!I13</f>
        <v>46363126.514667541</v>
      </c>
      <c r="F155" s="374">
        <f>'MARR Sens Wksht'!J13</f>
        <v>-0.22951371681807481</v>
      </c>
      <c r="G155" s="4"/>
    </row>
    <row r="156" spans="2:8" x14ac:dyDescent="0.15">
      <c r="C156" s="4"/>
      <c r="D156" s="4"/>
      <c r="E156" s="4"/>
      <c r="F156" s="4"/>
      <c r="G156" s="4"/>
    </row>
    <row r="157" spans="2:8" x14ac:dyDescent="0.15">
      <c r="C157" s="4"/>
      <c r="D157" s="4"/>
      <c r="E157" s="4"/>
      <c r="F157" s="4"/>
      <c r="G157" s="4"/>
    </row>
    <row r="158" spans="2:8" ht="17" thickBot="1" x14ac:dyDescent="0.25">
      <c r="B158" s="48" t="str">
        <f>IF('Initial Inputs'!E36=0,"Equal Annual Payments Selected","Equal Annual Principal Payments Selected")</f>
        <v>Equal Annual Payments Selected</v>
      </c>
      <c r="C158" s="4"/>
      <c r="D158" s="4"/>
      <c r="E158" s="4"/>
      <c r="F158" s="4"/>
      <c r="G158" s="4"/>
    </row>
    <row r="159" spans="2:8" ht="17" thickBot="1" x14ac:dyDescent="0.25">
      <c r="B159" s="48" t="s">
        <v>119</v>
      </c>
      <c r="C159" s="4"/>
      <c r="D159" s="365" t="s">
        <v>435</v>
      </c>
      <c r="E159" s="438" t="s">
        <v>436</v>
      </c>
      <c r="F159" s="439" t="str">
        <f>E187</f>
        <v>% chg fm Base</v>
      </c>
      <c r="G159" s="439" t="s">
        <v>341</v>
      </c>
      <c r="H159" s="440" t="str">
        <f>G187</f>
        <v>% chg fm Base</v>
      </c>
    </row>
    <row r="160" spans="2:8" ht="16" x14ac:dyDescent="0.2">
      <c r="B160" s="48" t="s">
        <v>431</v>
      </c>
      <c r="C160" s="588">
        <f>'Level Payment Fin Sens Wksht'!B188</f>
        <v>-0.25</v>
      </c>
      <c r="D160" s="372">
        <f>'Level Prin Paymt Fin Sens Wksht'!E5</f>
        <v>0</v>
      </c>
      <c r="E160" s="645">
        <f>IF('Initial Inputs'!$E$36=0,'Level Payment Fin Sens Wksht'!C188,'Level Prin Paymt Fin Sens Wksht'!C188)</f>
        <v>0.40549033935008683</v>
      </c>
      <c r="F160" s="593">
        <f>IF('Initial Inputs'!$E$36=0,'Level Payment Fin Sens Wksht'!D188,'Level Prin Paymt Fin Sens Wksht'!D188)</f>
        <v>0</v>
      </c>
      <c r="G160" s="596">
        <f>IF('Initial Inputs'!$E$36=0,'Level Payment Fin Sens Wksht'!F188,'Level Prin Paymt Fin Sens Wksht'!F188)</f>
        <v>60173850.627423033</v>
      </c>
      <c r="H160" s="579">
        <f>IF('Initial Inputs'!$E$36=0,'Level Payment Fin Sens Wksht'!G188,'Level Prin Paymt Fin Sens Wksht'!G188)</f>
        <v>0</v>
      </c>
    </row>
    <row r="161" spans="2:8" x14ac:dyDescent="0.15">
      <c r="C161" s="589">
        <f>'Level Payment Fin Sens Wksht'!B189</f>
        <v>-0.2</v>
      </c>
      <c r="D161" s="373">
        <f>'Level Prin Paymt Fin Sens Wksht'!E6</f>
        <v>0</v>
      </c>
      <c r="E161" s="643">
        <f>IF('Initial Inputs'!$E$36=0,'Level Payment Fin Sens Wksht'!C189,'Level Prin Paymt Fin Sens Wksht'!C189)</f>
        <v>0.40549033935008683</v>
      </c>
      <c r="F161" s="594">
        <f>IF('Initial Inputs'!$E$36=0,'Level Payment Fin Sens Wksht'!D189,'Level Prin Paymt Fin Sens Wksht'!D189)</f>
        <v>0</v>
      </c>
      <c r="G161" s="597">
        <f>IF('Initial Inputs'!$E$36=0,'Level Payment Fin Sens Wksht'!F189,'Level Prin Paymt Fin Sens Wksht'!F189)</f>
        <v>60173850.627423033</v>
      </c>
      <c r="H161" s="580">
        <f>IF('Initial Inputs'!$E$36=0,'Level Payment Fin Sens Wksht'!G189,'Level Prin Paymt Fin Sens Wksht'!G189)</f>
        <v>0</v>
      </c>
    </row>
    <row r="162" spans="2:8" ht="16" x14ac:dyDescent="0.2">
      <c r="B162" s="39"/>
      <c r="C162" s="589">
        <f>'Level Payment Fin Sens Wksht'!B190</f>
        <v>-0.15</v>
      </c>
      <c r="D162" s="373">
        <f>'Level Prin Paymt Fin Sens Wksht'!E7</f>
        <v>0</v>
      </c>
      <c r="E162" s="643">
        <f>IF('Initial Inputs'!$E$36=0,'Level Payment Fin Sens Wksht'!C190,'Level Prin Paymt Fin Sens Wksht'!C190)</f>
        <v>0.40549033935008683</v>
      </c>
      <c r="F162" s="594">
        <f>IF('Initial Inputs'!$E$36=0,'Level Payment Fin Sens Wksht'!D190,'Level Prin Paymt Fin Sens Wksht'!D190)</f>
        <v>0</v>
      </c>
      <c r="G162" s="597">
        <f>IF('Initial Inputs'!$E$36=0,'Level Payment Fin Sens Wksht'!F190,'Level Prin Paymt Fin Sens Wksht'!F190)</f>
        <v>60173850.627423033</v>
      </c>
      <c r="H162" s="580">
        <f>IF('Initial Inputs'!$E$36=0,'Level Payment Fin Sens Wksht'!G190,'Level Prin Paymt Fin Sens Wksht'!G190)</f>
        <v>0</v>
      </c>
    </row>
    <row r="163" spans="2:8" ht="16" x14ac:dyDescent="0.2">
      <c r="B163" s="39"/>
      <c r="C163" s="589">
        <f>'Level Payment Fin Sens Wksht'!B191</f>
        <v>-0.1</v>
      </c>
      <c r="D163" s="373">
        <f>'Level Prin Paymt Fin Sens Wksht'!E8</f>
        <v>0</v>
      </c>
      <c r="E163" s="643">
        <f>IF('Initial Inputs'!$E$36=0,'Level Payment Fin Sens Wksht'!C191,'Level Prin Paymt Fin Sens Wksht'!C191)</f>
        <v>0.40549033935008683</v>
      </c>
      <c r="F163" s="594">
        <f>IF('Initial Inputs'!$E$36=0,'Level Payment Fin Sens Wksht'!D191,'Level Prin Paymt Fin Sens Wksht'!D191)</f>
        <v>0</v>
      </c>
      <c r="G163" s="597">
        <f>IF('Initial Inputs'!$E$36=0,'Level Payment Fin Sens Wksht'!F191,'Level Prin Paymt Fin Sens Wksht'!F191)</f>
        <v>60173850.627423033</v>
      </c>
      <c r="H163" s="580">
        <f>IF('Initial Inputs'!$E$36=0,'Level Payment Fin Sens Wksht'!G191,'Level Prin Paymt Fin Sens Wksht'!G191)</f>
        <v>0</v>
      </c>
    </row>
    <row r="164" spans="2:8" ht="16" x14ac:dyDescent="0.2">
      <c r="B164" s="39"/>
      <c r="C164" s="589">
        <f>'Level Payment Fin Sens Wksht'!B192</f>
        <v>-0.05</v>
      </c>
      <c r="D164" s="373">
        <f>'Level Prin Paymt Fin Sens Wksht'!E9</f>
        <v>0</v>
      </c>
      <c r="E164" s="643">
        <f>IF('Initial Inputs'!$E$36=0,'Level Payment Fin Sens Wksht'!C192,'Level Prin Paymt Fin Sens Wksht'!C192)</f>
        <v>0.40549033935008683</v>
      </c>
      <c r="F164" s="594">
        <f>IF('Initial Inputs'!$E$36=0,'Level Payment Fin Sens Wksht'!D192,'Level Prin Paymt Fin Sens Wksht'!D192)</f>
        <v>0</v>
      </c>
      <c r="G164" s="597">
        <f>IF('Initial Inputs'!$E$36=0,'Level Payment Fin Sens Wksht'!F192,'Level Prin Paymt Fin Sens Wksht'!F192)</f>
        <v>60173850.627423033</v>
      </c>
      <c r="H164" s="580">
        <f>IF('Initial Inputs'!$E$36=0,'Level Payment Fin Sens Wksht'!G192,'Level Prin Paymt Fin Sens Wksht'!G192)</f>
        <v>0</v>
      </c>
    </row>
    <row r="165" spans="2:8" x14ac:dyDescent="0.15">
      <c r="C165" s="589" t="str">
        <f>'Level Payment Fin Sens Wksht'!B193</f>
        <v>0%</v>
      </c>
      <c r="D165" s="373">
        <f>'Level Prin Paymt Fin Sens Wksht'!E10</f>
        <v>0</v>
      </c>
      <c r="E165" s="643">
        <f>IF('Initial Inputs'!$E$36=0,'Level Payment Fin Sens Wksht'!C193,'Level Prin Paymt Fin Sens Wksht'!C193)</f>
        <v>0.40549033935008683</v>
      </c>
      <c r="F165" s="594">
        <f>IF('Initial Inputs'!$E$36=0,'Level Payment Fin Sens Wksht'!D193,'Level Prin Paymt Fin Sens Wksht'!D193)</f>
        <v>0</v>
      </c>
      <c r="G165" s="597">
        <f>IF('Initial Inputs'!$E$36=0,'Level Payment Fin Sens Wksht'!F193,'Level Prin Paymt Fin Sens Wksht'!F193)</f>
        <v>60173850.627423033</v>
      </c>
      <c r="H165" s="580">
        <f>IF('Initial Inputs'!$E$36=0,'Level Payment Fin Sens Wksht'!G193,'Level Prin Paymt Fin Sens Wksht'!G193)</f>
        <v>0</v>
      </c>
    </row>
    <row r="166" spans="2:8" x14ac:dyDescent="0.15">
      <c r="C166" s="589">
        <f>'Level Payment Fin Sens Wksht'!B194</f>
        <v>0.05</v>
      </c>
      <c r="D166" s="373">
        <f>'Level Prin Paymt Fin Sens Wksht'!E11</f>
        <v>0</v>
      </c>
      <c r="E166" s="643">
        <f>IF('Initial Inputs'!$E$36=0,'Level Payment Fin Sens Wksht'!C194,'Level Prin Paymt Fin Sens Wksht'!C194)</f>
        <v>0.40549033935008683</v>
      </c>
      <c r="F166" s="594">
        <f>IF('Initial Inputs'!$E$36=0,'Level Payment Fin Sens Wksht'!D194,'Level Prin Paymt Fin Sens Wksht'!D194)</f>
        <v>0</v>
      </c>
      <c r="G166" s="597">
        <f>IF('Initial Inputs'!$E$36=0,'Level Payment Fin Sens Wksht'!F194,'Level Prin Paymt Fin Sens Wksht'!F194)</f>
        <v>60173850.627423033</v>
      </c>
      <c r="H166" s="580">
        <f>IF('Initial Inputs'!$E$36=0,'Level Payment Fin Sens Wksht'!G194,'Level Prin Paymt Fin Sens Wksht'!G194)</f>
        <v>0</v>
      </c>
    </row>
    <row r="167" spans="2:8" x14ac:dyDescent="0.15">
      <c r="C167" s="589">
        <f>'Level Payment Fin Sens Wksht'!B195</f>
        <v>0.1</v>
      </c>
      <c r="D167" s="373">
        <f>'Level Prin Paymt Fin Sens Wksht'!E12</f>
        <v>0</v>
      </c>
      <c r="E167" s="643">
        <f>IF('Initial Inputs'!$E$36=0,'Level Payment Fin Sens Wksht'!C195,'Level Prin Paymt Fin Sens Wksht'!C195)</f>
        <v>0.40549033935008683</v>
      </c>
      <c r="F167" s="594">
        <f>IF('Initial Inputs'!$E$36=0,'Level Payment Fin Sens Wksht'!D195,'Level Prin Paymt Fin Sens Wksht'!D195)</f>
        <v>0</v>
      </c>
      <c r="G167" s="597">
        <f>IF('Initial Inputs'!$E$36=0,'Level Payment Fin Sens Wksht'!F195,'Level Prin Paymt Fin Sens Wksht'!F195)</f>
        <v>60173850.627423033</v>
      </c>
      <c r="H167" s="580">
        <f>IF('Initial Inputs'!$E$36=0,'Level Payment Fin Sens Wksht'!G195,'Level Prin Paymt Fin Sens Wksht'!G195)</f>
        <v>0</v>
      </c>
    </row>
    <row r="168" spans="2:8" x14ac:dyDescent="0.15">
      <c r="C168" s="589">
        <f>'Level Payment Fin Sens Wksht'!B196</f>
        <v>0.15</v>
      </c>
      <c r="D168" s="373">
        <f>'Level Prin Paymt Fin Sens Wksht'!E13</f>
        <v>0</v>
      </c>
      <c r="E168" s="643">
        <f>IF('Initial Inputs'!$E$36=0,'Level Payment Fin Sens Wksht'!C196,'Level Prin Paymt Fin Sens Wksht'!C196)</f>
        <v>0.40549033935008683</v>
      </c>
      <c r="F168" s="594">
        <f>IF('Initial Inputs'!$E$36=0,'Level Payment Fin Sens Wksht'!D196,'Level Prin Paymt Fin Sens Wksht'!D196)</f>
        <v>0</v>
      </c>
      <c r="G168" s="597">
        <f>IF('Initial Inputs'!$E$36=0,'Level Payment Fin Sens Wksht'!F196,'Level Prin Paymt Fin Sens Wksht'!F196)</f>
        <v>60173850.627423033</v>
      </c>
      <c r="H168" s="580">
        <f>IF('Initial Inputs'!$E$36=0,'Level Payment Fin Sens Wksht'!G196,'Level Prin Paymt Fin Sens Wksht'!G196)</f>
        <v>0</v>
      </c>
    </row>
    <row r="169" spans="2:8" x14ac:dyDescent="0.15">
      <c r="C169" s="589">
        <f>'Level Payment Fin Sens Wksht'!B197</f>
        <v>0.2</v>
      </c>
      <c r="D169" s="373">
        <f>'Level Prin Paymt Fin Sens Wksht'!E14</f>
        <v>0</v>
      </c>
      <c r="E169" s="643">
        <f>IF('Initial Inputs'!$E$36=0,'Level Payment Fin Sens Wksht'!C197,'Level Prin Paymt Fin Sens Wksht'!C197)</f>
        <v>0.40549033935008683</v>
      </c>
      <c r="F169" s="594">
        <f>IF('Initial Inputs'!$E$36=0,'Level Payment Fin Sens Wksht'!D197,'Level Prin Paymt Fin Sens Wksht'!D197)</f>
        <v>0</v>
      </c>
      <c r="G169" s="597">
        <f>IF('Initial Inputs'!$E$36=0,'Level Payment Fin Sens Wksht'!F197,'Level Prin Paymt Fin Sens Wksht'!F197)</f>
        <v>60173850.627423033</v>
      </c>
      <c r="H169" s="580">
        <f>IF('Initial Inputs'!$E$36=0,'Level Payment Fin Sens Wksht'!G197,'Level Prin Paymt Fin Sens Wksht'!G197)</f>
        <v>0</v>
      </c>
    </row>
    <row r="170" spans="2:8" ht="14" thickBot="1" x14ac:dyDescent="0.2">
      <c r="C170" s="590">
        <f>'Level Payment Fin Sens Wksht'!B198</f>
        <v>0.25</v>
      </c>
      <c r="D170" s="374">
        <f>'Level Prin Paymt Fin Sens Wksht'!E15</f>
        <v>0</v>
      </c>
      <c r="E170" s="644">
        <f>IF('Initial Inputs'!$E$36=0,'Level Payment Fin Sens Wksht'!C198,'Level Prin Paymt Fin Sens Wksht'!C198)</f>
        <v>0.40549033935008683</v>
      </c>
      <c r="F170" s="595">
        <f>IF('Initial Inputs'!$E$36=0,'Level Payment Fin Sens Wksht'!D198,'Level Prin Paymt Fin Sens Wksht'!D198)</f>
        <v>0</v>
      </c>
      <c r="G170" s="598">
        <f>IF('Initial Inputs'!$E$36=0,'Level Payment Fin Sens Wksht'!F198,'Level Prin Paymt Fin Sens Wksht'!F198)</f>
        <v>60173850.627423033</v>
      </c>
      <c r="H170" s="581">
        <f>IF('Initial Inputs'!$E$36=0,'Level Payment Fin Sens Wksht'!G198,'Level Prin Paymt Fin Sens Wksht'!G198)</f>
        <v>0</v>
      </c>
    </row>
    <row r="172" spans="2:8" ht="14" thickBot="1" x14ac:dyDescent="0.2"/>
    <row r="173" spans="2:8" ht="17" thickBot="1" x14ac:dyDescent="0.25">
      <c r="B173" s="48" t="s">
        <v>437</v>
      </c>
      <c r="D173" s="438" t="str">
        <f>E159</f>
        <v>IRR</v>
      </c>
      <c r="E173" s="439" t="str">
        <f>F159</f>
        <v>% chg fm Base</v>
      </c>
      <c r="F173" s="439" t="str">
        <f>G159</f>
        <v>NPV</v>
      </c>
      <c r="G173" s="440" t="str">
        <f>H159</f>
        <v>% chg fm Base</v>
      </c>
    </row>
    <row r="174" spans="2:8" ht="16" x14ac:dyDescent="0.2">
      <c r="B174" s="48" t="s">
        <v>431</v>
      </c>
      <c r="C174" s="588">
        <f>'Lvl Pmt Int Rate Sens Wksht'!B188</f>
        <v>-0.25</v>
      </c>
      <c r="D174" s="599">
        <f>IF('Initial Inputs'!$E$36=0,'Lvl Pmt Int Rate Sens Wksht'!C188,'Lvl Prin Pmt Int Rate Sens Wksh'!C188)</f>
        <v>0.40549033935008683</v>
      </c>
      <c r="E174" s="372">
        <f>IF('Initial Inputs'!$E$36=0,'Lvl Pmt Int Rate Sens Wksht'!D188,'Lvl Prin Pmt Int Rate Sens Wksh'!D188)</f>
        <v>0</v>
      </c>
      <c r="F174" s="596">
        <f>IF('Initial Inputs'!$E$36=0,'Lvl Pmt Int Rate Sens Wksht'!F188,'Lvl Prin Pmt Int Rate Sens Wksh'!F188)</f>
        <v>60173850.627423033</v>
      </c>
      <c r="G174" s="579">
        <f>IF('Initial Inputs'!$E$36=0,'Lvl Pmt Int Rate Sens Wksht'!G188,'Lvl Prin Pmt Int Rate Sens Wksh'!G188)</f>
        <v>0</v>
      </c>
    </row>
    <row r="175" spans="2:8" x14ac:dyDescent="0.15">
      <c r="C175" s="589">
        <f>'Lvl Pmt Int Rate Sens Wksht'!B189</f>
        <v>-0.2</v>
      </c>
      <c r="D175" s="600">
        <f>IF('Initial Inputs'!$E$36=0,'Lvl Pmt Int Rate Sens Wksht'!C189,'Lvl Prin Pmt Int Rate Sens Wksh'!C189)</f>
        <v>0.40549033935008683</v>
      </c>
      <c r="E175" s="373">
        <f>IF('Initial Inputs'!$E$36=0,'Lvl Pmt Int Rate Sens Wksht'!D189,'Lvl Prin Pmt Int Rate Sens Wksh'!D189)</f>
        <v>0</v>
      </c>
      <c r="F175" s="597">
        <f>IF('Initial Inputs'!$E$36=0,'Lvl Pmt Int Rate Sens Wksht'!F189,'Lvl Prin Pmt Int Rate Sens Wksh'!F189)</f>
        <v>60173850.627423033</v>
      </c>
      <c r="G175" s="580">
        <f>IF('Initial Inputs'!$E$36=0,'Lvl Pmt Int Rate Sens Wksht'!G189,'Lvl Prin Pmt Int Rate Sens Wksh'!G189)</f>
        <v>0</v>
      </c>
    </row>
    <row r="176" spans="2:8" x14ac:dyDescent="0.15">
      <c r="C176" s="589">
        <f>'Lvl Pmt Int Rate Sens Wksht'!B190</f>
        <v>-0.15</v>
      </c>
      <c r="D176" s="600">
        <f>IF('Initial Inputs'!$E$36=0,'Lvl Pmt Int Rate Sens Wksht'!C190,'Lvl Prin Pmt Int Rate Sens Wksh'!C190)</f>
        <v>0.40549033935008683</v>
      </c>
      <c r="E176" s="373">
        <f>IF('Initial Inputs'!$E$36=0,'Lvl Pmt Int Rate Sens Wksht'!D190,'Lvl Prin Pmt Int Rate Sens Wksh'!D190)</f>
        <v>0</v>
      </c>
      <c r="F176" s="597">
        <f>IF('Initial Inputs'!$E$36=0,'Lvl Pmt Int Rate Sens Wksht'!F190,'Lvl Prin Pmt Int Rate Sens Wksh'!F190)</f>
        <v>60173850.627423033</v>
      </c>
      <c r="G176" s="580">
        <f>IF('Initial Inputs'!$E$36=0,'Lvl Pmt Int Rate Sens Wksht'!G190,'Lvl Prin Pmt Int Rate Sens Wksh'!G190)</f>
        <v>0</v>
      </c>
    </row>
    <row r="177" spans="2:7" x14ac:dyDescent="0.15">
      <c r="C177" s="589">
        <f>'Lvl Pmt Int Rate Sens Wksht'!B191</f>
        <v>-0.1</v>
      </c>
      <c r="D177" s="600">
        <f>IF('Initial Inputs'!$E$36=0,'Lvl Pmt Int Rate Sens Wksht'!C191,'Lvl Prin Pmt Int Rate Sens Wksh'!C191)</f>
        <v>0.40549033935008683</v>
      </c>
      <c r="E177" s="373">
        <f>IF('Initial Inputs'!$E$36=0,'Lvl Pmt Int Rate Sens Wksht'!D191,'Lvl Prin Pmt Int Rate Sens Wksh'!D191)</f>
        <v>0</v>
      </c>
      <c r="F177" s="597">
        <f>IF('Initial Inputs'!$E$36=0,'Lvl Pmt Int Rate Sens Wksht'!F191,'Lvl Prin Pmt Int Rate Sens Wksh'!F191)</f>
        <v>60173850.627423033</v>
      </c>
      <c r="G177" s="580">
        <f>IF('Initial Inputs'!$E$36=0,'Lvl Pmt Int Rate Sens Wksht'!G191,'Lvl Prin Pmt Int Rate Sens Wksh'!G191)</f>
        <v>0</v>
      </c>
    </row>
    <row r="178" spans="2:7" x14ac:dyDescent="0.15">
      <c r="C178" s="589">
        <f>'Lvl Pmt Int Rate Sens Wksht'!B192</f>
        <v>-0.05</v>
      </c>
      <c r="D178" s="600">
        <f>IF('Initial Inputs'!$E$36=0,'Lvl Pmt Int Rate Sens Wksht'!C192,'Lvl Prin Pmt Int Rate Sens Wksh'!C192)</f>
        <v>0.40549033935008683</v>
      </c>
      <c r="E178" s="373">
        <f>IF('Initial Inputs'!$E$36=0,'Lvl Pmt Int Rate Sens Wksht'!D192,'Lvl Prin Pmt Int Rate Sens Wksh'!D192)</f>
        <v>0</v>
      </c>
      <c r="F178" s="597">
        <f>IF('Initial Inputs'!$E$36=0,'Lvl Pmt Int Rate Sens Wksht'!F192,'Lvl Prin Pmt Int Rate Sens Wksh'!F192)</f>
        <v>60173850.627423033</v>
      </c>
      <c r="G178" s="580">
        <f>IF('Initial Inputs'!$E$36=0,'Lvl Pmt Int Rate Sens Wksht'!G192,'Lvl Prin Pmt Int Rate Sens Wksh'!G192)</f>
        <v>0</v>
      </c>
    </row>
    <row r="179" spans="2:7" x14ac:dyDescent="0.15">
      <c r="C179" s="589" t="str">
        <f>'Lvl Pmt Int Rate Sens Wksht'!B193</f>
        <v>0%</v>
      </c>
      <c r="D179" s="600">
        <f>IF('Initial Inputs'!$E$36=0,'Lvl Pmt Int Rate Sens Wksht'!C193,'Lvl Prin Pmt Int Rate Sens Wksh'!C193)</f>
        <v>0.40549033935008683</v>
      </c>
      <c r="E179" s="373">
        <f>IF('Initial Inputs'!$E$36=0,'Lvl Pmt Int Rate Sens Wksht'!D193,'Lvl Prin Pmt Int Rate Sens Wksh'!D193)</f>
        <v>0</v>
      </c>
      <c r="F179" s="597">
        <f>IF('Initial Inputs'!$E$36=0,'Lvl Pmt Int Rate Sens Wksht'!F193,'Lvl Prin Pmt Int Rate Sens Wksh'!F193)</f>
        <v>60173850.627423033</v>
      </c>
      <c r="G179" s="580">
        <f>IF('Initial Inputs'!$E$36=0,'Lvl Pmt Int Rate Sens Wksht'!G193,'Lvl Prin Pmt Int Rate Sens Wksh'!G193)</f>
        <v>0</v>
      </c>
    </row>
    <row r="180" spans="2:7" x14ac:dyDescent="0.15">
      <c r="C180" s="589">
        <f>'Lvl Pmt Int Rate Sens Wksht'!B194</f>
        <v>0.05</v>
      </c>
      <c r="D180" s="600">
        <f>IF('Initial Inputs'!$E$36=0,'Lvl Pmt Int Rate Sens Wksht'!C194,'Lvl Prin Pmt Int Rate Sens Wksh'!C194)</f>
        <v>0.40549033935008683</v>
      </c>
      <c r="E180" s="373">
        <f>IF('Initial Inputs'!$E$36=0,'Lvl Pmt Int Rate Sens Wksht'!D194,'Lvl Prin Pmt Int Rate Sens Wksh'!D194)</f>
        <v>0</v>
      </c>
      <c r="F180" s="597">
        <f>IF('Initial Inputs'!$E$36=0,'Lvl Pmt Int Rate Sens Wksht'!F194,'Lvl Prin Pmt Int Rate Sens Wksh'!F194)</f>
        <v>60173850.627423033</v>
      </c>
      <c r="G180" s="580">
        <f>IF('Initial Inputs'!$E$36=0,'Lvl Pmt Int Rate Sens Wksht'!G194,'Lvl Prin Pmt Int Rate Sens Wksh'!G194)</f>
        <v>0</v>
      </c>
    </row>
    <row r="181" spans="2:7" x14ac:dyDescent="0.15">
      <c r="C181" s="589">
        <f>'Lvl Pmt Int Rate Sens Wksht'!B195</f>
        <v>0.1</v>
      </c>
      <c r="D181" s="600">
        <f>IF('Initial Inputs'!$E$36=0,'Lvl Pmt Int Rate Sens Wksht'!C195,'Lvl Prin Pmt Int Rate Sens Wksh'!C195)</f>
        <v>0.40549033935008683</v>
      </c>
      <c r="E181" s="373">
        <f>IF('Initial Inputs'!$E$36=0,'Lvl Pmt Int Rate Sens Wksht'!D195,'Lvl Prin Pmt Int Rate Sens Wksh'!D195)</f>
        <v>0</v>
      </c>
      <c r="F181" s="597">
        <f>IF('Initial Inputs'!$E$36=0,'Lvl Pmt Int Rate Sens Wksht'!F195,'Lvl Prin Pmt Int Rate Sens Wksh'!F195)</f>
        <v>60173850.627423033</v>
      </c>
      <c r="G181" s="580">
        <f>IF('Initial Inputs'!$E$36=0,'Lvl Pmt Int Rate Sens Wksht'!G195,'Lvl Prin Pmt Int Rate Sens Wksh'!G195)</f>
        <v>0</v>
      </c>
    </row>
    <row r="182" spans="2:7" x14ac:dyDescent="0.15">
      <c r="C182" s="589">
        <f>'Lvl Pmt Int Rate Sens Wksht'!B196</f>
        <v>0.15</v>
      </c>
      <c r="D182" s="600">
        <f>IF('Initial Inputs'!$E$36=0,'Lvl Pmt Int Rate Sens Wksht'!C196,'Lvl Prin Pmt Int Rate Sens Wksh'!C196)</f>
        <v>0.40549033935008683</v>
      </c>
      <c r="E182" s="373">
        <f>IF('Initial Inputs'!$E$36=0,'Lvl Pmt Int Rate Sens Wksht'!D196,'Lvl Prin Pmt Int Rate Sens Wksh'!D196)</f>
        <v>0</v>
      </c>
      <c r="F182" s="597">
        <f>IF('Initial Inputs'!$E$36=0,'Lvl Pmt Int Rate Sens Wksht'!F196,'Lvl Prin Pmt Int Rate Sens Wksh'!F196)</f>
        <v>60173850.627423033</v>
      </c>
      <c r="G182" s="580">
        <f>IF('Initial Inputs'!$E$36=0,'Lvl Pmt Int Rate Sens Wksht'!G196,'Lvl Prin Pmt Int Rate Sens Wksh'!G196)</f>
        <v>0</v>
      </c>
    </row>
    <row r="183" spans="2:7" x14ac:dyDescent="0.15">
      <c r="C183" s="589">
        <f>'Lvl Pmt Int Rate Sens Wksht'!B197</f>
        <v>0.2</v>
      </c>
      <c r="D183" s="600">
        <f>IF('Initial Inputs'!$E$36=0,'Lvl Pmt Int Rate Sens Wksht'!C197,'Lvl Prin Pmt Int Rate Sens Wksh'!C197)</f>
        <v>0.40549033935008683</v>
      </c>
      <c r="E183" s="373">
        <f>IF('Initial Inputs'!$E$36=0,'Lvl Pmt Int Rate Sens Wksht'!D197,'Lvl Prin Pmt Int Rate Sens Wksh'!D197)</f>
        <v>0</v>
      </c>
      <c r="F183" s="597">
        <f>IF('Initial Inputs'!$E$36=0,'Lvl Pmt Int Rate Sens Wksht'!F197,'Lvl Prin Pmt Int Rate Sens Wksh'!F197)</f>
        <v>60173850.627423033</v>
      </c>
      <c r="G183" s="580">
        <f>IF('Initial Inputs'!$E$36=0,'Lvl Pmt Int Rate Sens Wksht'!G197,'Lvl Prin Pmt Int Rate Sens Wksh'!G197)</f>
        <v>0</v>
      </c>
    </row>
    <row r="184" spans="2:7" ht="14" thickBot="1" x14ac:dyDescent="0.2">
      <c r="C184" s="590">
        <f>'Lvl Pmt Int Rate Sens Wksht'!B198</f>
        <v>0.25</v>
      </c>
      <c r="D184" s="601">
        <f>IF('Initial Inputs'!$E$36=0,'Lvl Pmt Int Rate Sens Wksht'!C198,'Lvl Prin Pmt Int Rate Sens Wksh'!C198)</f>
        <v>0.40549033935008683</v>
      </c>
      <c r="E184" s="374">
        <f>IF('Initial Inputs'!$E$36=0,'Lvl Pmt Int Rate Sens Wksht'!D198,'Lvl Prin Pmt Int Rate Sens Wksh'!D198)</f>
        <v>0</v>
      </c>
      <c r="F184" s="598">
        <f>IF('Initial Inputs'!$E$36=0,'Lvl Pmt Int Rate Sens Wksht'!F198,'Lvl Prin Pmt Int Rate Sens Wksh'!F198)</f>
        <v>60173850.627423033</v>
      </c>
      <c r="G184" s="581">
        <f>IF('Initial Inputs'!$E$36=0,'Lvl Pmt Int Rate Sens Wksht'!G198,'Lvl Prin Pmt Int Rate Sens Wksh'!G198)</f>
        <v>0</v>
      </c>
    </row>
    <row r="186" spans="2:7" ht="14" thickBot="1" x14ac:dyDescent="0.2"/>
    <row r="187" spans="2:7" ht="17" thickBot="1" x14ac:dyDescent="0.25">
      <c r="B187" s="48" t="s">
        <v>438</v>
      </c>
      <c r="C187" s="4"/>
      <c r="D187" s="438" t="str">
        <f>D130</f>
        <v>IRR</v>
      </c>
      <c r="E187" s="438" t="str">
        <f>E130</f>
        <v>% chg fm Base</v>
      </c>
      <c r="F187" s="438" t="str">
        <f>F130</f>
        <v>NPV</v>
      </c>
      <c r="G187" s="438" t="str">
        <f>G130</f>
        <v>% chg fm Base</v>
      </c>
    </row>
    <row r="188" spans="2:7" ht="16" x14ac:dyDescent="0.2">
      <c r="B188" s="48" t="s">
        <v>439</v>
      </c>
      <c r="C188" s="447" t="str">
        <f>C131</f>
        <v>-25%</v>
      </c>
      <c r="D188" s="612">
        <f>'Disposl $ Sensitivity Wksht'!D231</f>
        <v>0.40746548313537811</v>
      </c>
      <c r="E188" s="372">
        <f>'Disposl $ Sensitivity Wksht'!E231</f>
        <v>-9.1137721861563308E-3</v>
      </c>
      <c r="F188" s="613">
        <f>'Disposl $ Sensitivity Wksht'!G231</f>
        <v>60008441.163328052</v>
      </c>
      <c r="G188" s="372">
        <f>'Disposl $ Sensitivity Wksht'!H231</f>
        <v>-2.7488595522853158E-3</v>
      </c>
    </row>
    <row r="189" spans="2:7" ht="16" x14ac:dyDescent="0.2">
      <c r="B189" s="48" t="s">
        <v>440</v>
      </c>
      <c r="C189" s="448" t="str">
        <f t="shared" ref="C189:C198" si="0">C132</f>
        <v>-20%</v>
      </c>
      <c r="D189" s="421">
        <f>'Disposl $ Sensitivity Wksht'!D232</f>
        <v>0.40809270737216052</v>
      </c>
      <c r="E189" s="373">
        <f>'Disposl $ Sensitivity Wksht'!E232</f>
        <v>-7.5884703294288851E-3</v>
      </c>
      <c r="F189" s="614">
        <f>'Disposl $ Sensitivity Wksht'!G232</f>
        <v>60220841.273750924</v>
      </c>
      <c r="G189" s="373">
        <f>'Disposl $ Sensitivity Wksht'!H232</f>
        <v>7.8091473020135106E-4</v>
      </c>
    </row>
    <row r="190" spans="2:7" ht="16" x14ac:dyDescent="0.2">
      <c r="B190" s="48" t="s">
        <v>431</v>
      </c>
      <c r="C190" s="448" t="str">
        <f t="shared" si="0"/>
        <v>-15%</v>
      </c>
      <c r="D190" s="421">
        <f>'Disposl $ Sensitivity Wksht'!D233</f>
        <v>0.40871888340192419</v>
      </c>
      <c r="E190" s="373">
        <f>'Disposl $ Sensitivity Wksht'!E233</f>
        <v>-6.0657175325402601E-3</v>
      </c>
      <c r="F190" s="614">
        <f>'Disposl $ Sensitivity Wksht'!G233</f>
        <v>60433241.384173796</v>
      </c>
      <c r="G190" s="373">
        <f>'Disposl $ Sensitivity Wksht'!H233</f>
        <v>4.3106890126880177E-3</v>
      </c>
    </row>
    <row r="191" spans="2:7" x14ac:dyDescent="0.15">
      <c r="C191" s="448" t="str">
        <f t="shared" si="0"/>
        <v>-10%</v>
      </c>
      <c r="D191" s="421">
        <f>'Disposl $ Sensitivity Wksht'!D234</f>
        <v>0.40934401529229314</v>
      </c>
      <c r="E191" s="373">
        <f>'Disposl $ Sensitivity Wksht'!E234</f>
        <v>-4.5455039037259172E-3</v>
      </c>
      <c r="F191" s="614">
        <f>'Disposl $ Sensitivity Wksht'!G234</f>
        <v>60645641.494596675</v>
      </c>
      <c r="G191" s="373">
        <f>'Disposl $ Sensitivity Wksht'!H234</f>
        <v>7.8404632951748088E-3</v>
      </c>
    </row>
    <row r="192" spans="2:7" x14ac:dyDescent="0.15">
      <c r="C192" s="448" t="str">
        <f t="shared" si="0"/>
        <v>-5%</v>
      </c>
      <c r="D192" s="421">
        <f>'Disposl $ Sensitivity Wksht'!D235</f>
        <v>0.40996810708636056</v>
      </c>
      <c r="E192" s="373">
        <f>'Disposl $ Sensitivity Wksht'!E235</f>
        <v>-3.0278196108760739E-3</v>
      </c>
      <c r="F192" s="614">
        <f>'Disposl $ Sensitivity Wksht'!G235</f>
        <v>60858041.60501954</v>
      </c>
      <c r="G192" s="373">
        <f>'Disposl $ Sensitivity Wksht'!H235</f>
        <v>1.1370237577661351E-2</v>
      </c>
    </row>
    <row r="193" spans="3:7" x14ac:dyDescent="0.15">
      <c r="C193" s="448" t="str">
        <f t="shared" si="0"/>
        <v>0%</v>
      </c>
      <c r="D193" s="382">
        <f>D52</f>
        <v>0.40549033935008683</v>
      </c>
      <c r="E193" s="373">
        <f>'Disposl $ Sensitivity Wksht'!E236</f>
        <v>0</v>
      </c>
      <c r="F193" s="614">
        <f>'Sensitivity Analysis'!F52</f>
        <v>60173850.627423048</v>
      </c>
      <c r="G193" s="373">
        <f>'Disposl $ Sensitivity Wksht'!H236</f>
        <v>0</v>
      </c>
    </row>
    <row r="194" spans="3:7" x14ac:dyDescent="0.15">
      <c r="C194" s="448" t="str">
        <f t="shared" si="0"/>
        <v>+5%</v>
      </c>
      <c r="D194" s="421">
        <f>'Disposl $ Sensitivity Wksht'!D236</f>
        <v>0.41121318643650384</v>
      </c>
      <c r="E194" s="373">
        <f>'Disposl $ Sensitivity Wksht'!E237</f>
        <v>1.5101546883107184E-3</v>
      </c>
      <c r="F194" s="614">
        <f>'Disposl $ Sensitivity Wksht'!G236</f>
        <v>60173850.627423033</v>
      </c>
      <c r="G194" s="373">
        <f>'Disposl $ Sensitivity Wksht'!H237</f>
        <v>1.8429786142634685E-2</v>
      </c>
    </row>
    <row r="195" spans="3:7" x14ac:dyDescent="0.15">
      <c r="C195" s="448" t="str">
        <f t="shared" si="0"/>
        <v>+10%</v>
      </c>
      <c r="D195" s="421">
        <f>'Disposl $ Sensitivity Wksht'!D237</f>
        <v>0.41183418195789612</v>
      </c>
      <c r="E195" s="373">
        <f>'Disposl $ Sensitivity Wksht'!E238</f>
        <v>3.017818782171409E-3</v>
      </c>
      <c r="F195" s="614">
        <f>'Disposl $ Sensitivity Wksht'!G237</f>
        <v>61282841.825865284</v>
      </c>
      <c r="G195" s="373">
        <f>'Disposl $ Sensitivity Wksht'!H238</f>
        <v>2.1959560425121476E-2</v>
      </c>
    </row>
    <row r="196" spans="3:7" x14ac:dyDescent="0.15">
      <c r="C196" s="448" t="str">
        <f t="shared" si="0"/>
        <v>+15%</v>
      </c>
      <c r="D196" s="421">
        <f>'Disposl $ Sensitivity Wksht'!D238</f>
        <v>0.41245415331400848</v>
      </c>
      <c r="E196" s="373">
        <f>'Disposl $ Sensitivity Wksht'!E239</f>
        <v>4.5230018225965009E-3</v>
      </c>
      <c r="F196" s="614">
        <f>'Disposl $ Sensitivity Wksht'!G238</f>
        <v>61495241.936288163</v>
      </c>
      <c r="G196" s="373">
        <f>'Disposl $ Sensitivity Wksht'!H239</f>
        <v>2.5489334707608145E-2</v>
      </c>
    </row>
    <row r="197" spans="3:7" x14ac:dyDescent="0.15">
      <c r="C197" s="448" t="str">
        <f t="shared" si="0"/>
        <v>+20%</v>
      </c>
      <c r="D197" s="421">
        <f>'Disposl $ Sensitivity Wksht'!D239</f>
        <v>0.41307310442823186</v>
      </c>
      <c r="E197" s="373">
        <f>'Disposl $ Sensitivity Wksht'!E240</f>
        <v>6.025713293778376E-3</v>
      </c>
      <c r="F197" s="614">
        <f>'Disposl $ Sensitivity Wksht'!G239</f>
        <v>61707642.046711035</v>
      </c>
      <c r="G197" s="373">
        <f>'Disposl $ Sensitivity Wksht'!H240</f>
        <v>2.901910899009481E-2</v>
      </c>
    </row>
    <row r="198" spans="3:7" ht="14" thickBot="1" x14ac:dyDescent="0.2">
      <c r="C198" s="449" t="str">
        <f t="shared" si="0"/>
        <v>+25%</v>
      </c>
      <c r="D198" s="422">
        <f>'Disposl $ Sensitivity Wksht'!D240</f>
        <v>0.41369103920059125</v>
      </c>
      <c r="E198" s="374" t="str">
        <f>'Disposl $ Sensitivity Wksht'!E241</f>
        <v>NMF</v>
      </c>
      <c r="F198" s="615">
        <f>'Disposl $ Sensitivity Wksht'!G240</f>
        <v>61920042.157133907</v>
      </c>
      <c r="G198" s="374">
        <f>'Disposl $ Sensitivity Wksht'!H241</f>
        <v>3.2548883272581479E-2</v>
      </c>
    </row>
  </sheetData>
  <sheetProtection password="AA36" sheet="1" objects="1" scenarios="1"/>
  <phoneticPr fontId="0" type="noConversion"/>
  <pageMargins left="0.75" right="0.75" top="1" bottom="1" header="0.5" footer="0.5"/>
  <pageSetup scale="61" orientation="landscape"/>
  <headerFooter alignWithMargins="0">
    <oddHeader>&amp;LEngineering Economics Model for Senior Design&amp;R&amp;"Times New Roman,Bold"&amp;14Sensitivity Analysis</oddHeader>
    <oddFooter>&amp;LJ:/EM355/Spring01/Labs/EEworkingfolder/&amp;F&amp;CPage &amp;P of &amp;N&amp;R&amp;T&amp;D</oddFooter>
  </headerFooter>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I28"/>
  <sheetViews>
    <sheetView zoomScale="130" zoomScaleNormal="130" workbookViewId="0">
      <selection activeCell="W5" sqref="W5"/>
    </sheetView>
  </sheetViews>
  <sheetFormatPr baseColWidth="10" defaultColWidth="8.83203125" defaultRowHeight="13" x14ac:dyDescent="0.15"/>
  <cols>
    <col min="7" max="7" width="15.83203125" customWidth="1"/>
    <col min="8" max="8" width="16.1640625" customWidth="1"/>
    <col min="9" max="9" width="7.6640625" customWidth="1"/>
    <col min="10" max="10" width="15.33203125" customWidth="1"/>
    <col min="11" max="11" width="15.5" customWidth="1"/>
    <col min="13" max="13" width="15" customWidth="1"/>
    <col min="14" max="14" width="14.5" customWidth="1"/>
    <col min="16" max="16" width="14.5" customWidth="1"/>
    <col min="17" max="17" width="15.6640625" customWidth="1"/>
    <col min="19" max="19" width="14.6640625" customWidth="1"/>
    <col min="20" max="20" width="15.33203125" customWidth="1"/>
    <col min="22" max="23" width="11.33203125" bestFit="1" customWidth="1"/>
    <col min="25" max="26" width="11.33203125" bestFit="1" customWidth="1"/>
    <col min="28" max="29" width="11.33203125" bestFit="1" customWidth="1"/>
    <col min="31" max="32" width="11.33203125" bestFit="1" customWidth="1"/>
    <col min="34" max="35" width="11.33203125" bestFit="1" customWidth="1"/>
  </cols>
  <sheetData>
    <row r="1" spans="1:35" x14ac:dyDescent="0.15">
      <c r="C1" t="s">
        <v>441</v>
      </c>
      <c r="E1" s="147" t="str">
        <f>'Initial Inputs'!C3</f>
        <v xml:space="preserve">Gaskins Toilets Inc. </v>
      </c>
    </row>
    <row r="2" spans="1:35" ht="14" thickBot="1" x14ac:dyDescent="0.2">
      <c r="G2" s="754" t="s">
        <v>442</v>
      </c>
      <c r="H2" s="754"/>
      <c r="J2" s="754" t="s">
        <v>443</v>
      </c>
      <c r="K2" s="754"/>
      <c r="M2" s="754" t="s">
        <v>444</v>
      </c>
      <c r="N2" s="754"/>
      <c r="P2" s="754" t="s">
        <v>445</v>
      </c>
      <c r="Q2" s="754"/>
      <c r="S2" s="754" t="s">
        <v>446</v>
      </c>
      <c r="T2" s="754"/>
      <c r="V2" s="754" t="s">
        <v>447</v>
      </c>
      <c r="W2" s="754"/>
      <c r="Y2" s="754" t="s">
        <v>448</v>
      </c>
      <c r="Z2" s="754"/>
      <c r="AB2" s="754" t="s">
        <v>449</v>
      </c>
      <c r="AC2" s="754"/>
      <c r="AE2" s="754" t="s">
        <v>450</v>
      </c>
      <c r="AF2" s="754"/>
      <c r="AH2" s="754" t="s">
        <v>451</v>
      </c>
      <c r="AI2" s="754"/>
    </row>
    <row r="3" spans="1:35" ht="14" thickTop="1" x14ac:dyDescent="0.15"/>
    <row r="5" spans="1:35" x14ac:dyDescent="0.15">
      <c r="A5" s="1" t="s">
        <v>452</v>
      </c>
      <c r="B5" t="s">
        <v>287</v>
      </c>
      <c r="H5" s="61">
        <f>Revenues!D27</f>
        <v>300000000</v>
      </c>
      <c r="K5" s="61">
        <f>Revenues!E27</f>
        <v>313500000.00000006</v>
      </c>
      <c r="N5" s="61">
        <f>Revenues!F27</f>
        <v>327607500.00000006</v>
      </c>
      <c r="Q5" s="61">
        <f>Revenues!G27</f>
        <v>342349837.50000012</v>
      </c>
      <c r="T5" s="61">
        <f>Revenues!H27</f>
        <v>357755580.18750012</v>
      </c>
      <c r="W5" s="61">
        <f>Revenues!I27</f>
        <v>0</v>
      </c>
      <c r="Z5" s="61">
        <f>Revenues!J27</f>
        <v>0</v>
      </c>
      <c r="AC5" s="61">
        <f>Revenues!K27</f>
        <v>0</v>
      </c>
      <c r="AF5" s="61">
        <f>Revenues!L27</f>
        <v>0</v>
      </c>
      <c r="AI5" s="61">
        <f>Revenues!M27</f>
        <v>0</v>
      </c>
    </row>
    <row r="6" spans="1:35" x14ac:dyDescent="0.15">
      <c r="A6" s="1"/>
    </row>
    <row r="7" spans="1:35" x14ac:dyDescent="0.15">
      <c r="A7" s="1"/>
      <c r="B7" t="s">
        <v>453</v>
      </c>
    </row>
    <row r="8" spans="1:35" x14ac:dyDescent="0.15">
      <c r="A8" s="1" t="s">
        <v>454</v>
      </c>
      <c r="B8" s="116" t="s">
        <v>455</v>
      </c>
      <c r="G8" s="61">
        <f>Expenses!D60</f>
        <v>162000000</v>
      </c>
      <c r="J8" s="61">
        <f>Expenses!E60</f>
        <v>183291075.00000003</v>
      </c>
      <c r="M8" s="61">
        <f>Expenses!F60</f>
        <v>207394399.45125008</v>
      </c>
      <c r="P8" s="61">
        <f>Expenses!G60</f>
        <v>234682516.49072805</v>
      </c>
      <c r="S8" s="61">
        <f>Expenses!H60</f>
        <v>265577404.03347307</v>
      </c>
      <c r="V8" s="61">
        <f>Expenses!I60</f>
        <v>0</v>
      </c>
      <c r="Y8" s="61">
        <f>Expenses!J60</f>
        <v>0</v>
      </c>
      <c r="AB8" s="61">
        <f>Expenses!K60</f>
        <v>0</v>
      </c>
      <c r="AE8" s="61">
        <f>Expenses!L60</f>
        <v>0</v>
      </c>
      <c r="AH8" s="61">
        <f>Expenses!M60</f>
        <v>0</v>
      </c>
    </row>
    <row r="9" spans="1:35" ht="14" thickBot="1" x14ac:dyDescent="0.2">
      <c r="A9" s="1" t="s">
        <v>456</v>
      </c>
      <c r="B9" s="116" t="s">
        <v>457</v>
      </c>
      <c r="G9" s="131">
        <f>Expenses!D95</f>
        <v>71942500</v>
      </c>
      <c r="J9" s="131">
        <f>Expenses!E95</f>
        <v>75946150</v>
      </c>
      <c r="M9" s="131">
        <f>Expenses!F95</f>
        <v>75414469</v>
      </c>
      <c r="P9" s="131">
        <f>Expenses!G95</f>
        <v>75758968.569999993</v>
      </c>
      <c r="S9" s="131">
        <f>Expenses!H95</f>
        <v>76038117.327100009</v>
      </c>
      <c r="V9" s="131">
        <f>Expenses!I95</f>
        <v>0</v>
      </c>
      <c r="Y9" s="131">
        <f>Expenses!J95</f>
        <v>0</v>
      </c>
      <c r="AB9" s="131">
        <f>Expenses!K95</f>
        <v>0</v>
      </c>
      <c r="AE9" s="131">
        <f>Expenses!L95</f>
        <v>0</v>
      </c>
      <c r="AH9" s="131">
        <f>Expenses!M95</f>
        <v>0</v>
      </c>
    </row>
    <row r="10" spans="1:35" ht="14" thickTop="1" x14ac:dyDescent="0.15">
      <c r="A10" s="1"/>
      <c r="B10" s="116"/>
      <c r="G10" s="143"/>
      <c r="J10" s="143"/>
      <c r="M10" s="143"/>
      <c r="P10" s="143"/>
      <c r="S10" s="143"/>
      <c r="V10" s="143"/>
      <c r="Y10" s="143"/>
      <c r="AB10" s="143"/>
      <c r="AE10" s="143"/>
      <c r="AH10" s="143"/>
    </row>
    <row r="11" spans="1:35" ht="14" thickBot="1" x14ac:dyDescent="0.2">
      <c r="A11" s="1" t="s">
        <v>458</v>
      </c>
      <c r="B11" t="s">
        <v>204</v>
      </c>
      <c r="G11" s="64">
        <f>SUM(G8:G10)</f>
        <v>233942500</v>
      </c>
      <c r="H11" s="132">
        <f>G11</f>
        <v>233942500</v>
      </c>
      <c r="J11" s="64">
        <f>SUM(J8:J10)</f>
        <v>259237225.00000003</v>
      </c>
      <c r="K11" s="132">
        <f>J11</f>
        <v>259237225.00000003</v>
      </c>
      <c r="M11" s="64">
        <f>SUM(M8:M10)</f>
        <v>282808868.45125008</v>
      </c>
      <c r="N11" s="132">
        <f>M11</f>
        <v>282808868.45125008</v>
      </c>
      <c r="P11" s="64">
        <f>SUM(P8:P10)</f>
        <v>310441485.06072807</v>
      </c>
      <c r="Q11" s="132">
        <f>P11</f>
        <v>310441485.06072807</v>
      </c>
      <c r="S11" s="64">
        <f>SUM(S8:S10)</f>
        <v>341615521.36057305</v>
      </c>
      <c r="T11" s="132">
        <f>S11</f>
        <v>341615521.36057305</v>
      </c>
      <c r="V11" s="64">
        <f>SUM(V8:V10)</f>
        <v>0</v>
      </c>
      <c r="W11" s="132">
        <f>V11</f>
        <v>0</v>
      </c>
      <c r="Y11" s="64">
        <f>SUM(Y8:Y10)</f>
        <v>0</v>
      </c>
      <c r="Z11" s="132">
        <f>Y11</f>
        <v>0</v>
      </c>
      <c r="AB11" s="64">
        <f>SUM(AB8:AB10)</f>
        <v>0</v>
      </c>
      <c r="AC11" s="132">
        <f>AB11</f>
        <v>0</v>
      </c>
      <c r="AE11" s="64">
        <f>SUM(AE8:AE10)</f>
        <v>0</v>
      </c>
      <c r="AF11" s="132">
        <f>AE11</f>
        <v>0</v>
      </c>
      <c r="AH11" s="64">
        <f>SUM(AH8:AH10)</f>
        <v>0</v>
      </c>
      <c r="AI11" s="132">
        <f>AH11</f>
        <v>0</v>
      </c>
    </row>
    <row r="12" spans="1:35" ht="14" thickTop="1" x14ac:dyDescent="0.15">
      <c r="A12" s="1"/>
    </row>
    <row r="13" spans="1:35" x14ac:dyDescent="0.15">
      <c r="A13" s="1" t="s">
        <v>459</v>
      </c>
      <c r="B13" t="s">
        <v>460</v>
      </c>
      <c r="H13" s="74">
        <f>H5-H11</f>
        <v>66057500</v>
      </c>
      <c r="K13" s="74">
        <f>K5-K11</f>
        <v>54262775.00000003</v>
      </c>
      <c r="N13" s="74">
        <f>N5-N11</f>
        <v>44798631.548749983</v>
      </c>
      <c r="Q13" s="74">
        <f>Q5-Q11</f>
        <v>31908352.439272046</v>
      </c>
      <c r="T13" s="74">
        <f>T5-T11</f>
        <v>16140058.826927066</v>
      </c>
      <c r="W13" s="74">
        <f>W5-W11</f>
        <v>0</v>
      </c>
      <c r="Z13" s="74">
        <f>Z5-Z11</f>
        <v>0</v>
      </c>
      <c r="AC13" s="74">
        <f>AC5-AC11</f>
        <v>0</v>
      </c>
      <c r="AF13" s="74">
        <f>AF5-AF11</f>
        <v>0</v>
      </c>
      <c r="AI13" s="74">
        <f>AI5-AI11</f>
        <v>0</v>
      </c>
    </row>
    <row r="14" spans="1:35" x14ac:dyDescent="0.15">
      <c r="A14" s="1"/>
      <c r="B14" t="s">
        <v>453</v>
      </c>
      <c r="H14" s="142"/>
      <c r="K14" s="142"/>
      <c r="N14" s="142"/>
      <c r="Q14" s="142"/>
      <c r="T14" s="142"/>
      <c r="W14" s="142"/>
      <c r="Z14" s="142"/>
      <c r="AC14" s="142"/>
      <c r="AF14" s="142"/>
      <c r="AI14" s="142"/>
    </row>
    <row r="15" spans="1:35" ht="14" thickBot="1" x14ac:dyDescent="0.2">
      <c r="A15" s="1" t="s">
        <v>461</v>
      </c>
      <c r="B15" s="116" t="s">
        <v>462</v>
      </c>
      <c r="H15" s="100">
        <f>'After Tax Analysis'!E13</f>
        <v>0</v>
      </c>
      <c r="K15" s="100">
        <f>'After Tax Analysis'!F13</f>
        <v>0</v>
      </c>
      <c r="N15" s="100">
        <f>'After Tax Analysis'!G13</f>
        <v>0</v>
      </c>
      <c r="Q15" s="100">
        <f>'After Tax Analysis'!H13</f>
        <v>0</v>
      </c>
      <c r="T15" s="100">
        <f>'After Tax Analysis'!I13</f>
        <v>0</v>
      </c>
      <c r="W15" s="100">
        <f>'After Tax Analysis'!J13</f>
        <v>0</v>
      </c>
      <c r="Z15" s="100">
        <f>'After Tax Analysis'!K13</f>
        <v>0</v>
      </c>
      <c r="AC15" s="100">
        <f>'After Tax Analysis'!L13</f>
        <v>0</v>
      </c>
      <c r="AF15" s="100">
        <f>'After Tax Analysis'!M13</f>
        <v>0</v>
      </c>
      <c r="AI15" s="100">
        <f>'After Tax Analysis'!N13</f>
        <v>0</v>
      </c>
    </row>
    <row r="16" spans="1:35" ht="14" thickTop="1" x14ac:dyDescent="0.15">
      <c r="A16" s="1"/>
    </row>
    <row r="17" spans="1:35" x14ac:dyDescent="0.15">
      <c r="A17" s="1" t="s">
        <v>463</v>
      </c>
      <c r="B17" t="s">
        <v>464</v>
      </c>
      <c r="H17" s="74">
        <f>H13-H15</f>
        <v>66057500</v>
      </c>
      <c r="K17" s="74">
        <f>K13-K15</f>
        <v>54262775.00000003</v>
      </c>
      <c r="N17" s="74">
        <f>N13-N15</f>
        <v>44798631.548749983</v>
      </c>
      <c r="Q17" s="74">
        <f>Q13-Q15</f>
        <v>31908352.439272046</v>
      </c>
      <c r="T17" s="74">
        <f>T13-T15</f>
        <v>16140058.826927066</v>
      </c>
      <c r="W17" s="74">
        <f>W13-W15</f>
        <v>0</v>
      </c>
      <c r="Z17" s="74">
        <f>Z13-Z15</f>
        <v>0</v>
      </c>
      <c r="AC17" s="74">
        <f>AC13-AC15</f>
        <v>0</v>
      </c>
      <c r="AF17" s="74">
        <f>AF13-AF15</f>
        <v>0</v>
      </c>
      <c r="AI17" s="74">
        <f>AI13-AI15</f>
        <v>0</v>
      </c>
    </row>
    <row r="18" spans="1:35" x14ac:dyDescent="0.15">
      <c r="A18" s="1"/>
      <c r="B18" t="s">
        <v>453</v>
      </c>
    </row>
    <row r="19" spans="1:35" x14ac:dyDescent="0.15">
      <c r="A19" s="1" t="s">
        <v>465</v>
      </c>
      <c r="B19" s="116" t="s">
        <v>466</v>
      </c>
      <c r="H19" s="92">
        <f>'After Tax Analysis'!E15</f>
        <v>19817250</v>
      </c>
      <c r="K19" s="144">
        <f>'After Tax Analysis'!F15</f>
        <v>16278832.500000007</v>
      </c>
      <c r="N19" s="144">
        <f>'After Tax Analysis'!G15</f>
        <v>13439589.464624995</v>
      </c>
      <c r="Q19" s="144">
        <f>'After Tax Analysis'!H15</f>
        <v>9572505.7317816131</v>
      </c>
      <c r="T19" s="144">
        <f>'After Tax Analysis'!I15</f>
        <v>4842017.6480781194</v>
      </c>
      <c r="W19" s="144">
        <f>'After Tax Analysis'!J15</f>
        <v>0</v>
      </c>
      <c r="Z19" s="144">
        <f>'After Tax Analysis'!K15</f>
        <v>0</v>
      </c>
      <c r="AC19" s="144">
        <f>'After Tax Analysis'!L15</f>
        <v>0</v>
      </c>
      <c r="AF19" s="144">
        <f>'After Tax Analysis'!M15</f>
        <v>0</v>
      </c>
      <c r="AI19" s="144">
        <f>'After Tax Analysis'!N15</f>
        <v>0</v>
      </c>
    </row>
    <row r="20" spans="1:35" ht="14" thickBot="1" x14ac:dyDescent="0.2">
      <c r="A20" s="1" t="s">
        <v>467</v>
      </c>
      <c r="B20" s="148" t="s">
        <v>468</v>
      </c>
      <c r="H20" s="131">
        <f>'After Tax Analysis'!E16</f>
        <v>0</v>
      </c>
      <c r="K20" s="146">
        <f>'After Tax Analysis'!F16</f>
        <v>0</v>
      </c>
      <c r="N20" s="146">
        <f>'After Tax Analysis'!G16</f>
        <v>0</v>
      </c>
      <c r="Q20" s="146">
        <f>'After Tax Analysis'!H16</f>
        <v>0</v>
      </c>
      <c r="T20" s="146">
        <f>'After Tax Analysis'!I16</f>
        <v>0</v>
      </c>
      <c r="W20" s="146">
        <f>'After Tax Analysis'!J16</f>
        <v>0</v>
      </c>
      <c r="Z20" s="146">
        <f>'After Tax Analysis'!K16</f>
        <v>0</v>
      </c>
      <c r="AC20" s="146">
        <f>'After Tax Analysis'!L16</f>
        <v>0</v>
      </c>
      <c r="AF20" s="146">
        <f>'After Tax Analysis'!M16</f>
        <v>0</v>
      </c>
      <c r="AI20" s="146">
        <f>'After Tax Analysis'!N16</f>
        <v>0</v>
      </c>
    </row>
    <row r="21" spans="1:35" ht="14" thickTop="1" x14ac:dyDescent="0.15">
      <c r="A21" s="1"/>
    </row>
    <row r="22" spans="1:35" x14ac:dyDescent="0.15">
      <c r="A22" s="1" t="s">
        <v>469</v>
      </c>
      <c r="B22" t="s">
        <v>470</v>
      </c>
      <c r="H22" s="74">
        <f>H17-H19+H20</f>
        <v>46240250</v>
      </c>
      <c r="K22" s="74">
        <f>K17-K19</f>
        <v>37983942.500000022</v>
      </c>
      <c r="N22" s="74">
        <f>N17-N19</f>
        <v>31359042.08412499</v>
      </c>
      <c r="Q22" s="74">
        <f>Q17-Q19</f>
        <v>22335846.707490433</v>
      </c>
      <c r="T22" s="74">
        <f>T17-T19</f>
        <v>11298041.178848946</v>
      </c>
      <c r="W22" s="74">
        <f>W17-W19</f>
        <v>0</v>
      </c>
      <c r="Z22" s="74">
        <f>Z17-Z19</f>
        <v>0</v>
      </c>
      <c r="AC22" s="74">
        <f>AC17-AC19</f>
        <v>0</v>
      </c>
      <c r="AF22" s="74">
        <f>AF17-AF19</f>
        <v>0</v>
      </c>
      <c r="AI22" s="74">
        <f>AI17-AI19</f>
        <v>0</v>
      </c>
    </row>
    <row r="23" spans="1:35" ht="14" thickBot="1" x14ac:dyDescent="0.2">
      <c r="A23" s="1" t="s">
        <v>471</v>
      </c>
      <c r="B23" t="s">
        <v>472</v>
      </c>
      <c r="H23" s="133">
        <v>0</v>
      </c>
      <c r="K23" s="133">
        <v>0</v>
      </c>
      <c r="N23" s="133">
        <v>0</v>
      </c>
      <c r="Q23" s="133">
        <v>0</v>
      </c>
      <c r="T23" s="133">
        <v>0</v>
      </c>
      <c r="W23" s="133">
        <v>0</v>
      </c>
      <c r="Z23" s="133">
        <v>0</v>
      </c>
      <c r="AC23" s="133">
        <v>0</v>
      </c>
      <c r="AF23" s="133">
        <v>0</v>
      </c>
      <c r="AI23" s="133">
        <v>0</v>
      </c>
    </row>
    <row r="24" spans="1:35" ht="14" thickTop="1" x14ac:dyDescent="0.15">
      <c r="A24" s="1"/>
    </row>
    <row r="25" spans="1:35" ht="14" thickBot="1" x14ac:dyDescent="0.2">
      <c r="A25" s="1" t="s">
        <v>473</v>
      </c>
      <c r="B25" s="1" t="s">
        <v>474</v>
      </c>
      <c r="H25" s="244">
        <f>H22-H23</f>
        <v>46240250</v>
      </c>
      <c r="K25" s="244">
        <f>K22-K23</f>
        <v>37983942.500000022</v>
      </c>
      <c r="N25" s="244">
        <f>N22-N23</f>
        <v>31359042.08412499</v>
      </c>
      <c r="Q25" s="244">
        <f>Q22-Q23</f>
        <v>22335846.707490433</v>
      </c>
      <c r="T25" s="244">
        <f>T22-T23</f>
        <v>11298041.178848946</v>
      </c>
      <c r="W25" s="244">
        <f>W22-W23</f>
        <v>0</v>
      </c>
      <c r="Z25" s="244">
        <f>Z22-Z23</f>
        <v>0</v>
      </c>
      <c r="AC25" s="244">
        <f>AC22-AC23</f>
        <v>0</v>
      </c>
      <c r="AF25" s="244">
        <f>AF22-AF23</f>
        <v>0</v>
      </c>
      <c r="AI25" s="244">
        <f>AI22-AI23</f>
        <v>0</v>
      </c>
    </row>
    <row r="26" spans="1:35" ht="14" thickTop="1" x14ac:dyDescent="0.15"/>
    <row r="28" spans="1:35" x14ac:dyDescent="0.15">
      <c r="B28" s="1"/>
    </row>
  </sheetData>
  <sheetProtection password="AA36" sheet="1" objects="1" scenarios="1"/>
  <mergeCells count="10">
    <mergeCell ref="AH2:AI2"/>
    <mergeCell ref="S2:T2"/>
    <mergeCell ref="V2:W2"/>
    <mergeCell ref="Y2:Z2"/>
    <mergeCell ref="AB2:AC2"/>
    <mergeCell ref="G2:H2"/>
    <mergeCell ref="J2:K2"/>
    <mergeCell ref="M2:N2"/>
    <mergeCell ref="P2:Q2"/>
    <mergeCell ref="AE2:AF2"/>
  </mergeCells>
  <phoneticPr fontId="0" type="noConversion"/>
  <pageMargins left="0.75" right="0.75" top="1" bottom="1" header="0.5" footer="0.5"/>
  <pageSetup orientation="portrait"/>
  <headerFooter alignWithMargins="0">
    <oddFooter>Page &amp;P of &amp;N</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41"/>
  <sheetViews>
    <sheetView topLeftCell="AE1" zoomScaleNormal="100" workbookViewId="0">
      <selection activeCell="A26" sqref="A26"/>
    </sheetView>
  </sheetViews>
  <sheetFormatPr baseColWidth="10" defaultColWidth="8.83203125" defaultRowHeight="13" x14ac:dyDescent="0.15"/>
  <cols>
    <col min="5" max="5" width="16.83203125" customWidth="1"/>
    <col min="6" max="6" width="15.5" bestFit="1" customWidth="1"/>
    <col min="8" max="8" width="16.6640625" customWidth="1"/>
    <col min="9" max="9" width="14.5" bestFit="1" customWidth="1"/>
    <col min="11" max="11" width="18.5" customWidth="1"/>
    <col min="12" max="12" width="14.5" bestFit="1" customWidth="1"/>
    <col min="14" max="15" width="16.6640625" bestFit="1" customWidth="1"/>
    <col min="17" max="18" width="16.6640625" bestFit="1" customWidth="1"/>
    <col min="20" max="21" width="16.6640625" bestFit="1" customWidth="1"/>
    <col min="23" max="24" width="16.6640625" bestFit="1" customWidth="1"/>
    <col min="26" max="27" width="16.6640625" bestFit="1" customWidth="1"/>
    <col min="29" max="30" width="16.6640625" bestFit="1" customWidth="1"/>
    <col min="32" max="33" width="16.6640625" bestFit="1" customWidth="1"/>
    <col min="35" max="36" width="16.6640625" bestFit="1" customWidth="1"/>
    <col min="38" max="38" width="11.33203125" bestFit="1" customWidth="1"/>
  </cols>
  <sheetData>
    <row r="1" spans="1:38" x14ac:dyDescent="0.15">
      <c r="A1" s="1" t="s">
        <v>475</v>
      </c>
    </row>
    <row r="2" spans="1:38" ht="14" thickBot="1" x14ac:dyDescent="0.2">
      <c r="E2" s="754" t="s">
        <v>476</v>
      </c>
      <c r="F2" s="754"/>
      <c r="H2" s="754" t="s">
        <v>477</v>
      </c>
      <c r="I2" s="754"/>
      <c r="K2" s="141" t="s">
        <v>478</v>
      </c>
      <c r="L2" s="141"/>
      <c r="N2" s="141" t="s">
        <v>479</v>
      </c>
      <c r="O2" s="141"/>
      <c r="Q2" s="141" t="s">
        <v>480</v>
      </c>
      <c r="R2" s="141"/>
      <c r="T2" s="141" t="s">
        <v>481</v>
      </c>
      <c r="U2" s="141"/>
      <c r="W2" s="141" t="s">
        <v>482</v>
      </c>
      <c r="X2" s="141"/>
      <c r="Z2" s="141" t="s">
        <v>483</v>
      </c>
      <c r="AA2" s="141"/>
      <c r="AC2" s="141" t="s">
        <v>484</v>
      </c>
      <c r="AD2" s="141"/>
      <c r="AF2" s="141" t="s">
        <v>485</v>
      </c>
      <c r="AG2" s="141"/>
      <c r="AI2" s="141" t="s">
        <v>486</v>
      </c>
      <c r="AJ2" s="141"/>
    </row>
    <row r="3" spans="1:38" ht="15" thickTop="1" thickBot="1" x14ac:dyDescent="0.2">
      <c r="A3" s="137" t="s">
        <v>487</v>
      </c>
      <c r="B3" s="138"/>
      <c r="C3" s="138"/>
    </row>
    <row r="4" spans="1:38" ht="14" thickTop="1" x14ac:dyDescent="0.15">
      <c r="A4" s="1" t="s">
        <v>488</v>
      </c>
    </row>
    <row r="5" spans="1:38" x14ac:dyDescent="0.15">
      <c r="A5" s="116" t="s">
        <v>489</v>
      </c>
      <c r="E5" s="62">
        <f>0+-'After Tax Analysis'!D26</f>
        <v>60000000</v>
      </c>
      <c r="H5" s="63">
        <f>E5+'After Tax Analysis'!E28</f>
        <v>110012750</v>
      </c>
      <c r="K5" s="63">
        <f>H5+'After Tax Analysis'!F28</f>
        <v>154215542.50000003</v>
      </c>
      <c r="N5" s="63">
        <f>K5+'After Tax Analysis'!G28</f>
        <v>189657734.58412501</v>
      </c>
      <c r="Q5" s="63">
        <f>N5+'After Tax Analysis'!H28</f>
        <v>214769091.29161546</v>
      </c>
      <c r="T5" s="63">
        <f>Q5+'After Tax Analysis'!I28</f>
        <v>299170153.77046442</v>
      </c>
      <c r="W5" s="63">
        <f>T5+'After Tax Analysis'!J28</f>
        <v>299170153.77046442</v>
      </c>
      <c r="Z5" s="63">
        <f>W5+'After Tax Analysis'!K28</f>
        <v>299170153.77046442</v>
      </c>
      <c r="AC5" s="63">
        <f>Z5+'After Tax Analysis'!L28</f>
        <v>299170153.77046442</v>
      </c>
      <c r="AF5" s="63">
        <f>AC5+'After Tax Analysis'!M28</f>
        <v>299170153.77046442</v>
      </c>
      <c r="AI5" s="63">
        <f>AF5+'After Tax Analysis'!N28</f>
        <v>299170153.77046442</v>
      </c>
    </row>
    <row r="6" spans="1:38" x14ac:dyDescent="0.15">
      <c r="A6" s="116" t="s">
        <v>490</v>
      </c>
      <c r="E6" s="64">
        <f>E5</f>
        <v>60000000</v>
      </c>
      <c r="H6" s="74">
        <f>H5</f>
        <v>110012750</v>
      </c>
      <c r="K6" s="74">
        <f>K5</f>
        <v>154215542.50000003</v>
      </c>
      <c r="N6" s="74">
        <f>N5</f>
        <v>189657734.58412501</v>
      </c>
      <c r="Q6" s="74">
        <f>Q5</f>
        <v>214769091.29161546</v>
      </c>
      <c r="T6" s="74">
        <f>T5</f>
        <v>299170153.77046442</v>
      </c>
      <c r="W6" s="74">
        <f>W5</f>
        <v>299170153.77046442</v>
      </c>
      <c r="Z6" s="74">
        <f>Z5</f>
        <v>299170153.77046442</v>
      </c>
      <c r="AC6" s="74">
        <f>AC5</f>
        <v>299170153.77046442</v>
      </c>
      <c r="AF6" s="74">
        <f>AF5</f>
        <v>299170153.77046442</v>
      </c>
      <c r="AI6" s="74">
        <f>AI5</f>
        <v>299170153.77046442</v>
      </c>
      <c r="AL6" s="66"/>
    </row>
    <row r="8" spans="1:38" x14ac:dyDescent="0.15">
      <c r="A8" s="1" t="s">
        <v>491</v>
      </c>
    </row>
    <row r="9" spans="1:38" x14ac:dyDescent="0.15">
      <c r="A9" s="116" t="s">
        <v>492</v>
      </c>
    </row>
    <row r="10" spans="1:38" x14ac:dyDescent="0.15">
      <c r="A10" s="139" t="s">
        <v>493</v>
      </c>
      <c r="E10" s="61">
        <f>'Capital &amp; Depr'!E11+'Capital &amp; Depr'!E15</f>
        <v>32550000</v>
      </c>
      <c r="H10" s="61">
        <f>'Capital Gains Wksht'!F36</f>
        <v>32550000</v>
      </c>
      <c r="K10" s="61">
        <f>'Capital Gains Wksht'!G36+'Capital Gains Wksht'!F47</f>
        <v>32550000</v>
      </c>
      <c r="N10" s="61">
        <f>'Capital Gains Wksht'!H36+SUM('Capital Gains Wksht'!F47:'Capital Gains Wksht'!G47)</f>
        <v>32550000</v>
      </c>
      <c r="Q10" s="61">
        <f>'Capital Gains Wksht'!I36+SUM('Capital Gains Wksht'!F47:'Capital Gains Wksht'!H47)</f>
        <v>32550000</v>
      </c>
      <c r="T10" s="61">
        <f>'Capital Gains Wksht'!J36+SUM('Capital Gains Wksht'!F47:'Capital Gains Wksht'!I47)</f>
        <v>32550000</v>
      </c>
      <c r="W10" s="61">
        <f>'Capital Gains Wksht'!K36+SUM('Capital Gains Wksht'!F47:'Capital Gains Wksht'!J47)</f>
        <v>12847035</v>
      </c>
      <c r="Z10" s="61">
        <f>'Capital Gains Wksht'!L36+SUM('Capital Gains Wksht'!F47:'Capital Gains Wksht'!K47)</f>
        <v>12847035</v>
      </c>
      <c r="AC10" s="61">
        <f>'Capital Gains Wksht'!M36+SUM('Capital Gains Wksht'!F47:'Capital Gains Wksht'!L47)</f>
        <v>12847035</v>
      </c>
      <c r="AF10" s="61">
        <f>'Capital Gains Wksht'!N36+SUM('Capital Gains Wksht'!F47:'Capital Gains Wksht'!M47)</f>
        <v>12847035</v>
      </c>
      <c r="AI10" s="61">
        <f>IF('Capital Gains Wksht'!O36=0,('Capital Gains Wksht'!O36+SUM('Capital Gains Wksht'!F47:'Capital Gains Wksht'!N47)),('Capital Gains Wksht'!P36+SUM('Capital Gains Wksht'!F47:'Capital Gains Wksht'!O47)))</f>
        <v>12847035</v>
      </c>
    </row>
    <row r="11" spans="1:38" x14ac:dyDescent="0.15">
      <c r="A11" s="139" t="s">
        <v>494</v>
      </c>
      <c r="E11" s="152">
        <v>0</v>
      </c>
      <c r="H11" s="140">
        <f>'Capital Gains Wksht'!F28</f>
        <v>3772500</v>
      </c>
      <c r="K11" s="140">
        <f>'Capital Gains Wksht'!G28</f>
        <v>9991350</v>
      </c>
      <c r="N11" s="140">
        <f>'Capital Gains Wksht'!H28</f>
        <v>14074500</v>
      </c>
      <c r="Q11" s="140">
        <f>'Capital Gains Wksht'!I28</f>
        <v>16850010</v>
      </c>
      <c r="T11" s="140">
        <f>'Capital Gains Wksht'!J28</f>
        <v>18202965</v>
      </c>
      <c r="W11" s="140">
        <f>'Capital Gains Wksht'!K28</f>
        <v>0</v>
      </c>
      <c r="Z11" s="140">
        <f>'Capital Gains Wksht'!L28</f>
        <v>0</v>
      </c>
      <c r="AC11" s="140">
        <f>'Capital Gains Wksht'!M28</f>
        <v>0</v>
      </c>
      <c r="AF11" s="140">
        <f>'Capital Gains Wksht'!N28</f>
        <v>0</v>
      </c>
      <c r="AI11" s="140">
        <f>'Capital Gains Wksht'!P28</f>
        <v>0</v>
      </c>
    </row>
    <row r="12" spans="1:38" x14ac:dyDescent="0.15">
      <c r="A12" s="116" t="s">
        <v>495</v>
      </c>
      <c r="E12" s="64">
        <f>SUM(E10:E11)</f>
        <v>32550000</v>
      </c>
      <c r="H12" s="64">
        <f>H10-H11</f>
        <v>28777500</v>
      </c>
      <c r="K12" s="64">
        <f>K10-K11</f>
        <v>22558650</v>
      </c>
      <c r="N12" s="64">
        <f>N10-N11</f>
        <v>18475500</v>
      </c>
      <c r="Q12" s="64">
        <f>Q10-Q11</f>
        <v>15699990</v>
      </c>
      <c r="T12" s="64">
        <f>T10-T11</f>
        <v>14347035</v>
      </c>
      <c r="W12" s="64">
        <f>W10-W11</f>
        <v>12847035</v>
      </c>
      <c r="Z12" s="64">
        <f>Z10-Z11</f>
        <v>12847035</v>
      </c>
      <c r="AC12" s="64">
        <f>AC10-AC11</f>
        <v>12847035</v>
      </c>
      <c r="AF12" s="64">
        <f>AF10-AF11</f>
        <v>12847035</v>
      </c>
      <c r="AI12" s="64">
        <f>AI10-AI11</f>
        <v>12847035</v>
      </c>
    </row>
    <row r="13" spans="1:38" x14ac:dyDescent="0.15">
      <c r="A13" s="116" t="s">
        <v>496</v>
      </c>
      <c r="E13" s="15">
        <v>0</v>
      </c>
      <c r="H13" s="15">
        <v>0</v>
      </c>
      <c r="K13" s="15">
        <v>0</v>
      </c>
      <c r="N13" s="15">
        <v>0</v>
      </c>
      <c r="Q13" s="15">
        <v>0</v>
      </c>
      <c r="T13" s="15">
        <v>0</v>
      </c>
      <c r="W13" s="15">
        <v>0</v>
      </c>
      <c r="Z13" s="15">
        <v>0</v>
      </c>
      <c r="AC13" s="15">
        <v>0</v>
      </c>
      <c r="AF13" s="15">
        <v>0</v>
      </c>
      <c r="AI13" s="15">
        <v>0</v>
      </c>
    </row>
    <row r="14" spans="1:38" x14ac:dyDescent="0.15">
      <c r="A14" s="116" t="s">
        <v>497</v>
      </c>
      <c r="E14" s="64">
        <f>SUM(E12:E13)</f>
        <v>32550000</v>
      </c>
      <c r="H14" s="134">
        <f>H12+H13</f>
        <v>28777500</v>
      </c>
      <c r="K14" s="134">
        <f>K12+K13</f>
        <v>22558650</v>
      </c>
      <c r="N14" s="134">
        <f>N12+N13</f>
        <v>18475500</v>
      </c>
      <c r="Q14" s="134">
        <f>Q12+Q13</f>
        <v>15699990</v>
      </c>
      <c r="T14" s="134">
        <f>T12+T13</f>
        <v>14347035</v>
      </c>
      <c r="W14" s="134">
        <f>W12+W13</f>
        <v>12847035</v>
      </c>
      <c r="Z14" s="134">
        <f>Z12+Z13</f>
        <v>12847035</v>
      </c>
      <c r="AC14" s="134">
        <f>AC12+AC13</f>
        <v>12847035</v>
      </c>
      <c r="AF14" s="134">
        <f>AF12+AF13</f>
        <v>12847035</v>
      </c>
      <c r="AI14" s="134">
        <f>AI12+AI13</f>
        <v>12847035</v>
      </c>
    </row>
    <row r="16" spans="1:38" ht="14" thickBot="1" x14ac:dyDescent="0.2">
      <c r="A16" s="246" t="s">
        <v>498</v>
      </c>
      <c r="E16" s="245">
        <f>E6+E14</f>
        <v>92550000</v>
      </c>
      <c r="H16" s="244">
        <f>H6+H14</f>
        <v>138790250</v>
      </c>
      <c r="K16" s="244">
        <f>K6+K14</f>
        <v>176774192.50000003</v>
      </c>
      <c r="N16" s="244">
        <f>N6+N14</f>
        <v>208133234.58412501</v>
      </c>
      <c r="Q16" s="244">
        <f>Q6+Q14</f>
        <v>230469081.29161546</v>
      </c>
      <c r="T16" s="244">
        <f>T6+T14</f>
        <v>313517188.77046442</v>
      </c>
      <c r="W16" s="244">
        <f>W6+W14</f>
        <v>312017188.77046442</v>
      </c>
      <c r="Z16" s="244">
        <f>Z6+Z14</f>
        <v>312017188.77046442</v>
      </c>
      <c r="AC16" s="244">
        <f>AC6+AC14</f>
        <v>312017188.77046442</v>
      </c>
      <c r="AF16" s="244">
        <f>AF6+AF14</f>
        <v>312017188.77046442</v>
      </c>
      <c r="AI16" s="244">
        <f>AI6+AI14</f>
        <v>312017188.77046442</v>
      </c>
    </row>
    <row r="17" spans="1:36" ht="14" thickTop="1" x14ac:dyDescent="0.15"/>
    <row r="19" spans="1:36" ht="14" thickBot="1" x14ac:dyDescent="0.2">
      <c r="A19" s="137" t="s">
        <v>499</v>
      </c>
      <c r="B19" s="138"/>
      <c r="C19" s="138"/>
    </row>
    <row r="20" spans="1:36" ht="14" thickTop="1" x14ac:dyDescent="0.15">
      <c r="A20" s="1" t="s">
        <v>500</v>
      </c>
    </row>
    <row r="21" spans="1:36" x14ac:dyDescent="0.15">
      <c r="A21" s="116"/>
      <c r="I21" s="149"/>
      <c r="L21" s="149"/>
      <c r="O21" s="149"/>
      <c r="R21" s="149"/>
      <c r="U21" s="149"/>
      <c r="X21" s="149"/>
      <c r="AA21" s="149"/>
      <c r="AD21" s="149"/>
      <c r="AG21" s="149"/>
      <c r="AJ21" s="149"/>
    </row>
    <row r="22" spans="1:36" x14ac:dyDescent="0.15">
      <c r="A22" s="116" t="s">
        <v>501</v>
      </c>
      <c r="F22" s="15">
        <v>0</v>
      </c>
      <c r="I22" s="15">
        <v>0</v>
      </c>
      <c r="L22" s="15">
        <v>0</v>
      </c>
      <c r="O22" s="15">
        <v>0</v>
      </c>
      <c r="R22" s="15">
        <v>0</v>
      </c>
      <c r="U22" s="15">
        <v>0</v>
      </c>
      <c r="X22" s="15">
        <v>0</v>
      </c>
      <c r="AA22" s="15">
        <v>0</v>
      </c>
      <c r="AD22" s="15">
        <v>0</v>
      </c>
      <c r="AG22" s="15">
        <v>0</v>
      </c>
      <c r="AJ22" s="15">
        <v>0</v>
      </c>
    </row>
    <row r="23" spans="1:36" x14ac:dyDescent="0.15">
      <c r="A23" s="116" t="s">
        <v>502</v>
      </c>
      <c r="F23" s="150">
        <f>F22</f>
        <v>0</v>
      </c>
      <c r="I23" s="150">
        <f>I21+I22</f>
        <v>0</v>
      </c>
      <c r="L23" s="150">
        <f>L21+L22</f>
        <v>0</v>
      </c>
      <c r="O23" s="150">
        <f>O21+O22</f>
        <v>0</v>
      </c>
      <c r="R23" s="150">
        <f>R21+R22</f>
        <v>0</v>
      </c>
      <c r="U23" s="150">
        <f>U21+U22</f>
        <v>0</v>
      </c>
      <c r="X23" s="150">
        <f>X21+X22</f>
        <v>0</v>
      </c>
      <c r="AA23" s="150">
        <f>AA21+AA22</f>
        <v>0</v>
      </c>
      <c r="AD23" s="150">
        <f>AD21+AD22</f>
        <v>0</v>
      </c>
      <c r="AG23" s="150">
        <f>AG21+AG22</f>
        <v>0</v>
      </c>
      <c r="AJ23" s="150">
        <f>AJ21+AJ22</f>
        <v>0</v>
      </c>
    </row>
    <row r="25" spans="1:36" x14ac:dyDescent="0.15">
      <c r="A25" s="1" t="s">
        <v>503</v>
      </c>
    </row>
    <row r="26" spans="1:36" x14ac:dyDescent="0.15">
      <c r="A26" s="116" t="s">
        <v>504</v>
      </c>
      <c r="F26" s="61">
        <f>'Initial Inputs'!C35</f>
        <v>0</v>
      </c>
      <c r="I26" s="61" t="e">
        <f>'Loan Amortization'!D25</f>
        <v>#DIV/0!</v>
      </c>
      <c r="L26" s="61" t="e">
        <f>'Loan Amortization'!F21</f>
        <v>#DIV/0!</v>
      </c>
      <c r="O26" s="61" t="e">
        <f>'Loan Amortization'!G21</f>
        <v>#DIV/0!</v>
      </c>
      <c r="R26" s="61" t="e">
        <f>'Loan Amortization'!H21</f>
        <v>#DIV/0!</v>
      </c>
      <c r="U26" s="61" t="e">
        <f>'Loan Amortization'!I21</f>
        <v>#DIV/0!</v>
      </c>
      <c r="X26" s="61" t="e">
        <f>'Loan Amortization'!J21</f>
        <v>#DIV/0!</v>
      </c>
      <c r="AA26" s="61" t="e">
        <f>'Loan Amortization'!K21</f>
        <v>#DIV/0!</v>
      </c>
      <c r="AD26" s="61" t="e">
        <f>'Loan Amortization'!L21</f>
        <v>#DIV/0!</v>
      </c>
      <c r="AG26" s="61" t="e">
        <f>'Loan Amortization'!M21</f>
        <v>#DIV/0!</v>
      </c>
      <c r="AJ26" s="61" t="e">
        <f>'Loan Amortization'!N21</f>
        <v>#DIV/0!</v>
      </c>
    </row>
    <row r="27" spans="1:36" x14ac:dyDescent="0.15">
      <c r="A27" s="116" t="s">
        <v>505</v>
      </c>
      <c r="F27" s="15">
        <v>0</v>
      </c>
      <c r="I27" s="15">
        <v>0</v>
      </c>
      <c r="L27" s="15">
        <v>0</v>
      </c>
      <c r="O27" s="15">
        <v>0</v>
      </c>
      <c r="R27" s="15">
        <v>0</v>
      </c>
      <c r="U27" s="15">
        <v>0</v>
      </c>
      <c r="X27" s="15">
        <v>0</v>
      </c>
      <c r="AA27" s="15">
        <v>0</v>
      </c>
      <c r="AD27" s="15">
        <v>0</v>
      </c>
      <c r="AG27" s="15">
        <v>0</v>
      </c>
      <c r="AJ27" s="15">
        <v>0</v>
      </c>
    </row>
    <row r="28" spans="1:36" x14ac:dyDescent="0.15">
      <c r="A28" s="116" t="s">
        <v>506</v>
      </c>
      <c r="F28" s="64">
        <f>SUM(F26:F27)</f>
        <v>0</v>
      </c>
      <c r="I28" s="134" t="e">
        <f>I26+I27</f>
        <v>#DIV/0!</v>
      </c>
      <c r="L28" s="134" t="e">
        <f>L26+L27</f>
        <v>#DIV/0!</v>
      </c>
      <c r="O28" s="134" t="e">
        <f>O26+O27</f>
        <v>#DIV/0!</v>
      </c>
      <c r="R28" s="134" t="e">
        <f>R26+R27</f>
        <v>#DIV/0!</v>
      </c>
      <c r="U28" s="134" t="e">
        <f>U26+U27</f>
        <v>#DIV/0!</v>
      </c>
      <c r="X28" s="134" t="e">
        <f>X26+X27</f>
        <v>#DIV/0!</v>
      </c>
      <c r="AA28" s="134" t="e">
        <f>AA26+AA27</f>
        <v>#DIV/0!</v>
      </c>
      <c r="AD28" s="134" t="e">
        <f>AD26+AD27</f>
        <v>#DIV/0!</v>
      </c>
      <c r="AG28" s="134" t="e">
        <f>AG26+AG27</f>
        <v>#DIV/0!</v>
      </c>
      <c r="AJ28" s="134" t="e">
        <f>AJ26+AJ27</f>
        <v>#DIV/0!</v>
      </c>
    </row>
    <row r="29" spans="1:36" x14ac:dyDescent="0.15">
      <c r="A29" s="116" t="s">
        <v>507</v>
      </c>
      <c r="F29" s="64">
        <f>F23+F28</f>
        <v>0</v>
      </c>
      <c r="I29" s="74" t="e">
        <f>I23+I28</f>
        <v>#DIV/0!</v>
      </c>
      <c r="L29" s="74" t="e">
        <f>L23+L28</f>
        <v>#DIV/0!</v>
      </c>
      <c r="O29" s="74" t="e">
        <f>O23+O28</f>
        <v>#DIV/0!</v>
      </c>
      <c r="R29" s="74" t="e">
        <f>R23+R28</f>
        <v>#DIV/0!</v>
      </c>
      <c r="U29" s="74" t="e">
        <f>U23+U28</f>
        <v>#DIV/0!</v>
      </c>
      <c r="X29" s="74" t="e">
        <f>X23+X28</f>
        <v>#DIV/0!</v>
      </c>
      <c r="AA29" s="74" t="e">
        <f>AA23+AA28</f>
        <v>#DIV/0!</v>
      </c>
      <c r="AD29" s="74" t="e">
        <f>AD23+AD28</f>
        <v>#DIV/0!</v>
      </c>
      <c r="AG29" s="74" t="e">
        <f>AG23+AG28</f>
        <v>#DIV/0!</v>
      </c>
      <c r="AJ29" s="74" t="e">
        <f>AJ23+AJ28</f>
        <v>#DIV/0!</v>
      </c>
    </row>
    <row r="31" spans="1:36" x14ac:dyDescent="0.15">
      <c r="A31" s="1" t="s">
        <v>508</v>
      </c>
    </row>
    <row r="32" spans="1:36" x14ac:dyDescent="0.15">
      <c r="A32" s="116" t="s">
        <v>509</v>
      </c>
      <c r="F32" s="134">
        <f>'Capital &amp; Depr'!E20-'Initial Inputs'!C35</f>
        <v>92550000</v>
      </c>
      <c r="I32" s="134">
        <f>'Capital &amp; Depr'!$E$20-'Initial Inputs'!$C$35</f>
        <v>92550000</v>
      </c>
      <c r="L32" s="134">
        <f>'Capital &amp; Depr'!$E$20-'Initial Inputs'!$C$35</f>
        <v>92550000</v>
      </c>
      <c r="O32" s="134">
        <f>'Capital &amp; Depr'!$E$20-'Initial Inputs'!$C$35</f>
        <v>92550000</v>
      </c>
      <c r="R32" s="134">
        <f>'Capital &amp; Depr'!$E$20-'Initial Inputs'!$C$35</f>
        <v>92550000</v>
      </c>
      <c r="U32" s="134">
        <f>'Capital &amp; Depr'!$E$20-'Initial Inputs'!$C$35</f>
        <v>92550000</v>
      </c>
      <c r="X32" s="134">
        <f>'Capital &amp; Depr'!$E$20-'Initial Inputs'!$C$35</f>
        <v>92550000</v>
      </c>
      <c r="AA32" s="134">
        <f>'Capital &amp; Depr'!$E$20-'Initial Inputs'!$C$35</f>
        <v>92550000</v>
      </c>
      <c r="AD32" s="134">
        <f>'Capital &amp; Depr'!$E$20-'Initial Inputs'!$C$35</f>
        <v>92550000</v>
      </c>
      <c r="AG32" s="134">
        <f>'Capital &amp; Depr'!$E$20-'Initial Inputs'!$C$35</f>
        <v>92550000</v>
      </c>
      <c r="AJ32" s="134">
        <f>'Capital &amp; Depr'!$E$20-'Initial Inputs'!$C$35</f>
        <v>92550000</v>
      </c>
    </row>
    <row r="33" spans="1:38" x14ac:dyDescent="0.15">
      <c r="A33" s="116" t="s">
        <v>510</v>
      </c>
      <c r="F33" s="136">
        <f>0</f>
        <v>0</v>
      </c>
      <c r="I33" s="74">
        <f>'Income Statement'!H25+F33+'After Tax Analysis'!E22+'After Tax Analysis'!E25+'After Tax Analysis'!E26</f>
        <v>46240250</v>
      </c>
      <c r="L33" s="74">
        <f>'Income Statement'!K25+I33+'After Tax Analysis'!F22+'After Tax Analysis'!F25+'After Tax Analysis'!F26</f>
        <v>84224192.50000003</v>
      </c>
      <c r="O33" s="74">
        <f>'Income Statement'!N25+L33+'After Tax Analysis'!G22+'After Tax Analysis'!G25+'After Tax Analysis'!G26</f>
        <v>115583234.58412501</v>
      </c>
      <c r="R33" s="74">
        <f>'Income Statement'!Q25+O33+'After Tax Analysis'!H22+'After Tax Analysis'!H25+'After Tax Analysis'!H26</f>
        <v>137919081.29161546</v>
      </c>
      <c r="U33" s="74">
        <f>'Income Statement'!T25+R33+'After Tax Analysis'!I22+'After Tax Analysis'!I25+'After Tax Analysis'!I26</f>
        <v>219467188.77046442</v>
      </c>
      <c r="X33" s="74">
        <f>'Income Statement'!W25+U33+'After Tax Analysis'!J22+'After Tax Analysis'!J25+'After Tax Analysis'!J26</f>
        <v>219467188.77046442</v>
      </c>
      <c r="AA33" s="74">
        <f>'Income Statement'!Z25+X33+'After Tax Analysis'!K22+'After Tax Analysis'!K25+'After Tax Analysis'!K26</f>
        <v>219467188.77046442</v>
      </c>
      <c r="AD33" s="74">
        <f>'Income Statement'!AC25+AA33+'After Tax Analysis'!L22+'After Tax Analysis'!L25+'After Tax Analysis'!L26</f>
        <v>219467188.77046442</v>
      </c>
      <c r="AG33" s="74">
        <f>'Income Statement'!AF25+AD33+'After Tax Analysis'!M22+'After Tax Analysis'!M25+'After Tax Analysis'!M26</f>
        <v>219467188.77046442</v>
      </c>
      <c r="AJ33" s="74">
        <f>'Income Statement'!AI25+AG33+'After Tax Analysis'!N22+'After Tax Analysis'!N25+'After Tax Analysis'!N26+'After Tax Analysis'!O22+'After Tax Analysis'!O25+'After Tax Analysis'!O26</f>
        <v>219467188.77046442</v>
      </c>
    </row>
    <row r="34" spans="1:38" x14ac:dyDescent="0.15">
      <c r="A34" s="116" t="s">
        <v>511</v>
      </c>
      <c r="F34" s="64">
        <f>SUM(F32:F33)</f>
        <v>92550000</v>
      </c>
      <c r="I34" s="74">
        <f>I32+I33</f>
        <v>138790250</v>
      </c>
      <c r="L34" s="74">
        <f>L32+L33</f>
        <v>176774192.50000003</v>
      </c>
      <c r="O34" s="74">
        <f>O32+O33</f>
        <v>208133234.58412501</v>
      </c>
      <c r="R34" s="74">
        <f>R32+R33</f>
        <v>230469081.29161546</v>
      </c>
      <c r="U34" s="74">
        <f>U32+U33</f>
        <v>312017188.77046442</v>
      </c>
      <c r="X34" s="74">
        <f>X32+X33</f>
        <v>312017188.77046442</v>
      </c>
      <c r="AA34" s="74">
        <f>AA32+AA33</f>
        <v>312017188.77046442</v>
      </c>
      <c r="AD34" s="74">
        <f>AD32+AD33</f>
        <v>312017188.77046442</v>
      </c>
      <c r="AG34" s="74">
        <f>AG32+AG33</f>
        <v>312017188.77046442</v>
      </c>
      <c r="AJ34" s="74">
        <f>AJ32+AJ33</f>
        <v>312017188.77046442</v>
      </c>
    </row>
    <row r="35" spans="1:38" ht="14" thickBot="1" x14ac:dyDescent="0.2">
      <c r="A35" s="246" t="s">
        <v>512</v>
      </c>
      <c r="F35" s="245">
        <f>F29+F34</f>
        <v>92550000</v>
      </c>
      <c r="I35" s="244" t="e">
        <f>I29+I34</f>
        <v>#DIV/0!</v>
      </c>
      <c r="L35" s="244" t="e">
        <f>L29+L34</f>
        <v>#DIV/0!</v>
      </c>
      <c r="O35" s="244" t="e">
        <f>O29+O34</f>
        <v>#DIV/0!</v>
      </c>
      <c r="R35" s="244" t="e">
        <f>R29+R34</f>
        <v>#DIV/0!</v>
      </c>
      <c r="U35" s="244" t="e">
        <f>U29+U34</f>
        <v>#DIV/0!</v>
      </c>
      <c r="X35" s="244" t="e">
        <f>X29+X34</f>
        <v>#DIV/0!</v>
      </c>
      <c r="AA35" s="244" t="e">
        <f>AA29+AA34</f>
        <v>#DIV/0!</v>
      </c>
      <c r="AD35" s="244" t="e">
        <f>AD29+AD34</f>
        <v>#DIV/0!</v>
      </c>
      <c r="AG35" s="244" t="e">
        <f>AG29+AG34</f>
        <v>#DIV/0!</v>
      </c>
      <c r="AJ35" s="244" t="e">
        <f>AJ29+AJ34</f>
        <v>#DIV/0!</v>
      </c>
    </row>
    <row r="36" spans="1:38" ht="14" thickTop="1" x14ac:dyDescent="0.15">
      <c r="H36" s="2"/>
      <c r="I36" s="1"/>
      <c r="AL36" s="2"/>
    </row>
    <row r="38" spans="1:38" x14ac:dyDescent="0.15">
      <c r="W38" s="2"/>
    </row>
    <row r="39" spans="1:38" x14ac:dyDescent="0.15">
      <c r="B39" s="1"/>
      <c r="U39" s="2"/>
      <c r="X39" s="2"/>
      <c r="AA39" s="2"/>
      <c r="AD39" s="2"/>
      <c r="AG39" s="2"/>
      <c r="AJ39" s="2"/>
    </row>
    <row r="40" spans="1:38" x14ac:dyDescent="0.15">
      <c r="AG40" s="2"/>
      <c r="AJ40" s="2"/>
    </row>
    <row r="41" spans="1:38" x14ac:dyDescent="0.15">
      <c r="AJ41" s="2"/>
    </row>
  </sheetData>
  <sheetProtection password="AA36" sheet="1" objects="1" scenarios="1"/>
  <mergeCells count="2">
    <mergeCell ref="E2:F2"/>
    <mergeCell ref="H2:I2"/>
  </mergeCells>
  <phoneticPr fontId="0" type="noConversion"/>
  <pageMargins left="0.75" right="0.75" top="1" bottom="1" header="0.5" footer="0.5"/>
  <pageSetup scale="50" fitToWidth="2" orientation="landscape"/>
  <headerFooter alignWithMargins="0">
    <oddFooter>Page &amp;P of &amp;N</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Q39"/>
  <sheetViews>
    <sheetView topLeftCell="A29" zoomScale="110" zoomScaleNormal="110" workbookViewId="0">
      <selection activeCell="C8" sqref="C8"/>
    </sheetView>
  </sheetViews>
  <sheetFormatPr baseColWidth="10" defaultColWidth="8.83203125" defaultRowHeight="13" x14ac:dyDescent="0.15"/>
  <cols>
    <col min="1" max="1" width="14.5" customWidth="1"/>
    <col min="2" max="2" width="25" customWidth="1"/>
    <col min="3" max="3" width="19.1640625" customWidth="1"/>
    <col min="4" max="4" width="8.5" customWidth="1"/>
    <col min="5" max="5" width="17.5" customWidth="1"/>
    <col min="6" max="6" width="12" customWidth="1"/>
    <col min="7" max="7" width="14" customWidth="1"/>
    <col min="8" max="8" width="13" customWidth="1"/>
    <col min="9" max="9" width="14.1640625" customWidth="1"/>
    <col min="10" max="10" width="13.5" customWidth="1"/>
    <col min="11" max="11" width="13.6640625" customWidth="1"/>
    <col min="12" max="12" width="14.6640625" customWidth="1"/>
    <col min="13" max="17" width="11.33203125" bestFit="1" customWidth="1"/>
  </cols>
  <sheetData>
    <row r="1" spans="1:17" ht="18" x14ac:dyDescent="0.2">
      <c r="A1" s="653" t="s">
        <v>513</v>
      </c>
    </row>
    <row r="4" spans="1:17" x14ac:dyDescent="0.15">
      <c r="A4" s="30"/>
      <c r="B4" s="29" t="s">
        <v>514</v>
      </c>
      <c r="C4" s="285">
        <f>'Capital &amp; Depr'!E20</f>
        <v>92550000</v>
      </c>
      <c r="E4" s="28" t="s">
        <v>133</v>
      </c>
      <c r="F4" s="28"/>
      <c r="G4" s="26">
        <v>1</v>
      </c>
      <c r="H4" s="26">
        <v>2</v>
      </c>
      <c r="I4" s="26">
        <v>3</v>
      </c>
      <c r="J4" s="26">
        <v>4</v>
      </c>
      <c r="K4" s="26">
        <v>5</v>
      </c>
      <c r="L4" s="26">
        <v>6</v>
      </c>
      <c r="M4" s="26">
        <v>7</v>
      </c>
      <c r="N4" s="26">
        <v>8</v>
      </c>
      <c r="O4" s="26">
        <v>9</v>
      </c>
      <c r="P4" s="26">
        <v>10</v>
      </c>
      <c r="Q4" s="22" t="s">
        <v>216</v>
      </c>
    </row>
    <row r="5" spans="1:17" x14ac:dyDescent="0.15">
      <c r="A5" s="1"/>
      <c r="B5" s="31" t="s">
        <v>515</v>
      </c>
      <c r="C5" s="286">
        <f>'Capital &amp; Depr'!E11</f>
        <v>31050000</v>
      </c>
      <c r="E5" s="28" t="s">
        <v>516</v>
      </c>
      <c r="F5" s="28"/>
      <c r="G5" s="278">
        <v>0</v>
      </c>
      <c r="H5" s="278">
        <v>0</v>
      </c>
      <c r="I5" s="278">
        <v>0</v>
      </c>
      <c r="J5" s="278">
        <v>0</v>
      </c>
      <c r="K5" s="278">
        <v>0</v>
      </c>
      <c r="L5" s="278">
        <v>0</v>
      </c>
      <c r="M5" s="278">
        <v>0</v>
      </c>
      <c r="N5" s="278">
        <v>0</v>
      </c>
      <c r="O5" s="278">
        <v>0</v>
      </c>
      <c r="P5" s="278">
        <v>0</v>
      </c>
      <c r="Q5" s="14">
        <f>SUM(G5:P5)</f>
        <v>0</v>
      </c>
    </row>
    <row r="6" spans="1:17" x14ac:dyDescent="0.15">
      <c r="B6" s="32" t="s">
        <v>517</v>
      </c>
      <c r="C6" s="285">
        <f>'Capital &amp; Depr'!G11</f>
        <v>0</v>
      </c>
      <c r="E6" s="28" t="s">
        <v>518</v>
      </c>
      <c r="F6" s="28"/>
      <c r="G6" s="274">
        <v>0</v>
      </c>
      <c r="H6" s="274">
        <v>0</v>
      </c>
      <c r="I6" s="274">
        <v>0</v>
      </c>
      <c r="J6" s="274">
        <v>0</v>
      </c>
      <c r="K6" s="274">
        <v>0</v>
      </c>
      <c r="L6" s="274">
        <v>0</v>
      </c>
      <c r="M6" s="274">
        <v>0</v>
      </c>
      <c r="N6" s="274">
        <v>0</v>
      </c>
      <c r="O6" s="274">
        <v>0</v>
      </c>
      <c r="P6" s="274">
        <v>0</v>
      </c>
    </row>
    <row r="7" spans="1:17" x14ac:dyDescent="0.15">
      <c r="B7" s="36" t="s">
        <v>519</v>
      </c>
      <c r="C7" s="275">
        <v>6</v>
      </c>
    </row>
    <row r="8" spans="1:17" x14ac:dyDescent="0.15">
      <c r="A8" s="28" t="s">
        <v>85</v>
      </c>
      <c r="B8" s="123">
        <f>'Initial Inputs'!C5</f>
        <v>0.16</v>
      </c>
    </row>
    <row r="9" spans="1:17" x14ac:dyDescent="0.15">
      <c r="A9" s="58"/>
      <c r="B9" s="59"/>
      <c r="E9" s="26" t="s">
        <v>520</v>
      </c>
      <c r="F9" s="26">
        <v>0</v>
      </c>
      <c r="G9" s="26">
        <v>1</v>
      </c>
      <c r="H9" s="26">
        <v>2</v>
      </c>
      <c r="I9" s="26">
        <v>3</v>
      </c>
      <c r="J9" s="26">
        <v>4</v>
      </c>
      <c r="K9" s="26">
        <v>5</v>
      </c>
      <c r="L9" s="26">
        <v>6</v>
      </c>
      <c r="M9" s="26">
        <v>7</v>
      </c>
      <c r="N9" s="26">
        <v>8</v>
      </c>
      <c r="O9" s="26">
        <v>9</v>
      </c>
      <c r="P9" s="26">
        <v>10</v>
      </c>
    </row>
    <row r="10" spans="1:17" ht="14" x14ac:dyDescent="0.15">
      <c r="E10" s="27" t="s">
        <v>521</v>
      </c>
      <c r="F10" s="60">
        <f>C4</f>
        <v>92550000</v>
      </c>
      <c r="G10" s="17">
        <v>0</v>
      </c>
      <c r="H10" s="17">
        <v>0</v>
      </c>
      <c r="I10" s="17">
        <v>0</v>
      </c>
      <c r="J10" s="17">
        <v>0</v>
      </c>
      <c r="K10" s="17">
        <v>0</v>
      </c>
      <c r="L10" s="17">
        <v>0</v>
      </c>
      <c r="M10" s="17">
        <v>0</v>
      </c>
      <c r="N10" s="17">
        <v>0</v>
      </c>
      <c r="O10" s="17">
        <v>0</v>
      </c>
      <c r="P10" s="17">
        <v>0</v>
      </c>
    </row>
    <row r="11" spans="1:17" x14ac:dyDescent="0.15">
      <c r="E11" s="26" t="s">
        <v>522</v>
      </c>
      <c r="F11" s="21"/>
      <c r="G11" s="16">
        <f t="shared" ref="G11:P11" si="0">($B$8*(1+$B$8)^G$9)/((1+$B$8)^G$9-1)</f>
        <v>1.1600000000000006</v>
      </c>
      <c r="H11" s="16">
        <f t="shared" si="0"/>
        <v>0.62296296296296305</v>
      </c>
      <c r="I11" s="16">
        <f t="shared" si="0"/>
        <v>0.44525787311729809</v>
      </c>
      <c r="J11" s="16">
        <f t="shared" si="0"/>
        <v>0.35737506947602449</v>
      </c>
      <c r="K11" s="16">
        <f t="shared" si="0"/>
        <v>0.30540938161787179</v>
      </c>
      <c r="L11" s="16">
        <f t="shared" si="0"/>
        <v>0.27138987023186345</v>
      </c>
      <c r="M11" s="16">
        <f t="shared" si="0"/>
        <v>0.24761267714957433</v>
      </c>
      <c r="N11" s="16">
        <f t="shared" si="0"/>
        <v>0.23022426010430044</v>
      </c>
      <c r="O11" s="16">
        <f t="shared" si="0"/>
        <v>0.21708248681288947</v>
      </c>
      <c r="P11" s="16">
        <f t="shared" si="0"/>
        <v>0.20690108306657867</v>
      </c>
    </row>
    <row r="12" spans="1:17" ht="28" x14ac:dyDescent="0.15">
      <c r="E12" s="27" t="s">
        <v>523</v>
      </c>
      <c r="F12" s="21"/>
      <c r="G12" s="60">
        <f t="shared" ref="G12:P12" si="1">G11*$F$10</f>
        <v>107358000.00000006</v>
      </c>
      <c r="H12" s="60">
        <f t="shared" si="1"/>
        <v>57655222.222222231</v>
      </c>
      <c r="I12" s="60">
        <f t="shared" si="1"/>
        <v>41208616.157005936</v>
      </c>
      <c r="J12" s="60">
        <f t="shared" si="1"/>
        <v>33075062.680006064</v>
      </c>
      <c r="K12" s="60">
        <f t="shared" si="1"/>
        <v>28265638.268734034</v>
      </c>
      <c r="L12" s="60">
        <f t="shared" si="1"/>
        <v>25117132.489958961</v>
      </c>
      <c r="M12" s="60">
        <f t="shared" si="1"/>
        <v>22916553.270193104</v>
      </c>
      <c r="N12" s="60">
        <f t="shared" si="1"/>
        <v>21307255.272653006</v>
      </c>
      <c r="O12" s="60">
        <f t="shared" si="1"/>
        <v>20090984.154532921</v>
      </c>
      <c r="P12" s="60">
        <f t="shared" si="1"/>
        <v>19148695.237811856</v>
      </c>
    </row>
    <row r="13" spans="1:17" x14ac:dyDescent="0.15">
      <c r="C13" s="36" t="s">
        <v>524</v>
      </c>
    </row>
    <row r="14" spans="1:17" x14ac:dyDescent="0.15">
      <c r="C14" s="35" t="s">
        <v>525</v>
      </c>
      <c r="E14" s="26" t="s">
        <v>520</v>
      </c>
      <c r="F14" s="26"/>
      <c r="G14" s="26">
        <v>1</v>
      </c>
      <c r="H14" s="26">
        <v>2</v>
      </c>
      <c r="I14" s="26">
        <v>3</v>
      </c>
      <c r="J14" s="26">
        <v>4</v>
      </c>
      <c r="K14" s="26">
        <v>5</v>
      </c>
      <c r="L14" s="26">
        <v>6</v>
      </c>
      <c r="M14" s="26">
        <v>7</v>
      </c>
      <c r="N14" s="26">
        <v>8</v>
      </c>
      <c r="O14" s="26">
        <v>9</v>
      </c>
      <c r="P14" s="26">
        <v>10</v>
      </c>
    </row>
    <row r="15" spans="1:17" x14ac:dyDescent="0.15">
      <c r="C15" s="652">
        <f>'Capital &amp; Depr'!E26</f>
        <v>1</v>
      </c>
      <c r="E15" s="26" t="s">
        <v>526</v>
      </c>
      <c r="F15" s="26"/>
      <c r="G15" s="61">
        <f>'Capital &amp; Depr'!E45</f>
        <v>14437500</v>
      </c>
      <c r="H15" s="61">
        <f>'Capital &amp; Depr'!F45</f>
        <v>13354650</v>
      </c>
      <c r="I15" s="61">
        <f>'Capital &amp; Depr'!G45</f>
        <v>12353100</v>
      </c>
      <c r="J15" s="61">
        <f>'Capital &amp; Depr'!H45</f>
        <v>11426550</v>
      </c>
      <c r="K15" s="61">
        <f>'Capital &amp; Depr'!I45</f>
        <v>10998075</v>
      </c>
      <c r="L15" s="61">
        <f>'Capital &amp; Depr'!J45</f>
        <v>10998075</v>
      </c>
      <c r="M15" s="61">
        <f>'Capital &amp; Depr'!K45</f>
        <v>10998075</v>
      </c>
      <c r="N15" s="61">
        <f>'Capital &amp; Depr'!L45</f>
        <v>10998075</v>
      </c>
      <c r="O15" s="61">
        <f>'Capital &amp; Depr'!M45</f>
        <v>10998075</v>
      </c>
      <c r="P15" s="61">
        <f>'Capital &amp; Depr'!N45</f>
        <v>10998075</v>
      </c>
    </row>
    <row r="16" spans="1:17" x14ac:dyDescent="0.15">
      <c r="E16" s="26" t="s">
        <v>527</v>
      </c>
      <c r="F16" s="26"/>
      <c r="G16" s="18">
        <f t="shared" ref="G16:P16" si="2">($B$8)/((1+$B$8)^G$14-1)</f>
        <v>1.0000000000000004</v>
      </c>
      <c r="H16" s="18">
        <f t="shared" si="2"/>
        <v>0.46296296296296308</v>
      </c>
      <c r="I16" s="18">
        <f t="shared" si="2"/>
        <v>0.28525787311729811</v>
      </c>
      <c r="J16" s="18">
        <f t="shared" si="2"/>
        <v>0.19737506947602454</v>
      </c>
      <c r="K16" s="18">
        <f t="shared" si="2"/>
        <v>0.14540938161787184</v>
      </c>
      <c r="L16" s="18">
        <f t="shared" si="2"/>
        <v>0.11138987023186343</v>
      </c>
      <c r="M16" s="18">
        <f t="shared" si="2"/>
        <v>8.7612677149574325E-2</v>
      </c>
      <c r="N16" s="18">
        <f t="shared" si="2"/>
        <v>7.0224260104300454E-2</v>
      </c>
      <c r="O16" s="18">
        <f t="shared" si="2"/>
        <v>5.7082486812889487E-2</v>
      </c>
      <c r="P16" s="18">
        <f t="shared" si="2"/>
        <v>4.6901083066578683E-2</v>
      </c>
    </row>
    <row r="17" spans="2:16" ht="14" x14ac:dyDescent="0.15">
      <c r="E17" s="27" t="s">
        <v>528</v>
      </c>
      <c r="F17" s="27"/>
      <c r="G17" s="62">
        <f t="shared" ref="G17:L17" si="3">G16*G15</f>
        <v>14437500.000000006</v>
      </c>
      <c r="H17" s="62">
        <f t="shared" si="3"/>
        <v>6182708.3333333349</v>
      </c>
      <c r="I17" s="62">
        <f t="shared" si="3"/>
        <v>3523819.0324052954</v>
      </c>
      <c r="J17" s="62">
        <f t="shared" si="3"/>
        <v>2255316.1001212681</v>
      </c>
      <c r="K17" s="62">
        <f t="shared" si="3"/>
        <v>1599223.2847369758</v>
      </c>
      <c r="L17" s="62">
        <f t="shared" si="3"/>
        <v>1225074.1470503013</v>
      </c>
      <c r="M17" s="62">
        <f>M16*M15</f>
        <v>963570.79424180463</v>
      </c>
      <c r="N17" s="62">
        <f>N16*N15</f>
        <v>772331.67944660422</v>
      </c>
      <c r="O17" s="62">
        <f>O16*O15</f>
        <v>627797.47115466953</v>
      </c>
      <c r="P17" s="62">
        <f>P16*P15</f>
        <v>515821.62914746237</v>
      </c>
    </row>
    <row r="19" spans="2:16" x14ac:dyDescent="0.15">
      <c r="C19" s="1" t="s">
        <v>529</v>
      </c>
      <c r="E19" s="26" t="s">
        <v>520</v>
      </c>
      <c r="F19" s="26"/>
      <c r="G19" s="26">
        <v>1</v>
      </c>
      <c r="H19" s="26">
        <v>2</v>
      </c>
      <c r="I19" s="26">
        <v>3</v>
      </c>
      <c r="J19" s="26">
        <v>4</v>
      </c>
      <c r="K19" s="26">
        <v>5</v>
      </c>
      <c r="L19" s="26">
        <v>6</v>
      </c>
      <c r="M19" s="26">
        <v>7</v>
      </c>
      <c r="N19" s="26">
        <v>8</v>
      </c>
      <c r="O19" s="26">
        <v>9</v>
      </c>
      <c r="P19" s="26">
        <v>10</v>
      </c>
    </row>
    <row r="20" spans="2:16" ht="28" x14ac:dyDescent="0.15">
      <c r="E20" s="27" t="s">
        <v>523</v>
      </c>
      <c r="F20" s="27"/>
      <c r="G20" s="63">
        <f t="shared" ref="G20:P20" si="4">G12</f>
        <v>107358000.00000006</v>
      </c>
      <c r="H20" s="63">
        <f t="shared" si="4"/>
        <v>57655222.222222231</v>
      </c>
      <c r="I20" s="63">
        <f t="shared" si="4"/>
        <v>41208616.157005936</v>
      </c>
      <c r="J20" s="63">
        <f t="shared" si="4"/>
        <v>33075062.680006064</v>
      </c>
      <c r="K20" s="63">
        <f t="shared" si="4"/>
        <v>28265638.268734034</v>
      </c>
      <c r="L20" s="63">
        <f t="shared" si="4"/>
        <v>25117132.489958961</v>
      </c>
      <c r="M20" s="63">
        <f t="shared" si="4"/>
        <v>22916553.270193104</v>
      </c>
      <c r="N20" s="63">
        <f t="shared" si="4"/>
        <v>21307255.272653006</v>
      </c>
      <c r="O20" s="63">
        <f t="shared" si="4"/>
        <v>20090984.154532921</v>
      </c>
      <c r="P20" s="63">
        <f t="shared" si="4"/>
        <v>19148695.237811856</v>
      </c>
    </row>
    <row r="21" spans="2:16" ht="14" x14ac:dyDescent="0.15">
      <c r="E21" s="27" t="s">
        <v>528</v>
      </c>
      <c r="F21" s="27"/>
      <c r="G21" s="63">
        <f t="shared" ref="G21:L21" si="5">G17</f>
        <v>14437500.000000006</v>
      </c>
      <c r="H21" s="63">
        <f t="shared" si="5"/>
        <v>6182708.3333333349</v>
      </c>
      <c r="I21" s="63">
        <f t="shared" si="5"/>
        <v>3523819.0324052954</v>
      </c>
      <c r="J21" s="63">
        <f t="shared" si="5"/>
        <v>2255316.1001212681</v>
      </c>
      <c r="K21" s="63">
        <f t="shared" si="5"/>
        <v>1599223.2847369758</v>
      </c>
      <c r="L21" s="63">
        <f t="shared" si="5"/>
        <v>1225074.1470503013</v>
      </c>
      <c r="M21" s="63">
        <f>M17</f>
        <v>963570.79424180463</v>
      </c>
      <c r="N21" s="63">
        <f>N17</f>
        <v>772331.67944660422</v>
      </c>
      <c r="O21" s="63">
        <f>O17</f>
        <v>627797.47115466953</v>
      </c>
      <c r="P21" s="63">
        <f>P17</f>
        <v>515821.62914746237</v>
      </c>
    </row>
    <row r="22" spans="2:16" ht="28" x14ac:dyDescent="0.15">
      <c r="E22" s="27" t="s">
        <v>530</v>
      </c>
      <c r="F22" s="27"/>
      <c r="G22" s="63">
        <f t="shared" ref="G22:L22" si="6">G20-G21</f>
        <v>92920500.00000006</v>
      </c>
      <c r="H22" s="63">
        <f t="shared" si="6"/>
        <v>51472513.888888896</v>
      </c>
      <c r="I22" s="63">
        <f t="shared" si="6"/>
        <v>37684797.124600641</v>
      </c>
      <c r="J22" s="63">
        <f t="shared" si="6"/>
        <v>30819746.579884797</v>
      </c>
      <c r="K22" s="63">
        <f t="shared" si="6"/>
        <v>26666414.983997058</v>
      </c>
      <c r="L22" s="63">
        <f t="shared" si="6"/>
        <v>23892058.342908658</v>
      </c>
      <c r="M22" s="63">
        <f>M20-M21</f>
        <v>21952982.475951299</v>
      </c>
      <c r="N22" s="63">
        <f>N20-N21</f>
        <v>20534923.593206402</v>
      </c>
      <c r="O22" s="63">
        <f>O20-O21</f>
        <v>19463186.683378249</v>
      </c>
      <c r="P22" s="63">
        <f>P20-P21</f>
        <v>18632873.608664393</v>
      </c>
    </row>
    <row r="24" spans="2:16" x14ac:dyDescent="0.15">
      <c r="C24" s="1" t="s">
        <v>531</v>
      </c>
      <c r="E24" s="26" t="s">
        <v>520</v>
      </c>
      <c r="F24" s="26"/>
      <c r="G24" s="26">
        <v>1</v>
      </c>
      <c r="H24" s="26">
        <v>2</v>
      </c>
      <c r="I24" s="26">
        <v>3</v>
      </c>
      <c r="J24" s="26">
        <v>4</v>
      </c>
      <c r="K24" s="26">
        <v>5</v>
      </c>
      <c r="L24" s="26">
        <v>6</v>
      </c>
      <c r="M24" s="26">
        <v>7</v>
      </c>
      <c r="N24" s="26">
        <v>8</v>
      </c>
      <c r="O24" s="26">
        <v>9</v>
      </c>
      <c r="P24" s="26">
        <v>10</v>
      </c>
    </row>
    <row r="25" spans="2:16" ht="14" x14ac:dyDescent="0.15">
      <c r="E25" s="27" t="s">
        <v>532</v>
      </c>
      <c r="F25" s="27"/>
      <c r="G25" s="63">
        <f>'After Tax Analysis'!E9</f>
        <v>230170000</v>
      </c>
      <c r="H25" s="63">
        <f>'After Tax Analysis'!F9</f>
        <v>253018375.00000003</v>
      </c>
      <c r="I25" s="63">
        <f>'After Tax Analysis'!G9</f>
        <v>278725718.45125008</v>
      </c>
      <c r="J25" s="63">
        <f>'After Tax Analysis'!H9</f>
        <v>307665975.06072807</v>
      </c>
      <c r="K25" s="63">
        <f>'After Tax Analysis'!I9</f>
        <v>340262566.36057305</v>
      </c>
      <c r="L25" s="63">
        <f>'After Tax Analysis'!J9</f>
        <v>0</v>
      </c>
      <c r="M25" s="63">
        <f>'After Tax Analysis'!K9</f>
        <v>0</v>
      </c>
      <c r="N25" s="63">
        <f>'After Tax Analysis'!L9</f>
        <v>0</v>
      </c>
      <c r="O25" s="63">
        <f>'After Tax Analysis'!M9</f>
        <v>0</v>
      </c>
      <c r="P25" s="63">
        <f>'After Tax Analysis'!N9</f>
        <v>0</v>
      </c>
    </row>
    <row r="26" spans="2:16" x14ac:dyDescent="0.15">
      <c r="E26" s="26" t="s">
        <v>533</v>
      </c>
      <c r="F26" s="26"/>
      <c r="G26" s="19">
        <f t="shared" ref="G26:P26" si="7">(1)/((1+$B$8)^G$24)</f>
        <v>0.86206896551724144</v>
      </c>
      <c r="H26" s="19">
        <f t="shared" si="7"/>
        <v>0.74316290130796681</v>
      </c>
      <c r="I26" s="19">
        <f t="shared" si="7"/>
        <v>0.64065767354135073</v>
      </c>
      <c r="J26" s="19">
        <f t="shared" si="7"/>
        <v>0.5522910978804747</v>
      </c>
      <c r="K26" s="19">
        <f t="shared" si="7"/>
        <v>0.47611301541420237</v>
      </c>
      <c r="L26" s="19">
        <f t="shared" si="7"/>
        <v>0.41044225466741585</v>
      </c>
      <c r="M26" s="19">
        <f t="shared" si="7"/>
        <v>0.35382952988570338</v>
      </c>
      <c r="N26" s="19">
        <f t="shared" si="7"/>
        <v>0.30502545679802012</v>
      </c>
      <c r="O26" s="19">
        <f t="shared" si="7"/>
        <v>0.26295297999829326</v>
      </c>
      <c r="P26" s="19">
        <f t="shared" si="7"/>
        <v>0.22668360344680452</v>
      </c>
    </row>
    <row r="27" spans="2:16" ht="16" x14ac:dyDescent="0.2">
      <c r="B27" s="48"/>
      <c r="E27" s="26" t="s">
        <v>534</v>
      </c>
      <c r="F27" s="26"/>
      <c r="G27" s="63">
        <f t="shared" ref="G27:L27" si="8">G26*G25</f>
        <v>198422413.79310346</v>
      </c>
      <c r="H27" s="63">
        <f t="shared" si="8"/>
        <v>188033869.64922717</v>
      </c>
      <c r="I27" s="63">
        <f t="shared" si="8"/>
        <v>178567770.3391194</v>
      </c>
      <c r="J27" s="63">
        <f t="shared" si="8"/>
        <v>169921179.14675626</v>
      </c>
      <c r="K27" s="63">
        <f t="shared" si="8"/>
        <v>162003436.50250757</v>
      </c>
      <c r="L27" s="63">
        <f t="shared" si="8"/>
        <v>0</v>
      </c>
      <c r="M27" s="63">
        <f>M26*M25</f>
        <v>0</v>
      </c>
      <c r="N27" s="63">
        <f>N26*N25</f>
        <v>0</v>
      </c>
      <c r="O27" s="63">
        <f>O26*O25</f>
        <v>0</v>
      </c>
      <c r="P27" s="63">
        <f>P26*P25</f>
        <v>0</v>
      </c>
    </row>
    <row r="28" spans="2:16" x14ac:dyDescent="0.15">
      <c r="E28" s="26" t="s">
        <v>317</v>
      </c>
      <c r="F28" s="26"/>
      <c r="G28" s="63">
        <f>G27</f>
        <v>198422413.79310346</v>
      </c>
      <c r="H28" s="63">
        <f>SUM(G28+H27)</f>
        <v>386456283.4423306</v>
      </c>
      <c r="I28" s="63">
        <f>SUM(H28+I27)</f>
        <v>565024053.78145003</v>
      </c>
      <c r="J28" s="63">
        <f>SUM(I28+J27)</f>
        <v>734945232.92820632</v>
      </c>
      <c r="K28" s="63">
        <f>SUM(J28+K27)</f>
        <v>896948669.43071389</v>
      </c>
      <c r="L28" s="63">
        <f>SUM(K28+L27)</f>
        <v>896948669.43071389</v>
      </c>
      <c r="M28" s="63">
        <f>M27</f>
        <v>0</v>
      </c>
      <c r="N28" s="63">
        <f>SUM(M28+N27)</f>
        <v>0</v>
      </c>
      <c r="O28" s="63">
        <f>SUM(N28+O27)</f>
        <v>0</v>
      </c>
      <c r="P28" s="63">
        <f>SUM(O28+P27)</f>
        <v>0</v>
      </c>
    </row>
    <row r="29" spans="2:16" x14ac:dyDescent="0.15">
      <c r="E29" s="26" t="s">
        <v>522</v>
      </c>
      <c r="F29" s="26"/>
      <c r="G29" s="20">
        <f t="shared" ref="G29:P29" si="9">G11</f>
        <v>1.1600000000000006</v>
      </c>
      <c r="H29" s="20">
        <f t="shared" si="9"/>
        <v>0.62296296296296305</v>
      </c>
      <c r="I29" s="20">
        <f t="shared" si="9"/>
        <v>0.44525787311729809</v>
      </c>
      <c r="J29" s="20">
        <f t="shared" si="9"/>
        <v>0.35737506947602449</v>
      </c>
      <c r="K29" s="20">
        <f t="shared" si="9"/>
        <v>0.30540938161787179</v>
      </c>
      <c r="L29" s="20">
        <f t="shared" si="9"/>
        <v>0.27138987023186345</v>
      </c>
      <c r="M29" s="20">
        <f t="shared" si="9"/>
        <v>0.24761267714957433</v>
      </c>
      <c r="N29" s="20">
        <f t="shared" si="9"/>
        <v>0.23022426010430044</v>
      </c>
      <c r="O29" s="20">
        <f t="shared" si="9"/>
        <v>0.21708248681288947</v>
      </c>
      <c r="P29" s="20">
        <f t="shared" si="9"/>
        <v>0.20690108306657867</v>
      </c>
    </row>
    <row r="30" spans="2:16" x14ac:dyDescent="0.15">
      <c r="E30" s="26" t="s">
        <v>535</v>
      </c>
      <c r="F30" s="26"/>
      <c r="G30" s="62">
        <f t="shared" ref="G30:P30" si="10">G29*G28</f>
        <v>230170000.00000012</v>
      </c>
      <c r="H30" s="62">
        <f t="shared" si="10"/>
        <v>240747951.38888896</v>
      </c>
      <c r="I30" s="62">
        <f t="shared" si="10"/>
        <v>251581408.44684228</v>
      </c>
      <c r="J30" s="62">
        <f t="shared" si="10"/>
        <v>262651103.67879075</v>
      </c>
      <c r="K30" s="62">
        <f t="shared" si="10"/>
        <v>273936538.47380722</v>
      </c>
      <c r="L30" s="62">
        <f t="shared" si="10"/>
        <v>243422783.00144404</v>
      </c>
      <c r="M30" s="62">
        <f t="shared" si="10"/>
        <v>0</v>
      </c>
      <c r="N30" s="62">
        <f t="shared" si="10"/>
        <v>0</v>
      </c>
      <c r="O30" s="62">
        <f t="shared" si="10"/>
        <v>0</v>
      </c>
      <c r="P30" s="62">
        <f t="shared" si="10"/>
        <v>0</v>
      </c>
    </row>
    <row r="32" spans="2:16" x14ac:dyDescent="0.15">
      <c r="C32" s="1" t="s">
        <v>536</v>
      </c>
      <c r="E32" s="26" t="s">
        <v>520</v>
      </c>
      <c r="F32" s="26"/>
      <c r="G32" s="26">
        <v>1</v>
      </c>
      <c r="H32" s="26">
        <v>2</v>
      </c>
      <c r="I32" s="26">
        <v>3</v>
      </c>
      <c r="J32" s="26">
        <v>4</v>
      </c>
      <c r="K32" s="26">
        <v>5</v>
      </c>
      <c r="L32" s="26">
        <v>6</v>
      </c>
      <c r="M32" s="26">
        <v>7</v>
      </c>
      <c r="N32" s="26">
        <v>8</v>
      </c>
      <c r="O32" s="26">
        <v>9</v>
      </c>
      <c r="P32" s="26">
        <v>10</v>
      </c>
    </row>
    <row r="33" spans="3:16" ht="28" x14ac:dyDescent="0.15">
      <c r="E33" s="27" t="s">
        <v>530</v>
      </c>
      <c r="F33" s="27"/>
      <c r="G33" s="63">
        <f t="shared" ref="G33:L33" si="11">G22</f>
        <v>92920500.00000006</v>
      </c>
      <c r="H33" s="63">
        <f t="shared" si="11"/>
        <v>51472513.888888896</v>
      </c>
      <c r="I33" s="63">
        <f t="shared" si="11"/>
        <v>37684797.124600641</v>
      </c>
      <c r="J33" s="63">
        <f t="shared" si="11"/>
        <v>30819746.579884797</v>
      </c>
      <c r="K33" s="63">
        <f t="shared" si="11"/>
        <v>26666414.983997058</v>
      </c>
      <c r="L33" s="63">
        <f t="shared" si="11"/>
        <v>23892058.342908658</v>
      </c>
      <c r="M33" s="63">
        <f>M22</f>
        <v>21952982.475951299</v>
      </c>
      <c r="N33" s="63">
        <f>N22</f>
        <v>20534923.593206402</v>
      </c>
      <c r="O33" s="63">
        <f>O22</f>
        <v>19463186.683378249</v>
      </c>
      <c r="P33" s="63">
        <f>P22</f>
        <v>18632873.608664393</v>
      </c>
    </row>
    <row r="34" spans="3:16" x14ac:dyDescent="0.15">
      <c r="E34" s="26" t="s">
        <v>537</v>
      </c>
      <c r="F34" s="26"/>
      <c r="G34" s="63">
        <f t="shared" ref="G34:P34" si="12">G30</f>
        <v>230170000.00000012</v>
      </c>
      <c r="H34" s="63">
        <f t="shared" si="12"/>
        <v>240747951.38888896</v>
      </c>
      <c r="I34" s="63">
        <f t="shared" si="12"/>
        <v>251581408.44684228</v>
      </c>
      <c r="J34" s="63">
        <f t="shared" si="12"/>
        <v>262651103.67879075</v>
      </c>
      <c r="K34" s="63">
        <f t="shared" si="12"/>
        <v>273936538.47380722</v>
      </c>
      <c r="L34" s="63">
        <f t="shared" si="12"/>
        <v>243422783.00144404</v>
      </c>
      <c r="M34" s="63">
        <f t="shared" si="12"/>
        <v>0</v>
      </c>
      <c r="N34" s="63">
        <f t="shared" si="12"/>
        <v>0</v>
      </c>
      <c r="O34" s="63">
        <f t="shared" si="12"/>
        <v>0</v>
      </c>
      <c r="P34" s="63">
        <f t="shared" si="12"/>
        <v>0</v>
      </c>
    </row>
    <row r="35" spans="3:16" x14ac:dyDescent="0.15">
      <c r="E35" s="26" t="s">
        <v>538</v>
      </c>
      <c r="F35" s="26"/>
      <c r="G35" s="64">
        <f t="shared" ref="G35:L35" si="13">G34+G33</f>
        <v>323090500.00000018</v>
      </c>
      <c r="H35" s="64">
        <f t="shared" si="13"/>
        <v>292220465.27777785</v>
      </c>
      <c r="I35" s="64">
        <f t="shared" si="13"/>
        <v>289266205.5714429</v>
      </c>
      <c r="J35" s="64">
        <f t="shared" si="13"/>
        <v>293470850.25867558</v>
      </c>
      <c r="K35" s="64">
        <f t="shared" si="13"/>
        <v>300602953.45780426</v>
      </c>
      <c r="L35" s="64">
        <f t="shared" si="13"/>
        <v>267314841.34435269</v>
      </c>
      <c r="M35" s="64">
        <f>M34+M33</f>
        <v>21952982.475951299</v>
      </c>
      <c r="N35" s="64">
        <f>N34+N33</f>
        <v>20534923.593206402</v>
      </c>
      <c r="O35" s="64">
        <f>O34+O33</f>
        <v>19463186.683378249</v>
      </c>
      <c r="P35" s="64">
        <f>P34+P33</f>
        <v>18632873.608664393</v>
      </c>
    </row>
    <row r="36" spans="3:16" x14ac:dyDescent="0.15">
      <c r="G36">
        <f>IF(G35=MIN($G$35:$P$35),1,0)</f>
        <v>0</v>
      </c>
      <c r="H36">
        <f t="shared" ref="H36:P36" si="14">IF(H35=MIN($G$35:$P$35),1,0)</f>
        <v>0</v>
      </c>
      <c r="I36">
        <f t="shared" si="14"/>
        <v>0</v>
      </c>
      <c r="J36">
        <f t="shared" si="14"/>
        <v>0</v>
      </c>
      <c r="K36">
        <f t="shared" si="14"/>
        <v>0</v>
      </c>
      <c r="L36">
        <f t="shared" si="14"/>
        <v>0</v>
      </c>
      <c r="M36">
        <f t="shared" si="14"/>
        <v>0</v>
      </c>
      <c r="N36">
        <f t="shared" si="14"/>
        <v>0</v>
      </c>
      <c r="O36">
        <f t="shared" si="14"/>
        <v>0</v>
      </c>
      <c r="P36">
        <f t="shared" si="14"/>
        <v>1</v>
      </c>
    </row>
    <row r="37" spans="3:16" x14ac:dyDescent="0.15">
      <c r="G37">
        <f>G36*G32</f>
        <v>0</v>
      </c>
      <c r="H37">
        <f t="shared" ref="H37:P37" si="15">H36*H32</f>
        <v>0</v>
      </c>
      <c r="I37">
        <f t="shared" si="15"/>
        <v>0</v>
      </c>
      <c r="J37">
        <f t="shared" si="15"/>
        <v>0</v>
      </c>
      <c r="K37">
        <f t="shared" si="15"/>
        <v>0</v>
      </c>
      <c r="L37">
        <f t="shared" si="15"/>
        <v>0</v>
      </c>
      <c r="M37">
        <f t="shared" si="15"/>
        <v>0</v>
      </c>
      <c r="N37">
        <f t="shared" si="15"/>
        <v>0</v>
      </c>
      <c r="O37">
        <f t="shared" si="15"/>
        <v>0</v>
      </c>
      <c r="P37">
        <f t="shared" si="15"/>
        <v>10</v>
      </c>
    </row>
    <row r="38" spans="3:16" ht="14" thickBot="1" x14ac:dyDescent="0.2"/>
    <row r="39" spans="3:16" ht="14" thickBot="1" x14ac:dyDescent="0.2">
      <c r="C39" s="651" t="s">
        <v>539</v>
      </c>
      <c r="D39" s="499">
        <f>SUM(G37:P37)</f>
        <v>10</v>
      </c>
      <c r="E39" s="650" t="s">
        <v>540</v>
      </c>
      <c r="F39" s="1"/>
    </row>
  </sheetData>
  <sheetProtection password="AA36" sheet="1" objects="1" scenarios="1"/>
  <phoneticPr fontId="0" type="noConversion"/>
  <printOptions headings="1"/>
  <pageMargins left="0.75" right="0.75" top="1" bottom="1" header="0.5" footer="0.5"/>
  <pageSetup scale="47" orientation="landscape"/>
  <headerFooter alignWithMargins="0">
    <oddHeader>&amp;LEngineering Economics Model for Senior Design&amp;R&amp;"Times New Roman,Bold"&amp;14EUAC</oddHeader>
    <oddFooter>&amp;LJ:/EM355/Spring01/Labs/EEworkingfolder/&amp;F&amp;CPage &amp;P of &amp;N&amp;R&amp;T&amp;D</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M85"/>
  <sheetViews>
    <sheetView zoomScale="110" zoomScaleNormal="110" workbookViewId="0">
      <selection activeCell="H6" sqref="H6"/>
    </sheetView>
  </sheetViews>
  <sheetFormatPr baseColWidth="10" defaultColWidth="8.83203125" defaultRowHeight="13" x14ac:dyDescent="0.15"/>
  <cols>
    <col min="2" max="2" width="18.5" bestFit="1" customWidth="1"/>
    <col min="3" max="3" width="14.1640625" bestFit="1" customWidth="1"/>
    <col min="4" max="4" width="9.5" customWidth="1"/>
    <col min="5" max="5" width="11.1640625" bestFit="1" customWidth="1"/>
    <col min="6" max="6" width="10.6640625" bestFit="1" customWidth="1"/>
    <col min="7" max="12" width="11.5" bestFit="1" customWidth="1"/>
    <col min="13" max="13" width="10.5" bestFit="1" customWidth="1"/>
  </cols>
  <sheetData>
    <row r="1" spans="1:13" x14ac:dyDescent="0.15">
      <c r="A1" s="1" t="s">
        <v>541</v>
      </c>
    </row>
    <row r="4" spans="1:13" x14ac:dyDescent="0.15">
      <c r="A4" s="1" t="s">
        <v>542</v>
      </c>
    </row>
    <row r="6" spans="1:13" x14ac:dyDescent="0.15">
      <c r="B6" t="s">
        <v>543</v>
      </c>
    </row>
    <row r="7" spans="1:13" x14ac:dyDescent="0.15">
      <c r="B7" s="721" t="s">
        <v>544</v>
      </c>
    </row>
    <row r="8" spans="1:13" x14ac:dyDescent="0.15">
      <c r="B8" t="s">
        <v>545</v>
      </c>
    </row>
    <row r="10" spans="1:13" x14ac:dyDescent="0.15">
      <c r="C10" t="s">
        <v>546</v>
      </c>
    </row>
    <row r="12" spans="1:13" x14ac:dyDescent="0.15">
      <c r="C12" t="s">
        <v>547</v>
      </c>
    </row>
    <row r="13" spans="1:13" x14ac:dyDescent="0.15">
      <c r="C13" t="s">
        <v>548</v>
      </c>
    </row>
    <row r="15" spans="1:13" x14ac:dyDescent="0.15">
      <c r="C15" s="26" t="s">
        <v>520</v>
      </c>
      <c r="D15" s="26">
        <v>1</v>
      </c>
      <c r="E15" s="26">
        <v>2</v>
      </c>
      <c r="F15" s="26">
        <v>3</v>
      </c>
      <c r="G15" s="26">
        <v>4</v>
      </c>
      <c r="H15" s="26">
        <v>5</v>
      </c>
      <c r="I15" s="26">
        <v>6</v>
      </c>
      <c r="J15" s="26">
        <v>7</v>
      </c>
      <c r="K15" s="26">
        <v>8</v>
      </c>
      <c r="L15" s="26">
        <v>9</v>
      </c>
      <c r="M15" s="26">
        <v>10</v>
      </c>
    </row>
    <row r="16" spans="1:13" ht="28" x14ac:dyDescent="0.15">
      <c r="C16" s="27" t="s">
        <v>549</v>
      </c>
      <c r="D16" s="176">
        <f>'After Tax Analysis'!E17/Revenues!D27</f>
        <v>0.15413416666666666</v>
      </c>
      <c r="E16" s="176">
        <f>'After Tax Analysis'!F17/Revenues!E27</f>
        <v>0.12116090111642748</v>
      </c>
      <c r="F16" s="176">
        <f>'After Tax Analysis'!G17/Revenues!F27</f>
        <v>9.5721380261822406E-2</v>
      </c>
      <c r="G16" s="176">
        <f>'After Tax Analysis'!H17/Revenues!G27</f>
        <v>6.5242755394882945E-2</v>
      </c>
      <c r="H16" s="176">
        <f>'After Tax Analysis'!I17/Revenues!H27</f>
        <v>3.1580335303023448E-2</v>
      </c>
      <c r="I16" s="176" t="e">
        <f>'After Tax Analysis'!J17/Revenues!I27</f>
        <v>#DIV/0!</v>
      </c>
      <c r="J16" s="176" t="e">
        <f>'After Tax Analysis'!K17/Revenues!J27</f>
        <v>#DIV/0!</v>
      </c>
      <c r="K16" s="176" t="e">
        <f>'After Tax Analysis'!L17/Revenues!K27</f>
        <v>#DIV/0!</v>
      </c>
      <c r="L16" s="176" t="e">
        <f>'After Tax Analysis'!M17/Revenues!L27</f>
        <v>#DIV/0!</v>
      </c>
      <c r="M16" s="176" t="e">
        <f>'After Tax Analysis'!N17/Revenues!M27</f>
        <v>#DIV/0!</v>
      </c>
    </row>
    <row r="17" spans="1:13" ht="28" x14ac:dyDescent="0.15">
      <c r="C17" s="27" t="s">
        <v>550</v>
      </c>
      <c r="D17" s="102">
        <f>Revenues!D27/'Balance Sheet'!H16</f>
        <v>2.1615351222438175</v>
      </c>
      <c r="E17" s="102">
        <f>Revenues!E27/'Balance Sheet'!K16</f>
        <v>1.7734489156272062</v>
      </c>
      <c r="F17" s="102">
        <f>Revenues!F27/'Balance Sheet'!N16</f>
        <v>1.5740278127834744</v>
      </c>
      <c r="G17" s="102">
        <f>Revenues!G27/'Balance Sheet'!Q16</f>
        <v>1.4854480070878597</v>
      </c>
      <c r="H17" s="102">
        <f>Revenues!H27/'Balance Sheet'!T16</f>
        <v>1.1411035598734716</v>
      </c>
      <c r="I17" s="102">
        <f>Revenues!I27/'Balance Sheet'!W16</f>
        <v>0</v>
      </c>
      <c r="J17" s="102">
        <f>Revenues!J27/'Balance Sheet'!Z16</f>
        <v>0</v>
      </c>
      <c r="K17" s="102">
        <f>Revenues!K27/'Balance Sheet'!AC16</f>
        <v>0</v>
      </c>
      <c r="L17" s="102">
        <f>Revenues!L27/'Balance Sheet'!AF16</f>
        <v>0</v>
      </c>
      <c r="M17" s="102">
        <f>Revenues!M27/'Balance Sheet'!AI16</f>
        <v>0</v>
      </c>
    </row>
    <row r="18" spans="1:13" x14ac:dyDescent="0.15">
      <c r="C18" s="26" t="s">
        <v>551</v>
      </c>
      <c r="D18" s="104">
        <f>D16*D17</f>
        <v>0.33316641478778225</v>
      </c>
      <c r="E18" s="104">
        <f t="shared" ref="E18:M18" si="0">E16*E17</f>
        <v>0.21487266870134347</v>
      </c>
      <c r="F18" s="104">
        <f t="shared" si="0"/>
        <v>0.15066811481013156</v>
      </c>
      <c r="G18" s="104">
        <f t="shared" si="0"/>
        <v>9.6914720978249574E-2</v>
      </c>
      <c r="H18" s="104">
        <f t="shared" si="0"/>
        <v>3.6036433036277925E-2</v>
      </c>
      <c r="I18" s="104" t="e">
        <f t="shared" si="0"/>
        <v>#DIV/0!</v>
      </c>
      <c r="J18" s="104" t="e">
        <f t="shared" si="0"/>
        <v>#DIV/0!</v>
      </c>
      <c r="K18" s="104" t="e">
        <f t="shared" si="0"/>
        <v>#DIV/0!</v>
      </c>
      <c r="L18" s="104" t="e">
        <f t="shared" si="0"/>
        <v>#DIV/0!</v>
      </c>
      <c r="M18" s="104" t="e">
        <f t="shared" si="0"/>
        <v>#DIV/0!</v>
      </c>
    </row>
    <row r="20" spans="1:13" x14ac:dyDescent="0.15">
      <c r="A20" s="1" t="s">
        <v>552</v>
      </c>
    </row>
    <row r="22" spans="1:13" x14ac:dyDescent="0.15">
      <c r="B22" t="s">
        <v>553</v>
      </c>
    </row>
    <row r="23" spans="1:13" x14ac:dyDescent="0.15">
      <c r="B23" t="s">
        <v>554</v>
      </c>
    </row>
    <row r="25" spans="1:13" x14ac:dyDescent="0.15">
      <c r="C25" t="s">
        <v>555</v>
      </c>
    </row>
    <row r="26" spans="1:13" x14ac:dyDescent="0.15">
      <c r="C26" t="s">
        <v>556</v>
      </c>
    </row>
    <row r="28" spans="1:13" x14ac:dyDescent="0.15">
      <c r="C28" s="26" t="s">
        <v>520</v>
      </c>
      <c r="D28" s="26">
        <v>1</v>
      </c>
      <c r="E28" s="26">
        <v>2</v>
      </c>
      <c r="F28" s="26">
        <v>3</v>
      </c>
      <c r="G28" s="26">
        <v>4</v>
      </c>
      <c r="H28" s="26">
        <v>5</v>
      </c>
      <c r="I28" s="26">
        <v>6</v>
      </c>
      <c r="J28" s="26">
        <v>7</v>
      </c>
      <c r="K28" s="26">
        <v>8</v>
      </c>
      <c r="L28" s="26">
        <v>9</v>
      </c>
      <c r="M28" s="26">
        <v>10</v>
      </c>
    </row>
    <row r="29" spans="1:13" ht="42" x14ac:dyDescent="0.15">
      <c r="C29" s="27" t="s">
        <v>557</v>
      </c>
      <c r="D29" s="177">
        <f>'Balance Sheet'!H16/'Balance Sheet'!I34</f>
        <v>1</v>
      </c>
      <c r="E29" s="177">
        <f>'Balance Sheet'!K16/'Balance Sheet'!L34</f>
        <v>1</v>
      </c>
      <c r="F29" s="177">
        <f>'Balance Sheet'!N16/'Balance Sheet'!O34</f>
        <v>1</v>
      </c>
      <c r="G29" s="177">
        <f>'Balance Sheet'!Q16/'Balance Sheet'!R34</f>
        <v>1</v>
      </c>
      <c r="H29" s="177">
        <f>'Balance Sheet'!T16/'Balance Sheet'!U34</f>
        <v>1.0048074274558747</v>
      </c>
      <c r="I29" s="177">
        <f>'Balance Sheet'!W16/'Balance Sheet'!X34</f>
        <v>1</v>
      </c>
      <c r="J29" s="177">
        <f>'Balance Sheet'!Z16/'Balance Sheet'!AA34</f>
        <v>1</v>
      </c>
      <c r="K29" s="177">
        <f>'Balance Sheet'!AC16/'Balance Sheet'!AD34</f>
        <v>1</v>
      </c>
      <c r="L29" s="177">
        <f>'Balance Sheet'!AF16/'Balance Sheet'!AG34</f>
        <v>1</v>
      </c>
      <c r="M29" s="177">
        <f>'Balance Sheet'!AI16/'Balance Sheet'!AJ34</f>
        <v>1</v>
      </c>
    </row>
    <row r="30" spans="1:13" x14ac:dyDescent="0.15">
      <c r="C30" s="26" t="s">
        <v>558</v>
      </c>
      <c r="D30" s="176">
        <f>D18*D29</f>
        <v>0.33316641478778225</v>
      </c>
      <c r="E30" s="176">
        <f t="shared" ref="E30:M30" si="1">E18*E29</f>
        <v>0.21487266870134347</v>
      </c>
      <c r="F30" s="176">
        <f t="shared" si="1"/>
        <v>0.15066811481013156</v>
      </c>
      <c r="G30" s="176">
        <f t="shared" si="1"/>
        <v>9.6914720978249574E-2</v>
      </c>
      <c r="H30" s="176">
        <f t="shared" si="1"/>
        <v>3.6209675573868318E-2</v>
      </c>
      <c r="I30" s="176" t="e">
        <f t="shared" si="1"/>
        <v>#DIV/0!</v>
      </c>
      <c r="J30" s="176" t="e">
        <f t="shared" si="1"/>
        <v>#DIV/0!</v>
      </c>
      <c r="K30" s="176" t="e">
        <f t="shared" si="1"/>
        <v>#DIV/0!</v>
      </c>
      <c r="L30" s="176" t="e">
        <f t="shared" si="1"/>
        <v>#DIV/0!</v>
      </c>
      <c r="M30" s="176" t="e">
        <f t="shared" si="1"/>
        <v>#DIV/0!</v>
      </c>
    </row>
    <row r="33" spans="1:13" x14ac:dyDescent="0.15">
      <c r="A33" s="1" t="s">
        <v>435</v>
      </c>
    </row>
    <row r="35" spans="1:13" x14ac:dyDescent="0.15">
      <c r="B35" t="s">
        <v>559</v>
      </c>
    </row>
    <row r="37" spans="1:13" x14ac:dyDescent="0.15">
      <c r="C37" t="s">
        <v>560</v>
      </c>
    </row>
    <row r="39" spans="1:13" x14ac:dyDescent="0.15">
      <c r="B39" s="26" t="s">
        <v>520</v>
      </c>
      <c r="C39" s="26">
        <v>0</v>
      </c>
      <c r="D39" s="26">
        <v>1</v>
      </c>
      <c r="E39" s="26">
        <v>2</v>
      </c>
      <c r="F39" s="26">
        <v>3</v>
      </c>
      <c r="G39" s="26">
        <v>4</v>
      </c>
      <c r="H39" s="26">
        <v>5</v>
      </c>
      <c r="I39" s="26">
        <v>6</v>
      </c>
      <c r="J39" s="26">
        <v>7</v>
      </c>
      <c r="K39" s="26">
        <v>8</v>
      </c>
      <c r="L39" s="26">
        <v>9</v>
      </c>
      <c r="M39" s="26">
        <v>10</v>
      </c>
    </row>
    <row r="40" spans="1:13" x14ac:dyDescent="0.15">
      <c r="B40" s="26" t="s">
        <v>435</v>
      </c>
      <c r="C40" s="176">
        <f>'Balance Sheet'!F29/'Balance Sheet'!E16</f>
        <v>0</v>
      </c>
      <c r="D40" s="176" t="e">
        <f>'Balance Sheet'!I29/'Balance Sheet'!H16</f>
        <v>#DIV/0!</v>
      </c>
      <c r="E40" s="176" t="e">
        <f>'Balance Sheet'!L29/'Balance Sheet'!K16</f>
        <v>#DIV/0!</v>
      </c>
      <c r="F40" s="176" t="e">
        <f>'Balance Sheet'!O29/'Balance Sheet'!N16</f>
        <v>#DIV/0!</v>
      </c>
      <c r="G40" s="176" t="e">
        <f>'Balance Sheet'!R29/'Balance Sheet'!Q16</f>
        <v>#DIV/0!</v>
      </c>
      <c r="H40" s="176" t="e">
        <f>'Balance Sheet'!U29/'Balance Sheet'!T16</f>
        <v>#DIV/0!</v>
      </c>
      <c r="I40" s="176" t="e">
        <f>'Balance Sheet'!X29/'Balance Sheet'!W16</f>
        <v>#DIV/0!</v>
      </c>
      <c r="J40" s="176" t="e">
        <f>'Balance Sheet'!AA29/'Balance Sheet'!Z16</f>
        <v>#DIV/0!</v>
      </c>
      <c r="K40" s="176" t="e">
        <f>'Balance Sheet'!AD29/'Balance Sheet'!AC16</f>
        <v>#DIV/0!</v>
      </c>
      <c r="L40" s="176" t="e">
        <f>'Balance Sheet'!AG29/'Balance Sheet'!AF16</f>
        <v>#DIV/0!</v>
      </c>
      <c r="M40" s="176" t="e">
        <f>'Balance Sheet'!AJ29/'Balance Sheet'!AI16</f>
        <v>#DIV/0!</v>
      </c>
    </row>
    <row r="45" spans="1:13" x14ac:dyDescent="0.15">
      <c r="B45" s="1"/>
      <c r="C45" s="143"/>
    </row>
    <row r="46" spans="1:13" x14ac:dyDescent="0.15">
      <c r="B46" s="1"/>
      <c r="C46" s="143"/>
    </row>
    <row r="47" spans="1:13" x14ac:dyDescent="0.15">
      <c r="B47" s="1"/>
      <c r="C47" s="143"/>
    </row>
    <row r="69" spans="1:12" x14ac:dyDescent="0.15">
      <c r="A69" s="1" t="s">
        <v>561</v>
      </c>
    </row>
    <row r="71" spans="1:12" x14ac:dyDescent="0.15">
      <c r="B71" t="s">
        <v>562</v>
      </c>
    </row>
    <row r="73" spans="1:12" x14ac:dyDescent="0.15">
      <c r="C73" t="s">
        <v>563</v>
      </c>
    </row>
    <row r="75" spans="1:12" x14ac:dyDescent="0.15">
      <c r="B75" s="26" t="s">
        <v>520</v>
      </c>
      <c r="C75" s="26">
        <v>1</v>
      </c>
      <c r="D75" s="26">
        <v>2</v>
      </c>
      <c r="E75" s="26">
        <v>3</v>
      </c>
      <c r="F75" s="26">
        <v>4</v>
      </c>
      <c r="G75" s="26">
        <v>5</v>
      </c>
      <c r="H75" s="26">
        <v>6</v>
      </c>
      <c r="I75" s="26">
        <v>7</v>
      </c>
      <c r="J75" s="26">
        <v>8</v>
      </c>
      <c r="K75" s="26">
        <v>9</v>
      </c>
      <c r="L75" s="26">
        <v>10</v>
      </c>
    </row>
    <row r="76" spans="1:12" ht="28" x14ac:dyDescent="0.15">
      <c r="B76" s="27" t="s">
        <v>564</v>
      </c>
      <c r="C76" s="177" t="e">
        <f>'After Tax Analysis'!E12/'After Tax Analysis'!E13</f>
        <v>#DIV/0!</v>
      </c>
      <c r="D76" s="177" t="e">
        <f>'After Tax Analysis'!F12/'After Tax Analysis'!F13</f>
        <v>#DIV/0!</v>
      </c>
      <c r="E76" s="177" t="e">
        <f>'After Tax Analysis'!G12/'After Tax Analysis'!G13</f>
        <v>#DIV/0!</v>
      </c>
      <c r="F76" s="177" t="e">
        <f>'After Tax Analysis'!H12/'After Tax Analysis'!H13</f>
        <v>#DIV/0!</v>
      </c>
      <c r="G76" s="177" t="e">
        <f>'After Tax Analysis'!I12/'After Tax Analysis'!I13</f>
        <v>#DIV/0!</v>
      </c>
      <c r="H76" s="177" t="e">
        <f>'After Tax Analysis'!J12/'After Tax Analysis'!J13</f>
        <v>#DIV/0!</v>
      </c>
      <c r="I76" s="177" t="e">
        <f>'After Tax Analysis'!K12/'After Tax Analysis'!K13</f>
        <v>#DIV/0!</v>
      </c>
      <c r="J76" s="177" t="e">
        <f>'After Tax Analysis'!L12/'After Tax Analysis'!L13</f>
        <v>#DIV/0!</v>
      </c>
      <c r="K76" s="177" t="e">
        <f>'After Tax Analysis'!M12/'After Tax Analysis'!M13</f>
        <v>#DIV/0!</v>
      </c>
      <c r="L76" s="177" t="e">
        <f>'After Tax Analysis'!N12/'After Tax Analysis'!N13</f>
        <v>#DIV/0!</v>
      </c>
    </row>
    <row r="78" spans="1:12" x14ac:dyDescent="0.15">
      <c r="A78" s="1" t="s">
        <v>565</v>
      </c>
    </row>
    <row r="80" spans="1:12" x14ac:dyDescent="0.15">
      <c r="B80" t="s">
        <v>566</v>
      </c>
    </row>
    <row r="82" spans="2:12" x14ac:dyDescent="0.15">
      <c r="C82" t="s">
        <v>567</v>
      </c>
    </row>
    <row r="84" spans="2:12" x14ac:dyDescent="0.15">
      <c r="B84" s="26" t="s">
        <v>520</v>
      </c>
      <c r="C84" s="26">
        <v>1</v>
      </c>
      <c r="D84" s="26">
        <v>2</v>
      </c>
      <c r="E84" s="26">
        <v>3</v>
      </c>
      <c r="F84" s="26">
        <v>4</v>
      </c>
      <c r="G84" s="26">
        <v>5</v>
      </c>
      <c r="H84" s="26">
        <v>6</v>
      </c>
      <c r="I84" s="26">
        <v>7</v>
      </c>
      <c r="J84" s="26">
        <v>8</v>
      </c>
      <c r="K84" s="26">
        <v>9</v>
      </c>
      <c r="L84" s="26">
        <v>10</v>
      </c>
    </row>
    <row r="85" spans="2:12" ht="28" x14ac:dyDescent="0.15">
      <c r="B85" s="23" t="s">
        <v>565</v>
      </c>
      <c r="C85" s="177" t="e">
        <f>('After Tax Analysis'!E12+Expenses!D85+Expenses!D86)/('After Tax Analysis'!E13+Expenses!D85+Expenses!D86+((-'After Tax Analysis'!E20)*(1/(1-'After Tax Analysis'!$G$3))))</f>
        <v>#DIV/0!</v>
      </c>
      <c r="D85" s="177" t="e">
        <f>('After Tax Analysis'!F12+Expenses!E85+Expenses!E86)/('After Tax Analysis'!F13+Expenses!E85+Expenses!E86+((-'After Tax Analysis'!F20)*(1/(1-'After Tax Analysis'!$G$3))))</f>
        <v>#DIV/0!</v>
      </c>
      <c r="E85" s="177" t="e">
        <f>('After Tax Analysis'!G12+Expenses!F85+Expenses!F86)/('After Tax Analysis'!G13+Expenses!F85+Expenses!F86+((-'After Tax Analysis'!G20)*(1/(1-'After Tax Analysis'!$G$3))))</f>
        <v>#DIV/0!</v>
      </c>
      <c r="F85" s="177" t="e">
        <f>('After Tax Analysis'!H12+Expenses!G85+Expenses!G86)/('After Tax Analysis'!H13+Expenses!G85+Expenses!G86+((-'After Tax Analysis'!H20)*(1/(1-'After Tax Analysis'!$G$3))))</f>
        <v>#DIV/0!</v>
      </c>
      <c r="G85" s="177" t="e">
        <f>('After Tax Analysis'!I12+Expenses!H85+Expenses!H86)/('After Tax Analysis'!I13+Expenses!H85+Expenses!H86+((-'After Tax Analysis'!I20)*(1/(1-'After Tax Analysis'!$G$3))))</f>
        <v>#DIV/0!</v>
      </c>
      <c r="H85" s="177" t="e">
        <f>('After Tax Analysis'!J12+Expenses!I85+Expenses!I86)/('After Tax Analysis'!J13+Expenses!I85+Expenses!I86+((-'After Tax Analysis'!J20)*(1/(1-'After Tax Analysis'!$G$3))))</f>
        <v>#DIV/0!</v>
      </c>
      <c r="I85" s="177" t="e">
        <f>('After Tax Analysis'!K12+Expenses!J85+Expenses!J86)/('After Tax Analysis'!K13+Expenses!J85+Expenses!J86+((-'After Tax Analysis'!K20)*(1/(1-'After Tax Analysis'!$G$3))))</f>
        <v>#DIV/0!</v>
      </c>
      <c r="J85" s="177" t="e">
        <f>('After Tax Analysis'!L12+Expenses!K85+Expenses!K86)/('After Tax Analysis'!L13+Expenses!K85+Expenses!K86+((-'After Tax Analysis'!L20)*(1/(1-'After Tax Analysis'!$G$3))))</f>
        <v>#DIV/0!</v>
      </c>
      <c r="K85" s="177" t="e">
        <f>('After Tax Analysis'!M12+Expenses!L85+Expenses!L86)/('After Tax Analysis'!M13+Expenses!L85+Expenses!L86+((-'After Tax Analysis'!M20)*(1/(1-'After Tax Analysis'!$G$3))))</f>
        <v>#DIV/0!</v>
      </c>
      <c r="L85" s="177" t="e">
        <f>('After Tax Analysis'!N12+Expenses!M85+Expenses!M86)/('After Tax Analysis'!N13+Expenses!M85+Expenses!M86+((-'After Tax Analysis'!N20)*(1/(1-'After Tax Analysis'!$G$3))))</f>
        <v>#DIV/0!</v>
      </c>
    </row>
  </sheetData>
  <sheetProtection password="AA36" sheet="1" objects="1" scenarios="1"/>
  <phoneticPr fontId="0" type="noConversion"/>
  <pageMargins left="0.75" right="0.75" top="1" bottom="1" header="0.5" footer="0.5"/>
  <pageSetup scale="30" orientation="landscape"/>
  <headerFooter alignWithMargins="0">
    <oddFooter>Page &amp;P of &amp;N</oddFooter>
  </headerFooter>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71"/>
  <sheetViews>
    <sheetView zoomScale="75" workbookViewId="0">
      <selection activeCell="F11" sqref="F11"/>
    </sheetView>
  </sheetViews>
  <sheetFormatPr baseColWidth="10" defaultColWidth="8.83203125" defaultRowHeight="13" x14ac:dyDescent="0.15"/>
  <cols>
    <col min="2" max="2" width="17.83203125" customWidth="1"/>
    <col min="3" max="3" width="11.83203125" customWidth="1"/>
    <col min="4" max="4" width="12" customWidth="1"/>
    <col min="5" max="5" width="14.1640625" customWidth="1"/>
    <col min="6" max="7" width="13.33203125" customWidth="1"/>
    <col min="8" max="9" width="14.5" customWidth="1"/>
    <col min="10" max="10" width="13" customWidth="1"/>
    <col min="11" max="11" width="14.1640625" customWidth="1"/>
    <col min="12" max="12" width="13.5" customWidth="1"/>
    <col min="13" max="13" width="13.83203125" customWidth="1"/>
    <col min="14" max="15" width="13.33203125" customWidth="1"/>
    <col min="16" max="16" width="14" customWidth="1"/>
  </cols>
  <sheetData>
    <row r="1" spans="1:16" ht="16" x14ac:dyDescent="0.2">
      <c r="A1" s="215" t="s">
        <v>568</v>
      </c>
    </row>
    <row r="3" spans="1:16" ht="16" x14ac:dyDescent="0.2">
      <c r="B3" s="206" t="s">
        <v>569</v>
      </c>
    </row>
    <row r="5" spans="1:16" x14ac:dyDescent="0.15">
      <c r="B5" s="11" t="s">
        <v>570</v>
      </c>
      <c r="E5" s="26" t="s">
        <v>133</v>
      </c>
      <c r="F5" s="26">
        <v>1</v>
      </c>
      <c r="G5" s="26">
        <v>2</v>
      </c>
      <c r="H5" s="26">
        <v>3</v>
      </c>
      <c r="I5" s="26">
        <v>4</v>
      </c>
      <c r="J5" s="26">
        <v>5</v>
      </c>
      <c r="K5" s="26">
        <v>6</v>
      </c>
      <c r="L5" s="26">
        <v>7</v>
      </c>
      <c r="M5" s="26">
        <v>8</v>
      </c>
      <c r="N5" s="26">
        <v>9</v>
      </c>
      <c r="O5" s="26">
        <v>10</v>
      </c>
      <c r="P5" s="26" t="s">
        <v>284</v>
      </c>
    </row>
    <row r="6" spans="1:16" ht="28" x14ac:dyDescent="0.15">
      <c r="B6" s="117" t="s">
        <v>571</v>
      </c>
      <c r="C6" s="136">
        <f>'Initial Inputs'!H13</f>
        <v>6800000</v>
      </c>
      <c r="E6" s="27" t="s">
        <v>572</v>
      </c>
      <c r="F6" s="14">
        <f>IF($C7=F5,1,0)</f>
        <v>0</v>
      </c>
      <c r="G6" s="14">
        <f t="shared" ref="G6:O6" si="0">IF($C7=G5,1,0)</f>
        <v>0</v>
      </c>
      <c r="H6" s="14">
        <f t="shared" si="0"/>
        <v>0</v>
      </c>
      <c r="I6" s="14">
        <f t="shared" si="0"/>
        <v>0</v>
      </c>
      <c r="J6" s="14">
        <f t="shared" si="0"/>
        <v>1</v>
      </c>
      <c r="K6" s="14">
        <f t="shared" si="0"/>
        <v>0</v>
      </c>
      <c r="L6" s="14">
        <f t="shared" si="0"/>
        <v>0</v>
      </c>
      <c r="M6" s="14">
        <f t="shared" si="0"/>
        <v>0</v>
      </c>
      <c r="N6" s="14">
        <f t="shared" si="0"/>
        <v>0</v>
      </c>
      <c r="O6" s="14">
        <f t="shared" si="0"/>
        <v>0</v>
      </c>
      <c r="P6" s="57"/>
    </row>
    <row r="7" spans="1:16" ht="14" x14ac:dyDescent="0.15">
      <c r="B7" t="s">
        <v>573</v>
      </c>
      <c r="C7">
        <f>'Initial Inputs'!G13+1</f>
        <v>5</v>
      </c>
      <c r="E7" s="27" t="s">
        <v>574</v>
      </c>
      <c r="F7" s="14">
        <f>IF($C11=F5,1,0)</f>
        <v>0</v>
      </c>
      <c r="G7" s="14">
        <f t="shared" ref="G7:O7" si="1">IF($C11=G5,1,0)</f>
        <v>0</v>
      </c>
      <c r="H7" s="14">
        <f t="shared" si="1"/>
        <v>0</v>
      </c>
      <c r="I7" s="14">
        <f t="shared" si="1"/>
        <v>0</v>
      </c>
      <c r="J7" s="14">
        <f t="shared" si="1"/>
        <v>1</v>
      </c>
      <c r="K7" s="14">
        <f t="shared" si="1"/>
        <v>0</v>
      </c>
      <c r="L7" s="14">
        <f t="shared" si="1"/>
        <v>0</v>
      </c>
      <c r="M7" s="14">
        <f t="shared" si="1"/>
        <v>0</v>
      </c>
      <c r="N7" s="14">
        <f t="shared" si="1"/>
        <v>0</v>
      </c>
      <c r="O7" s="14">
        <f t="shared" si="1"/>
        <v>0</v>
      </c>
      <c r="P7" s="57"/>
    </row>
    <row r="8" spans="1:16" ht="14" x14ac:dyDescent="0.15">
      <c r="B8" s="145"/>
      <c r="E8" s="27" t="s">
        <v>575</v>
      </c>
      <c r="F8" s="14">
        <f>IF($C15=F5,1,0)</f>
        <v>0</v>
      </c>
      <c r="G8" s="14">
        <f t="shared" ref="G8:O8" si="2">IF($C15=G5,1,0)</f>
        <v>0</v>
      </c>
      <c r="H8" s="14">
        <f t="shared" si="2"/>
        <v>0</v>
      </c>
      <c r="I8" s="14">
        <f t="shared" si="2"/>
        <v>0</v>
      </c>
      <c r="J8" s="14">
        <f t="shared" si="2"/>
        <v>1</v>
      </c>
      <c r="K8" s="14">
        <f t="shared" si="2"/>
        <v>0</v>
      </c>
      <c r="L8" s="14">
        <f t="shared" si="2"/>
        <v>0</v>
      </c>
      <c r="M8" s="14">
        <f t="shared" si="2"/>
        <v>0</v>
      </c>
      <c r="N8" s="14">
        <f t="shared" si="2"/>
        <v>0</v>
      </c>
      <c r="O8" s="14">
        <f t="shared" si="2"/>
        <v>0</v>
      </c>
      <c r="P8" s="57"/>
    </row>
    <row r="9" spans="1:16" ht="14" x14ac:dyDescent="0.15">
      <c r="B9" s="11" t="s">
        <v>576</v>
      </c>
      <c r="E9" s="27" t="s">
        <v>577</v>
      </c>
      <c r="F9" s="14">
        <f>IF($C19=F5,1,0)</f>
        <v>1</v>
      </c>
      <c r="G9" s="14">
        <f t="shared" ref="G9:O9" si="3">IF($C19=G5,1,0)</f>
        <v>0</v>
      </c>
      <c r="H9" s="14">
        <f t="shared" si="3"/>
        <v>0</v>
      </c>
      <c r="I9" s="14">
        <f t="shared" si="3"/>
        <v>0</v>
      </c>
      <c r="J9" s="14">
        <f t="shared" si="3"/>
        <v>0</v>
      </c>
      <c r="K9" s="14">
        <f t="shared" si="3"/>
        <v>0</v>
      </c>
      <c r="L9" s="14">
        <f t="shared" si="3"/>
        <v>0</v>
      </c>
      <c r="M9" s="14">
        <f t="shared" si="3"/>
        <v>0</v>
      </c>
      <c r="N9" s="14">
        <f t="shared" si="3"/>
        <v>0</v>
      </c>
      <c r="O9" s="14">
        <f t="shared" si="3"/>
        <v>0</v>
      </c>
      <c r="P9" s="57"/>
    </row>
    <row r="10" spans="1:16" ht="28" x14ac:dyDescent="0.15">
      <c r="B10" s="117" t="s">
        <v>571</v>
      </c>
      <c r="C10" s="136">
        <f>'Initial Inputs'!H14</f>
        <v>2500000</v>
      </c>
    </row>
    <row r="11" spans="1:16" ht="14" x14ac:dyDescent="0.15">
      <c r="B11" t="s">
        <v>573</v>
      </c>
      <c r="C11">
        <f>'Initial Inputs'!G14+1</f>
        <v>5</v>
      </c>
      <c r="E11" s="27" t="s">
        <v>578</v>
      </c>
      <c r="F11" s="724">
        <f>IF('Capital &amp; Depr'!$E$26=0,'Capital &amp; Depr'!E87,(IF('Capital &amp; Depr'!$E$26=1,'Capital &amp; Depr'!E45,0)))</f>
        <v>14437500</v>
      </c>
      <c r="G11" s="724">
        <f>IF('Capital &amp; Depr'!$E$26=0,'Capital &amp; Depr'!F87,(IF('Capital &amp; Depr'!$E$26=1,'Capital &amp; Depr'!F45,0)))</f>
        <v>13354650</v>
      </c>
      <c r="H11" s="724">
        <f>IF('Capital &amp; Depr'!$E$26=0,'Capital &amp; Depr'!G87,(IF('Capital &amp; Depr'!$E$26=1,'Capital &amp; Depr'!G45,0)))</f>
        <v>12353100</v>
      </c>
      <c r="I11" s="724">
        <f>IF('Capital &amp; Depr'!$E$26=0,'Capital &amp; Depr'!H87,(IF('Capital &amp; Depr'!$E$26=1,'Capital &amp; Depr'!H45,0)))</f>
        <v>11426550</v>
      </c>
      <c r="J11" s="724">
        <f>IF('Capital &amp; Depr'!$E$26=0,'Capital &amp; Depr'!I87,(IF('Capital &amp; Depr'!$E$26=1,'Capital &amp; Depr'!I45,0)))</f>
        <v>10998075</v>
      </c>
      <c r="K11" s="724">
        <f>IF('Capital &amp; Depr'!$E$26=0,'Capital &amp; Depr'!J87,(IF('Capital &amp; Depr'!$E$26=1,'Capital &amp; Depr'!J45,0)))</f>
        <v>10998075</v>
      </c>
      <c r="L11" s="724">
        <f>IF('Capital &amp; Depr'!$E$26=0,'Capital &amp; Depr'!K87,(IF('Capital &amp; Depr'!$E$26=1,'Capital &amp; Depr'!K45,0)))</f>
        <v>10998075</v>
      </c>
      <c r="M11" s="724">
        <f>IF('Capital &amp; Depr'!$E$26=0,'Capital &amp; Depr'!L87,(IF('Capital &amp; Depr'!$E$26=1,'Capital &amp; Depr'!L45,0)))</f>
        <v>10998075</v>
      </c>
      <c r="N11" s="724">
        <f>IF('Capital &amp; Depr'!$E$26=0,'Capital &amp; Depr'!M87,(IF('Capital &amp; Depr'!$E$26=1,'Capital &amp; Depr'!M45,0)))</f>
        <v>10998075</v>
      </c>
      <c r="O11" s="724">
        <f>IF('Capital &amp; Depr'!$E$26=0,'Capital &amp; Depr'!N87,(IF('Capital &amp; Depr'!$E$26=1,'Capital &amp; Depr'!N45,0)))</f>
        <v>10998075</v>
      </c>
      <c r="P11" s="724">
        <f>IF('Capital &amp; Depr'!$E$26=0,'Capital &amp; Depr'!O87,(IF('Capital &amp; Depr'!$E$26=1,'Capital &amp; Depr'!O45,0)))</f>
        <v>10998075</v>
      </c>
    </row>
    <row r="12" spans="1:16" ht="14" x14ac:dyDescent="0.15">
      <c r="C12" s="2"/>
      <c r="E12" s="27" t="s">
        <v>579</v>
      </c>
      <c r="F12" s="724">
        <f>IF('Capital &amp; Depr'!$E$26=0,'Capital &amp; Depr'!E95,(IF('Capital &amp; Depr'!$E$26=1,'Capital &amp; Depr'!E53,0)))</f>
        <v>12200000</v>
      </c>
      <c r="G12" s="724">
        <f>IF('Capital &amp; Depr'!$E$26=0,'Capital &amp; Depr'!F95,(IF('Capital &amp; Depr'!$E$26=1,'Capital &amp; Depr'!F53,0)))</f>
        <v>7320000</v>
      </c>
      <c r="H12" s="724">
        <f>IF('Capital &amp; Depr'!$E$26=0,'Capital &amp; Depr'!G95,(IF('Capital &amp; Depr'!$E$26=1,'Capital &amp; Depr'!G53,0)))</f>
        <v>4392000</v>
      </c>
      <c r="I12" s="724">
        <f>IF('Capital &amp; Depr'!$E$26=0,'Capital &amp; Depr'!H95,(IF('Capital &amp; Depr'!$E$26=1,'Capital &amp; Depr'!H53,0)))</f>
        <v>2635200</v>
      </c>
      <c r="J12" s="724">
        <f>IF('Capital &amp; Depr'!$E$26=0,'Capital &amp; Depr'!I95,(IF('Capital &amp; Depr'!$E$26=1,'Capital &amp; Depr'!I53,0)))</f>
        <v>1756800</v>
      </c>
      <c r="K12" s="724">
        <f>IF('Capital &amp; Depr'!$E$26=0,'Capital &amp; Depr'!J95,(IF('Capital &amp; Depr'!$E$26=1,'Capital &amp; Depr'!J53,0)))</f>
        <v>1756800</v>
      </c>
      <c r="L12" s="724">
        <f>IF('Capital &amp; Depr'!$E$26=0,'Capital &amp; Depr'!K95,(IF('Capital &amp; Depr'!$E$26=1,'Capital &amp; Depr'!K53,0)))</f>
        <v>0</v>
      </c>
      <c r="M12" s="724">
        <f>IF('Capital &amp; Depr'!$E$26=0,'Capital &amp; Depr'!L95,(IF('Capital &amp; Depr'!$E$26=1,'Capital &amp; Depr'!L53,0)))</f>
        <v>0</v>
      </c>
      <c r="N12" s="724">
        <f>IF('Capital &amp; Depr'!$E$26=0,'Capital &amp; Depr'!M95,(IF('Capital &amp; Depr'!$E$26=1,'Capital &amp; Depr'!M53,0)))</f>
        <v>0</v>
      </c>
      <c r="O12" s="724">
        <f>IF('Capital &amp; Depr'!$E$26=0,'Capital &amp; Depr'!N95,(IF('Capital &amp; Depr'!$E$26=1,'Capital &amp; Depr'!N53,0)))</f>
        <v>0</v>
      </c>
      <c r="P12" s="724">
        <f>IF('Capital &amp; Depr'!$E$26=0,'Capital &amp; Depr'!O95,(IF('Capital &amp; Depr'!$E$26=1,'Capital &amp; Depr'!O53,0)))</f>
        <v>0</v>
      </c>
    </row>
    <row r="13" spans="1:16" ht="14" x14ac:dyDescent="0.15">
      <c r="B13" s="11" t="s">
        <v>580</v>
      </c>
      <c r="E13" s="27" t="s">
        <v>581</v>
      </c>
      <c r="F13" s="724">
        <f>IF('Capital &amp; Depr'!$E$26=0,'Capital &amp; Depr'!E103,(IF('Capital &amp; Depr'!$E$26=1,'Capital &amp; Depr'!E61,0)))</f>
        <v>640000</v>
      </c>
      <c r="G13" s="724">
        <f>IF('Capital &amp; Depr'!$E$26=0,'Capital &amp; Depr'!F103,(IF('Capital &amp; Depr'!$E$26=1,'Capital &amp; Depr'!F61,0)))</f>
        <v>384000</v>
      </c>
      <c r="H13" s="724">
        <f>IF('Capital &amp; Depr'!$E$26=0,'Capital &amp; Depr'!G103,(IF('Capital &amp; Depr'!$E$26=1,'Capital &amp; Depr'!G61,0)))</f>
        <v>230400</v>
      </c>
      <c r="I13" s="724">
        <f>IF('Capital &amp; Depr'!$E$26=0,'Capital &amp; Depr'!H103,(IF('Capital &amp; Depr'!$E$26=1,'Capital &amp; Depr'!H61,0)))</f>
        <v>138240</v>
      </c>
      <c r="J13" s="724">
        <f>IF('Capital &amp; Depr'!$E$26=0,'Capital &amp; Depr'!I103,(IF('Capital &amp; Depr'!$E$26=1,'Capital &amp; Depr'!I61,0)))</f>
        <v>92160</v>
      </c>
      <c r="K13" s="724">
        <f>IF('Capital &amp; Depr'!$E$26=0,'Capital &amp; Depr'!J103,(IF('Capital &amp; Depr'!$E$26=1,'Capital &amp; Depr'!J61,0)))</f>
        <v>92160</v>
      </c>
      <c r="L13" s="724">
        <f>IF('Capital &amp; Depr'!$E$26=0,'Capital &amp; Depr'!K103,(IF('Capital &amp; Depr'!$E$26=1,'Capital &amp; Depr'!K61,0)))</f>
        <v>0</v>
      </c>
      <c r="M13" s="724">
        <f>IF('Capital &amp; Depr'!$E$26=0,'Capital &amp; Depr'!L103,(IF('Capital &amp; Depr'!$E$26=1,'Capital &amp; Depr'!L61,0)))</f>
        <v>0</v>
      </c>
      <c r="N13" s="724">
        <f>IF('Capital &amp; Depr'!$E$26=0,'Capital &amp; Depr'!M103,(IF('Capital &amp; Depr'!$E$26=1,'Capital &amp; Depr'!M61,0)))</f>
        <v>0</v>
      </c>
      <c r="O13" s="724">
        <f>IF('Capital &amp; Depr'!$E$26=0,'Capital &amp; Depr'!N103,(IF('Capital &amp; Depr'!$E$26=1,'Capital &amp; Depr'!N61,0)))</f>
        <v>0</v>
      </c>
      <c r="P13" s="724">
        <f>IF('Capital &amp; Depr'!$E$26=0,'Capital &amp; Depr'!O103,(IF('Capital &amp; Depr'!$E$26=1,'Capital &amp; Depr'!O61,0)))</f>
        <v>0</v>
      </c>
    </row>
    <row r="14" spans="1:16" ht="28" x14ac:dyDescent="0.15">
      <c r="B14" s="117" t="s">
        <v>571</v>
      </c>
      <c r="C14" s="136">
        <f>'Initial Inputs'!H15</f>
        <v>80000</v>
      </c>
      <c r="E14" s="27" t="s">
        <v>582</v>
      </c>
      <c r="F14" s="724">
        <f>IF('Capital &amp; Depr'!$E$26=0,'Capital &amp; Depr'!E111,(IF('Capital &amp; Depr'!$E$26=1,'Capital &amp; Depr'!E69,0)))</f>
        <v>0</v>
      </c>
      <c r="G14" s="724">
        <f>IF('Capital &amp; Depr'!$E$26=0,'Capital &amp; Depr'!F111,(IF('Capital &amp; Depr'!$E$26=1,'Capital &amp; Depr'!F69,0)))</f>
        <v>0</v>
      </c>
      <c r="H14" s="724">
        <f>IF('Capital &amp; Depr'!$E$26=0,'Capital &amp; Depr'!G111,(IF('Capital &amp; Depr'!$E$26=1,'Capital &amp; Depr'!G69,0)))</f>
        <v>0</v>
      </c>
      <c r="I14" s="724">
        <f>IF('Capital &amp; Depr'!$E$26=0,'Capital &amp; Depr'!H111,(IF('Capital &amp; Depr'!$E$26=1,'Capital &amp; Depr'!H69,0)))</f>
        <v>0</v>
      </c>
      <c r="J14" s="724">
        <f>IF('Capital &amp; Depr'!$E$26=0,'Capital &amp; Depr'!I111,(IF('Capital &amp; Depr'!$E$26=1,'Capital &amp; Depr'!I69,0)))</f>
        <v>0</v>
      </c>
      <c r="K14" s="724">
        <f>IF('Capital &amp; Depr'!$E$26=0,'Capital &amp; Depr'!J111,(IF('Capital &amp; Depr'!$E$26=1,'Capital &amp; Depr'!J69,0)))</f>
        <v>0</v>
      </c>
      <c r="L14" s="724">
        <f>IF('Capital &amp; Depr'!$E$26=0,'Capital &amp; Depr'!K111,(IF('Capital &amp; Depr'!$E$26=1,'Capital &amp; Depr'!K69,0)))</f>
        <v>0</v>
      </c>
      <c r="M14" s="724">
        <f>IF('Capital &amp; Depr'!$E$26=0,'Capital &amp; Depr'!L111,(IF('Capital &amp; Depr'!$E$26=1,'Capital &amp; Depr'!L69,0)))</f>
        <v>0</v>
      </c>
      <c r="N14" s="724">
        <f>IF('Capital &amp; Depr'!$E$26=0,'Capital &amp; Depr'!M111,(IF('Capital &amp; Depr'!$E$26=1,'Capital &amp; Depr'!M69,0)))</f>
        <v>0</v>
      </c>
      <c r="O14" s="724">
        <f>IF('Capital &amp; Depr'!$E$26=0,'Capital &amp; Depr'!N111,(IF('Capital &amp; Depr'!$E$26=1,'Capital &amp; Depr'!N69,0)))</f>
        <v>0</v>
      </c>
      <c r="P14" s="724">
        <f>IF('Capital &amp; Depr'!$E$26=0,'Capital &amp; Depr'!O111,(IF('Capital &amp; Depr'!$E$26=1,'Capital &amp; Depr'!O69,0)))</f>
        <v>0</v>
      </c>
    </row>
    <row r="15" spans="1:16" x14ac:dyDescent="0.15">
      <c r="B15" t="s">
        <v>573</v>
      </c>
      <c r="C15">
        <f>'Initial Inputs'!G15+1</f>
        <v>5</v>
      </c>
    </row>
    <row r="16" spans="1:16" ht="42" x14ac:dyDescent="0.15">
      <c r="E16" s="23" t="s">
        <v>583</v>
      </c>
      <c r="F16" s="68">
        <f>IF(F6=1,'After Tax Analysis'!$D$52,0)</f>
        <v>0</v>
      </c>
      <c r="G16" s="68">
        <f>IF(G6=1,'After Tax Analysis'!$D$52,0)</f>
        <v>0</v>
      </c>
      <c r="H16" s="68">
        <f>IF(H6=1,'After Tax Analysis'!$D$52,0)</f>
        <v>0</v>
      </c>
      <c r="I16" s="68">
        <f>IF(I6=1,'After Tax Analysis'!$D$52,0)</f>
        <v>0</v>
      </c>
      <c r="J16" s="68">
        <f>IF(J6=1,'After Tax Analysis'!$D$52,0)</f>
        <v>-3442421.5</v>
      </c>
      <c r="K16" s="68">
        <f>IF(K6=1,'After Tax Analysis'!$D$52,0)</f>
        <v>0</v>
      </c>
      <c r="L16" s="68">
        <f>IF(L6=1,'After Tax Analysis'!$D$52,0)</f>
        <v>0</v>
      </c>
      <c r="M16" s="68">
        <f>IF(M6=1,'After Tax Analysis'!$D$52,0)</f>
        <v>0</v>
      </c>
      <c r="N16" s="68">
        <f>IF(N6=1,'After Tax Analysis'!$D$52,0)</f>
        <v>0</v>
      </c>
      <c r="O16" s="68">
        <f>IF(O6=1,'After Tax Analysis'!$D$52,0)</f>
        <v>0</v>
      </c>
      <c r="P16" s="68">
        <f>IF(P6=1,'After Tax Analysis'!$D$52,0)</f>
        <v>0</v>
      </c>
    </row>
    <row r="17" spans="2:16" ht="42" x14ac:dyDescent="0.15">
      <c r="B17" s="11" t="s">
        <v>584</v>
      </c>
      <c r="E17" s="23" t="s">
        <v>585</v>
      </c>
      <c r="F17" s="68">
        <f>IF(F7=1,'After Tax Analysis'!$G$52,0)</f>
        <v>0</v>
      </c>
      <c r="G17" s="68">
        <f>IF(G7=1,'After Tax Analysis'!$G$52,0)</f>
        <v>0</v>
      </c>
      <c r="H17" s="68">
        <f>IF(H7=1,'After Tax Analysis'!$G$52,0)</f>
        <v>0</v>
      </c>
      <c r="I17" s="68">
        <f>IF(I7=1,'After Tax Analysis'!$G$52,0)</f>
        <v>0</v>
      </c>
      <c r="J17" s="68">
        <f>IF(J7=1,'After Tax Analysis'!$G$52,0)</f>
        <v>609424</v>
      </c>
      <c r="K17" s="68">
        <f>IF(K7=1,'After Tax Analysis'!$G$52,0)</f>
        <v>0</v>
      </c>
      <c r="L17" s="68">
        <f>IF(L7=1,'After Tax Analysis'!$G$52,0)</f>
        <v>0</v>
      </c>
      <c r="M17" s="68">
        <f>IF(M7=1,'After Tax Analysis'!$G$52,0)</f>
        <v>0</v>
      </c>
      <c r="N17" s="68">
        <f>IF(N7=1,'After Tax Analysis'!$G$52,0)</f>
        <v>0</v>
      </c>
      <c r="O17" s="68">
        <f>IF(O7=1,'After Tax Analysis'!$G$52,0)</f>
        <v>0</v>
      </c>
      <c r="P17" s="68">
        <f>IF(P7=1,'After Tax Analysis'!$G$52,0)</f>
        <v>0</v>
      </c>
    </row>
    <row r="18" spans="2:16" ht="42" x14ac:dyDescent="0.15">
      <c r="B18" s="117" t="s">
        <v>571</v>
      </c>
      <c r="C18" s="136">
        <f>'Initial Inputs'!H16</f>
        <v>0</v>
      </c>
      <c r="E18" s="23" t="s">
        <v>586</v>
      </c>
      <c r="F18" s="68">
        <f>IF(F8=1,'After Tax Analysis'!$J$52,0)</f>
        <v>0</v>
      </c>
      <c r="G18" s="68">
        <f>IF(G8=1,'After Tax Analysis'!$J$52,0)</f>
        <v>0</v>
      </c>
      <c r="H18" s="68">
        <f>IF(H8=1,'After Tax Analysis'!$J$52,0)</f>
        <v>0</v>
      </c>
      <c r="I18" s="68">
        <f>IF(I8=1,'After Tax Analysis'!$J$52,0)</f>
        <v>0</v>
      </c>
      <c r="J18" s="68">
        <f>IF(J8=1,'After Tax Analysis'!$J$52,0)</f>
        <v>-9971.2000000000007</v>
      </c>
      <c r="K18" s="68">
        <f>IF(K8=1,'After Tax Analysis'!$J$52,0)</f>
        <v>0</v>
      </c>
      <c r="L18" s="68">
        <f>IF(L8=1,'After Tax Analysis'!$J$52,0)</f>
        <v>0</v>
      </c>
      <c r="M18" s="68">
        <f>IF(M8=1,'After Tax Analysis'!$J$52,0)</f>
        <v>0</v>
      </c>
      <c r="N18" s="68">
        <f>IF(N8=1,'After Tax Analysis'!$J$52,0)</f>
        <v>0</v>
      </c>
      <c r="O18" s="68">
        <f>IF(O8=1,'After Tax Analysis'!$J$52,0)</f>
        <v>0</v>
      </c>
      <c r="P18" s="68">
        <f>IF(P8=1,'After Tax Analysis'!$J$52,0)</f>
        <v>0</v>
      </c>
    </row>
    <row r="19" spans="2:16" ht="42" x14ac:dyDescent="0.15">
      <c r="B19" t="s">
        <v>587</v>
      </c>
      <c r="C19">
        <f>'Initial Inputs'!G16+1</f>
        <v>1</v>
      </c>
      <c r="E19" s="23" t="s">
        <v>588</v>
      </c>
      <c r="F19" s="68">
        <f>IF(F9=1,'After Tax Analysis'!$M$52,0)</f>
        <v>0</v>
      </c>
      <c r="G19" s="68">
        <f>IF(G9=1,'After Tax Analysis'!$M$52,0)</f>
        <v>0</v>
      </c>
      <c r="H19" s="68">
        <f>IF(H9=1,'After Tax Analysis'!$M$52,0)</f>
        <v>0</v>
      </c>
      <c r="I19" s="68">
        <f>IF(I9=1,'After Tax Analysis'!$M$52,0)</f>
        <v>0</v>
      </c>
      <c r="J19" s="68">
        <f>IF(J9=1,'After Tax Analysis'!$M$52,0)</f>
        <v>0</v>
      </c>
      <c r="K19" s="68">
        <f>IF(K9=1,'After Tax Analysis'!$M$52,0)</f>
        <v>0</v>
      </c>
      <c r="L19" s="68">
        <f>IF(L9=1,'After Tax Analysis'!$M$52,0)</f>
        <v>0</v>
      </c>
      <c r="M19" s="68">
        <f>IF(M9=1,'After Tax Analysis'!$M$52,0)</f>
        <v>0</v>
      </c>
      <c r="N19" s="68">
        <f>IF(N9=1,'After Tax Analysis'!$M$52,0)</f>
        <v>0</v>
      </c>
      <c r="O19" s="68">
        <f>IF(O9=1,'After Tax Analysis'!$M$52,0)</f>
        <v>0</v>
      </c>
      <c r="P19" s="68">
        <f>IF(P9=1,'After Tax Analysis'!$M$52,0)</f>
        <v>0</v>
      </c>
    </row>
    <row r="20" spans="2:16" ht="42" x14ac:dyDescent="0.15">
      <c r="E20" s="23" t="s">
        <v>589</v>
      </c>
      <c r="F20" s="68">
        <f>IF(F64=1,'After Tax Analysis'!$D$62,0)</f>
        <v>0</v>
      </c>
      <c r="G20" s="68">
        <f>IF(G64=1,'After Tax Analysis'!$D$62,0)</f>
        <v>0</v>
      </c>
      <c r="H20" s="68">
        <f>IF(H64=1,'After Tax Analysis'!$D$62,0)</f>
        <v>0</v>
      </c>
      <c r="I20" s="68">
        <f>IF(I64=1,'After Tax Analysis'!$D$62,0)</f>
        <v>0</v>
      </c>
      <c r="J20" s="68">
        <f>IF(J64=1,'After Tax Analysis'!$D$62,0)</f>
        <v>246000</v>
      </c>
      <c r="K20" s="68">
        <f>IF(K64=1,'After Tax Analysis'!$D$62,0)</f>
        <v>0</v>
      </c>
      <c r="L20" s="68">
        <f>IF(L64=1,'After Tax Analysis'!$D$62,0)</f>
        <v>0</v>
      </c>
      <c r="M20" s="68">
        <f>IF(M64=1,'After Tax Analysis'!$D$62,0)</f>
        <v>0</v>
      </c>
      <c r="N20" s="68">
        <f>IF(N64=1,'After Tax Analysis'!$D$62,0)</f>
        <v>0</v>
      </c>
      <c r="O20" s="68">
        <f>IF(O64=1,'After Tax Analysis'!$D$62,0)</f>
        <v>0</v>
      </c>
      <c r="P20" s="68">
        <f>IF(P64=1,'After Tax Analysis'!$D$62,0)</f>
        <v>0</v>
      </c>
    </row>
    <row r="21" spans="2:16" ht="42" x14ac:dyDescent="0.15">
      <c r="E21" s="23" t="s">
        <v>590</v>
      </c>
      <c r="F21" s="68">
        <f>IF(F65=1,'After Tax Analysis'!$G$62,0)</f>
        <v>0</v>
      </c>
      <c r="G21" s="68">
        <f>IF(G65=1,'After Tax Analysis'!$G$62,0)</f>
        <v>0</v>
      </c>
      <c r="H21" s="68">
        <f>IF(H65=1,'After Tax Analysis'!$G$62,0)</f>
        <v>0</v>
      </c>
      <c r="I21" s="68">
        <f>IF(I65=1,'After Tax Analysis'!$G$62,0)</f>
        <v>0</v>
      </c>
      <c r="J21" s="68">
        <f>IF(J65=1,'After Tax Analysis'!$G$62,0)</f>
        <v>0</v>
      </c>
      <c r="K21" s="68">
        <f>IF(K65=1,'After Tax Analysis'!$G$62,0)</f>
        <v>0</v>
      </c>
      <c r="L21" s="68">
        <f>IF(L65=1,'After Tax Analysis'!$G$62,0)</f>
        <v>0</v>
      </c>
      <c r="M21" s="68">
        <f>IF(M65=1,'After Tax Analysis'!$G$62,0)</f>
        <v>0</v>
      </c>
      <c r="N21" s="68">
        <f>IF(N65=1,'After Tax Analysis'!$G$62,0)</f>
        <v>0</v>
      </c>
      <c r="O21" s="68">
        <f>IF(O65=1,'After Tax Analysis'!$G$62,0)</f>
        <v>0</v>
      </c>
      <c r="P21" s="68">
        <f>IF(P65=1,'After Tax Analysis'!$G$62,0)</f>
        <v>0</v>
      </c>
    </row>
    <row r="22" spans="2:16" x14ac:dyDescent="0.15">
      <c r="C22" s="66"/>
      <c r="E22" s="28" t="s">
        <v>591</v>
      </c>
      <c r="F22" s="74">
        <f>SUM(F16:F21)</f>
        <v>0</v>
      </c>
      <c r="G22" s="74">
        <f t="shared" ref="G22:P22" si="4">SUM(G16:G21)</f>
        <v>0</v>
      </c>
      <c r="H22" s="74">
        <f t="shared" si="4"/>
        <v>0</v>
      </c>
      <c r="I22" s="74">
        <f t="shared" si="4"/>
        <v>0</v>
      </c>
      <c r="J22" s="74">
        <f t="shared" si="4"/>
        <v>-2596968.7000000002</v>
      </c>
      <c r="K22" s="74">
        <f t="shared" si="4"/>
        <v>0</v>
      </c>
      <c r="L22" s="74">
        <f t="shared" si="4"/>
        <v>0</v>
      </c>
      <c r="M22" s="74">
        <f t="shared" si="4"/>
        <v>0</v>
      </c>
      <c r="N22" s="74">
        <f t="shared" si="4"/>
        <v>0</v>
      </c>
      <c r="O22" s="74">
        <f t="shared" si="4"/>
        <v>0</v>
      </c>
      <c r="P22" s="74">
        <f t="shared" si="4"/>
        <v>0</v>
      </c>
    </row>
    <row r="23" spans="2:16" x14ac:dyDescent="0.15">
      <c r="C23" s="151"/>
    </row>
    <row r="24" spans="2:16" ht="42" x14ac:dyDescent="0.15">
      <c r="C24" s="2"/>
      <c r="E24" s="23" t="s">
        <v>592</v>
      </c>
      <c r="F24" s="724">
        <f>IF('Capital &amp; Depr'!$E$26=0,'Capital &amp; Depr'!E86,(IF('Capital &amp; Depr'!$E$26=1,'Capital &amp; Depr'!E44,0)))</f>
        <v>562500</v>
      </c>
      <c r="G24" s="724">
        <f>IF(SUM($F6:F6)&gt;0,0,(IF('Capital &amp; Depr'!$E$26=0,'Capital &amp; Depr'!F86,(IF('Capital &amp; Depr'!$E$26=1,'Capital &amp; Depr'!F44,0)))))</f>
        <v>1645350</v>
      </c>
      <c r="H24" s="724">
        <f>IF(SUM($F6:G6)&gt;0,0,(IF('Capital &amp; Depr'!$E$26=0,'Capital &amp; Depr'!G86,(IF('Capital &amp; Depr'!$E$26=1,'Capital &amp; Depr'!G44,0)))))</f>
        <v>2646900</v>
      </c>
      <c r="I24" s="724">
        <f>IF(SUM($F6:H6)&gt;0,0,(IF('Capital &amp; Depr'!$E$26=0,'Capital &amp; Depr'!H86,(IF('Capital &amp; Depr'!$E$26=1,'Capital &amp; Depr'!H44,0)))))</f>
        <v>3573450</v>
      </c>
      <c r="J24" s="724">
        <f>IF(SUM($F6:I6)&gt;0,0,(IF('Capital &amp; Depr'!$E$26=0,'Capital &amp; Depr'!I86,(IF('Capital &amp; Depr'!$E$26=1,'Capital &amp; Depr'!I44,0)))))</f>
        <v>4001925</v>
      </c>
      <c r="K24" s="724">
        <f>IF(SUM($F6:J6)&gt;0,0,(IF('Capital &amp; Depr'!$E$26=0,'Capital &amp; Depr'!J86,(IF('Capital &amp; Depr'!$E$26=1,'Capital &amp; Depr'!J44,0)))))</f>
        <v>0</v>
      </c>
      <c r="L24" s="724">
        <f>IF(SUM($F6:K6)&gt;0,0,(IF('Capital &amp; Depr'!$E$26=0,'Capital &amp; Depr'!K86,(IF('Capital &amp; Depr'!$E$26=1,'Capital &amp; Depr'!K44,0)))))</f>
        <v>0</v>
      </c>
      <c r="M24" s="724">
        <f>IF(SUM($F6:L6)&gt;0,0,(IF('Capital &amp; Depr'!$E$26=0,'Capital &amp; Depr'!L86,(IF('Capital &amp; Depr'!$E$26=1,'Capital &amp; Depr'!L44,0)))))</f>
        <v>0</v>
      </c>
      <c r="N24" s="724">
        <f>IF(SUM($F6:M6)&gt;0,0,(IF('Capital &amp; Depr'!$E$26=0,'Capital &amp; Depr'!M86,(IF('Capital &amp; Depr'!$E$26=1,'Capital &amp; Depr'!M44,0)))))</f>
        <v>0</v>
      </c>
      <c r="O24" s="724">
        <f>IF(SUM($F6:N6)&gt;0,0,(IF('Capital &amp; Depr'!$E$26=0,'Capital &amp; Depr'!N86,(IF('Capital &amp; Depr'!$E$26=1,'Capital &amp; Depr'!N44,0)))))</f>
        <v>0</v>
      </c>
      <c r="P24" s="230">
        <f>IF(P30=0,0,O24)</f>
        <v>0</v>
      </c>
    </row>
    <row r="25" spans="2:16" ht="42" x14ac:dyDescent="0.15">
      <c r="E25" s="23" t="s">
        <v>593</v>
      </c>
      <c r="F25" s="724">
        <f>IF('Capital &amp; Depr'!$E$26=0,'Capital &amp; Depr'!E94,(IF('Capital &amp; Depr'!$E$26=1,'Capital &amp; Depr'!E52,0)))</f>
        <v>3050000</v>
      </c>
      <c r="G25" s="724">
        <f>IF(SUM($F7:F7)&gt;0,0,(IF('Capital &amp; Depr'!$E$26=0,'Capital &amp; Depr'!F94,(IF('Capital &amp; Depr'!$E$26=1,'Capital &amp; Depr'!F52,0)))))</f>
        <v>7930000</v>
      </c>
      <c r="H25" s="724">
        <f>IF(SUM($F7:G7)&gt;0,0,(IF('Capital &amp; Depr'!$E$26=0,'Capital &amp; Depr'!G94,(IF('Capital &amp; Depr'!$E$26=1,'Capital &amp; Depr'!G52,0)))))</f>
        <v>10858000</v>
      </c>
      <c r="I25" s="724">
        <f>IF(SUM($F7:H7)&gt;0,0,(IF('Capital &amp; Depr'!$E$26=0,'Capital &amp; Depr'!H94,(IF('Capital &amp; Depr'!$E$26=1,'Capital &amp; Depr'!H52,0)))))</f>
        <v>12614800</v>
      </c>
      <c r="J25" s="724">
        <f>IF(SUM($F7:I7)&gt;0,0,(IF('Capital &amp; Depr'!$E$26=0,'Capital &amp; Depr'!I94,(IF('Capital &amp; Depr'!$E$26=1,'Capital &amp; Depr'!I52,0)))))</f>
        <v>13493200</v>
      </c>
      <c r="K25" s="724">
        <f>IF(SUM($F7:J7)&gt;0,0,(IF('Capital &amp; Depr'!$E$26=0,'Capital &amp; Depr'!J94,(IF('Capital &amp; Depr'!$E$26=1,'Capital &amp; Depr'!J52,0)))))</f>
        <v>0</v>
      </c>
      <c r="L25" s="724">
        <f>IF(SUM($F7:K7)&gt;0,0,(IF('Capital &amp; Depr'!$E$26=0,'Capital &amp; Depr'!K94,(IF('Capital &amp; Depr'!$E$26=1,'Capital &amp; Depr'!K52,0)))))</f>
        <v>0</v>
      </c>
      <c r="M25" s="724">
        <f>IF(SUM($F7:L7)&gt;0,0,(IF('Capital &amp; Depr'!$E$26=0,'Capital &amp; Depr'!L94,(IF('Capital &amp; Depr'!$E$26=1,'Capital &amp; Depr'!L52,0)))))</f>
        <v>0</v>
      </c>
      <c r="N25" s="724">
        <f>IF(SUM($F7:M7)&gt;0,0,(IF('Capital &amp; Depr'!$E$26=0,'Capital &amp; Depr'!M94,(IF('Capital &amp; Depr'!$E$26=1,'Capital &amp; Depr'!M52,0)))))</f>
        <v>0</v>
      </c>
      <c r="O25" s="724">
        <f>IF(SUM($F7:N7)&gt;0,0,(IF('Capital &amp; Depr'!$E$26=0,'Capital &amp; Depr'!N94,(IF('Capital &amp; Depr'!$E$26=1,'Capital &amp; Depr'!N52,0)))))</f>
        <v>0</v>
      </c>
      <c r="P25" s="230">
        <f>IF(P31=0,0,O25)</f>
        <v>0</v>
      </c>
    </row>
    <row r="26" spans="2:16" ht="42" x14ac:dyDescent="0.15">
      <c r="E26" s="23" t="s">
        <v>594</v>
      </c>
      <c r="F26" s="724">
        <f>IF('Capital &amp; Depr'!$E$26=0,'Capital &amp; Depr'!E102,(IF('Capital &amp; Depr'!$E$26=1,'Capital &amp; Depr'!E60,0)))</f>
        <v>160000</v>
      </c>
      <c r="G26" s="724">
        <f>IF(SUM($F8:F8)&gt;0,0,(IF('Capital &amp; Depr'!$E$26=0,'Capital &amp; Depr'!F102,(IF('Capital &amp; Depr'!$E$26=1,'Capital &amp; Depr'!F60,0)))))</f>
        <v>416000</v>
      </c>
      <c r="H26" s="724">
        <f>IF(SUM($F8:G8)&gt;0,0,(IF('Capital &amp; Depr'!$E$26=0,'Capital &amp; Depr'!G102,(IF('Capital &amp; Depr'!$E$26=1,'Capital &amp; Depr'!G60,0)))))</f>
        <v>569600</v>
      </c>
      <c r="I26" s="724">
        <f>IF(SUM($F8:H8)&gt;0,0,(IF('Capital &amp; Depr'!$E$26=0,'Capital &amp; Depr'!H102,(IF('Capital &amp; Depr'!$E$26=1,'Capital &amp; Depr'!H60,0)))))</f>
        <v>661760</v>
      </c>
      <c r="J26" s="724">
        <f>IF(SUM($F8:I8)&gt;0,0,(IF('Capital &amp; Depr'!$E$26=0,'Capital &amp; Depr'!I102,(IF('Capital &amp; Depr'!$E$26=1,'Capital &amp; Depr'!I60,0)))))</f>
        <v>707840</v>
      </c>
      <c r="K26" s="724">
        <f>IF(SUM($F8:J8)&gt;0,0,(IF('Capital &amp; Depr'!$E$26=0,'Capital &amp; Depr'!J102,(IF('Capital &amp; Depr'!$E$26=1,'Capital &amp; Depr'!J60,0)))))</f>
        <v>0</v>
      </c>
      <c r="L26" s="724">
        <f>IF(SUM($F8:K8)&gt;0,0,(IF('Capital &amp; Depr'!$E$26=0,'Capital &amp; Depr'!K102,(IF('Capital &amp; Depr'!$E$26=1,'Capital &amp; Depr'!K60,0)))))</f>
        <v>0</v>
      </c>
      <c r="M26" s="724">
        <f>IF(SUM($F8:L8)&gt;0,0,(IF('Capital &amp; Depr'!$E$26=0,'Capital &amp; Depr'!L102,(IF('Capital &amp; Depr'!$E$26=1,'Capital &amp; Depr'!L60,0)))))</f>
        <v>0</v>
      </c>
      <c r="N26" s="724">
        <f>IF(SUM($F8:M8)&gt;0,0,(IF('Capital &amp; Depr'!$E$26=0,'Capital &amp; Depr'!M102,(IF('Capital &amp; Depr'!$E$26=1,'Capital &amp; Depr'!M60,0)))))</f>
        <v>0</v>
      </c>
      <c r="O26" s="724">
        <f>IF(SUM($F8:N8)&gt;0,0,(IF('Capital &amp; Depr'!$E$26=0,'Capital &amp; Depr'!N102,(IF('Capital &amp; Depr'!$E$26=1,'Capital &amp; Depr'!N60,0)))))</f>
        <v>0</v>
      </c>
      <c r="P26" s="230">
        <f>IF(P32=0,0,O26)</f>
        <v>0</v>
      </c>
    </row>
    <row r="27" spans="2:16" ht="42" x14ac:dyDescent="0.15">
      <c r="E27" s="23" t="s">
        <v>595</v>
      </c>
      <c r="F27" s="724">
        <f>IF('Capital &amp; Depr'!$E$26=0,'Capital &amp; Depr'!E110,(IF('Capital &amp; Depr'!$E$26=1,'Capital &amp; Depr'!E68,0)))</f>
        <v>0</v>
      </c>
      <c r="G27" s="724">
        <f>IF(SUM($F9:F9)&gt;0,0,(IF('Capital &amp; Depr'!$E$26=0,'Capital &amp; Depr'!F110,(IF('Capital &amp; Depr'!$E$26=1,'Capital &amp; Depr'!F68)))))</f>
        <v>0</v>
      </c>
      <c r="H27" s="724">
        <f>IF(SUM($F9:G9)&gt;0,0,(IF('Capital &amp; Depr'!$E$26=0,'Capital &amp; Depr'!G110,(IF('Capital &amp; Depr'!$E$26=1,'Capital &amp; Depr'!G68)))))</f>
        <v>0</v>
      </c>
      <c r="I27" s="724">
        <f>IF(SUM($F9:H9)&gt;0,0,(IF('Capital &amp; Depr'!$E$26=0,'Capital &amp; Depr'!H110,(IF('Capital &amp; Depr'!$E$26=1,'Capital &amp; Depr'!H68)))))</f>
        <v>0</v>
      </c>
      <c r="J27" s="724">
        <f>IF(SUM($F9:I9)&gt;0,0,(IF('Capital &amp; Depr'!$E$26=0,'Capital &amp; Depr'!I110,(IF('Capital &amp; Depr'!$E$26=1,'Capital &amp; Depr'!I68)))))</f>
        <v>0</v>
      </c>
      <c r="K27" s="724">
        <f>IF(SUM($F9:J9)&gt;0,0,(IF('Capital &amp; Depr'!$E$26=0,'Capital &amp; Depr'!J110,(IF('Capital &amp; Depr'!$E$26=1,'Capital &amp; Depr'!J68)))))</f>
        <v>0</v>
      </c>
      <c r="L27" s="724">
        <f>IF(SUM($F9:K9)&gt;0,0,(IF('Capital &amp; Depr'!$E$26=0,'Capital &amp; Depr'!K110,(IF('Capital &amp; Depr'!$E$26=1,'Capital &amp; Depr'!K68)))))</f>
        <v>0</v>
      </c>
      <c r="M27" s="724">
        <f>IF(SUM($F9:L9)&gt;0,0,(IF('Capital &amp; Depr'!$E$26=0,'Capital &amp; Depr'!L110,(IF('Capital &amp; Depr'!$E$26=1,'Capital &amp; Depr'!L68)))))</f>
        <v>0</v>
      </c>
      <c r="N27" s="724">
        <f>IF(SUM($F9:M9)&gt;0,0,(IF('Capital &amp; Depr'!$E$26=0,'Capital &amp; Depr'!M110,(IF('Capital &amp; Depr'!$E$26=1,'Capital &amp; Depr'!M68)))))</f>
        <v>0</v>
      </c>
      <c r="O27" s="724">
        <f>IF(SUM($F9:N9)&gt;0,0,(IF('Capital &amp; Depr'!$E$26=0,'Capital &amp; Depr'!N110,(IF('Capital &amp; Depr'!$E$26=1,'Capital &amp; Depr'!N68)))))</f>
        <v>0</v>
      </c>
      <c r="P27" s="230">
        <f>IF(P33=0,0,O27)</f>
        <v>0</v>
      </c>
    </row>
    <row r="28" spans="2:16" x14ac:dyDescent="0.15">
      <c r="E28" s="28" t="s">
        <v>591</v>
      </c>
      <c r="F28" s="74">
        <f t="shared" ref="F28:O28" si="5">SUM(F24:F27)</f>
        <v>3772500</v>
      </c>
      <c r="G28" s="74">
        <f t="shared" si="5"/>
        <v>9991350</v>
      </c>
      <c r="H28" s="74">
        <f t="shared" si="5"/>
        <v>14074500</v>
      </c>
      <c r="I28" s="74">
        <f t="shared" si="5"/>
        <v>16850010</v>
      </c>
      <c r="J28" s="74">
        <f t="shared" si="5"/>
        <v>18202965</v>
      </c>
      <c r="K28" s="74">
        <f t="shared" si="5"/>
        <v>0</v>
      </c>
      <c r="L28" s="74">
        <f t="shared" si="5"/>
        <v>0</v>
      </c>
      <c r="M28" s="74">
        <f t="shared" si="5"/>
        <v>0</v>
      </c>
      <c r="N28" s="74">
        <f t="shared" si="5"/>
        <v>0</v>
      </c>
      <c r="O28" s="74">
        <f t="shared" si="5"/>
        <v>0</v>
      </c>
      <c r="P28" s="231">
        <f>SUM(P24:P27)</f>
        <v>0</v>
      </c>
    </row>
    <row r="30" spans="2:16" ht="28" x14ac:dyDescent="0.15">
      <c r="C30" s="22"/>
      <c r="E30" s="23" t="s">
        <v>596</v>
      </c>
      <c r="F30" s="110">
        <f>'Capital &amp; Depr'!E7</f>
        <v>15000000</v>
      </c>
      <c r="G30" s="724">
        <f>IF(SUM($F6:F6)&gt;0,0,'Capital &amp; Depr'!$E7)</f>
        <v>15000000</v>
      </c>
      <c r="H30" s="724">
        <f>IF(SUM($F6:G6)&gt;0,0,'Capital &amp; Depr'!$E7)</f>
        <v>15000000</v>
      </c>
      <c r="I30" s="724">
        <f>IF(SUM($F6:H6)&gt;0,0,'Capital &amp; Depr'!$E7)</f>
        <v>15000000</v>
      </c>
      <c r="J30" s="724">
        <f>IF(SUM($F6:I6)&gt;0,0,'Capital &amp; Depr'!$E7)</f>
        <v>15000000</v>
      </c>
      <c r="K30" s="724">
        <f>IF(SUM($F6:J6)&gt;0,0,'Capital &amp; Depr'!$E7)</f>
        <v>0</v>
      </c>
      <c r="L30" s="724">
        <f>IF(SUM($F6:K6)&gt;0,0,'Capital &amp; Depr'!$E7)</f>
        <v>0</v>
      </c>
      <c r="M30" s="724">
        <f>IF(SUM($F6:L6)&gt;0,0,'Capital &amp; Depr'!$E7)</f>
        <v>0</v>
      </c>
      <c r="N30" s="724">
        <f>IF(SUM($F6:M6)&gt;0,0,'Capital &amp; Depr'!$E7)</f>
        <v>0</v>
      </c>
      <c r="O30" s="724">
        <f>IF(SUM($F6:N6)&gt;0,0,'Capital &amp; Depr'!$E7)</f>
        <v>0</v>
      </c>
      <c r="P30" s="724">
        <f>IF(SUM($F6:O6)&gt;0,0,'Capital &amp; Depr'!$E7)</f>
        <v>0</v>
      </c>
    </row>
    <row r="31" spans="2:16" ht="28" x14ac:dyDescent="0.15">
      <c r="C31" s="143"/>
      <c r="E31" s="23" t="s">
        <v>597</v>
      </c>
      <c r="F31" s="110">
        <f>'Capital &amp; Depr'!E8</f>
        <v>15250000</v>
      </c>
      <c r="G31" s="724">
        <f>IF(SUM($F7:F7)&gt;0,0,'Capital &amp; Depr'!$E8)</f>
        <v>15250000</v>
      </c>
      <c r="H31" s="724">
        <f>IF(SUM($F7:G7)&gt;0,0,'Capital &amp; Depr'!$E8)</f>
        <v>15250000</v>
      </c>
      <c r="I31" s="724">
        <f>IF(SUM($F7:H7)&gt;0,0,'Capital &amp; Depr'!$E8)</f>
        <v>15250000</v>
      </c>
      <c r="J31" s="724">
        <f>IF(SUM($F7:I7)&gt;0,0,'Capital &amp; Depr'!$E8)</f>
        <v>15250000</v>
      </c>
      <c r="K31" s="724">
        <f>IF(SUM($F7:J7)&gt;0,0,'Capital &amp; Depr'!$E8)</f>
        <v>0</v>
      </c>
      <c r="L31" s="724">
        <f>IF(SUM($F7:K7)&gt;0,0,'Capital &amp; Depr'!$E8)</f>
        <v>0</v>
      </c>
      <c r="M31" s="724">
        <f>IF(SUM($F7:L7)&gt;0,0,'Capital &amp; Depr'!$E8)</f>
        <v>0</v>
      </c>
      <c r="N31" s="724">
        <f>IF(SUM($F7:M7)&gt;0,0,'Capital &amp; Depr'!$E8)</f>
        <v>0</v>
      </c>
      <c r="O31" s="724">
        <f>IF(SUM($F7:N7)&gt;0,0,'Capital &amp; Depr'!$E8)</f>
        <v>0</v>
      </c>
      <c r="P31" s="724">
        <f>IF(SUM($F7:O7)&gt;0,0,'Capital &amp; Depr'!$E8)</f>
        <v>0</v>
      </c>
    </row>
    <row r="32" spans="2:16" ht="28" x14ac:dyDescent="0.15">
      <c r="C32" s="66"/>
      <c r="E32" s="23" t="s">
        <v>598</v>
      </c>
      <c r="F32" s="110">
        <f>'Capital &amp; Depr'!E9</f>
        <v>800000</v>
      </c>
      <c r="G32" s="724">
        <f>IF(SUM($F8:F8)&gt;0,0,'Capital &amp; Depr'!$E9)</f>
        <v>800000</v>
      </c>
      <c r="H32" s="724">
        <f>IF(SUM($F8:G8)&gt;0,0,'Capital &amp; Depr'!$E9)</f>
        <v>800000</v>
      </c>
      <c r="I32" s="724">
        <f>IF(SUM($F8:H8)&gt;0,0,'Capital &amp; Depr'!$E9)</f>
        <v>800000</v>
      </c>
      <c r="J32" s="724">
        <f>IF(SUM($F8:I8)&gt;0,0,'Capital &amp; Depr'!$E9)</f>
        <v>800000</v>
      </c>
      <c r="K32" s="724">
        <f>IF(SUM($F8:J8)&gt;0,0,'Capital &amp; Depr'!$E9)</f>
        <v>0</v>
      </c>
      <c r="L32" s="724">
        <f>IF(SUM($F8:K8)&gt;0,0,'Capital &amp; Depr'!$E9)</f>
        <v>0</v>
      </c>
      <c r="M32" s="724">
        <f>IF(SUM($F8:L8)&gt;0,0,'Capital &amp; Depr'!$E9)</f>
        <v>0</v>
      </c>
      <c r="N32" s="724">
        <f>IF(SUM($F8:M8)&gt;0,0,'Capital &amp; Depr'!$E9)</f>
        <v>0</v>
      </c>
      <c r="O32" s="724">
        <f>IF(SUM($F8:N8)&gt;0,0,'Capital &amp; Depr'!$E9)</f>
        <v>0</v>
      </c>
      <c r="P32" s="724">
        <f>IF(SUM($F8:O8)&gt;0,0,'Capital &amp; Depr'!$E9)</f>
        <v>0</v>
      </c>
    </row>
    <row r="33" spans="3:16" ht="28" x14ac:dyDescent="0.15">
      <c r="C33" s="151"/>
      <c r="E33" s="23" t="s">
        <v>599</v>
      </c>
      <c r="F33" s="110">
        <f>'Capital &amp; Depr'!E10</f>
        <v>0</v>
      </c>
      <c r="G33" s="724">
        <f>IF(SUM($F9:F9)&gt;0,0,'Capital &amp; Depr'!$E10)</f>
        <v>0</v>
      </c>
      <c r="H33" s="724">
        <f>IF(SUM($F9:G9)&gt;0,0,'Capital &amp; Depr'!$E10)</f>
        <v>0</v>
      </c>
      <c r="I33" s="724">
        <f>IF(SUM($F9:H9)&gt;0,0,'Capital &amp; Depr'!$E10)</f>
        <v>0</v>
      </c>
      <c r="J33" s="724">
        <f>IF(SUM($F9:I9)&gt;0,0,'Capital &amp; Depr'!$E10)</f>
        <v>0</v>
      </c>
      <c r="K33" s="724">
        <f>IF(SUM($F9:J9)&gt;0,0,'Capital &amp; Depr'!$E10)</f>
        <v>0</v>
      </c>
      <c r="L33" s="724">
        <f>IF(SUM($F9:K9)&gt;0,0,'Capital &amp; Depr'!$E10)</f>
        <v>0</v>
      </c>
      <c r="M33" s="724">
        <f>IF(SUM($F9:L9)&gt;0,0,'Capital &amp; Depr'!$E10)</f>
        <v>0</v>
      </c>
      <c r="N33" s="724">
        <f>IF(SUM($F9:M9)&gt;0,0,'Capital &amp; Depr'!$E10)</f>
        <v>0</v>
      </c>
      <c r="O33" s="724">
        <f>IF(SUM($F9:N9)&gt;0,0,'Capital &amp; Depr'!$E10)</f>
        <v>0</v>
      </c>
      <c r="P33" s="724">
        <f>IF(SUM($F9:O9)&gt;0,0,'Capital &amp; Depr'!$E10)</f>
        <v>0</v>
      </c>
    </row>
    <row r="34" spans="3:16" x14ac:dyDescent="0.15">
      <c r="C34" s="2"/>
      <c r="E34" s="28" t="str">
        <f>'Initial Inputs'!C27</f>
        <v>Land</v>
      </c>
      <c r="F34" s="110">
        <f>'Capital &amp; Depr'!E13</f>
        <v>1500000</v>
      </c>
      <c r="G34" s="724">
        <f>IF(SUM($F64:F64)&gt;0,0,F34)</f>
        <v>1500000</v>
      </c>
      <c r="H34" s="724">
        <f>IF(SUM($F64:G64)&gt;0,0,G34)</f>
        <v>1500000</v>
      </c>
      <c r="I34" s="724">
        <f>IF(SUM($F64:H64)&gt;0,0,H34)</f>
        <v>1500000</v>
      </c>
      <c r="J34" s="724">
        <f>IF(SUM($F64:I64)&gt;0,0,I34)</f>
        <v>1500000</v>
      </c>
      <c r="K34" s="724">
        <f>IF(SUM($F64:J64)&gt;0,0,J34)</f>
        <v>0</v>
      </c>
      <c r="L34" s="724">
        <f>IF(SUM($F64:K64)&gt;0,0,K34)</f>
        <v>0</v>
      </c>
      <c r="M34" s="724">
        <f>IF(SUM($F64:L64)&gt;0,0,L34)</f>
        <v>0</v>
      </c>
      <c r="N34" s="724">
        <f>IF(SUM($F64:M64)&gt;0,0,M34)</f>
        <v>0</v>
      </c>
      <c r="O34" s="724">
        <f>IF(SUM($F64:N64)&gt;0,0,N34)</f>
        <v>0</v>
      </c>
      <c r="P34" s="724">
        <f>IF(SUM($F64:O64)&gt;0,0,O34)</f>
        <v>0</v>
      </c>
    </row>
    <row r="35" spans="3:16" x14ac:dyDescent="0.15">
      <c r="E35" s="23">
        <f>'Initial Inputs'!C28</f>
        <v>0</v>
      </c>
      <c r="F35" s="110">
        <f>'Capital &amp; Depr'!E14</f>
        <v>0</v>
      </c>
      <c r="G35" s="724">
        <f>IF(SUM($F65:F65)&gt;0,0,F35)</f>
        <v>0</v>
      </c>
      <c r="H35" s="724">
        <f>IF(SUM($F65:G65)&gt;0,0,G35)</f>
        <v>0</v>
      </c>
      <c r="I35" s="724">
        <f>IF(SUM($F65:H65)&gt;0,0,H35)</f>
        <v>0</v>
      </c>
      <c r="J35" s="724">
        <f>IF(SUM($F65:I65)&gt;0,0,I35)</f>
        <v>0</v>
      </c>
      <c r="K35" s="724">
        <f>IF(SUM($F65:J65)&gt;0,0,J35)</f>
        <v>0</v>
      </c>
      <c r="L35" s="724">
        <f>IF(SUM($F65:K65)&gt;0,0,K35)</f>
        <v>0</v>
      </c>
      <c r="M35" s="724">
        <f>IF(SUM($F65:L65)&gt;0,0,L35)</f>
        <v>0</v>
      </c>
      <c r="N35" s="724">
        <f>IF(SUM($F65:M65)&gt;0,0,M35)</f>
        <v>0</v>
      </c>
      <c r="O35" s="724">
        <f>IF(SUM($F65:N65)&gt;0,0,N35)</f>
        <v>0</v>
      </c>
      <c r="P35" s="724">
        <f>IF(SUM($F65:O65)&gt;0,0,O35)</f>
        <v>0</v>
      </c>
    </row>
    <row r="36" spans="3:16" x14ac:dyDescent="0.15">
      <c r="E36" s="28" t="s">
        <v>591</v>
      </c>
      <c r="F36" s="74">
        <f>SUM(F30:F35)</f>
        <v>32550000</v>
      </c>
      <c r="G36" s="74">
        <f t="shared" ref="G36:P36" si="6">SUM(G30:G35)</f>
        <v>32550000</v>
      </c>
      <c r="H36" s="74">
        <f t="shared" si="6"/>
        <v>32550000</v>
      </c>
      <c r="I36" s="74">
        <f t="shared" si="6"/>
        <v>32550000</v>
      </c>
      <c r="J36" s="74">
        <f t="shared" si="6"/>
        <v>32550000</v>
      </c>
      <c r="K36" s="74">
        <f t="shared" si="6"/>
        <v>0</v>
      </c>
      <c r="L36" s="74">
        <f t="shared" si="6"/>
        <v>0</v>
      </c>
      <c r="M36" s="74">
        <f t="shared" si="6"/>
        <v>0</v>
      </c>
      <c r="N36" s="74">
        <f t="shared" si="6"/>
        <v>0</v>
      </c>
      <c r="O36" s="74">
        <f t="shared" si="6"/>
        <v>0</v>
      </c>
      <c r="P36" s="74">
        <f t="shared" si="6"/>
        <v>0</v>
      </c>
    </row>
    <row r="37" spans="3:16" ht="14" x14ac:dyDescent="0.15">
      <c r="E37" s="23" t="s">
        <v>115</v>
      </c>
      <c r="F37" s="110">
        <f>'Capital &amp; Depr'!$E$17</f>
        <v>60000000</v>
      </c>
      <c r="G37" s="110">
        <f>'Capital &amp; Depr'!$E$17</f>
        <v>60000000</v>
      </c>
      <c r="H37" s="110">
        <f>'Capital &amp; Depr'!$E$17</f>
        <v>60000000</v>
      </c>
      <c r="I37" s="110">
        <f>'Capital &amp; Depr'!$E$17</f>
        <v>60000000</v>
      </c>
      <c r="J37" s="110">
        <f>'Capital &amp; Depr'!$E$17</f>
        <v>60000000</v>
      </c>
      <c r="K37" s="110">
        <f>'Capital &amp; Depr'!$E$17</f>
        <v>60000000</v>
      </c>
      <c r="L37" s="110">
        <f>'Capital &amp; Depr'!$E$17</f>
        <v>60000000</v>
      </c>
      <c r="M37" s="110">
        <f>'Capital &amp; Depr'!$E$17</f>
        <v>60000000</v>
      </c>
      <c r="N37" s="110">
        <f>'Capital &amp; Depr'!$E$17</f>
        <v>60000000</v>
      </c>
      <c r="O37" s="110">
        <f>'Capital &amp; Depr'!$E$17</f>
        <v>60000000</v>
      </c>
      <c r="P37" s="110">
        <f>'Capital &amp; Depr'!$E$17</f>
        <v>60000000</v>
      </c>
    </row>
    <row r="38" spans="3:16" x14ac:dyDescent="0.15">
      <c r="E38" s="28" t="s">
        <v>591</v>
      </c>
      <c r="F38" s="74">
        <f t="shared" ref="F38:P38" si="7">SUM(F36:F37)</f>
        <v>92550000</v>
      </c>
      <c r="G38" s="74">
        <f t="shared" si="7"/>
        <v>92550000</v>
      </c>
      <c r="H38" s="74">
        <f t="shared" si="7"/>
        <v>92550000</v>
      </c>
      <c r="I38" s="74">
        <f t="shared" si="7"/>
        <v>92550000</v>
      </c>
      <c r="J38" s="74">
        <f t="shared" si="7"/>
        <v>92550000</v>
      </c>
      <c r="K38" s="74">
        <f t="shared" si="7"/>
        <v>60000000</v>
      </c>
      <c r="L38" s="74">
        <f t="shared" si="7"/>
        <v>60000000</v>
      </c>
      <c r="M38" s="74">
        <f t="shared" si="7"/>
        <v>60000000</v>
      </c>
      <c r="N38" s="74">
        <f t="shared" si="7"/>
        <v>60000000</v>
      </c>
      <c r="O38" s="74">
        <f t="shared" si="7"/>
        <v>60000000</v>
      </c>
      <c r="P38" s="74">
        <f t="shared" si="7"/>
        <v>60000000</v>
      </c>
    </row>
    <row r="40" spans="3:16" x14ac:dyDescent="0.15">
      <c r="C40" s="22"/>
    </row>
    <row r="41" spans="3:16" x14ac:dyDescent="0.15">
      <c r="C41" s="143"/>
    </row>
    <row r="42" spans="3:16" x14ac:dyDescent="0.15">
      <c r="C42" s="66"/>
    </row>
    <row r="43" spans="3:16" ht="28" x14ac:dyDescent="0.15">
      <c r="C43" s="151"/>
      <c r="E43" s="153" t="s">
        <v>600</v>
      </c>
      <c r="F43" s="725">
        <f>IF(F6=0,0,F11)</f>
        <v>0</v>
      </c>
      <c r="G43" s="725">
        <f t="shared" ref="G43:P43" si="8">IF(G6=0,0,G11)</f>
        <v>0</v>
      </c>
      <c r="H43" s="725">
        <f t="shared" si="8"/>
        <v>0</v>
      </c>
      <c r="I43" s="725">
        <f t="shared" si="8"/>
        <v>0</v>
      </c>
      <c r="J43" s="725">
        <f t="shared" si="8"/>
        <v>10998075</v>
      </c>
      <c r="K43" s="725">
        <f t="shared" si="8"/>
        <v>0</v>
      </c>
      <c r="L43" s="725">
        <f t="shared" si="8"/>
        <v>0</v>
      </c>
      <c r="M43" s="725">
        <f t="shared" si="8"/>
        <v>0</v>
      </c>
      <c r="N43" s="725">
        <f t="shared" si="8"/>
        <v>0</v>
      </c>
      <c r="O43" s="725">
        <f t="shared" si="8"/>
        <v>0</v>
      </c>
      <c r="P43" s="725">
        <f t="shared" si="8"/>
        <v>0</v>
      </c>
    </row>
    <row r="44" spans="3:16" ht="28" x14ac:dyDescent="0.15">
      <c r="C44" s="2"/>
      <c r="E44" s="153" t="s">
        <v>601</v>
      </c>
      <c r="F44" s="725">
        <f>IF(F7=0,0,F12)</f>
        <v>0</v>
      </c>
      <c r="G44" s="725">
        <f t="shared" ref="G44:P44" si="9">IF(G7=0,0,G12)</f>
        <v>0</v>
      </c>
      <c r="H44" s="725">
        <f t="shared" si="9"/>
        <v>0</v>
      </c>
      <c r="I44" s="725">
        <f t="shared" si="9"/>
        <v>0</v>
      </c>
      <c r="J44" s="725">
        <f t="shared" si="9"/>
        <v>1756800</v>
      </c>
      <c r="K44" s="725">
        <f t="shared" si="9"/>
        <v>0</v>
      </c>
      <c r="L44" s="725">
        <f t="shared" si="9"/>
        <v>0</v>
      </c>
      <c r="M44" s="725">
        <f t="shared" si="9"/>
        <v>0</v>
      </c>
      <c r="N44" s="725">
        <f t="shared" si="9"/>
        <v>0</v>
      </c>
      <c r="O44" s="725">
        <f t="shared" si="9"/>
        <v>0</v>
      </c>
      <c r="P44" s="725">
        <f t="shared" si="9"/>
        <v>0</v>
      </c>
    </row>
    <row r="45" spans="3:16" ht="28" x14ac:dyDescent="0.15">
      <c r="E45" s="153" t="s">
        <v>602</v>
      </c>
      <c r="F45" s="725">
        <f>IF(F8=0,0,F13)</f>
        <v>0</v>
      </c>
      <c r="G45" s="725">
        <f t="shared" ref="G45:P45" si="10">IF(G8=0,0,G13)</f>
        <v>0</v>
      </c>
      <c r="H45" s="725">
        <f t="shared" si="10"/>
        <v>0</v>
      </c>
      <c r="I45" s="725">
        <f t="shared" si="10"/>
        <v>0</v>
      </c>
      <c r="J45" s="725">
        <f t="shared" si="10"/>
        <v>92160</v>
      </c>
      <c r="K45" s="725">
        <f t="shared" si="10"/>
        <v>0</v>
      </c>
      <c r="L45" s="725">
        <f t="shared" si="10"/>
        <v>0</v>
      </c>
      <c r="M45" s="725">
        <f t="shared" si="10"/>
        <v>0</v>
      </c>
      <c r="N45" s="725">
        <f t="shared" si="10"/>
        <v>0</v>
      </c>
      <c r="O45" s="725">
        <f t="shared" si="10"/>
        <v>0</v>
      </c>
      <c r="P45" s="725">
        <f t="shared" si="10"/>
        <v>0</v>
      </c>
    </row>
    <row r="46" spans="3:16" ht="28" x14ac:dyDescent="0.15">
      <c r="E46" s="153" t="s">
        <v>603</v>
      </c>
      <c r="F46" s="725">
        <f>IF(F9=0,0,F14)</f>
        <v>0</v>
      </c>
      <c r="G46" s="725">
        <f>IF(G9=0,0,G14)</f>
        <v>0</v>
      </c>
      <c r="H46" s="725">
        <f t="shared" ref="H46:P46" si="11">IF(H9=0,0,H14)</f>
        <v>0</v>
      </c>
      <c r="I46" s="725">
        <f t="shared" si="11"/>
        <v>0</v>
      </c>
      <c r="J46" s="725">
        <f t="shared" si="11"/>
        <v>0</v>
      </c>
      <c r="K46" s="725">
        <f t="shared" si="11"/>
        <v>0</v>
      </c>
      <c r="L46" s="725">
        <f t="shared" si="11"/>
        <v>0</v>
      </c>
      <c r="M46" s="725">
        <f t="shared" si="11"/>
        <v>0</v>
      </c>
      <c r="N46" s="725">
        <f t="shared" si="11"/>
        <v>0</v>
      </c>
      <c r="O46" s="725">
        <f t="shared" si="11"/>
        <v>0</v>
      </c>
      <c r="P46" s="725">
        <f t="shared" si="11"/>
        <v>0</v>
      </c>
    </row>
    <row r="47" spans="3:16" x14ac:dyDescent="0.15">
      <c r="E47" s="28" t="s">
        <v>591</v>
      </c>
      <c r="F47" s="74">
        <f t="shared" ref="F47:P47" si="12">SUM(F43:F46)</f>
        <v>0</v>
      </c>
      <c r="G47" s="74">
        <f t="shared" si="12"/>
        <v>0</v>
      </c>
      <c r="H47" s="74">
        <f t="shared" si="12"/>
        <v>0</v>
      </c>
      <c r="I47" s="74">
        <f t="shared" si="12"/>
        <v>0</v>
      </c>
      <c r="J47" s="74">
        <f t="shared" si="12"/>
        <v>12847035</v>
      </c>
      <c r="K47" s="74">
        <f t="shared" si="12"/>
        <v>0</v>
      </c>
      <c r="L47" s="74">
        <f t="shared" si="12"/>
        <v>0</v>
      </c>
      <c r="M47" s="74">
        <f t="shared" si="12"/>
        <v>0</v>
      </c>
      <c r="N47" s="74">
        <f t="shared" si="12"/>
        <v>0</v>
      </c>
      <c r="O47" s="74">
        <f t="shared" si="12"/>
        <v>0</v>
      </c>
      <c r="P47" s="74">
        <f t="shared" si="12"/>
        <v>0</v>
      </c>
    </row>
    <row r="49" spans="2:16" ht="28" x14ac:dyDescent="0.15">
      <c r="E49" s="23" t="s">
        <v>604</v>
      </c>
      <c r="F49" s="724">
        <f>IF('Capital &amp; Depr'!$E$26=0,'Capital &amp; Depr'!E85,(IF('Capital &amp; Depr'!$E$26=1,'Capital &amp; Depr'!E43,0)))</f>
        <v>562500</v>
      </c>
      <c r="G49" s="724">
        <f>IF(SUM($F6:F6)&gt;0,0,(IF('Capital &amp; Depr'!$E$26=0,'Capital &amp; Depr'!F85,(IF('Capital &amp; Depr'!$E$26=1,'Capital &amp; Depr'!F43,0)))))</f>
        <v>1082850</v>
      </c>
      <c r="H49" s="724">
        <f>IF(SUM($F6:G6)&gt;0,0,(IF('Capital &amp; Depr'!$E$26=0,'Capital &amp; Depr'!G85,(IF('Capital &amp; Depr'!$E$26=1,'Capital &amp; Depr'!G43,0)))))</f>
        <v>1001549.9999999999</v>
      </c>
      <c r="I49" s="724">
        <f>IF(SUM($F6:H6)&gt;0,0,(IF('Capital &amp; Depr'!$E$26=0,'Capital &amp; Depr'!H85,(IF('Capital &amp; Depr'!$E$26=1,'Capital &amp; Depr'!H43,0)))))</f>
        <v>926550</v>
      </c>
      <c r="J49" s="724">
        <f>IF(SUM($F6:I6)&gt;0,0,(IF('Capital &amp; Depr'!$E$26=0,'Capital &amp; Depr'!I85,(IF('Capital &amp; Depr'!$E$26=1,'Capital &amp; Depr'!I43,0)))))</f>
        <v>428475</v>
      </c>
      <c r="K49" s="724">
        <f>IF(SUM($F6:J6)&gt;0,0,(IF('Capital &amp; Depr'!$E$26=0,'Capital &amp; Depr'!J85,(IF('Capital &amp; Depr'!$E$26=1,'Capital &amp; Depr'!J43,0)))))</f>
        <v>0</v>
      </c>
      <c r="L49" s="724">
        <f>IF(SUM($F6:K6)&gt;0,0,(IF('Capital &amp; Depr'!$E$26=0,'Capital &amp; Depr'!K85,(IF('Capital &amp; Depr'!$E$26=1,'Capital &amp; Depr'!K43,0)))))</f>
        <v>0</v>
      </c>
      <c r="M49" s="724">
        <f>IF(SUM($F6:L6)&gt;0,0,(IF('Capital &amp; Depr'!$E$26=0,'Capital &amp; Depr'!L85,(IF('Capital &amp; Depr'!$E$26=1,'Capital &amp; Depr'!L43,0)))))</f>
        <v>0</v>
      </c>
      <c r="N49" s="724">
        <f>IF(SUM($F6:M6)&gt;0,0,(IF('Capital &amp; Depr'!$E$26=0,'Capital &amp; Depr'!M85,(IF('Capital &amp; Depr'!$E$26=1,'Capital &amp; Depr'!M43,0)))))</f>
        <v>0</v>
      </c>
      <c r="O49" s="724">
        <f>IF(SUM($F6:N6)&gt;0,0,(IF('Capital &amp; Depr'!$E$26=0,'Capital &amp; Depr'!N85,(IF('Capital &amp; Depr'!$E$26=1,'Capital &amp; Depr'!N43,0)))))</f>
        <v>0</v>
      </c>
    </row>
    <row r="50" spans="2:16" ht="28" x14ac:dyDescent="0.15">
      <c r="E50" s="23" t="s">
        <v>605</v>
      </c>
      <c r="F50" s="724">
        <f>IF('Capital &amp; Depr'!$E$26=0,'Capital &amp; Depr'!E93,(IF('Capital &amp; Depr'!$E$26=1,'Capital &amp; Depr'!E51,0)))</f>
        <v>3050000</v>
      </c>
      <c r="G50" s="724">
        <f>IF(SUM($F7:F7)&gt;0,0,(IF('Capital &amp; Depr'!$E$26=0,'Capital &amp; Depr'!F93,(IF('Capital &amp; Depr'!$E$26=1,'Capital &amp; Depr'!F51,0)))))</f>
        <v>4880000</v>
      </c>
      <c r="H50" s="724">
        <f>IF(SUM($F7:G7)&gt;0,0,(IF('Capital &amp; Depr'!$E$26=0,'Capital &amp; Depr'!G93,(IF('Capital &amp; Depr'!$E$26=1,'Capital &amp; Depr'!G51,0)))))</f>
        <v>2928000</v>
      </c>
      <c r="I50" s="724">
        <f>IF(SUM($F7:H7)&gt;0,0,(IF('Capital &amp; Depr'!$E$26=0,'Capital &amp; Depr'!H93,(IF('Capital &amp; Depr'!$E$26=1,'Capital &amp; Depr'!H51,0)))))</f>
        <v>1756800</v>
      </c>
      <c r="J50" s="724">
        <f>IF(SUM($F7:I7)&gt;0,0,(IF('Capital &amp; Depr'!$E$26=0,'Capital &amp; Depr'!I93,(IF('Capital &amp; Depr'!$E$26=1,'Capital &amp; Depr'!I51,0)))))</f>
        <v>878400</v>
      </c>
      <c r="K50" s="724">
        <f>IF(SUM($F7:J7)&gt;0,0,(IF('Capital &amp; Depr'!$E$26=0,'Capital &amp; Depr'!J93,(IF('Capital &amp; Depr'!$E$26=1,'Capital &amp; Depr'!J51,0)))))</f>
        <v>0</v>
      </c>
      <c r="L50" s="724">
        <f>IF(SUM($F7:K7)&gt;0,0,(IF('Capital &amp; Depr'!$E$26=0,'Capital &amp; Depr'!K93,(IF('Capital &amp; Depr'!$E$26=1,'Capital &amp; Depr'!K51,0)))))</f>
        <v>0</v>
      </c>
      <c r="M50" s="724">
        <f>IF(SUM($F7:L7)&gt;0,0,(IF('Capital &amp; Depr'!$E$26=0,'Capital &amp; Depr'!L93,(IF('Capital &amp; Depr'!$E$26=1,'Capital &amp; Depr'!L51,0)))))</f>
        <v>0</v>
      </c>
      <c r="N50" s="724">
        <f>IF(SUM($F7:M7)&gt;0,0,(IF('Capital &amp; Depr'!$E$26=0,'Capital &amp; Depr'!M93,(IF('Capital &amp; Depr'!$E$26=1,'Capital &amp; Depr'!M51,0)))))</f>
        <v>0</v>
      </c>
      <c r="O50" s="724">
        <f>IF(SUM($F7:N7)&gt;0,0,(IF('Capital &amp; Depr'!$E$26=0,'Capital &amp; Depr'!N93,(IF('Capital &amp; Depr'!$E$26=1,'Capital &amp; Depr'!N51,0)))))</f>
        <v>0</v>
      </c>
    </row>
    <row r="51" spans="2:16" ht="28" x14ac:dyDescent="0.15">
      <c r="E51" s="23" t="s">
        <v>606</v>
      </c>
      <c r="F51" s="724">
        <f>IF('Capital &amp; Depr'!$E$26=0,'Capital &amp; Depr'!E101,(IF('Capital &amp; Depr'!$E$26=1,'Capital &amp; Depr'!E59,0)))</f>
        <v>160000</v>
      </c>
      <c r="G51" s="724">
        <f>IF(SUM($F8:F8)&gt;0,0,(IF('Capital &amp; Depr'!$E$26=0,'Capital &amp; Depr'!F101,(IF('Capital &amp; Depr'!$E$26=1,'Capital &amp; Depr'!F59,0)))))</f>
        <v>256000</v>
      </c>
      <c r="H51" s="724">
        <f>IF(SUM($F8:G8)&gt;0,0,(IF('Capital &amp; Depr'!$E$26=0,'Capital &amp; Depr'!G101,(IF('Capital &amp; Depr'!$E$26=1,'Capital &amp; Depr'!G59,0)))))</f>
        <v>153600</v>
      </c>
      <c r="I51" s="724">
        <f>IF(SUM($F8:H8)&gt;0,0,(IF('Capital &amp; Depr'!$E$26=0,'Capital &amp; Depr'!H101,(IF('Capital &amp; Depr'!$E$26=1,'Capital &amp; Depr'!H59,0)))))</f>
        <v>92160</v>
      </c>
      <c r="J51" s="724">
        <f>IF(SUM($F8:I8)&gt;0,0,(IF('Capital &amp; Depr'!$E$26=0,'Capital &amp; Depr'!I101,(IF('Capital &amp; Depr'!$E$26=1,'Capital &amp; Depr'!I59,0)))))</f>
        <v>46080</v>
      </c>
      <c r="K51" s="724">
        <f>IF(SUM($F8:J8)&gt;0,0,(IF('Capital &amp; Depr'!$E$26=0,'Capital &amp; Depr'!J101,(IF('Capital &amp; Depr'!$E$26=1,'Capital &amp; Depr'!J59,0)))))</f>
        <v>0</v>
      </c>
      <c r="L51" s="724">
        <f>IF(SUM($F8:K8)&gt;0,0,(IF('Capital &amp; Depr'!$E$26=0,'Capital &amp; Depr'!K101,(IF('Capital &amp; Depr'!$E$26=1,'Capital &amp; Depr'!K59,0)))))</f>
        <v>0</v>
      </c>
      <c r="M51" s="724">
        <f>IF(SUM($F8:L8)&gt;0,0,(IF('Capital &amp; Depr'!$E$26=0,'Capital &amp; Depr'!L101,(IF('Capital &amp; Depr'!$E$26=1,'Capital &amp; Depr'!L59,0)))))</f>
        <v>0</v>
      </c>
      <c r="N51" s="724">
        <f>IF(SUM($F8:M8)&gt;0,0,(IF('Capital &amp; Depr'!$E$26=0,'Capital &amp; Depr'!M101,(IF('Capital &amp; Depr'!$E$26=1,'Capital &amp; Depr'!M59,0)))))</f>
        <v>0</v>
      </c>
      <c r="O51" s="724">
        <f>IF(SUM($F8:N8)&gt;0,0,(IF('Capital &amp; Depr'!$E$26=0,'Capital &amp; Depr'!N101,(IF('Capital &amp; Depr'!$E$26=1,'Capital &amp; Depr'!N59,0)))))</f>
        <v>0</v>
      </c>
    </row>
    <row r="52" spans="2:16" ht="28" x14ac:dyDescent="0.15">
      <c r="E52" s="23" t="s">
        <v>607</v>
      </c>
      <c r="F52" s="724">
        <f>IF('Capital &amp; Depr'!$E$26=0,'Capital &amp; Depr'!E109,(IF('Capital &amp; Depr'!$E$26=1,'Capital &amp; Depr'!E67,0)))</f>
        <v>0</v>
      </c>
      <c r="G52" s="724">
        <f>IF(SUM($F9:F9)&gt;0,0,(IF('Capital &amp; Depr'!$E$26=0,'Capital &amp; Depr'!F109,(IF('Capital &amp; Depr'!$E$26=1,'Capital &amp; Depr'!F67,0)))))</f>
        <v>0</v>
      </c>
      <c r="H52" s="724">
        <f>IF(SUM($F9:G9)&gt;0,0,(IF('Capital &amp; Depr'!$E$26=0,'Capital &amp; Depr'!G109,(IF('Capital &amp; Depr'!$E$26=1,'Capital &amp; Depr'!G67,0)))))</f>
        <v>0</v>
      </c>
      <c r="I52" s="724">
        <f>IF(SUM($F9:H9)&gt;0,0,(IF('Capital &amp; Depr'!$E$26=0,'Capital &amp; Depr'!H109,(IF('Capital &amp; Depr'!$E$26=1,'Capital &amp; Depr'!H67,0)))))</f>
        <v>0</v>
      </c>
      <c r="J52" s="724">
        <f>IF(SUM($F9:I9)&gt;0,0,(IF('Capital &amp; Depr'!$E$26=0,'Capital &amp; Depr'!I109,(IF('Capital &amp; Depr'!$E$26=1,'Capital &amp; Depr'!I67,0)))))</f>
        <v>0</v>
      </c>
      <c r="K52" s="724">
        <f>IF(SUM($F9:J9)&gt;0,0,(IF('Capital &amp; Depr'!$E$26=0,'Capital &amp; Depr'!J109,(IF('Capital &amp; Depr'!$E$26=1,'Capital &amp; Depr'!J67,0)))))</f>
        <v>0</v>
      </c>
      <c r="L52" s="724">
        <f>IF(SUM($F9:K9)&gt;0,0,(IF('Capital &amp; Depr'!$E$26=0,'Capital &amp; Depr'!K109,(IF('Capital &amp; Depr'!$E$26=1,'Capital &amp; Depr'!K67,0)))))</f>
        <v>0</v>
      </c>
      <c r="M52" s="724">
        <f>IF(SUM($F9:L9)&gt;0,0,(IF('Capital &amp; Depr'!$E$26=0,'Capital &amp; Depr'!L109,(IF('Capital &amp; Depr'!$E$26=1,'Capital &amp; Depr'!L67,0)))))</f>
        <v>0</v>
      </c>
      <c r="N52" s="724">
        <f>IF(SUM($F9:M9)&gt;0,0,(IF('Capital &amp; Depr'!$E$26=0,'Capital &amp; Depr'!M109,(IF('Capital &amp; Depr'!$E$26=1,'Capital &amp; Depr'!M67,0)))))</f>
        <v>0</v>
      </c>
      <c r="O52" s="724">
        <f>IF(SUM($F9:N9)&gt;0,0,(IF('Capital &amp; Depr'!$E$26=0,'Capital &amp; Depr'!N109,(IF('Capital &amp; Depr'!$E$26=1,'Capital &amp; Depr'!N67,0)))))</f>
        <v>0</v>
      </c>
    </row>
    <row r="53" spans="2:16" x14ac:dyDescent="0.15">
      <c r="E53" s="28" t="s">
        <v>591</v>
      </c>
      <c r="F53" s="74">
        <f t="shared" ref="F53:O53" si="13">SUM(F49:F52)</f>
        <v>3772500</v>
      </c>
      <c r="G53" s="74">
        <f t="shared" si="13"/>
        <v>6218850</v>
      </c>
      <c r="H53" s="74">
        <f t="shared" si="13"/>
        <v>4083150</v>
      </c>
      <c r="I53" s="74">
        <f t="shared" si="13"/>
        <v>2775510</v>
      </c>
      <c r="J53" s="74">
        <f t="shared" si="13"/>
        <v>1352955</v>
      </c>
      <c r="K53" s="74">
        <f t="shared" si="13"/>
        <v>0</v>
      </c>
      <c r="L53" s="74">
        <f t="shared" si="13"/>
        <v>0</v>
      </c>
      <c r="M53" s="74">
        <f t="shared" si="13"/>
        <v>0</v>
      </c>
      <c r="N53" s="74">
        <f t="shared" si="13"/>
        <v>0</v>
      </c>
      <c r="O53" s="74">
        <f t="shared" si="13"/>
        <v>0</v>
      </c>
    </row>
    <row r="55" spans="2:16" ht="28" x14ac:dyDescent="0.15">
      <c r="E55" s="153" t="s">
        <v>608</v>
      </c>
      <c r="F55" s="725">
        <f>IF(F6=0,0,$C6)</f>
        <v>0</v>
      </c>
      <c r="G55" s="725">
        <f t="shared" ref="G55:P55" si="14">IF(F6=0,0,$C6)</f>
        <v>0</v>
      </c>
      <c r="H55" s="725">
        <f t="shared" si="14"/>
        <v>0</v>
      </c>
      <c r="I55" s="725">
        <f t="shared" si="14"/>
        <v>0</v>
      </c>
      <c r="J55" s="725">
        <f t="shared" si="14"/>
        <v>0</v>
      </c>
      <c r="K55" s="725">
        <f t="shared" si="14"/>
        <v>6800000</v>
      </c>
      <c r="L55" s="725">
        <f t="shared" si="14"/>
        <v>0</v>
      </c>
      <c r="M55" s="725">
        <f t="shared" si="14"/>
        <v>0</v>
      </c>
      <c r="N55" s="725">
        <f t="shared" si="14"/>
        <v>0</v>
      </c>
      <c r="O55" s="725">
        <f t="shared" si="14"/>
        <v>0</v>
      </c>
      <c r="P55" s="725">
        <f t="shared" si="14"/>
        <v>0</v>
      </c>
    </row>
    <row r="56" spans="2:16" ht="28" x14ac:dyDescent="0.15">
      <c r="E56" s="153" t="s">
        <v>609</v>
      </c>
      <c r="F56" s="725">
        <f>IF(F7=0,0,$C10)</f>
        <v>0</v>
      </c>
      <c r="G56" s="725">
        <f t="shared" ref="G56:P56" si="15">IF(F7=0,0,$C10)</f>
        <v>0</v>
      </c>
      <c r="H56" s="725">
        <f t="shared" si="15"/>
        <v>0</v>
      </c>
      <c r="I56" s="725">
        <f t="shared" si="15"/>
        <v>0</v>
      </c>
      <c r="J56" s="725">
        <f t="shared" si="15"/>
        <v>0</v>
      </c>
      <c r="K56" s="725">
        <f t="shared" si="15"/>
        <v>2500000</v>
      </c>
      <c r="L56" s="725">
        <f t="shared" si="15"/>
        <v>0</v>
      </c>
      <c r="M56" s="725">
        <f t="shared" si="15"/>
        <v>0</v>
      </c>
      <c r="N56" s="725">
        <f t="shared" si="15"/>
        <v>0</v>
      </c>
      <c r="O56" s="725">
        <f t="shared" si="15"/>
        <v>0</v>
      </c>
      <c r="P56" s="725">
        <f t="shared" si="15"/>
        <v>0</v>
      </c>
    </row>
    <row r="57" spans="2:16" ht="28" x14ac:dyDescent="0.15">
      <c r="E57" s="153" t="s">
        <v>610</v>
      </c>
      <c r="F57" s="725">
        <f>IF(F8=0,0,$C14)</f>
        <v>0</v>
      </c>
      <c r="G57" s="725">
        <f t="shared" ref="G57:P57" si="16">IF(F8=0,0,$C14)</f>
        <v>0</v>
      </c>
      <c r="H57" s="725">
        <f t="shared" si="16"/>
        <v>0</v>
      </c>
      <c r="I57" s="725">
        <f t="shared" si="16"/>
        <v>0</v>
      </c>
      <c r="J57" s="725">
        <f t="shared" si="16"/>
        <v>0</v>
      </c>
      <c r="K57" s="725">
        <f t="shared" si="16"/>
        <v>80000</v>
      </c>
      <c r="L57" s="725">
        <f t="shared" si="16"/>
        <v>0</v>
      </c>
      <c r="M57" s="725">
        <f t="shared" si="16"/>
        <v>0</v>
      </c>
      <c r="N57" s="725">
        <f t="shared" si="16"/>
        <v>0</v>
      </c>
      <c r="O57" s="725">
        <f t="shared" si="16"/>
        <v>0</v>
      </c>
      <c r="P57" s="725">
        <f t="shared" si="16"/>
        <v>0</v>
      </c>
    </row>
    <row r="58" spans="2:16" ht="28" x14ac:dyDescent="0.15">
      <c r="E58" s="153" t="s">
        <v>611</v>
      </c>
      <c r="F58" s="725">
        <f>IF(F9=0,0,$C18)</f>
        <v>0</v>
      </c>
      <c r="G58" s="725">
        <f t="shared" ref="G58:P58" si="17">IF(F9=0,0,$C18)</f>
        <v>0</v>
      </c>
      <c r="H58" s="725">
        <f t="shared" si="17"/>
        <v>0</v>
      </c>
      <c r="I58" s="725">
        <f t="shared" si="17"/>
        <v>0</v>
      </c>
      <c r="J58" s="725">
        <f t="shared" si="17"/>
        <v>0</v>
      </c>
      <c r="K58" s="725">
        <f t="shared" si="17"/>
        <v>0</v>
      </c>
      <c r="L58" s="725">
        <f t="shared" si="17"/>
        <v>0</v>
      </c>
      <c r="M58" s="725">
        <f t="shared" si="17"/>
        <v>0</v>
      </c>
      <c r="N58" s="725">
        <f t="shared" si="17"/>
        <v>0</v>
      </c>
      <c r="O58" s="725">
        <f t="shared" si="17"/>
        <v>0</v>
      </c>
      <c r="P58" s="725">
        <f t="shared" si="17"/>
        <v>0</v>
      </c>
    </row>
    <row r="59" spans="2:16" x14ac:dyDescent="0.15">
      <c r="E59" s="28" t="s">
        <v>591</v>
      </c>
      <c r="F59" s="74">
        <f t="shared" ref="F59:P59" si="18">SUM(F55:F58)</f>
        <v>0</v>
      </c>
      <c r="G59" s="74">
        <f t="shared" si="18"/>
        <v>0</v>
      </c>
      <c r="H59" s="74">
        <f t="shared" si="18"/>
        <v>0</v>
      </c>
      <c r="I59" s="74">
        <f t="shared" si="18"/>
        <v>0</v>
      </c>
      <c r="J59" s="74">
        <f t="shared" si="18"/>
        <v>0</v>
      </c>
      <c r="K59" s="74">
        <f t="shared" si="18"/>
        <v>9380000</v>
      </c>
      <c r="L59" s="74">
        <f t="shared" si="18"/>
        <v>0</v>
      </c>
      <c r="M59" s="74">
        <f t="shared" si="18"/>
        <v>0</v>
      </c>
      <c r="N59" s="74">
        <f t="shared" si="18"/>
        <v>0</v>
      </c>
      <c r="O59" s="74">
        <f t="shared" si="18"/>
        <v>0</v>
      </c>
      <c r="P59" s="74">
        <f t="shared" si="18"/>
        <v>0</v>
      </c>
    </row>
    <row r="61" spans="2:16" ht="16" x14ac:dyDescent="0.2">
      <c r="B61" s="206" t="s">
        <v>612</v>
      </c>
    </row>
    <row r="63" spans="2:16" x14ac:dyDescent="0.15">
      <c r="E63" s="26" t="s">
        <v>133</v>
      </c>
      <c r="F63" s="26">
        <v>1</v>
      </c>
      <c r="G63" s="26">
        <v>2</v>
      </c>
      <c r="H63" s="26">
        <v>3</v>
      </c>
      <c r="I63" s="26">
        <v>4</v>
      </c>
      <c r="J63" s="26">
        <v>5</v>
      </c>
      <c r="K63" s="26">
        <v>6</v>
      </c>
      <c r="L63" s="26">
        <v>7</v>
      </c>
      <c r="M63" s="26">
        <v>8</v>
      </c>
      <c r="N63" s="26">
        <v>9</v>
      </c>
      <c r="O63" s="26">
        <v>10</v>
      </c>
    </row>
    <row r="64" spans="2:16" ht="42" x14ac:dyDescent="0.15">
      <c r="B64" s="50" t="s">
        <v>613</v>
      </c>
      <c r="C64" s="76">
        <f>'Initial Inputs'!E27+1</f>
        <v>5</v>
      </c>
      <c r="E64" s="27" t="s">
        <v>614</v>
      </c>
      <c r="F64" s="14">
        <f>IF($C64=F63,1,0)</f>
        <v>0</v>
      </c>
      <c r="G64" s="14">
        <f t="shared" ref="G64:O64" si="19">IF($C64=G63,1,0)</f>
        <v>0</v>
      </c>
      <c r="H64" s="14">
        <f t="shared" si="19"/>
        <v>0</v>
      </c>
      <c r="I64" s="14">
        <f t="shared" si="19"/>
        <v>0</v>
      </c>
      <c r="J64" s="14">
        <f t="shared" si="19"/>
        <v>1</v>
      </c>
      <c r="K64" s="14">
        <f t="shared" si="19"/>
        <v>0</v>
      </c>
      <c r="L64" s="14">
        <f t="shared" si="19"/>
        <v>0</v>
      </c>
      <c r="M64" s="14">
        <f t="shared" si="19"/>
        <v>0</v>
      </c>
      <c r="N64" s="14">
        <f t="shared" si="19"/>
        <v>0</v>
      </c>
      <c r="O64" s="14">
        <f t="shared" si="19"/>
        <v>0</v>
      </c>
    </row>
    <row r="65" spans="2:16" ht="42" x14ac:dyDescent="0.15">
      <c r="B65" s="50" t="s">
        <v>613</v>
      </c>
      <c r="C65" s="76">
        <f>'Initial Inputs'!E28</f>
        <v>0</v>
      </c>
      <c r="E65" s="27" t="s">
        <v>615</v>
      </c>
      <c r="F65" s="14">
        <f>IF($C65=F63,1,0)</f>
        <v>0</v>
      </c>
      <c r="G65" s="14">
        <f t="shared" ref="G65:O65" si="20">IF($C65=G63,1,0)</f>
        <v>0</v>
      </c>
      <c r="H65" s="14">
        <f t="shared" si="20"/>
        <v>0</v>
      </c>
      <c r="I65" s="14">
        <f t="shared" si="20"/>
        <v>0</v>
      </c>
      <c r="J65" s="14">
        <f t="shared" si="20"/>
        <v>0</v>
      </c>
      <c r="K65" s="14">
        <f t="shared" si="20"/>
        <v>0</v>
      </c>
      <c r="L65" s="14">
        <f t="shared" si="20"/>
        <v>0</v>
      </c>
      <c r="M65" s="14">
        <f t="shared" si="20"/>
        <v>0</v>
      </c>
      <c r="N65" s="14">
        <f t="shared" si="20"/>
        <v>0</v>
      </c>
      <c r="O65" s="14">
        <f t="shared" si="20"/>
        <v>0</v>
      </c>
    </row>
    <row r="68" spans="2:16" x14ac:dyDescent="0.15">
      <c r="D68" s="35"/>
      <c r="E68" s="26" t="s">
        <v>133</v>
      </c>
      <c r="F68" s="26">
        <v>1</v>
      </c>
      <c r="G68" s="26">
        <v>2</v>
      </c>
      <c r="H68" s="26">
        <v>3</v>
      </c>
      <c r="I68" s="26">
        <v>4</v>
      </c>
      <c r="J68" s="26">
        <v>5</v>
      </c>
      <c r="K68" s="26">
        <v>6</v>
      </c>
      <c r="L68" s="26">
        <v>7</v>
      </c>
      <c r="M68" s="26">
        <v>8</v>
      </c>
      <c r="N68" s="26">
        <v>9</v>
      </c>
      <c r="O68" s="26">
        <v>10</v>
      </c>
      <c r="P68" s="26" t="s">
        <v>284</v>
      </c>
    </row>
    <row r="69" spans="2:16" ht="28" x14ac:dyDescent="0.15">
      <c r="E69" s="27" t="s">
        <v>616</v>
      </c>
      <c r="F69" s="219">
        <f>IF(F64=1,'Initial Inputs'!$D$27,0)</f>
        <v>0</v>
      </c>
      <c r="G69" s="219">
        <f>IF(G64=1,'Initial Inputs'!$D$27,0)</f>
        <v>0</v>
      </c>
      <c r="H69" s="219">
        <f>IF(H64=1,'Initial Inputs'!$D$27,0)</f>
        <v>0</v>
      </c>
      <c r="I69" s="219">
        <f>IF(I64=1,'Initial Inputs'!$D$27,0)</f>
        <v>0</v>
      </c>
      <c r="J69" s="219">
        <f>IF(J64=1,'Initial Inputs'!$D$27,0)</f>
        <v>1500000</v>
      </c>
      <c r="K69" s="219">
        <f>IF(K64=1,'Initial Inputs'!$D$27,0)</f>
        <v>0</v>
      </c>
      <c r="L69" s="219">
        <f>IF(L64=1,'Initial Inputs'!$D$27,0)</f>
        <v>0</v>
      </c>
      <c r="M69" s="219">
        <f>IF(M64=1,'Initial Inputs'!$D$27,0)</f>
        <v>0</v>
      </c>
      <c r="N69" s="219">
        <f>IF(N64=1,'Initial Inputs'!$D$27,0)</f>
        <v>0</v>
      </c>
      <c r="O69" s="219">
        <f>IF(O64=1,'Initial Inputs'!$D$27,0)</f>
        <v>0</v>
      </c>
      <c r="P69" s="219">
        <f>IF(P64=1,'Initial Inputs'!$D$27,0)</f>
        <v>0</v>
      </c>
    </row>
    <row r="70" spans="2:16" ht="28" x14ac:dyDescent="0.15">
      <c r="E70" s="27" t="s">
        <v>617</v>
      </c>
      <c r="F70" s="219">
        <f>IF(F65=1,'Initial Inputs'!$D$28,0)</f>
        <v>0</v>
      </c>
      <c r="G70" s="219">
        <f>IF(G65=1,'Initial Inputs'!$D$28,0)</f>
        <v>0</v>
      </c>
      <c r="H70" s="219">
        <f>IF(H65=1,'Initial Inputs'!$D$28,0)</f>
        <v>0</v>
      </c>
      <c r="I70" s="219">
        <f>IF(I65=1,'Initial Inputs'!$D$28,0)</f>
        <v>0</v>
      </c>
      <c r="J70" s="219">
        <f>IF(J65=1,'Initial Inputs'!$D$28,0)</f>
        <v>0</v>
      </c>
      <c r="K70" s="219">
        <f>IF(K65=1,'Initial Inputs'!$D$28,0)</f>
        <v>0</v>
      </c>
      <c r="L70" s="219">
        <f>IF(L65=1,'Initial Inputs'!$D$28,0)</f>
        <v>0</v>
      </c>
      <c r="M70" s="219">
        <f>IF(M65=1,'Initial Inputs'!$D$28,0)</f>
        <v>0</v>
      </c>
      <c r="N70" s="219">
        <f>IF(N65=1,'Initial Inputs'!$D$28,0)</f>
        <v>0</v>
      </c>
      <c r="O70" s="219">
        <f>IF(O65=1,'Initial Inputs'!$D$28,0)</f>
        <v>0</v>
      </c>
      <c r="P70" s="219">
        <f>IF(P65=1,'Initial Inputs'!$D$28,0)</f>
        <v>0</v>
      </c>
    </row>
    <row r="71" spans="2:16" x14ac:dyDescent="0.15">
      <c r="E71" s="28" t="s">
        <v>591</v>
      </c>
      <c r="F71" s="208">
        <f t="shared" ref="F71:P71" si="21">SUM(F69:F70)</f>
        <v>0</v>
      </c>
      <c r="G71" s="208">
        <f t="shared" si="21"/>
        <v>0</v>
      </c>
      <c r="H71" s="208">
        <f t="shared" si="21"/>
        <v>0</v>
      </c>
      <c r="I71" s="208">
        <f t="shared" si="21"/>
        <v>0</v>
      </c>
      <c r="J71" s="208">
        <f t="shared" si="21"/>
        <v>1500000</v>
      </c>
      <c r="K71" s="208">
        <f t="shared" si="21"/>
        <v>0</v>
      </c>
      <c r="L71" s="208">
        <f t="shared" si="21"/>
        <v>0</v>
      </c>
      <c r="M71" s="208">
        <f t="shared" si="21"/>
        <v>0</v>
      </c>
      <c r="N71" s="208">
        <f t="shared" si="21"/>
        <v>0</v>
      </c>
      <c r="O71" s="208">
        <f t="shared" si="21"/>
        <v>0</v>
      </c>
      <c r="P71" s="208">
        <f t="shared" si="21"/>
        <v>0</v>
      </c>
    </row>
  </sheetData>
  <sheetProtection password="AA36" sheet="1" objects="1" scenarios="1"/>
  <phoneticPr fontId="0" type="noConversion"/>
  <pageMargins left="0.75" right="0.75" top="1" bottom="1" header="0.5" footer="0.5"/>
  <pageSetup scale="50" orientation="landscape"/>
  <headerFooter alignWithMargins="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241"/>
  <sheetViews>
    <sheetView zoomScaleNormal="100" workbookViewId="0"/>
  </sheetViews>
  <sheetFormatPr baseColWidth="10" defaultColWidth="8.83203125" defaultRowHeight="13" x14ac:dyDescent="0.15"/>
  <cols>
    <col min="1" max="1" width="13" customWidth="1"/>
    <col min="2" max="2" width="14.5" customWidth="1"/>
    <col min="3" max="3" width="18.6640625" customWidth="1"/>
    <col min="4" max="4" width="17" customWidth="1"/>
    <col min="5" max="6" width="16.5" customWidth="1"/>
    <col min="7" max="7" width="15.5" customWidth="1"/>
    <col min="8" max="8" width="16.5" customWidth="1"/>
    <col min="9" max="9" width="18.5" customWidth="1"/>
    <col min="10" max="10" width="12.6640625" customWidth="1"/>
    <col min="11" max="11" width="14.6640625" customWidth="1"/>
    <col min="12" max="12" width="18.83203125" customWidth="1"/>
    <col min="13" max="14" width="13.5" customWidth="1"/>
    <col min="15" max="15" width="11.33203125" bestFit="1" customWidth="1"/>
    <col min="16" max="16" width="14.6640625" customWidth="1"/>
  </cols>
  <sheetData>
    <row r="1" spans="1:15" x14ac:dyDescent="0.15">
      <c r="A1" s="1" t="s">
        <v>618</v>
      </c>
    </row>
    <row r="3" spans="1:15" ht="28" x14ac:dyDescent="0.15">
      <c r="B3" s="27" t="s">
        <v>573</v>
      </c>
      <c r="D3" s="26" t="s">
        <v>133</v>
      </c>
      <c r="E3" s="26">
        <v>1</v>
      </c>
      <c r="F3" s="26">
        <v>2</v>
      </c>
      <c r="G3" s="26">
        <v>3</v>
      </c>
      <c r="H3" s="26">
        <v>4</v>
      </c>
      <c r="I3" s="26">
        <v>5</v>
      </c>
      <c r="J3" s="26">
        <v>6</v>
      </c>
      <c r="K3" s="26">
        <v>7</v>
      </c>
      <c r="L3" s="26">
        <v>8</v>
      </c>
      <c r="M3" s="26">
        <v>9</v>
      </c>
      <c r="N3" s="26">
        <v>10</v>
      </c>
      <c r="O3" s="26" t="s">
        <v>284</v>
      </c>
    </row>
    <row r="4" spans="1:15" ht="14" x14ac:dyDescent="0.15">
      <c r="A4" s="28" t="s">
        <v>619</v>
      </c>
      <c r="B4" s="135">
        <f>'Initial Inputs'!G13</f>
        <v>4</v>
      </c>
      <c r="D4" s="27" t="s">
        <v>572</v>
      </c>
      <c r="E4" s="14">
        <f>IF($B4=E$3,1,0)</f>
        <v>0</v>
      </c>
      <c r="F4" s="14">
        <f t="shared" ref="F4:N4" si="0">IF($B4=F$3,1,0)</f>
        <v>0</v>
      </c>
      <c r="G4" s="14">
        <f t="shared" si="0"/>
        <v>0</v>
      </c>
      <c r="H4" s="14">
        <f t="shared" si="0"/>
        <v>1</v>
      </c>
      <c r="I4" s="14">
        <f t="shared" si="0"/>
        <v>0</v>
      </c>
      <c r="J4" s="14">
        <f t="shared" si="0"/>
        <v>0</v>
      </c>
      <c r="K4" s="14">
        <f t="shared" si="0"/>
        <v>0</v>
      </c>
      <c r="L4" s="14">
        <f t="shared" si="0"/>
        <v>0</v>
      </c>
      <c r="M4" s="14">
        <f t="shared" si="0"/>
        <v>0</v>
      </c>
      <c r="N4" s="14">
        <f t="shared" si="0"/>
        <v>0</v>
      </c>
      <c r="O4" s="57"/>
    </row>
    <row r="5" spans="1:15" ht="14" x14ac:dyDescent="0.15">
      <c r="A5" s="28" t="s">
        <v>620</v>
      </c>
      <c r="B5" s="135">
        <f>'Initial Inputs'!G14</f>
        <v>4</v>
      </c>
      <c r="D5" s="27" t="s">
        <v>574</v>
      </c>
      <c r="E5" s="14">
        <f t="shared" ref="E5:N7" si="1">IF($B5=E$3,1,0)</f>
        <v>0</v>
      </c>
      <c r="F5" s="14">
        <f t="shared" si="1"/>
        <v>0</v>
      </c>
      <c r="G5" s="14">
        <f t="shared" si="1"/>
        <v>0</v>
      </c>
      <c r="H5" s="14">
        <f t="shared" si="1"/>
        <v>1</v>
      </c>
      <c r="I5" s="14">
        <f t="shared" si="1"/>
        <v>0</v>
      </c>
      <c r="J5" s="14">
        <f t="shared" si="1"/>
        <v>0</v>
      </c>
      <c r="K5" s="14">
        <f t="shared" si="1"/>
        <v>0</v>
      </c>
      <c r="L5" s="14">
        <f t="shared" si="1"/>
        <v>0</v>
      </c>
      <c r="M5" s="14">
        <f t="shared" si="1"/>
        <v>0</v>
      </c>
      <c r="N5" s="14">
        <f t="shared" si="1"/>
        <v>0</v>
      </c>
      <c r="O5" s="57"/>
    </row>
    <row r="6" spans="1:15" ht="14" x14ac:dyDescent="0.15">
      <c r="A6" s="28" t="s">
        <v>621</v>
      </c>
      <c r="B6" s="135">
        <f>'Initial Inputs'!G15</f>
        <v>4</v>
      </c>
      <c r="D6" s="27" t="s">
        <v>575</v>
      </c>
      <c r="E6" s="14">
        <f t="shared" si="1"/>
        <v>0</v>
      </c>
      <c r="F6" s="14">
        <f t="shared" si="1"/>
        <v>0</v>
      </c>
      <c r="G6" s="14">
        <f t="shared" si="1"/>
        <v>0</v>
      </c>
      <c r="H6" s="14">
        <f t="shared" si="1"/>
        <v>1</v>
      </c>
      <c r="I6" s="14">
        <f t="shared" si="1"/>
        <v>0</v>
      </c>
      <c r="J6" s="14">
        <f t="shared" si="1"/>
        <v>0</v>
      </c>
      <c r="K6" s="14">
        <f t="shared" si="1"/>
        <v>0</v>
      </c>
      <c r="L6" s="14">
        <f t="shared" si="1"/>
        <v>0</v>
      </c>
      <c r="M6" s="14">
        <f t="shared" si="1"/>
        <v>0</v>
      </c>
      <c r="N6" s="14">
        <f t="shared" si="1"/>
        <v>0</v>
      </c>
      <c r="O6" s="57"/>
    </row>
    <row r="7" spans="1:15" ht="14" x14ac:dyDescent="0.15">
      <c r="A7" s="28" t="s">
        <v>622</v>
      </c>
      <c r="B7" s="135">
        <f>'Initial Inputs'!G16</f>
        <v>0</v>
      </c>
      <c r="D7" s="27" t="s">
        <v>577</v>
      </c>
      <c r="E7" s="14">
        <f t="shared" si="1"/>
        <v>0</v>
      </c>
      <c r="F7" s="14">
        <f t="shared" si="1"/>
        <v>0</v>
      </c>
      <c r="G7" s="14">
        <f t="shared" si="1"/>
        <v>0</v>
      </c>
      <c r="H7" s="14">
        <f t="shared" si="1"/>
        <v>0</v>
      </c>
      <c r="I7" s="14">
        <f t="shared" si="1"/>
        <v>0</v>
      </c>
      <c r="J7" s="14">
        <f t="shared" si="1"/>
        <v>0</v>
      </c>
      <c r="K7" s="14">
        <f t="shared" si="1"/>
        <v>0</v>
      </c>
      <c r="L7" s="14">
        <f t="shared" si="1"/>
        <v>0</v>
      </c>
      <c r="M7" s="14">
        <f t="shared" si="1"/>
        <v>0</v>
      </c>
      <c r="N7" s="14">
        <f t="shared" si="1"/>
        <v>0</v>
      </c>
      <c r="O7" s="57"/>
    </row>
    <row r="9" spans="1:15" ht="28" x14ac:dyDescent="0.15">
      <c r="B9" s="23" t="s">
        <v>623</v>
      </c>
      <c r="C9" s="168">
        <f>'Initial Inputs'!C45</f>
        <v>0.18</v>
      </c>
    </row>
    <row r="11" spans="1:15" x14ac:dyDescent="0.15">
      <c r="C11" s="1" t="s">
        <v>619</v>
      </c>
      <c r="F11" s="1" t="s">
        <v>620</v>
      </c>
      <c r="I11" s="1" t="s">
        <v>621</v>
      </c>
      <c r="L11" s="1" t="s">
        <v>622</v>
      </c>
    </row>
    <row r="13" spans="1:15" ht="42" x14ac:dyDescent="0.15">
      <c r="C13" s="23" t="s">
        <v>624</v>
      </c>
      <c r="D13" s="61">
        <f>'Initial Inputs'!H13</f>
        <v>6800000</v>
      </c>
      <c r="F13" s="23" t="s">
        <v>624</v>
      </c>
      <c r="G13" s="61">
        <f>'Initial Inputs'!H14</f>
        <v>2500000</v>
      </c>
      <c r="I13" s="23" t="s">
        <v>624</v>
      </c>
      <c r="J13" s="61">
        <f>'Initial Inputs'!H15</f>
        <v>80000</v>
      </c>
      <c r="L13" s="23" t="s">
        <v>624</v>
      </c>
      <c r="M13" s="61">
        <f>'Initial Inputs'!H16</f>
        <v>0</v>
      </c>
    </row>
    <row r="14" spans="1:15" x14ac:dyDescent="0.15">
      <c r="C14" s="167">
        <v>-0.25</v>
      </c>
      <c r="D14" s="62">
        <f>$D$13*(1+C14)</f>
        <v>5100000</v>
      </c>
      <c r="F14" s="167">
        <v>-0.25</v>
      </c>
      <c r="G14" s="62">
        <f>$G$13*(1+F14)</f>
        <v>1875000</v>
      </c>
      <c r="I14" s="167">
        <v>-0.25</v>
      </c>
      <c r="J14" s="62">
        <f>$J$13*(1+I14)</f>
        <v>60000</v>
      </c>
      <c r="L14" s="167">
        <v>-0.25</v>
      </c>
      <c r="M14" s="62">
        <f>$M$13*(1+L14)</f>
        <v>0</v>
      </c>
    </row>
    <row r="15" spans="1:15" x14ac:dyDescent="0.15">
      <c r="C15" s="167">
        <v>-0.2</v>
      </c>
      <c r="D15" s="62">
        <f t="shared" ref="D15:D23" si="2">$D$13*(1+C15)</f>
        <v>5440000</v>
      </c>
      <c r="F15" s="167">
        <v>-0.2</v>
      </c>
      <c r="G15" s="62">
        <f t="shared" ref="G15:G23" si="3">$G$13*(1+F15)</f>
        <v>2000000</v>
      </c>
      <c r="I15" s="167">
        <v>-0.2</v>
      </c>
      <c r="J15" s="62">
        <f t="shared" ref="J15:J23" si="4">$J$13*(1+I15)</f>
        <v>64000</v>
      </c>
      <c r="L15" s="167">
        <v>-0.2</v>
      </c>
      <c r="M15" s="62">
        <f t="shared" ref="M15:M23" si="5">$M$13*(1+L15)</f>
        <v>0</v>
      </c>
    </row>
    <row r="16" spans="1:15" x14ac:dyDescent="0.15">
      <c r="C16" s="167">
        <v>-0.15</v>
      </c>
      <c r="D16" s="62">
        <f t="shared" si="2"/>
        <v>5780000</v>
      </c>
      <c r="F16" s="167">
        <v>-0.15</v>
      </c>
      <c r="G16" s="62">
        <f t="shared" si="3"/>
        <v>2125000</v>
      </c>
      <c r="I16" s="167">
        <v>-0.15</v>
      </c>
      <c r="J16" s="62">
        <f t="shared" si="4"/>
        <v>68000</v>
      </c>
      <c r="L16" s="167">
        <v>-0.15</v>
      </c>
      <c r="M16" s="62">
        <f t="shared" si="5"/>
        <v>0</v>
      </c>
    </row>
    <row r="17" spans="3:15" x14ac:dyDescent="0.15">
      <c r="C17" s="167">
        <v>-0.1</v>
      </c>
      <c r="D17" s="62">
        <f t="shared" si="2"/>
        <v>6120000</v>
      </c>
      <c r="F17" s="167">
        <v>-0.1</v>
      </c>
      <c r="G17" s="62">
        <f t="shared" si="3"/>
        <v>2250000</v>
      </c>
      <c r="I17" s="167">
        <v>-0.1</v>
      </c>
      <c r="J17" s="62">
        <f t="shared" si="4"/>
        <v>72000</v>
      </c>
      <c r="L17" s="167">
        <v>-0.1</v>
      </c>
      <c r="M17" s="62">
        <f t="shared" si="5"/>
        <v>0</v>
      </c>
    </row>
    <row r="18" spans="3:15" x14ac:dyDescent="0.15">
      <c r="C18" s="167">
        <v>-0.05</v>
      </c>
      <c r="D18" s="62">
        <f t="shared" si="2"/>
        <v>6460000</v>
      </c>
      <c r="F18" s="167">
        <v>-0.05</v>
      </c>
      <c r="G18" s="62">
        <f t="shared" si="3"/>
        <v>2375000</v>
      </c>
      <c r="I18" s="167">
        <v>-0.05</v>
      </c>
      <c r="J18" s="62">
        <f t="shared" si="4"/>
        <v>76000</v>
      </c>
      <c r="L18" s="167">
        <v>-0.05</v>
      </c>
      <c r="M18" s="62">
        <f t="shared" si="5"/>
        <v>0</v>
      </c>
    </row>
    <row r="19" spans="3:15" x14ac:dyDescent="0.15">
      <c r="C19" s="167">
        <v>0.05</v>
      </c>
      <c r="D19" s="62">
        <f t="shared" si="2"/>
        <v>7140000</v>
      </c>
      <c r="F19" s="167">
        <v>0.05</v>
      </c>
      <c r="G19" s="62">
        <f t="shared" si="3"/>
        <v>2625000</v>
      </c>
      <c r="I19" s="167">
        <v>0.05</v>
      </c>
      <c r="J19" s="62">
        <f t="shared" si="4"/>
        <v>84000</v>
      </c>
      <c r="L19" s="167">
        <v>0.05</v>
      </c>
      <c r="M19" s="62">
        <f t="shared" si="5"/>
        <v>0</v>
      </c>
    </row>
    <row r="20" spans="3:15" x14ac:dyDescent="0.15">
      <c r="C20" s="167">
        <v>0.1</v>
      </c>
      <c r="D20" s="62">
        <f t="shared" si="2"/>
        <v>7480000.0000000009</v>
      </c>
      <c r="F20" s="167">
        <v>0.1</v>
      </c>
      <c r="G20" s="62">
        <f t="shared" si="3"/>
        <v>2750000</v>
      </c>
      <c r="I20" s="167">
        <v>0.1</v>
      </c>
      <c r="J20" s="62">
        <f t="shared" si="4"/>
        <v>88000</v>
      </c>
      <c r="L20" s="167">
        <v>0.1</v>
      </c>
      <c r="M20" s="62">
        <f t="shared" si="5"/>
        <v>0</v>
      </c>
    </row>
    <row r="21" spans="3:15" x14ac:dyDescent="0.15">
      <c r="C21" s="167">
        <v>0.15</v>
      </c>
      <c r="D21" s="62">
        <f t="shared" si="2"/>
        <v>7819999.9999999991</v>
      </c>
      <c r="F21" s="167">
        <v>0.15</v>
      </c>
      <c r="G21" s="62">
        <f t="shared" si="3"/>
        <v>2875000</v>
      </c>
      <c r="I21" s="167">
        <v>0.15</v>
      </c>
      <c r="J21" s="62">
        <f t="shared" si="4"/>
        <v>92000</v>
      </c>
      <c r="L21" s="167">
        <v>0.15</v>
      </c>
      <c r="M21" s="62">
        <f t="shared" si="5"/>
        <v>0</v>
      </c>
    </row>
    <row r="22" spans="3:15" x14ac:dyDescent="0.15">
      <c r="C22" s="167">
        <v>0.2</v>
      </c>
      <c r="D22" s="62">
        <f t="shared" si="2"/>
        <v>8160000</v>
      </c>
      <c r="F22" s="167">
        <v>0.2</v>
      </c>
      <c r="G22" s="62">
        <f t="shared" si="3"/>
        <v>3000000</v>
      </c>
      <c r="I22" s="167">
        <v>0.2</v>
      </c>
      <c r="J22" s="62">
        <f t="shared" si="4"/>
        <v>96000</v>
      </c>
      <c r="L22" s="167">
        <v>0.2</v>
      </c>
      <c r="M22" s="62">
        <f t="shared" si="5"/>
        <v>0</v>
      </c>
    </row>
    <row r="23" spans="3:15" x14ac:dyDescent="0.15">
      <c r="C23" s="167">
        <v>0.25</v>
      </c>
      <c r="D23" s="62">
        <f t="shared" si="2"/>
        <v>8500000</v>
      </c>
      <c r="F23" s="167">
        <v>0.25</v>
      </c>
      <c r="G23" s="62">
        <f t="shared" si="3"/>
        <v>3125000</v>
      </c>
      <c r="I23" s="167">
        <v>0.25</v>
      </c>
      <c r="J23" s="62">
        <f t="shared" si="4"/>
        <v>100000</v>
      </c>
      <c r="L23" s="167">
        <v>0.25</v>
      </c>
      <c r="M23" s="62">
        <f t="shared" si="5"/>
        <v>0</v>
      </c>
    </row>
    <row r="26" spans="3:15" x14ac:dyDescent="0.15">
      <c r="D26" s="26" t="s">
        <v>520</v>
      </c>
      <c r="E26" s="26">
        <v>1</v>
      </c>
      <c r="F26" s="26">
        <v>2</v>
      </c>
      <c r="G26" s="26">
        <v>3</v>
      </c>
      <c r="H26" s="26">
        <v>4</v>
      </c>
      <c r="I26" s="26">
        <v>5</v>
      </c>
      <c r="J26" s="26">
        <v>6</v>
      </c>
      <c r="K26" s="26">
        <v>7</v>
      </c>
      <c r="L26" s="26">
        <v>8</v>
      </c>
      <c r="M26" s="26">
        <v>9</v>
      </c>
      <c r="N26" s="26">
        <v>10</v>
      </c>
      <c r="O26" s="26" t="s">
        <v>284</v>
      </c>
    </row>
    <row r="27" spans="3:15" ht="14" x14ac:dyDescent="0.15">
      <c r="D27" s="27" t="s">
        <v>578</v>
      </c>
      <c r="E27" s="726">
        <f>IF('Capital &amp; Depr'!$E$26=0,'Capital &amp; Depr'!E87,(IF('Capital &amp; Depr'!$E$26=1,'Capital &amp; Depr'!E45,0)))</f>
        <v>14437500</v>
      </c>
      <c r="F27" s="726">
        <f>IF('Capital &amp; Depr'!$E$26=0,'Capital &amp; Depr'!F87,(IF('Capital &amp; Depr'!$E$26=1,'Capital &amp; Depr'!F45,0)))</f>
        <v>13354650</v>
      </c>
      <c r="G27" s="726">
        <f>IF('Capital &amp; Depr'!$E$26=0,'Capital &amp; Depr'!G87,(IF('Capital &amp; Depr'!$E$26=1,'Capital &amp; Depr'!G45,0)))</f>
        <v>12353100</v>
      </c>
      <c r="H27" s="726">
        <f>IF('Capital &amp; Depr'!$E$26=0,'Capital &amp; Depr'!H87,(IF('Capital &amp; Depr'!$E$26=1,'Capital &amp; Depr'!H45,0)))</f>
        <v>11426550</v>
      </c>
      <c r="I27" s="726">
        <f>IF('Capital &amp; Depr'!$E$26=0,'Capital &amp; Depr'!I87,(IF('Capital &amp; Depr'!$E$26=1,'Capital &amp; Depr'!I45,0)))</f>
        <v>10998075</v>
      </c>
      <c r="J27" s="726">
        <f>IF('Capital &amp; Depr'!$E$26=0,'Capital &amp; Depr'!J87,(IF('Capital &amp; Depr'!$E$26=1,'Capital &amp; Depr'!J45,0)))</f>
        <v>10998075</v>
      </c>
      <c r="K27" s="726">
        <f>IF('Capital &amp; Depr'!$E$26=0,'Capital &amp; Depr'!K87,(IF('Capital &amp; Depr'!$E$26=1,'Capital &amp; Depr'!K45,0)))</f>
        <v>10998075</v>
      </c>
      <c r="L27" s="726">
        <f>IF('Capital &amp; Depr'!$E$26=0,'Capital &amp; Depr'!L87,(IF('Capital &amp; Depr'!$E$26=1,'Capital &amp; Depr'!L45,0)))</f>
        <v>10998075</v>
      </c>
      <c r="M27" s="726">
        <f>IF('Capital &amp; Depr'!$E$26=0,'Capital &amp; Depr'!M87,(IF('Capital &amp; Depr'!$E$26=1,'Capital &amp; Depr'!M45,0)))</f>
        <v>10998075</v>
      </c>
      <c r="N27" s="726">
        <f>IF('Capital &amp; Depr'!$E$26=0,'Capital &amp; Depr'!N87,(IF('Capital &amp; Depr'!$E$26=1,'Capital &amp; Depr'!N45,0)))</f>
        <v>10998075</v>
      </c>
      <c r="O27" s="726">
        <f>IF('Capital &amp; Depr'!$E$26=0,'Capital &amp; Depr'!O87,(IF('Capital &amp; Depr'!$E$26=1,'Capital &amp; Depr'!O45,0)))</f>
        <v>10998075</v>
      </c>
    </row>
    <row r="28" spans="3:15" ht="14" x14ac:dyDescent="0.15">
      <c r="D28" s="27" t="s">
        <v>579</v>
      </c>
      <c r="E28" s="726">
        <f>IF('Capital &amp; Depr'!$E$26=0,'Capital &amp; Depr'!E95,(IF('Capital &amp; Depr'!$E$26=1,'Capital &amp; Depr'!E53,0)))</f>
        <v>12200000</v>
      </c>
      <c r="F28" s="726">
        <f>IF('Capital &amp; Depr'!$E$26=0,'Capital &amp; Depr'!F95,(IF('Capital &amp; Depr'!$E$26=1,'Capital &amp; Depr'!F53,0)))</f>
        <v>7320000</v>
      </c>
      <c r="G28" s="726">
        <f>IF('Capital &amp; Depr'!$E$26=0,'Capital &amp; Depr'!G95,(IF('Capital &amp; Depr'!$E$26=1,'Capital &amp; Depr'!G53,0)))</f>
        <v>4392000</v>
      </c>
      <c r="H28" s="726">
        <f>IF('Capital &amp; Depr'!$E$26=0,'Capital &amp; Depr'!H95,(IF('Capital &amp; Depr'!$E$26=1,'Capital &amp; Depr'!H53,0)))</f>
        <v>2635200</v>
      </c>
      <c r="I28" s="726">
        <f>IF('Capital &amp; Depr'!$E$26=0,'Capital &amp; Depr'!I95,(IF('Capital &amp; Depr'!$E$26=1,'Capital &amp; Depr'!I53,0)))</f>
        <v>1756800</v>
      </c>
      <c r="J28" s="726">
        <f>IF('Capital &amp; Depr'!$E$26=0,'Capital &amp; Depr'!J95,(IF('Capital &amp; Depr'!$E$26=1,'Capital &amp; Depr'!J53,0)))</f>
        <v>1756800</v>
      </c>
      <c r="K28" s="726">
        <f>IF('Capital &amp; Depr'!$E$26=0,'Capital &amp; Depr'!K95,(IF('Capital &amp; Depr'!$E$26=1,'Capital &amp; Depr'!K53,0)))</f>
        <v>0</v>
      </c>
      <c r="L28" s="726">
        <f>IF('Capital &amp; Depr'!$E$26=0,'Capital &amp; Depr'!L95,(IF('Capital &amp; Depr'!$E$26=1,'Capital &amp; Depr'!L53,0)))</f>
        <v>0</v>
      </c>
      <c r="M28" s="726">
        <f>IF('Capital &amp; Depr'!$E$26=0,'Capital &amp; Depr'!M95,(IF('Capital &amp; Depr'!$E$26=1,'Capital &amp; Depr'!M53,0)))</f>
        <v>0</v>
      </c>
      <c r="N28" s="726">
        <f>IF('Capital &amp; Depr'!$E$26=0,'Capital &amp; Depr'!N95,(IF('Capital &amp; Depr'!$E$26=1,'Capital &amp; Depr'!N53,0)))</f>
        <v>0</v>
      </c>
      <c r="O28" s="726">
        <f>IF('Capital &amp; Depr'!$E$26=0,'Capital &amp; Depr'!O95,(IF('Capital &amp; Depr'!$E$26=1,'Capital &amp; Depr'!O53,0)))</f>
        <v>0</v>
      </c>
    </row>
    <row r="29" spans="3:15" ht="14" x14ac:dyDescent="0.15">
      <c r="D29" s="27" t="s">
        <v>581</v>
      </c>
      <c r="E29" s="726">
        <f>IF('Capital &amp; Depr'!$E$26=0,'Capital &amp; Depr'!E103,(IF('Capital &amp; Depr'!$E$26=1,'Capital &amp; Depr'!E61,0)))</f>
        <v>640000</v>
      </c>
      <c r="F29" s="726">
        <f>IF('Capital &amp; Depr'!$E$26=0,'Capital &amp; Depr'!F103,(IF('Capital &amp; Depr'!$E$26=1,'Capital &amp; Depr'!F61,0)))</f>
        <v>384000</v>
      </c>
      <c r="G29" s="726">
        <f>IF('Capital &amp; Depr'!$E$26=0,'Capital &amp; Depr'!G103,(IF('Capital &amp; Depr'!$E$26=1,'Capital &amp; Depr'!G61,0)))</f>
        <v>230400</v>
      </c>
      <c r="H29" s="726">
        <f>IF('Capital &amp; Depr'!$E$26=0,'Capital &amp; Depr'!H103,(IF('Capital &amp; Depr'!$E$26=1,'Capital &amp; Depr'!H61,0)))</f>
        <v>138240</v>
      </c>
      <c r="I29" s="726">
        <f>IF('Capital &amp; Depr'!$E$26=0,'Capital &amp; Depr'!I103,(IF('Capital &amp; Depr'!$E$26=1,'Capital &amp; Depr'!I61,0)))</f>
        <v>92160</v>
      </c>
      <c r="J29" s="726">
        <f>IF('Capital &amp; Depr'!$E$26=0,'Capital &amp; Depr'!J103,(IF('Capital &amp; Depr'!$E$26=1,'Capital &amp; Depr'!J61,0)))</f>
        <v>92160</v>
      </c>
      <c r="K29" s="726">
        <f>IF('Capital &amp; Depr'!$E$26=0,'Capital &amp; Depr'!K103,(IF('Capital &amp; Depr'!$E$26=1,'Capital &amp; Depr'!K61,0)))</f>
        <v>0</v>
      </c>
      <c r="L29" s="726">
        <f>IF('Capital &amp; Depr'!$E$26=0,'Capital &amp; Depr'!L103,(IF('Capital &amp; Depr'!$E$26=1,'Capital &amp; Depr'!L61,0)))</f>
        <v>0</v>
      </c>
      <c r="M29" s="726">
        <f>IF('Capital &amp; Depr'!$E$26=0,'Capital &amp; Depr'!M103,(IF('Capital &amp; Depr'!$E$26=1,'Capital &amp; Depr'!M61,0)))</f>
        <v>0</v>
      </c>
      <c r="N29" s="726">
        <f>IF('Capital &amp; Depr'!$E$26=0,'Capital &amp; Depr'!N103,(IF('Capital &amp; Depr'!$E$26=1,'Capital &amp; Depr'!N61,0)))</f>
        <v>0</v>
      </c>
      <c r="O29" s="726">
        <f>IF('Capital &amp; Depr'!$E$26=0,'Capital &amp; Depr'!O103,(IF('Capital &amp; Depr'!$E$26=1,'Capital &amp; Depr'!O61,0)))</f>
        <v>0</v>
      </c>
    </row>
    <row r="30" spans="3:15" ht="14" x14ac:dyDescent="0.15">
      <c r="D30" s="27" t="s">
        <v>582</v>
      </c>
      <c r="E30" s="726">
        <f>IF('Capital &amp; Depr'!$E$26=0,'Capital &amp; Depr'!E111,(IF('Capital &amp; Depr'!$E$26=1,'Capital &amp; Depr'!E69,0)))</f>
        <v>0</v>
      </c>
      <c r="F30" s="726">
        <f>IF('Capital &amp; Depr'!$E$26=0,'Capital &amp; Depr'!F111,(IF('Capital &amp; Depr'!$E$26=1,'Capital &amp; Depr'!F69,0)))</f>
        <v>0</v>
      </c>
      <c r="G30" s="726">
        <f>IF('Capital &amp; Depr'!$E$26=0,'Capital &amp; Depr'!G111,(IF('Capital &amp; Depr'!$E$26=1,'Capital &amp; Depr'!G69,0)))</f>
        <v>0</v>
      </c>
      <c r="H30" s="726">
        <f>IF('Capital &amp; Depr'!$E$26=0,'Capital &amp; Depr'!H111,(IF('Capital &amp; Depr'!$E$26=1,'Capital &amp; Depr'!H69,0)))</f>
        <v>0</v>
      </c>
      <c r="I30" s="726">
        <f>IF('Capital &amp; Depr'!$E$26=0,'Capital &amp; Depr'!I111,(IF('Capital &amp; Depr'!$E$26=1,'Capital &amp; Depr'!I69,0)))</f>
        <v>0</v>
      </c>
      <c r="J30" s="726">
        <f>IF('Capital &amp; Depr'!$E$26=0,'Capital &amp; Depr'!J111,(IF('Capital &amp; Depr'!$E$26=1,'Capital &amp; Depr'!J69,0)))</f>
        <v>0</v>
      </c>
      <c r="K30" s="726">
        <f>IF('Capital &amp; Depr'!$E$26=0,'Capital &amp; Depr'!K111,(IF('Capital &amp; Depr'!$E$26=1,'Capital &amp; Depr'!K69,0)))</f>
        <v>0</v>
      </c>
      <c r="L30" s="726">
        <f>IF('Capital &amp; Depr'!$E$26=0,'Capital &amp; Depr'!L111,(IF('Capital &amp; Depr'!$E$26=1,'Capital &amp; Depr'!L69,0)))</f>
        <v>0</v>
      </c>
      <c r="M30" s="726">
        <f>IF('Capital &amp; Depr'!$E$26=0,'Capital &amp; Depr'!M111,(IF('Capital &amp; Depr'!$E$26=1,'Capital &amp; Depr'!M69,0)))</f>
        <v>0</v>
      </c>
      <c r="N30" s="726">
        <f>IF('Capital &amp; Depr'!$E$26=0,'Capital &amp; Depr'!N111,(IF('Capital &amp; Depr'!$E$26=1,'Capital &amp; Depr'!N69,0)))</f>
        <v>0</v>
      </c>
      <c r="O30" s="726">
        <f>IF('Capital &amp; Depr'!$E$26=0,'Capital &amp; Depr'!O111,(IF('Capital &amp; Depr'!$E$26=1,'Capital &amp; Depr'!O69,0)))</f>
        <v>0</v>
      </c>
    </row>
    <row r="33" spans="3:13" x14ac:dyDescent="0.15">
      <c r="C33" s="1" t="s">
        <v>619</v>
      </c>
      <c r="F33" s="1" t="s">
        <v>619</v>
      </c>
      <c r="I33" s="1" t="s">
        <v>619</v>
      </c>
      <c r="L33" s="1" t="s">
        <v>619</v>
      </c>
    </row>
    <row r="35" spans="3:13" ht="28" x14ac:dyDescent="0.15">
      <c r="C35" s="23" t="s">
        <v>625</v>
      </c>
      <c r="D35" s="57"/>
      <c r="F35" s="23" t="s">
        <v>625</v>
      </c>
      <c r="G35" s="57"/>
      <c r="I35" s="23" t="s">
        <v>625</v>
      </c>
      <c r="J35" s="57"/>
      <c r="L35" s="23" t="s">
        <v>625</v>
      </c>
      <c r="M35" s="57"/>
    </row>
    <row r="36" spans="3:13" x14ac:dyDescent="0.15">
      <c r="C36" s="167">
        <v>-0.25</v>
      </c>
      <c r="D36" s="63">
        <f>D14</f>
        <v>5100000</v>
      </c>
      <c r="F36" s="167">
        <v>-0.25</v>
      </c>
      <c r="G36" s="63">
        <f>G14</f>
        <v>1875000</v>
      </c>
      <c r="I36" s="167">
        <v>-0.25</v>
      </c>
      <c r="J36" s="63">
        <f>J14</f>
        <v>60000</v>
      </c>
      <c r="L36" s="167">
        <v>-0.25</v>
      </c>
      <c r="M36" s="63">
        <f>M14</f>
        <v>0</v>
      </c>
    </row>
    <row r="37" spans="3:13" x14ac:dyDescent="0.15">
      <c r="C37" s="167">
        <v>-0.2</v>
      </c>
      <c r="D37" s="63">
        <f t="shared" ref="D37:D45" si="6">D15</f>
        <v>5440000</v>
      </c>
      <c r="F37" s="167">
        <v>-0.2</v>
      </c>
      <c r="G37" s="63">
        <f t="shared" ref="G37:G45" si="7">G15</f>
        <v>2000000</v>
      </c>
      <c r="I37" s="167">
        <v>-0.2</v>
      </c>
      <c r="J37" s="63">
        <f t="shared" ref="J37:J45" si="8">J15</f>
        <v>64000</v>
      </c>
      <c r="L37" s="167">
        <v>-0.2</v>
      </c>
      <c r="M37" s="63">
        <f t="shared" ref="M37:M45" si="9">M15</f>
        <v>0</v>
      </c>
    </row>
    <row r="38" spans="3:13" x14ac:dyDescent="0.15">
      <c r="C38" s="167">
        <v>-0.15</v>
      </c>
      <c r="D38" s="63">
        <f t="shared" si="6"/>
        <v>5780000</v>
      </c>
      <c r="F38" s="167">
        <v>-0.15</v>
      </c>
      <c r="G38" s="63">
        <f t="shared" si="7"/>
        <v>2125000</v>
      </c>
      <c r="I38" s="167">
        <v>-0.15</v>
      </c>
      <c r="J38" s="63">
        <f t="shared" si="8"/>
        <v>68000</v>
      </c>
      <c r="L38" s="167">
        <v>-0.15</v>
      </c>
      <c r="M38" s="63">
        <f t="shared" si="9"/>
        <v>0</v>
      </c>
    </row>
    <row r="39" spans="3:13" x14ac:dyDescent="0.15">
      <c r="C39" s="167">
        <v>-0.1</v>
      </c>
      <c r="D39" s="63">
        <f t="shared" si="6"/>
        <v>6120000</v>
      </c>
      <c r="F39" s="167">
        <v>-0.1</v>
      </c>
      <c r="G39" s="63">
        <f t="shared" si="7"/>
        <v>2250000</v>
      </c>
      <c r="I39" s="167">
        <v>-0.1</v>
      </c>
      <c r="J39" s="63">
        <f t="shared" si="8"/>
        <v>72000</v>
      </c>
      <c r="L39" s="167">
        <v>-0.1</v>
      </c>
      <c r="M39" s="63">
        <f t="shared" si="9"/>
        <v>0</v>
      </c>
    </row>
    <row r="40" spans="3:13" x14ac:dyDescent="0.15">
      <c r="C40" s="167">
        <v>-0.05</v>
      </c>
      <c r="D40" s="63">
        <f t="shared" si="6"/>
        <v>6460000</v>
      </c>
      <c r="F40" s="167">
        <v>-0.05</v>
      </c>
      <c r="G40" s="63">
        <f t="shared" si="7"/>
        <v>2375000</v>
      </c>
      <c r="I40" s="167">
        <v>-0.05</v>
      </c>
      <c r="J40" s="63">
        <f t="shared" si="8"/>
        <v>76000</v>
      </c>
      <c r="L40" s="167">
        <v>-0.05</v>
      </c>
      <c r="M40" s="63">
        <f t="shared" si="9"/>
        <v>0</v>
      </c>
    </row>
    <row r="41" spans="3:13" x14ac:dyDescent="0.15">
      <c r="C41" s="167">
        <v>0.05</v>
      </c>
      <c r="D41" s="63">
        <f t="shared" si="6"/>
        <v>7140000</v>
      </c>
      <c r="F41" s="167">
        <v>0.05</v>
      </c>
      <c r="G41" s="63">
        <f t="shared" si="7"/>
        <v>2625000</v>
      </c>
      <c r="I41" s="167">
        <v>0.05</v>
      </c>
      <c r="J41" s="63">
        <f t="shared" si="8"/>
        <v>84000</v>
      </c>
      <c r="L41" s="167">
        <v>0.05</v>
      </c>
      <c r="M41" s="63">
        <f t="shared" si="9"/>
        <v>0</v>
      </c>
    </row>
    <row r="42" spans="3:13" x14ac:dyDescent="0.15">
      <c r="C42" s="167">
        <v>0.1</v>
      </c>
      <c r="D42" s="63">
        <f t="shared" si="6"/>
        <v>7480000.0000000009</v>
      </c>
      <c r="F42" s="167">
        <v>0.1</v>
      </c>
      <c r="G42" s="63">
        <f t="shared" si="7"/>
        <v>2750000</v>
      </c>
      <c r="I42" s="167">
        <v>0.1</v>
      </c>
      <c r="J42" s="63">
        <f t="shared" si="8"/>
        <v>88000</v>
      </c>
      <c r="L42" s="167">
        <v>0.1</v>
      </c>
      <c r="M42" s="63">
        <f t="shared" si="9"/>
        <v>0</v>
      </c>
    </row>
    <row r="43" spans="3:13" x14ac:dyDescent="0.15">
      <c r="C43" s="167">
        <v>0.15</v>
      </c>
      <c r="D43" s="63">
        <f t="shared" si="6"/>
        <v>7819999.9999999991</v>
      </c>
      <c r="F43" s="167">
        <v>0.15</v>
      </c>
      <c r="G43" s="63">
        <f t="shared" si="7"/>
        <v>2875000</v>
      </c>
      <c r="I43" s="167">
        <v>0.15</v>
      </c>
      <c r="J43" s="63">
        <f t="shared" si="8"/>
        <v>92000</v>
      </c>
      <c r="L43" s="167">
        <v>0.15</v>
      </c>
      <c r="M43" s="63">
        <f t="shared" si="9"/>
        <v>0</v>
      </c>
    </row>
    <row r="44" spans="3:13" x14ac:dyDescent="0.15">
      <c r="C44" s="167">
        <v>0.2</v>
      </c>
      <c r="D44" s="63">
        <f t="shared" si="6"/>
        <v>8160000</v>
      </c>
      <c r="F44" s="167">
        <v>0.2</v>
      </c>
      <c r="G44" s="63">
        <f t="shared" si="7"/>
        <v>3000000</v>
      </c>
      <c r="I44" s="167">
        <v>0.2</v>
      </c>
      <c r="J44" s="63">
        <f t="shared" si="8"/>
        <v>96000</v>
      </c>
      <c r="L44" s="167">
        <v>0.2</v>
      </c>
      <c r="M44" s="63">
        <f t="shared" si="9"/>
        <v>0</v>
      </c>
    </row>
    <row r="45" spans="3:13" x14ac:dyDescent="0.15">
      <c r="C45" s="167">
        <v>0.25</v>
      </c>
      <c r="D45" s="63">
        <f t="shared" si="6"/>
        <v>8500000</v>
      </c>
      <c r="F45" s="167">
        <v>0.25</v>
      </c>
      <c r="G45" s="63">
        <f t="shared" si="7"/>
        <v>3125000</v>
      </c>
      <c r="I45" s="167">
        <v>0.25</v>
      </c>
      <c r="J45" s="63">
        <f t="shared" si="8"/>
        <v>100000</v>
      </c>
      <c r="L45" s="167">
        <v>0.25</v>
      </c>
      <c r="M45" s="63">
        <f t="shared" si="9"/>
        <v>0</v>
      </c>
    </row>
    <row r="46" spans="3:13" ht="28" x14ac:dyDescent="0.15">
      <c r="C46" s="23" t="s">
        <v>326</v>
      </c>
      <c r="D46" s="135" t="str">
        <f>IF('Capital &amp; Depr'!$E$26=0,"SL",(IF('Capital &amp; Depr'!$E$26=1,"MACRS",0)))</f>
        <v>MACRS</v>
      </c>
      <c r="F46" s="23" t="s">
        <v>326</v>
      </c>
      <c r="G46" s="135" t="str">
        <f>IF('Capital &amp; Depr'!$E$26=0,"SL",(IF('Capital &amp; Depr'!$E$26=1,"MACRS",0)))</f>
        <v>MACRS</v>
      </c>
      <c r="I46" s="23" t="s">
        <v>326</v>
      </c>
      <c r="J46" s="135" t="str">
        <f>IF('Capital &amp; Depr'!$E$26=0,"SL",(IF('Capital &amp; Depr'!$E$26=1,"MACRS",0)))</f>
        <v>MACRS</v>
      </c>
      <c r="L46" s="23" t="s">
        <v>326</v>
      </c>
      <c r="M46" s="135" t="str">
        <f>IF('Capital &amp; Depr'!$E$26=0,"SL",(IF('Capital &amp; Depr'!$E$26=1,"MACRS",0)))</f>
        <v>MACRS</v>
      </c>
    </row>
    <row r="47" spans="3:13" ht="28" x14ac:dyDescent="0.15">
      <c r="C47" s="23" t="s">
        <v>327</v>
      </c>
      <c r="D47" s="136">
        <f>CHOOSE(($B$4),$E27,$F27,$G27,$H27,$I27,$J27,$K27,$L27,$M27,$N27,$O27)</f>
        <v>11426550</v>
      </c>
      <c r="F47" s="23" t="s">
        <v>327</v>
      </c>
      <c r="G47" s="136">
        <f>CHOOSE(($B$5),$E28,$F28,$G28,$H28,$I28,$J28,$K28,$L28,$M28,$N28,$O28)</f>
        <v>2635200</v>
      </c>
      <c r="I47" s="23" t="s">
        <v>327</v>
      </c>
      <c r="J47" s="136">
        <f>CHOOSE(($B$6),$E29,$F29,$G29,$H29,$I29,$J29,$K29,$L29,$M29,$N29,$O29)</f>
        <v>138240</v>
      </c>
      <c r="L47" s="23" t="s">
        <v>327</v>
      </c>
      <c r="M47" s="136" t="e">
        <f>CHOOSE(($B$7),$E30,$F30,$G30,$H30,$I30,$J30,$K30,$L30,$M30,$N30,$O30)</f>
        <v>#VALUE!</v>
      </c>
    </row>
    <row r="48" spans="3:13" x14ac:dyDescent="0.15">
      <c r="C48" s="28" t="s">
        <v>328</v>
      </c>
      <c r="D48" s="57"/>
      <c r="F48" s="28" t="s">
        <v>328</v>
      </c>
      <c r="G48" s="57"/>
      <c r="I48" s="28" t="s">
        <v>328</v>
      </c>
      <c r="J48" s="57"/>
      <c r="L48" s="28" t="s">
        <v>328</v>
      </c>
      <c r="M48" s="57"/>
    </row>
    <row r="49" spans="3:13" x14ac:dyDescent="0.15">
      <c r="C49" s="167">
        <v>-0.25</v>
      </c>
      <c r="D49" s="67">
        <f>D36-$D$47</f>
        <v>-6326550</v>
      </c>
      <c r="F49" s="167">
        <v>-0.25</v>
      </c>
      <c r="G49" s="67">
        <f>G36-$G$47</f>
        <v>-760200</v>
      </c>
      <c r="I49" s="167">
        <v>-0.25</v>
      </c>
      <c r="J49" s="67">
        <f>J36-$J$47</f>
        <v>-78240</v>
      </c>
      <c r="L49" s="167">
        <v>-0.25</v>
      </c>
      <c r="M49" s="67" t="e">
        <f>M36-$M$47</f>
        <v>#VALUE!</v>
      </c>
    </row>
    <row r="50" spans="3:13" x14ac:dyDescent="0.15">
      <c r="C50" s="167">
        <v>-0.2</v>
      </c>
      <c r="D50" s="67">
        <f t="shared" ref="D50:D58" si="10">D37-$D$47</f>
        <v>-5986550</v>
      </c>
      <c r="F50" s="167">
        <v>-0.2</v>
      </c>
      <c r="G50" s="67">
        <f t="shared" ref="G50:G58" si="11">G37-$G$47</f>
        <v>-635200</v>
      </c>
      <c r="I50" s="167">
        <v>-0.2</v>
      </c>
      <c r="J50" s="67">
        <f t="shared" ref="J50:J58" si="12">J37-$J$47</f>
        <v>-74240</v>
      </c>
      <c r="L50" s="167">
        <v>-0.2</v>
      </c>
      <c r="M50" s="67" t="e">
        <f t="shared" ref="M50:M58" si="13">M37-$M$47</f>
        <v>#VALUE!</v>
      </c>
    </row>
    <row r="51" spans="3:13" x14ac:dyDescent="0.15">
      <c r="C51" s="167">
        <v>-0.15</v>
      </c>
      <c r="D51" s="67">
        <f t="shared" si="10"/>
        <v>-5646550</v>
      </c>
      <c r="F51" s="167">
        <v>-0.15</v>
      </c>
      <c r="G51" s="67">
        <f t="shared" si="11"/>
        <v>-510200</v>
      </c>
      <c r="I51" s="167">
        <v>-0.15</v>
      </c>
      <c r="J51" s="67">
        <f t="shared" si="12"/>
        <v>-70240</v>
      </c>
      <c r="L51" s="167">
        <v>-0.15</v>
      </c>
      <c r="M51" s="67" t="e">
        <f t="shared" si="13"/>
        <v>#VALUE!</v>
      </c>
    </row>
    <row r="52" spans="3:13" x14ac:dyDescent="0.15">
      <c r="C52" s="167">
        <v>-0.1</v>
      </c>
      <c r="D52" s="67">
        <f t="shared" si="10"/>
        <v>-5306550</v>
      </c>
      <c r="F52" s="167">
        <v>-0.1</v>
      </c>
      <c r="G52" s="67">
        <f t="shared" si="11"/>
        <v>-385200</v>
      </c>
      <c r="I52" s="167">
        <v>-0.1</v>
      </c>
      <c r="J52" s="67">
        <f t="shared" si="12"/>
        <v>-66240</v>
      </c>
      <c r="L52" s="167">
        <v>-0.1</v>
      </c>
      <c r="M52" s="67" t="e">
        <f t="shared" si="13"/>
        <v>#VALUE!</v>
      </c>
    </row>
    <row r="53" spans="3:13" x14ac:dyDescent="0.15">
      <c r="C53" s="167">
        <v>-0.05</v>
      </c>
      <c r="D53" s="67">
        <f t="shared" si="10"/>
        <v>-4966550</v>
      </c>
      <c r="F53" s="167">
        <v>-0.05</v>
      </c>
      <c r="G53" s="67">
        <f t="shared" si="11"/>
        <v>-260200</v>
      </c>
      <c r="I53" s="167">
        <v>-0.05</v>
      </c>
      <c r="J53" s="67">
        <f t="shared" si="12"/>
        <v>-62240</v>
      </c>
      <c r="L53" s="167">
        <v>-0.05</v>
      </c>
      <c r="M53" s="67" t="e">
        <f t="shared" si="13"/>
        <v>#VALUE!</v>
      </c>
    </row>
    <row r="54" spans="3:13" x14ac:dyDescent="0.15">
      <c r="C54" s="167">
        <v>0.05</v>
      </c>
      <c r="D54" s="67">
        <f t="shared" si="10"/>
        <v>-4286550</v>
      </c>
      <c r="F54" s="167">
        <v>0.05</v>
      </c>
      <c r="G54" s="67">
        <f t="shared" si="11"/>
        <v>-10200</v>
      </c>
      <c r="I54" s="167">
        <v>0.05</v>
      </c>
      <c r="J54" s="67">
        <f t="shared" si="12"/>
        <v>-54240</v>
      </c>
      <c r="L54" s="167">
        <v>0.05</v>
      </c>
      <c r="M54" s="67" t="e">
        <f t="shared" si="13"/>
        <v>#VALUE!</v>
      </c>
    </row>
    <row r="55" spans="3:13" x14ac:dyDescent="0.15">
      <c r="C55" s="167">
        <v>0.1</v>
      </c>
      <c r="D55" s="67">
        <f t="shared" si="10"/>
        <v>-3946549.9999999991</v>
      </c>
      <c r="F55" s="167">
        <v>0.1</v>
      </c>
      <c r="G55" s="67">
        <f t="shared" si="11"/>
        <v>114800</v>
      </c>
      <c r="I55" s="167">
        <v>0.1</v>
      </c>
      <c r="J55" s="67">
        <f t="shared" si="12"/>
        <v>-50240</v>
      </c>
      <c r="L55" s="167">
        <v>0.1</v>
      </c>
      <c r="M55" s="67" t="e">
        <f t="shared" si="13"/>
        <v>#VALUE!</v>
      </c>
    </row>
    <row r="56" spans="3:13" x14ac:dyDescent="0.15">
      <c r="C56" s="167">
        <v>0.15</v>
      </c>
      <c r="D56" s="67">
        <f t="shared" si="10"/>
        <v>-3606550.0000000009</v>
      </c>
      <c r="F56" s="167">
        <v>0.15</v>
      </c>
      <c r="G56" s="67">
        <f t="shared" si="11"/>
        <v>239800</v>
      </c>
      <c r="I56" s="167">
        <v>0.15</v>
      </c>
      <c r="J56" s="67">
        <f t="shared" si="12"/>
        <v>-46240</v>
      </c>
      <c r="L56" s="167">
        <v>0.15</v>
      </c>
      <c r="M56" s="67" t="e">
        <f t="shared" si="13"/>
        <v>#VALUE!</v>
      </c>
    </row>
    <row r="57" spans="3:13" x14ac:dyDescent="0.15">
      <c r="C57" s="167">
        <v>0.2</v>
      </c>
      <c r="D57" s="67">
        <f t="shared" si="10"/>
        <v>-3266550</v>
      </c>
      <c r="F57" s="167">
        <v>0.2</v>
      </c>
      <c r="G57" s="67">
        <f t="shared" si="11"/>
        <v>364800</v>
      </c>
      <c r="I57" s="167">
        <v>0.2</v>
      </c>
      <c r="J57" s="67">
        <f t="shared" si="12"/>
        <v>-42240</v>
      </c>
      <c r="L57" s="167">
        <v>0.2</v>
      </c>
      <c r="M57" s="67" t="e">
        <f t="shared" si="13"/>
        <v>#VALUE!</v>
      </c>
    </row>
    <row r="58" spans="3:13" x14ac:dyDescent="0.15">
      <c r="C58" s="167">
        <v>0.25</v>
      </c>
      <c r="D58" s="67">
        <f t="shared" si="10"/>
        <v>-2926550</v>
      </c>
      <c r="F58" s="167">
        <v>0.25</v>
      </c>
      <c r="G58" s="67">
        <f t="shared" si="11"/>
        <v>489800</v>
      </c>
      <c r="I58" s="167">
        <v>0.25</v>
      </c>
      <c r="J58" s="67">
        <f t="shared" si="12"/>
        <v>-38240</v>
      </c>
      <c r="L58" s="167">
        <v>0.25</v>
      </c>
      <c r="M58" s="67" t="e">
        <f t="shared" si="13"/>
        <v>#VALUE!</v>
      </c>
    </row>
    <row r="59" spans="3:13" x14ac:dyDescent="0.15">
      <c r="C59" s="28" t="s">
        <v>329</v>
      </c>
      <c r="D59" s="57"/>
      <c r="F59" s="28" t="s">
        <v>329</v>
      </c>
      <c r="G59" s="57"/>
      <c r="I59" s="28" t="s">
        <v>329</v>
      </c>
      <c r="J59" s="57"/>
      <c r="L59" s="28" t="s">
        <v>329</v>
      </c>
      <c r="M59" s="57"/>
    </row>
    <row r="60" spans="3:13" x14ac:dyDescent="0.15">
      <c r="C60" s="167">
        <v>-0.25</v>
      </c>
      <c r="D60" s="67">
        <f>D49*$C$9</f>
        <v>-1138779</v>
      </c>
      <c r="F60" s="167">
        <v>-0.25</v>
      </c>
      <c r="G60" s="67">
        <f>G49*$C$9</f>
        <v>-136836</v>
      </c>
      <c r="I60" s="167">
        <v>-0.25</v>
      </c>
      <c r="J60" s="67">
        <f>J49*$C$9</f>
        <v>-14083.199999999999</v>
      </c>
      <c r="L60" s="167">
        <v>-0.25</v>
      </c>
      <c r="M60" s="67" t="e">
        <f>M49*$C$9</f>
        <v>#VALUE!</v>
      </c>
    </row>
    <row r="61" spans="3:13" x14ac:dyDescent="0.15">
      <c r="C61" s="167">
        <v>-0.2</v>
      </c>
      <c r="D61" s="67">
        <f t="shared" ref="D61:D69" si="14">D50*$C$9</f>
        <v>-1077579</v>
      </c>
      <c r="F61" s="167">
        <v>-0.2</v>
      </c>
      <c r="G61" s="67">
        <f t="shared" ref="G61:G69" si="15">G50*$C$9</f>
        <v>-114336</v>
      </c>
      <c r="I61" s="167">
        <v>-0.2</v>
      </c>
      <c r="J61" s="67">
        <f t="shared" ref="J61:J69" si="16">J50*$C$9</f>
        <v>-13363.199999999999</v>
      </c>
      <c r="L61" s="167">
        <v>-0.2</v>
      </c>
      <c r="M61" s="67" t="e">
        <f t="shared" ref="M61:M69" si="17">M50*$C$9</f>
        <v>#VALUE!</v>
      </c>
    </row>
    <row r="62" spans="3:13" x14ac:dyDescent="0.15">
      <c r="C62" s="167">
        <v>-0.15</v>
      </c>
      <c r="D62" s="67">
        <f t="shared" si="14"/>
        <v>-1016379</v>
      </c>
      <c r="F62" s="167">
        <v>-0.15</v>
      </c>
      <c r="G62" s="67">
        <f t="shared" si="15"/>
        <v>-91836</v>
      </c>
      <c r="I62" s="167">
        <v>-0.15</v>
      </c>
      <c r="J62" s="67">
        <f t="shared" si="16"/>
        <v>-12643.199999999999</v>
      </c>
      <c r="L62" s="167">
        <v>-0.15</v>
      </c>
      <c r="M62" s="67" t="e">
        <f t="shared" si="17"/>
        <v>#VALUE!</v>
      </c>
    </row>
    <row r="63" spans="3:13" x14ac:dyDescent="0.15">
      <c r="C63" s="167">
        <v>-0.1</v>
      </c>
      <c r="D63" s="67">
        <f t="shared" si="14"/>
        <v>-955179</v>
      </c>
      <c r="F63" s="167">
        <v>-0.1</v>
      </c>
      <c r="G63" s="67">
        <f t="shared" si="15"/>
        <v>-69336</v>
      </c>
      <c r="I63" s="167">
        <v>-0.1</v>
      </c>
      <c r="J63" s="67">
        <f t="shared" si="16"/>
        <v>-11923.199999999999</v>
      </c>
      <c r="L63" s="167">
        <v>-0.1</v>
      </c>
      <c r="M63" s="67" t="e">
        <f t="shared" si="17"/>
        <v>#VALUE!</v>
      </c>
    </row>
    <row r="64" spans="3:13" x14ac:dyDescent="0.15">
      <c r="C64" s="167">
        <v>-0.05</v>
      </c>
      <c r="D64" s="67">
        <f t="shared" si="14"/>
        <v>-893979</v>
      </c>
      <c r="F64" s="167">
        <v>-0.05</v>
      </c>
      <c r="G64" s="67">
        <f t="shared" si="15"/>
        <v>-46836</v>
      </c>
      <c r="I64" s="167">
        <v>-0.05</v>
      </c>
      <c r="J64" s="67">
        <f t="shared" si="16"/>
        <v>-11203.199999999999</v>
      </c>
      <c r="L64" s="167">
        <v>-0.05</v>
      </c>
      <c r="M64" s="67" t="e">
        <f t="shared" si="17"/>
        <v>#VALUE!</v>
      </c>
    </row>
    <row r="65" spans="3:13" x14ac:dyDescent="0.15">
      <c r="C65" s="167">
        <v>0.05</v>
      </c>
      <c r="D65" s="67">
        <f t="shared" si="14"/>
        <v>-771579</v>
      </c>
      <c r="F65" s="167">
        <v>0.05</v>
      </c>
      <c r="G65" s="67">
        <f t="shared" si="15"/>
        <v>-1836</v>
      </c>
      <c r="I65" s="167">
        <v>0.05</v>
      </c>
      <c r="J65" s="67">
        <f t="shared" si="16"/>
        <v>-9763.1999999999989</v>
      </c>
      <c r="L65" s="167">
        <v>0.05</v>
      </c>
      <c r="M65" s="67" t="e">
        <f t="shared" si="17"/>
        <v>#VALUE!</v>
      </c>
    </row>
    <row r="66" spans="3:13" x14ac:dyDescent="0.15">
      <c r="C66" s="167">
        <v>0.1</v>
      </c>
      <c r="D66" s="67">
        <f t="shared" si="14"/>
        <v>-710378.99999999977</v>
      </c>
      <c r="F66" s="167">
        <v>0.1</v>
      </c>
      <c r="G66" s="67">
        <f t="shared" si="15"/>
        <v>20664</v>
      </c>
      <c r="I66" s="167">
        <v>0.1</v>
      </c>
      <c r="J66" s="67">
        <f t="shared" si="16"/>
        <v>-9043.1999999999989</v>
      </c>
      <c r="L66" s="167">
        <v>0.1</v>
      </c>
      <c r="M66" s="67" t="e">
        <f t="shared" si="17"/>
        <v>#VALUE!</v>
      </c>
    </row>
    <row r="67" spans="3:13" x14ac:dyDescent="0.15">
      <c r="C67" s="167">
        <v>0.15</v>
      </c>
      <c r="D67" s="67">
        <f t="shared" si="14"/>
        <v>-649179.00000000012</v>
      </c>
      <c r="F67" s="167">
        <v>0.15</v>
      </c>
      <c r="G67" s="67">
        <f t="shared" si="15"/>
        <v>43164</v>
      </c>
      <c r="I67" s="167">
        <v>0.15</v>
      </c>
      <c r="J67" s="67">
        <f t="shared" si="16"/>
        <v>-8323.1999999999989</v>
      </c>
      <c r="L67" s="167">
        <v>0.15</v>
      </c>
      <c r="M67" s="67" t="e">
        <f t="shared" si="17"/>
        <v>#VALUE!</v>
      </c>
    </row>
    <row r="68" spans="3:13" x14ac:dyDescent="0.15">
      <c r="C68" s="167">
        <v>0.2</v>
      </c>
      <c r="D68" s="67">
        <f t="shared" si="14"/>
        <v>-587979</v>
      </c>
      <c r="F68" s="167">
        <v>0.2</v>
      </c>
      <c r="G68" s="67">
        <f t="shared" si="15"/>
        <v>65664</v>
      </c>
      <c r="I68" s="167">
        <v>0.2</v>
      </c>
      <c r="J68" s="67">
        <f t="shared" si="16"/>
        <v>-7603.2</v>
      </c>
      <c r="L68" s="167">
        <v>0.2</v>
      </c>
      <c r="M68" s="67" t="e">
        <f t="shared" si="17"/>
        <v>#VALUE!</v>
      </c>
    </row>
    <row r="69" spans="3:13" x14ac:dyDescent="0.15">
      <c r="C69" s="167">
        <v>0.25</v>
      </c>
      <c r="D69" s="67">
        <f t="shared" si="14"/>
        <v>-526779</v>
      </c>
      <c r="F69" s="167">
        <v>0.25</v>
      </c>
      <c r="G69" s="67">
        <f t="shared" si="15"/>
        <v>88164</v>
      </c>
      <c r="I69" s="167">
        <v>0.25</v>
      </c>
      <c r="J69" s="67">
        <f t="shared" si="16"/>
        <v>-6883.2</v>
      </c>
      <c r="L69" s="167">
        <v>0.25</v>
      </c>
      <c r="M69" s="67" t="e">
        <f t="shared" si="17"/>
        <v>#VALUE!</v>
      </c>
    </row>
    <row r="70" spans="3:13" ht="28" x14ac:dyDescent="0.15">
      <c r="C70" s="23" t="s">
        <v>330</v>
      </c>
      <c r="D70" s="57"/>
      <c r="F70" s="23" t="s">
        <v>330</v>
      </c>
      <c r="G70" s="57"/>
      <c r="I70" s="23" t="s">
        <v>330</v>
      </c>
      <c r="J70" s="57"/>
      <c r="L70" s="23" t="s">
        <v>330</v>
      </c>
      <c r="M70" s="57"/>
    </row>
    <row r="71" spans="3:13" x14ac:dyDescent="0.15">
      <c r="C71" s="167">
        <v>-0.5</v>
      </c>
      <c r="D71" s="67">
        <f>D49-D60</f>
        <v>-5187771</v>
      </c>
      <c r="F71" s="167">
        <v>-0.5</v>
      </c>
      <c r="G71" s="67">
        <f>G49-G60</f>
        <v>-623364</v>
      </c>
      <c r="I71" s="167">
        <v>-0.5</v>
      </c>
      <c r="J71" s="67">
        <f>J49-J60</f>
        <v>-64156.800000000003</v>
      </c>
      <c r="L71" s="167">
        <v>-0.5</v>
      </c>
      <c r="M71" s="67" t="e">
        <f>M49-M60</f>
        <v>#VALUE!</v>
      </c>
    </row>
    <row r="72" spans="3:13" x14ac:dyDescent="0.15">
      <c r="C72" s="167">
        <v>-0.4</v>
      </c>
      <c r="D72" s="67">
        <f t="shared" ref="D72:D80" si="18">D50-D61</f>
        <v>-4908971</v>
      </c>
      <c r="F72" s="167">
        <v>-0.4</v>
      </c>
      <c r="G72" s="67">
        <f t="shared" ref="G72:G80" si="19">G50-G61</f>
        <v>-520864</v>
      </c>
      <c r="I72" s="167">
        <v>-0.4</v>
      </c>
      <c r="J72" s="67">
        <f t="shared" ref="J72:J80" si="20">J50-J61</f>
        <v>-60876.800000000003</v>
      </c>
      <c r="L72" s="167">
        <v>-0.4</v>
      </c>
      <c r="M72" s="67" t="e">
        <f t="shared" ref="M72:M80" si="21">M50-M61</f>
        <v>#VALUE!</v>
      </c>
    </row>
    <row r="73" spans="3:13" x14ac:dyDescent="0.15">
      <c r="C73" s="167">
        <v>-0.3</v>
      </c>
      <c r="D73" s="67">
        <f t="shared" si="18"/>
        <v>-4630171</v>
      </c>
      <c r="F73" s="167">
        <v>-0.3</v>
      </c>
      <c r="G73" s="67">
        <f t="shared" si="19"/>
        <v>-418364</v>
      </c>
      <c r="I73" s="167">
        <v>-0.3</v>
      </c>
      <c r="J73" s="67">
        <f t="shared" si="20"/>
        <v>-57596.800000000003</v>
      </c>
      <c r="L73" s="167">
        <v>-0.3</v>
      </c>
      <c r="M73" s="67" t="e">
        <f t="shared" si="21"/>
        <v>#VALUE!</v>
      </c>
    </row>
    <row r="74" spans="3:13" x14ac:dyDescent="0.15">
      <c r="C74" s="167">
        <v>-0.2</v>
      </c>
      <c r="D74" s="67">
        <f t="shared" si="18"/>
        <v>-4351371</v>
      </c>
      <c r="F74" s="167">
        <v>-0.2</v>
      </c>
      <c r="G74" s="67">
        <f t="shared" si="19"/>
        <v>-315864</v>
      </c>
      <c r="I74" s="167">
        <v>-0.2</v>
      </c>
      <c r="J74" s="67">
        <f t="shared" si="20"/>
        <v>-54316.800000000003</v>
      </c>
      <c r="L74" s="167">
        <v>-0.2</v>
      </c>
      <c r="M74" s="67" t="e">
        <f t="shared" si="21"/>
        <v>#VALUE!</v>
      </c>
    </row>
    <row r="75" spans="3:13" x14ac:dyDescent="0.15">
      <c r="C75" s="167">
        <v>-0.1</v>
      </c>
      <c r="D75" s="67">
        <f t="shared" si="18"/>
        <v>-4072571</v>
      </c>
      <c r="F75" s="167">
        <v>-0.1</v>
      </c>
      <c r="G75" s="67">
        <f t="shared" si="19"/>
        <v>-213364</v>
      </c>
      <c r="I75" s="167">
        <v>-0.1</v>
      </c>
      <c r="J75" s="67">
        <f t="shared" si="20"/>
        <v>-51036.800000000003</v>
      </c>
      <c r="L75" s="167">
        <v>-0.1</v>
      </c>
      <c r="M75" s="67" t="e">
        <f t="shared" si="21"/>
        <v>#VALUE!</v>
      </c>
    </row>
    <row r="76" spans="3:13" x14ac:dyDescent="0.15">
      <c r="C76" s="167">
        <v>0.1</v>
      </c>
      <c r="D76" s="67">
        <f t="shared" si="18"/>
        <v>-3514971</v>
      </c>
      <c r="F76" s="167">
        <v>0.1</v>
      </c>
      <c r="G76" s="67">
        <f t="shared" si="19"/>
        <v>-8364</v>
      </c>
      <c r="I76" s="167">
        <v>0.1</v>
      </c>
      <c r="J76" s="67">
        <f t="shared" si="20"/>
        <v>-44476.800000000003</v>
      </c>
      <c r="L76" s="167">
        <v>0.1</v>
      </c>
      <c r="M76" s="67" t="e">
        <f t="shared" si="21"/>
        <v>#VALUE!</v>
      </c>
    </row>
    <row r="77" spans="3:13" x14ac:dyDescent="0.15">
      <c r="C77" s="167">
        <v>0.2</v>
      </c>
      <c r="D77" s="67">
        <f t="shared" si="18"/>
        <v>-3236170.9999999991</v>
      </c>
      <c r="F77" s="167">
        <v>0.2</v>
      </c>
      <c r="G77" s="67">
        <f t="shared" si="19"/>
        <v>94136</v>
      </c>
      <c r="I77" s="167">
        <v>0.2</v>
      </c>
      <c r="J77" s="67">
        <f t="shared" si="20"/>
        <v>-41196.800000000003</v>
      </c>
      <c r="L77" s="167">
        <v>0.2</v>
      </c>
      <c r="M77" s="67" t="e">
        <f t="shared" si="21"/>
        <v>#VALUE!</v>
      </c>
    </row>
    <row r="78" spans="3:13" x14ac:dyDescent="0.15">
      <c r="C78" s="167">
        <v>0.3</v>
      </c>
      <c r="D78" s="67">
        <f t="shared" si="18"/>
        <v>-2957371.0000000009</v>
      </c>
      <c r="F78" s="167">
        <v>0.3</v>
      </c>
      <c r="G78" s="67">
        <f t="shared" si="19"/>
        <v>196636</v>
      </c>
      <c r="I78" s="167">
        <v>0.3</v>
      </c>
      <c r="J78" s="67">
        <f t="shared" si="20"/>
        <v>-37916.800000000003</v>
      </c>
      <c r="L78" s="167">
        <v>0.3</v>
      </c>
      <c r="M78" s="67" t="e">
        <f t="shared" si="21"/>
        <v>#VALUE!</v>
      </c>
    </row>
    <row r="79" spans="3:13" x14ac:dyDescent="0.15">
      <c r="C79" s="167">
        <v>0.4</v>
      </c>
      <c r="D79" s="67">
        <f t="shared" si="18"/>
        <v>-2678571</v>
      </c>
      <c r="F79" s="167">
        <v>0.4</v>
      </c>
      <c r="G79" s="67">
        <f t="shared" si="19"/>
        <v>299136</v>
      </c>
      <c r="I79" s="167">
        <v>0.4</v>
      </c>
      <c r="J79" s="67">
        <f t="shared" si="20"/>
        <v>-34636.800000000003</v>
      </c>
      <c r="L79" s="167">
        <v>0.4</v>
      </c>
      <c r="M79" s="67" t="e">
        <f t="shared" si="21"/>
        <v>#VALUE!</v>
      </c>
    </row>
    <row r="80" spans="3:13" x14ac:dyDescent="0.15">
      <c r="C80" s="167">
        <v>0.5</v>
      </c>
      <c r="D80" s="67">
        <f t="shared" si="18"/>
        <v>-2399771</v>
      </c>
      <c r="F80" s="167">
        <v>0.5</v>
      </c>
      <c r="G80" s="67">
        <f t="shared" si="19"/>
        <v>401636</v>
      </c>
      <c r="I80" s="167">
        <v>0.5</v>
      </c>
      <c r="J80" s="67">
        <f t="shared" si="20"/>
        <v>-31356.799999999999</v>
      </c>
      <c r="L80" s="167">
        <v>0.5</v>
      </c>
      <c r="M80" s="67" t="e">
        <f t="shared" si="21"/>
        <v>#VALUE!</v>
      </c>
    </row>
    <row r="83" spans="4:15" ht="39.75" customHeight="1" x14ac:dyDescent="0.15">
      <c r="D83" s="23" t="s">
        <v>589</v>
      </c>
      <c r="E83" s="68">
        <f>'Capital Gains Wksht'!F20</f>
        <v>0</v>
      </c>
      <c r="F83" s="68">
        <f>'Capital Gains Wksht'!G20</f>
        <v>0</v>
      </c>
      <c r="G83" s="68">
        <f>'Capital Gains Wksht'!H20</f>
        <v>0</v>
      </c>
      <c r="H83" s="68">
        <f>'Capital Gains Wksht'!I20</f>
        <v>0</v>
      </c>
      <c r="I83" s="68">
        <f>'Capital Gains Wksht'!J20</f>
        <v>246000</v>
      </c>
      <c r="J83" s="68">
        <f>'Capital Gains Wksht'!K20</f>
        <v>0</v>
      </c>
      <c r="K83" s="68">
        <f>'Capital Gains Wksht'!L20</f>
        <v>0</v>
      </c>
      <c r="L83" s="68">
        <f>'Capital Gains Wksht'!M20</f>
        <v>0</v>
      </c>
      <c r="M83" s="68">
        <f>'Capital Gains Wksht'!N20</f>
        <v>0</v>
      </c>
      <c r="N83" s="68">
        <f>'Capital Gains Wksht'!O20</f>
        <v>0</v>
      </c>
      <c r="O83" s="68">
        <f>'Capital Gains Wksht'!P20</f>
        <v>0</v>
      </c>
    </row>
    <row r="84" spans="4:15" ht="38.25" customHeight="1" x14ac:dyDescent="0.15">
      <c r="D84" s="23" t="s">
        <v>590</v>
      </c>
      <c r="E84" s="68">
        <f>'Capital Gains Wksht'!F21</f>
        <v>0</v>
      </c>
      <c r="F84" s="68">
        <f>'Capital Gains Wksht'!G21</f>
        <v>0</v>
      </c>
      <c r="G84" s="68">
        <f>'Capital Gains Wksht'!H21</f>
        <v>0</v>
      </c>
      <c r="H84" s="68">
        <f>'Capital Gains Wksht'!I21</f>
        <v>0</v>
      </c>
      <c r="I84" s="68">
        <f>'Capital Gains Wksht'!J21</f>
        <v>0</v>
      </c>
      <c r="J84" s="68">
        <f>'Capital Gains Wksht'!K21</f>
        <v>0</v>
      </c>
      <c r="K84" s="68">
        <f>'Capital Gains Wksht'!L21</f>
        <v>0</v>
      </c>
      <c r="L84" s="68">
        <f>'Capital Gains Wksht'!M21</f>
        <v>0</v>
      </c>
      <c r="M84" s="68">
        <f>'Capital Gains Wksht'!N21</f>
        <v>0</v>
      </c>
      <c r="N84" s="68">
        <f>'Capital Gains Wksht'!O21</f>
        <v>0</v>
      </c>
      <c r="O84" s="68">
        <f>'Capital Gains Wksht'!P21</f>
        <v>0</v>
      </c>
    </row>
    <row r="85" spans="4:15" x14ac:dyDescent="0.15">
      <c r="D85" s="28" t="s">
        <v>591</v>
      </c>
      <c r="E85" s="74">
        <f>SUM(E83:E84)</f>
        <v>0</v>
      </c>
      <c r="F85" s="74">
        <f t="shared" ref="F85:O85" si="22">SUM(F83:F84)</f>
        <v>0</v>
      </c>
      <c r="G85" s="74">
        <f t="shared" si="22"/>
        <v>0</v>
      </c>
      <c r="H85" s="74">
        <f t="shared" si="22"/>
        <v>0</v>
      </c>
      <c r="I85" s="74">
        <f t="shared" si="22"/>
        <v>246000</v>
      </c>
      <c r="J85" s="74">
        <f t="shared" si="22"/>
        <v>0</v>
      </c>
      <c r="K85" s="74">
        <f t="shared" si="22"/>
        <v>0</v>
      </c>
      <c r="L85" s="74">
        <f t="shared" si="22"/>
        <v>0</v>
      </c>
      <c r="M85" s="74">
        <f t="shared" si="22"/>
        <v>0</v>
      </c>
      <c r="N85" s="74">
        <f t="shared" si="22"/>
        <v>0</v>
      </c>
      <c r="O85" s="74">
        <f t="shared" si="22"/>
        <v>0</v>
      </c>
    </row>
    <row r="87" spans="4:15" x14ac:dyDescent="0.15">
      <c r="D87" s="26" t="s">
        <v>520</v>
      </c>
      <c r="E87" s="26">
        <v>1</v>
      </c>
      <c r="F87" s="26">
        <v>2</v>
      </c>
      <c r="G87" s="26">
        <v>3</v>
      </c>
      <c r="H87" s="26">
        <v>4</v>
      </c>
      <c r="I87" s="26">
        <v>5</v>
      </c>
      <c r="J87" s="26">
        <v>6</v>
      </c>
      <c r="K87" s="26">
        <v>7</v>
      </c>
      <c r="L87" s="26">
        <v>8</v>
      </c>
      <c r="M87" s="26">
        <v>9</v>
      </c>
      <c r="N87" s="26">
        <v>10</v>
      </c>
      <c r="O87" s="26" t="s">
        <v>284</v>
      </c>
    </row>
    <row r="88" spans="4:15" ht="28" x14ac:dyDescent="0.15">
      <c r="D88" s="23" t="s">
        <v>626</v>
      </c>
      <c r="E88" s="57"/>
      <c r="F88" s="57"/>
      <c r="G88" s="57"/>
      <c r="H88" s="57"/>
      <c r="I88" s="57"/>
      <c r="J88" s="57"/>
      <c r="K88" s="57"/>
      <c r="L88" s="57"/>
      <c r="M88" s="57"/>
      <c r="N88" s="57"/>
      <c r="O88" s="57"/>
    </row>
    <row r="89" spans="4:15" x14ac:dyDescent="0.15">
      <c r="D89" s="167">
        <v>-0.25</v>
      </c>
      <c r="E89" s="169">
        <f>IF(E$4=0,0,$D71)</f>
        <v>0</v>
      </c>
      <c r="F89" s="169">
        <f t="shared" ref="F89:O89" si="23">IF(F$4=0,0,$D71)</f>
        <v>0</v>
      </c>
      <c r="G89" s="169">
        <f t="shared" si="23"/>
        <v>0</v>
      </c>
      <c r="H89" s="169">
        <f t="shared" si="23"/>
        <v>-5187771</v>
      </c>
      <c r="I89" s="169">
        <f t="shared" si="23"/>
        <v>0</v>
      </c>
      <c r="J89" s="169">
        <f t="shared" si="23"/>
        <v>0</v>
      </c>
      <c r="K89" s="169">
        <f t="shared" si="23"/>
        <v>0</v>
      </c>
      <c r="L89" s="169">
        <f t="shared" si="23"/>
        <v>0</v>
      </c>
      <c r="M89" s="169">
        <f t="shared" si="23"/>
        <v>0</v>
      </c>
      <c r="N89" s="169">
        <f t="shared" si="23"/>
        <v>0</v>
      </c>
      <c r="O89" s="169">
        <f t="shared" si="23"/>
        <v>0</v>
      </c>
    </row>
    <row r="90" spans="4:15" x14ac:dyDescent="0.15">
      <c r="D90" s="167">
        <v>-0.2</v>
      </c>
      <c r="E90" s="169">
        <f t="shared" ref="E90:O98" si="24">IF(E$4=0,0,$D72)</f>
        <v>0</v>
      </c>
      <c r="F90" s="169">
        <f t="shared" si="24"/>
        <v>0</v>
      </c>
      <c r="G90" s="169">
        <f t="shared" si="24"/>
        <v>0</v>
      </c>
      <c r="H90" s="169">
        <f t="shared" si="24"/>
        <v>-4908971</v>
      </c>
      <c r="I90" s="169">
        <f t="shared" si="24"/>
        <v>0</v>
      </c>
      <c r="J90" s="169">
        <f t="shared" si="24"/>
        <v>0</v>
      </c>
      <c r="K90" s="169">
        <f t="shared" si="24"/>
        <v>0</v>
      </c>
      <c r="L90" s="169">
        <f t="shared" si="24"/>
        <v>0</v>
      </c>
      <c r="M90" s="169">
        <f t="shared" si="24"/>
        <v>0</v>
      </c>
      <c r="N90" s="169">
        <f t="shared" si="24"/>
        <v>0</v>
      </c>
      <c r="O90" s="169">
        <f t="shared" si="24"/>
        <v>0</v>
      </c>
    </row>
    <row r="91" spans="4:15" x14ac:dyDescent="0.15">
      <c r="D91" s="167">
        <v>-0.15</v>
      </c>
      <c r="E91" s="169">
        <f t="shared" si="24"/>
        <v>0</v>
      </c>
      <c r="F91" s="169">
        <f t="shared" si="24"/>
        <v>0</v>
      </c>
      <c r="G91" s="169">
        <f t="shared" si="24"/>
        <v>0</v>
      </c>
      <c r="H91" s="169">
        <f t="shared" si="24"/>
        <v>-4630171</v>
      </c>
      <c r="I91" s="169">
        <f t="shared" si="24"/>
        <v>0</v>
      </c>
      <c r="J91" s="169">
        <f t="shared" si="24"/>
        <v>0</v>
      </c>
      <c r="K91" s="169">
        <f t="shared" si="24"/>
        <v>0</v>
      </c>
      <c r="L91" s="169">
        <f t="shared" si="24"/>
        <v>0</v>
      </c>
      <c r="M91" s="169">
        <f t="shared" si="24"/>
        <v>0</v>
      </c>
      <c r="N91" s="169">
        <f t="shared" si="24"/>
        <v>0</v>
      </c>
      <c r="O91" s="169">
        <f t="shared" si="24"/>
        <v>0</v>
      </c>
    </row>
    <row r="92" spans="4:15" x14ac:dyDescent="0.15">
      <c r="D92" s="167">
        <v>-0.1</v>
      </c>
      <c r="E92" s="169">
        <f t="shared" si="24"/>
        <v>0</v>
      </c>
      <c r="F92" s="169">
        <f t="shared" si="24"/>
        <v>0</v>
      </c>
      <c r="G92" s="169">
        <f t="shared" si="24"/>
        <v>0</v>
      </c>
      <c r="H92" s="169">
        <f t="shared" si="24"/>
        <v>-4351371</v>
      </c>
      <c r="I92" s="169">
        <f t="shared" si="24"/>
        <v>0</v>
      </c>
      <c r="J92" s="169">
        <f t="shared" si="24"/>
        <v>0</v>
      </c>
      <c r="K92" s="169">
        <f t="shared" si="24"/>
        <v>0</v>
      </c>
      <c r="L92" s="169">
        <f t="shared" si="24"/>
        <v>0</v>
      </c>
      <c r="M92" s="169">
        <f t="shared" si="24"/>
        <v>0</v>
      </c>
      <c r="N92" s="169">
        <f t="shared" si="24"/>
        <v>0</v>
      </c>
      <c r="O92" s="169">
        <f t="shared" si="24"/>
        <v>0</v>
      </c>
    </row>
    <row r="93" spans="4:15" x14ac:dyDescent="0.15">
      <c r="D93" s="167">
        <v>-0.05</v>
      </c>
      <c r="E93" s="169">
        <f t="shared" si="24"/>
        <v>0</v>
      </c>
      <c r="F93" s="169">
        <f t="shared" si="24"/>
        <v>0</v>
      </c>
      <c r="G93" s="169">
        <f t="shared" si="24"/>
        <v>0</v>
      </c>
      <c r="H93" s="169">
        <f t="shared" si="24"/>
        <v>-4072571</v>
      </c>
      <c r="I93" s="169">
        <f t="shared" si="24"/>
        <v>0</v>
      </c>
      <c r="J93" s="169">
        <f t="shared" si="24"/>
        <v>0</v>
      </c>
      <c r="K93" s="169">
        <f t="shared" si="24"/>
        <v>0</v>
      </c>
      <c r="L93" s="169">
        <f t="shared" si="24"/>
        <v>0</v>
      </c>
      <c r="M93" s="169">
        <f t="shared" si="24"/>
        <v>0</v>
      </c>
      <c r="N93" s="169">
        <f t="shared" si="24"/>
        <v>0</v>
      </c>
      <c r="O93" s="169">
        <f t="shared" si="24"/>
        <v>0</v>
      </c>
    </row>
    <row r="94" spans="4:15" x14ac:dyDescent="0.15">
      <c r="D94" s="167">
        <v>0.05</v>
      </c>
      <c r="E94" s="169">
        <f t="shared" si="24"/>
        <v>0</v>
      </c>
      <c r="F94" s="169">
        <f t="shared" si="24"/>
        <v>0</v>
      </c>
      <c r="G94" s="169">
        <f t="shared" si="24"/>
        <v>0</v>
      </c>
      <c r="H94" s="169">
        <f t="shared" si="24"/>
        <v>-3514971</v>
      </c>
      <c r="I94" s="169">
        <f t="shared" si="24"/>
        <v>0</v>
      </c>
      <c r="J94" s="169">
        <f t="shared" si="24"/>
        <v>0</v>
      </c>
      <c r="K94" s="169">
        <f t="shared" si="24"/>
        <v>0</v>
      </c>
      <c r="L94" s="169">
        <f t="shared" si="24"/>
        <v>0</v>
      </c>
      <c r="M94" s="169">
        <f t="shared" si="24"/>
        <v>0</v>
      </c>
      <c r="N94" s="169">
        <f t="shared" si="24"/>
        <v>0</v>
      </c>
      <c r="O94" s="169">
        <f t="shared" si="24"/>
        <v>0</v>
      </c>
    </row>
    <row r="95" spans="4:15" x14ac:dyDescent="0.15">
      <c r="D95" s="167">
        <v>0.1</v>
      </c>
      <c r="E95" s="169">
        <f t="shared" si="24"/>
        <v>0</v>
      </c>
      <c r="F95" s="169">
        <f t="shared" si="24"/>
        <v>0</v>
      </c>
      <c r="G95" s="169">
        <f t="shared" si="24"/>
        <v>0</v>
      </c>
      <c r="H95" s="169">
        <f t="shared" si="24"/>
        <v>-3236170.9999999991</v>
      </c>
      <c r="I95" s="169">
        <f t="shared" si="24"/>
        <v>0</v>
      </c>
      <c r="J95" s="169">
        <f t="shared" si="24"/>
        <v>0</v>
      </c>
      <c r="K95" s="169">
        <f t="shared" si="24"/>
        <v>0</v>
      </c>
      <c r="L95" s="169">
        <f t="shared" si="24"/>
        <v>0</v>
      </c>
      <c r="M95" s="169">
        <f t="shared" si="24"/>
        <v>0</v>
      </c>
      <c r="N95" s="169">
        <f t="shared" si="24"/>
        <v>0</v>
      </c>
      <c r="O95" s="169">
        <f t="shared" si="24"/>
        <v>0</v>
      </c>
    </row>
    <row r="96" spans="4:15" x14ac:dyDescent="0.15">
      <c r="D96" s="167">
        <v>0.15</v>
      </c>
      <c r="E96" s="169">
        <f t="shared" si="24"/>
        <v>0</v>
      </c>
      <c r="F96" s="169">
        <f t="shared" si="24"/>
        <v>0</v>
      </c>
      <c r="G96" s="169">
        <f t="shared" si="24"/>
        <v>0</v>
      </c>
      <c r="H96" s="169">
        <f t="shared" si="24"/>
        <v>-2957371.0000000009</v>
      </c>
      <c r="I96" s="169">
        <f t="shared" si="24"/>
        <v>0</v>
      </c>
      <c r="J96" s="169">
        <f t="shared" si="24"/>
        <v>0</v>
      </c>
      <c r="K96" s="169">
        <f t="shared" si="24"/>
        <v>0</v>
      </c>
      <c r="L96" s="169">
        <f t="shared" si="24"/>
        <v>0</v>
      </c>
      <c r="M96" s="169">
        <f t="shared" si="24"/>
        <v>0</v>
      </c>
      <c r="N96" s="169">
        <f t="shared" si="24"/>
        <v>0</v>
      </c>
      <c r="O96" s="169">
        <f t="shared" si="24"/>
        <v>0</v>
      </c>
    </row>
    <row r="97" spans="4:15" x14ac:dyDescent="0.15">
      <c r="D97" s="167">
        <v>0.2</v>
      </c>
      <c r="E97" s="169">
        <f t="shared" si="24"/>
        <v>0</v>
      </c>
      <c r="F97" s="169">
        <f t="shared" si="24"/>
        <v>0</v>
      </c>
      <c r="G97" s="169">
        <f t="shared" si="24"/>
        <v>0</v>
      </c>
      <c r="H97" s="169">
        <f t="shared" si="24"/>
        <v>-2678571</v>
      </c>
      <c r="I97" s="169">
        <f t="shared" si="24"/>
        <v>0</v>
      </c>
      <c r="J97" s="169">
        <f t="shared" si="24"/>
        <v>0</v>
      </c>
      <c r="K97" s="169">
        <f t="shared" si="24"/>
        <v>0</v>
      </c>
      <c r="L97" s="169">
        <f t="shared" si="24"/>
        <v>0</v>
      </c>
      <c r="M97" s="169">
        <f t="shared" si="24"/>
        <v>0</v>
      </c>
      <c r="N97" s="169">
        <f t="shared" si="24"/>
        <v>0</v>
      </c>
      <c r="O97" s="169">
        <f t="shared" si="24"/>
        <v>0</v>
      </c>
    </row>
    <row r="98" spans="4:15" x14ac:dyDescent="0.15">
      <c r="D98" s="167">
        <v>0.25</v>
      </c>
      <c r="E98" s="169">
        <f t="shared" si="24"/>
        <v>0</v>
      </c>
      <c r="F98" s="169">
        <f t="shared" si="24"/>
        <v>0</v>
      </c>
      <c r="G98" s="169">
        <f t="shared" si="24"/>
        <v>0</v>
      </c>
      <c r="H98" s="169">
        <f t="shared" si="24"/>
        <v>-2399771</v>
      </c>
      <c r="I98" s="169">
        <f t="shared" si="24"/>
        <v>0</v>
      </c>
      <c r="J98" s="169">
        <f t="shared" si="24"/>
        <v>0</v>
      </c>
      <c r="K98" s="169">
        <f t="shared" si="24"/>
        <v>0</v>
      </c>
      <c r="L98" s="169">
        <f t="shared" si="24"/>
        <v>0</v>
      </c>
      <c r="M98" s="169">
        <f t="shared" si="24"/>
        <v>0</v>
      </c>
      <c r="N98" s="169">
        <f t="shared" si="24"/>
        <v>0</v>
      </c>
      <c r="O98" s="169">
        <f t="shared" si="24"/>
        <v>0</v>
      </c>
    </row>
    <row r="99" spans="4:15" ht="28" x14ac:dyDescent="0.15">
      <c r="D99" s="23" t="s">
        <v>627</v>
      </c>
      <c r="E99" s="57"/>
      <c r="F99" s="57"/>
      <c r="G99" s="57"/>
      <c r="H99" s="57"/>
      <c r="I99" s="57"/>
      <c r="J99" s="57"/>
      <c r="K99" s="57"/>
      <c r="L99" s="57"/>
      <c r="M99" s="57"/>
      <c r="N99" s="57"/>
      <c r="O99" s="57"/>
    </row>
    <row r="100" spans="4:15" x14ac:dyDescent="0.15">
      <c r="D100" s="167">
        <v>-0.25</v>
      </c>
      <c r="E100" s="169">
        <f>IF(E$5=0,0,$G71)</f>
        <v>0</v>
      </c>
      <c r="F100" s="169">
        <f>IF(F$5=0,0,$G71)</f>
        <v>0</v>
      </c>
      <c r="G100" s="169">
        <f t="shared" ref="G100:O100" si="25">IF(G$5=0,0,$G71)</f>
        <v>0</v>
      </c>
      <c r="H100" s="169">
        <f t="shared" si="25"/>
        <v>-623364</v>
      </c>
      <c r="I100" s="169">
        <f t="shared" si="25"/>
        <v>0</v>
      </c>
      <c r="J100" s="169">
        <f t="shared" si="25"/>
        <v>0</v>
      </c>
      <c r="K100" s="169">
        <f t="shared" si="25"/>
        <v>0</v>
      </c>
      <c r="L100" s="169">
        <f t="shared" si="25"/>
        <v>0</v>
      </c>
      <c r="M100" s="169">
        <f t="shared" si="25"/>
        <v>0</v>
      </c>
      <c r="N100" s="169">
        <f t="shared" si="25"/>
        <v>0</v>
      </c>
      <c r="O100" s="169">
        <f t="shared" si="25"/>
        <v>0</v>
      </c>
    </row>
    <row r="101" spans="4:15" x14ac:dyDescent="0.15">
      <c r="D101" s="167">
        <v>-0.2</v>
      </c>
      <c r="E101" s="169">
        <f t="shared" ref="E101:F109" si="26">IF(E$5=0,0,$G72)</f>
        <v>0</v>
      </c>
      <c r="F101" s="169">
        <f t="shared" si="26"/>
        <v>0</v>
      </c>
      <c r="G101" s="169">
        <f t="shared" ref="G101:O101" si="27">IF(G$5=0,0,$G72)</f>
        <v>0</v>
      </c>
      <c r="H101" s="169">
        <f t="shared" si="27"/>
        <v>-520864</v>
      </c>
      <c r="I101" s="169">
        <f t="shared" si="27"/>
        <v>0</v>
      </c>
      <c r="J101" s="169">
        <f t="shared" si="27"/>
        <v>0</v>
      </c>
      <c r="K101" s="169">
        <f t="shared" si="27"/>
        <v>0</v>
      </c>
      <c r="L101" s="169">
        <f t="shared" si="27"/>
        <v>0</v>
      </c>
      <c r="M101" s="169">
        <f t="shared" si="27"/>
        <v>0</v>
      </c>
      <c r="N101" s="169">
        <f t="shared" si="27"/>
        <v>0</v>
      </c>
      <c r="O101" s="169">
        <f t="shared" si="27"/>
        <v>0</v>
      </c>
    </row>
    <row r="102" spans="4:15" x14ac:dyDescent="0.15">
      <c r="D102" s="167">
        <v>-0.15</v>
      </c>
      <c r="E102" s="169">
        <f t="shared" si="26"/>
        <v>0</v>
      </c>
      <c r="F102" s="169">
        <f t="shared" si="26"/>
        <v>0</v>
      </c>
      <c r="G102" s="169">
        <f t="shared" ref="G102:O102" si="28">IF(G$5=0,0,$G73)</f>
        <v>0</v>
      </c>
      <c r="H102" s="169">
        <f t="shared" si="28"/>
        <v>-418364</v>
      </c>
      <c r="I102" s="169">
        <f t="shared" si="28"/>
        <v>0</v>
      </c>
      <c r="J102" s="169">
        <f t="shared" si="28"/>
        <v>0</v>
      </c>
      <c r="K102" s="169">
        <f t="shared" si="28"/>
        <v>0</v>
      </c>
      <c r="L102" s="169">
        <f t="shared" si="28"/>
        <v>0</v>
      </c>
      <c r="M102" s="169">
        <f t="shared" si="28"/>
        <v>0</v>
      </c>
      <c r="N102" s="169">
        <f t="shared" si="28"/>
        <v>0</v>
      </c>
      <c r="O102" s="169">
        <f t="shared" si="28"/>
        <v>0</v>
      </c>
    </row>
    <row r="103" spans="4:15" x14ac:dyDescent="0.15">
      <c r="D103" s="167">
        <v>-0.1</v>
      </c>
      <c r="E103" s="169">
        <f t="shared" si="26"/>
        <v>0</v>
      </c>
      <c r="F103" s="169">
        <f t="shared" si="26"/>
        <v>0</v>
      </c>
      <c r="G103" s="169">
        <f t="shared" ref="G103:O103" si="29">IF(G$5=0,0,$G74)</f>
        <v>0</v>
      </c>
      <c r="H103" s="169">
        <f t="shared" si="29"/>
        <v>-315864</v>
      </c>
      <c r="I103" s="169">
        <f t="shared" si="29"/>
        <v>0</v>
      </c>
      <c r="J103" s="169">
        <f t="shared" si="29"/>
        <v>0</v>
      </c>
      <c r="K103" s="169">
        <f t="shared" si="29"/>
        <v>0</v>
      </c>
      <c r="L103" s="169">
        <f t="shared" si="29"/>
        <v>0</v>
      </c>
      <c r="M103" s="169">
        <f t="shared" si="29"/>
        <v>0</v>
      </c>
      <c r="N103" s="169">
        <f t="shared" si="29"/>
        <v>0</v>
      </c>
      <c r="O103" s="169">
        <f t="shared" si="29"/>
        <v>0</v>
      </c>
    </row>
    <row r="104" spans="4:15" x14ac:dyDescent="0.15">
      <c r="D104" s="167">
        <v>-0.05</v>
      </c>
      <c r="E104" s="169">
        <f t="shared" si="26"/>
        <v>0</v>
      </c>
      <c r="F104" s="169">
        <f t="shared" si="26"/>
        <v>0</v>
      </c>
      <c r="G104" s="169">
        <f t="shared" ref="G104:O104" si="30">IF(G$5=0,0,$G75)</f>
        <v>0</v>
      </c>
      <c r="H104" s="169">
        <f t="shared" si="30"/>
        <v>-213364</v>
      </c>
      <c r="I104" s="169">
        <f t="shared" si="30"/>
        <v>0</v>
      </c>
      <c r="J104" s="169">
        <f t="shared" si="30"/>
        <v>0</v>
      </c>
      <c r="K104" s="169">
        <f t="shared" si="30"/>
        <v>0</v>
      </c>
      <c r="L104" s="169">
        <f t="shared" si="30"/>
        <v>0</v>
      </c>
      <c r="M104" s="169">
        <f t="shared" si="30"/>
        <v>0</v>
      </c>
      <c r="N104" s="169">
        <f t="shared" si="30"/>
        <v>0</v>
      </c>
      <c r="O104" s="169">
        <f t="shared" si="30"/>
        <v>0</v>
      </c>
    </row>
    <row r="105" spans="4:15" x14ac:dyDescent="0.15">
      <c r="D105" s="167">
        <v>0.05</v>
      </c>
      <c r="E105" s="169">
        <f t="shared" si="26"/>
        <v>0</v>
      </c>
      <c r="F105" s="169">
        <f t="shared" si="26"/>
        <v>0</v>
      </c>
      <c r="G105" s="169">
        <f t="shared" ref="G105:O105" si="31">IF(G$5=0,0,$G76)</f>
        <v>0</v>
      </c>
      <c r="H105" s="169">
        <f t="shared" si="31"/>
        <v>-8364</v>
      </c>
      <c r="I105" s="169">
        <f t="shared" si="31"/>
        <v>0</v>
      </c>
      <c r="J105" s="169">
        <f t="shared" si="31"/>
        <v>0</v>
      </c>
      <c r="K105" s="169">
        <f t="shared" si="31"/>
        <v>0</v>
      </c>
      <c r="L105" s="169">
        <f t="shared" si="31"/>
        <v>0</v>
      </c>
      <c r="M105" s="169">
        <f t="shared" si="31"/>
        <v>0</v>
      </c>
      <c r="N105" s="169">
        <f t="shared" si="31"/>
        <v>0</v>
      </c>
      <c r="O105" s="169">
        <f t="shared" si="31"/>
        <v>0</v>
      </c>
    </row>
    <row r="106" spans="4:15" x14ac:dyDescent="0.15">
      <c r="D106" s="167">
        <v>0.1</v>
      </c>
      <c r="E106" s="169">
        <f t="shared" si="26"/>
        <v>0</v>
      </c>
      <c r="F106" s="169">
        <f t="shared" si="26"/>
        <v>0</v>
      </c>
      <c r="G106" s="169">
        <f t="shared" ref="G106:O106" si="32">IF(G$5=0,0,$G77)</f>
        <v>0</v>
      </c>
      <c r="H106" s="169">
        <f t="shared" si="32"/>
        <v>94136</v>
      </c>
      <c r="I106" s="169">
        <f t="shared" si="32"/>
        <v>0</v>
      </c>
      <c r="J106" s="169">
        <f t="shared" si="32"/>
        <v>0</v>
      </c>
      <c r="K106" s="169">
        <f t="shared" si="32"/>
        <v>0</v>
      </c>
      <c r="L106" s="169">
        <f t="shared" si="32"/>
        <v>0</v>
      </c>
      <c r="M106" s="169">
        <f t="shared" si="32"/>
        <v>0</v>
      </c>
      <c r="N106" s="169">
        <f t="shared" si="32"/>
        <v>0</v>
      </c>
      <c r="O106" s="169">
        <f t="shared" si="32"/>
        <v>0</v>
      </c>
    </row>
    <row r="107" spans="4:15" x14ac:dyDescent="0.15">
      <c r="D107" s="167">
        <v>0.15</v>
      </c>
      <c r="E107" s="169">
        <f t="shared" si="26"/>
        <v>0</v>
      </c>
      <c r="F107" s="169">
        <f t="shared" si="26"/>
        <v>0</v>
      </c>
      <c r="G107" s="169">
        <f t="shared" ref="G107:O107" si="33">IF(G$5=0,0,$G78)</f>
        <v>0</v>
      </c>
      <c r="H107" s="169">
        <f t="shared" si="33"/>
        <v>196636</v>
      </c>
      <c r="I107" s="169">
        <f t="shared" si="33"/>
        <v>0</v>
      </c>
      <c r="J107" s="169">
        <f t="shared" si="33"/>
        <v>0</v>
      </c>
      <c r="K107" s="169">
        <f t="shared" si="33"/>
        <v>0</v>
      </c>
      <c r="L107" s="169">
        <f t="shared" si="33"/>
        <v>0</v>
      </c>
      <c r="M107" s="169">
        <f t="shared" si="33"/>
        <v>0</v>
      </c>
      <c r="N107" s="169">
        <f t="shared" si="33"/>
        <v>0</v>
      </c>
      <c r="O107" s="169">
        <f t="shared" si="33"/>
        <v>0</v>
      </c>
    </row>
    <row r="108" spans="4:15" x14ac:dyDescent="0.15">
      <c r="D108" s="167">
        <v>0.2</v>
      </c>
      <c r="E108" s="169">
        <f t="shared" si="26"/>
        <v>0</v>
      </c>
      <c r="F108" s="169">
        <f t="shared" si="26"/>
        <v>0</v>
      </c>
      <c r="G108" s="169">
        <f t="shared" ref="G108:O108" si="34">IF(G$5=0,0,$G79)</f>
        <v>0</v>
      </c>
      <c r="H108" s="169">
        <f t="shared" si="34"/>
        <v>299136</v>
      </c>
      <c r="I108" s="169">
        <f t="shared" si="34"/>
        <v>0</v>
      </c>
      <c r="J108" s="169">
        <f t="shared" si="34"/>
        <v>0</v>
      </c>
      <c r="K108" s="169">
        <f t="shared" si="34"/>
        <v>0</v>
      </c>
      <c r="L108" s="169">
        <f t="shared" si="34"/>
        <v>0</v>
      </c>
      <c r="M108" s="169">
        <f t="shared" si="34"/>
        <v>0</v>
      </c>
      <c r="N108" s="169">
        <f t="shared" si="34"/>
        <v>0</v>
      </c>
      <c r="O108" s="169">
        <f t="shared" si="34"/>
        <v>0</v>
      </c>
    </row>
    <row r="109" spans="4:15" x14ac:dyDescent="0.15">
      <c r="D109" s="167">
        <v>0.25</v>
      </c>
      <c r="E109" s="169">
        <f t="shared" si="26"/>
        <v>0</v>
      </c>
      <c r="F109" s="169">
        <f t="shared" si="26"/>
        <v>0</v>
      </c>
      <c r="G109" s="169">
        <f t="shared" ref="G109:O109" si="35">IF(G$5=0,0,$G80)</f>
        <v>0</v>
      </c>
      <c r="H109" s="169">
        <f t="shared" si="35"/>
        <v>401636</v>
      </c>
      <c r="I109" s="169">
        <f t="shared" si="35"/>
        <v>0</v>
      </c>
      <c r="J109" s="169">
        <f t="shared" si="35"/>
        <v>0</v>
      </c>
      <c r="K109" s="169">
        <f t="shared" si="35"/>
        <v>0</v>
      </c>
      <c r="L109" s="169">
        <f t="shared" si="35"/>
        <v>0</v>
      </c>
      <c r="M109" s="169">
        <f t="shared" si="35"/>
        <v>0</v>
      </c>
      <c r="N109" s="169">
        <f t="shared" si="35"/>
        <v>0</v>
      </c>
      <c r="O109" s="169">
        <f t="shared" si="35"/>
        <v>0</v>
      </c>
    </row>
    <row r="110" spans="4:15" ht="28" x14ac:dyDescent="0.15">
      <c r="D110" s="23" t="s">
        <v>628</v>
      </c>
      <c r="E110" s="57"/>
      <c r="F110" s="57"/>
      <c r="G110" s="57"/>
      <c r="H110" s="57"/>
      <c r="I110" s="57"/>
      <c r="J110" s="57"/>
      <c r="K110" s="57"/>
      <c r="L110" s="57"/>
      <c r="M110" s="57"/>
      <c r="N110" s="57"/>
      <c r="O110" s="57"/>
    </row>
    <row r="111" spans="4:15" x14ac:dyDescent="0.15">
      <c r="D111" s="167">
        <v>-0.25</v>
      </c>
      <c r="E111" s="169">
        <f>IF(E$6=0,0,$J71)</f>
        <v>0</v>
      </c>
      <c r="F111" s="169">
        <f t="shared" ref="F111:O111" si="36">IF(F$6=0,0,$J71)</f>
        <v>0</v>
      </c>
      <c r="G111" s="169">
        <f t="shared" si="36"/>
        <v>0</v>
      </c>
      <c r="H111" s="169">
        <f t="shared" si="36"/>
        <v>-64156.800000000003</v>
      </c>
      <c r="I111" s="169">
        <f t="shared" si="36"/>
        <v>0</v>
      </c>
      <c r="J111" s="169">
        <f t="shared" si="36"/>
        <v>0</v>
      </c>
      <c r="K111" s="169">
        <f t="shared" si="36"/>
        <v>0</v>
      </c>
      <c r="L111" s="169">
        <f t="shared" si="36"/>
        <v>0</v>
      </c>
      <c r="M111" s="169">
        <f t="shared" si="36"/>
        <v>0</v>
      </c>
      <c r="N111" s="169">
        <f t="shared" si="36"/>
        <v>0</v>
      </c>
      <c r="O111" s="169">
        <f t="shared" si="36"/>
        <v>0</v>
      </c>
    </row>
    <row r="112" spans="4:15" x14ac:dyDescent="0.15">
      <c r="D112" s="167">
        <v>-0.2</v>
      </c>
      <c r="E112" s="169">
        <f t="shared" ref="E112:O120" si="37">IF(E$6=0,0,$J72)</f>
        <v>0</v>
      </c>
      <c r="F112" s="169">
        <f t="shared" si="37"/>
        <v>0</v>
      </c>
      <c r="G112" s="169">
        <f t="shared" si="37"/>
        <v>0</v>
      </c>
      <c r="H112" s="169">
        <f t="shared" si="37"/>
        <v>-60876.800000000003</v>
      </c>
      <c r="I112" s="169">
        <f t="shared" si="37"/>
        <v>0</v>
      </c>
      <c r="J112" s="169">
        <f t="shared" si="37"/>
        <v>0</v>
      </c>
      <c r="K112" s="169">
        <f t="shared" si="37"/>
        <v>0</v>
      </c>
      <c r="L112" s="169">
        <f t="shared" si="37"/>
        <v>0</v>
      </c>
      <c r="M112" s="169">
        <f t="shared" si="37"/>
        <v>0</v>
      </c>
      <c r="N112" s="169">
        <f t="shared" si="37"/>
        <v>0</v>
      </c>
      <c r="O112" s="169">
        <f t="shared" si="37"/>
        <v>0</v>
      </c>
    </row>
    <row r="113" spans="4:15" x14ac:dyDescent="0.15">
      <c r="D113" s="167">
        <v>-0.15</v>
      </c>
      <c r="E113" s="169">
        <f t="shared" si="37"/>
        <v>0</v>
      </c>
      <c r="F113" s="169">
        <f t="shared" si="37"/>
        <v>0</v>
      </c>
      <c r="G113" s="169">
        <f t="shared" si="37"/>
        <v>0</v>
      </c>
      <c r="H113" s="169">
        <f t="shared" si="37"/>
        <v>-57596.800000000003</v>
      </c>
      <c r="I113" s="169">
        <f t="shared" si="37"/>
        <v>0</v>
      </c>
      <c r="J113" s="169">
        <f t="shared" si="37"/>
        <v>0</v>
      </c>
      <c r="K113" s="169">
        <f t="shared" si="37"/>
        <v>0</v>
      </c>
      <c r="L113" s="169">
        <f t="shared" si="37"/>
        <v>0</v>
      </c>
      <c r="M113" s="169">
        <f t="shared" si="37"/>
        <v>0</v>
      </c>
      <c r="N113" s="169">
        <f t="shared" si="37"/>
        <v>0</v>
      </c>
      <c r="O113" s="169">
        <f t="shared" si="37"/>
        <v>0</v>
      </c>
    </row>
    <row r="114" spans="4:15" x14ac:dyDescent="0.15">
      <c r="D114" s="167">
        <v>-0.1</v>
      </c>
      <c r="E114" s="169">
        <f t="shared" si="37"/>
        <v>0</v>
      </c>
      <c r="F114" s="169">
        <f t="shared" si="37"/>
        <v>0</v>
      </c>
      <c r="G114" s="169">
        <f t="shared" si="37"/>
        <v>0</v>
      </c>
      <c r="H114" s="169">
        <f t="shared" si="37"/>
        <v>-54316.800000000003</v>
      </c>
      <c r="I114" s="169">
        <f t="shared" si="37"/>
        <v>0</v>
      </c>
      <c r="J114" s="169">
        <f t="shared" si="37"/>
        <v>0</v>
      </c>
      <c r="K114" s="169">
        <f t="shared" si="37"/>
        <v>0</v>
      </c>
      <c r="L114" s="169">
        <f t="shared" si="37"/>
        <v>0</v>
      </c>
      <c r="M114" s="169">
        <f t="shared" si="37"/>
        <v>0</v>
      </c>
      <c r="N114" s="169">
        <f t="shared" si="37"/>
        <v>0</v>
      </c>
      <c r="O114" s="169">
        <f t="shared" si="37"/>
        <v>0</v>
      </c>
    </row>
    <row r="115" spans="4:15" x14ac:dyDescent="0.15">
      <c r="D115" s="167">
        <v>-0.05</v>
      </c>
      <c r="E115" s="169">
        <f t="shared" si="37"/>
        <v>0</v>
      </c>
      <c r="F115" s="169">
        <f t="shared" si="37"/>
        <v>0</v>
      </c>
      <c r="G115" s="169">
        <f t="shared" si="37"/>
        <v>0</v>
      </c>
      <c r="H115" s="169">
        <f t="shared" si="37"/>
        <v>-51036.800000000003</v>
      </c>
      <c r="I115" s="169">
        <f t="shared" si="37"/>
        <v>0</v>
      </c>
      <c r="J115" s="169">
        <f t="shared" si="37"/>
        <v>0</v>
      </c>
      <c r="K115" s="169">
        <f t="shared" si="37"/>
        <v>0</v>
      </c>
      <c r="L115" s="169">
        <f t="shared" si="37"/>
        <v>0</v>
      </c>
      <c r="M115" s="169">
        <f t="shared" si="37"/>
        <v>0</v>
      </c>
      <c r="N115" s="169">
        <f t="shared" si="37"/>
        <v>0</v>
      </c>
      <c r="O115" s="169">
        <f t="shared" si="37"/>
        <v>0</v>
      </c>
    </row>
    <row r="116" spans="4:15" x14ac:dyDescent="0.15">
      <c r="D116" s="167">
        <v>0.05</v>
      </c>
      <c r="E116" s="169">
        <f t="shared" si="37"/>
        <v>0</v>
      </c>
      <c r="F116" s="169">
        <f t="shared" si="37"/>
        <v>0</v>
      </c>
      <c r="G116" s="169">
        <f t="shared" si="37"/>
        <v>0</v>
      </c>
      <c r="H116" s="169">
        <f t="shared" si="37"/>
        <v>-44476.800000000003</v>
      </c>
      <c r="I116" s="169">
        <f t="shared" si="37"/>
        <v>0</v>
      </c>
      <c r="J116" s="169">
        <f t="shared" si="37"/>
        <v>0</v>
      </c>
      <c r="K116" s="169">
        <f t="shared" si="37"/>
        <v>0</v>
      </c>
      <c r="L116" s="169">
        <f t="shared" si="37"/>
        <v>0</v>
      </c>
      <c r="M116" s="169">
        <f t="shared" si="37"/>
        <v>0</v>
      </c>
      <c r="N116" s="169">
        <f t="shared" si="37"/>
        <v>0</v>
      </c>
      <c r="O116" s="169">
        <f t="shared" si="37"/>
        <v>0</v>
      </c>
    </row>
    <row r="117" spans="4:15" x14ac:dyDescent="0.15">
      <c r="D117" s="167">
        <v>0.1</v>
      </c>
      <c r="E117" s="169">
        <f t="shared" si="37"/>
        <v>0</v>
      </c>
      <c r="F117" s="169">
        <f t="shared" si="37"/>
        <v>0</v>
      </c>
      <c r="G117" s="169">
        <f t="shared" si="37"/>
        <v>0</v>
      </c>
      <c r="H117" s="169">
        <f t="shared" si="37"/>
        <v>-41196.800000000003</v>
      </c>
      <c r="I117" s="169">
        <f t="shared" si="37"/>
        <v>0</v>
      </c>
      <c r="J117" s="169">
        <f t="shared" si="37"/>
        <v>0</v>
      </c>
      <c r="K117" s="169">
        <f t="shared" si="37"/>
        <v>0</v>
      </c>
      <c r="L117" s="169">
        <f t="shared" si="37"/>
        <v>0</v>
      </c>
      <c r="M117" s="169">
        <f t="shared" si="37"/>
        <v>0</v>
      </c>
      <c r="N117" s="169">
        <f t="shared" si="37"/>
        <v>0</v>
      </c>
      <c r="O117" s="169">
        <f t="shared" si="37"/>
        <v>0</v>
      </c>
    </row>
    <row r="118" spans="4:15" x14ac:dyDescent="0.15">
      <c r="D118" s="167">
        <v>0.15</v>
      </c>
      <c r="E118" s="169">
        <f t="shared" si="37"/>
        <v>0</v>
      </c>
      <c r="F118" s="169">
        <f t="shared" si="37"/>
        <v>0</v>
      </c>
      <c r="G118" s="169">
        <f t="shared" si="37"/>
        <v>0</v>
      </c>
      <c r="H118" s="169">
        <f t="shared" si="37"/>
        <v>-37916.800000000003</v>
      </c>
      <c r="I118" s="169">
        <f t="shared" si="37"/>
        <v>0</v>
      </c>
      <c r="J118" s="169">
        <f t="shared" si="37"/>
        <v>0</v>
      </c>
      <c r="K118" s="169">
        <f t="shared" si="37"/>
        <v>0</v>
      </c>
      <c r="L118" s="169">
        <f t="shared" si="37"/>
        <v>0</v>
      </c>
      <c r="M118" s="169">
        <f t="shared" si="37"/>
        <v>0</v>
      </c>
      <c r="N118" s="169">
        <f t="shared" si="37"/>
        <v>0</v>
      </c>
      <c r="O118" s="169">
        <f t="shared" si="37"/>
        <v>0</v>
      </c>
    </row>
    <row r="119" spans="4:15" x14ac:dyDescent="0.15">
      <c r="D119" s="167">
        <v>0.2</v>
      </c>
      <c r="E119" s="169">
        <f t="shared" si="37"/>
        <v>0</v>
      </c>
      <c r="F119" s="169">
        <f t="shared" si="37"/>
        <v>0</v>
      </c>
      <c r="G119" s="169">
        <f t="shared" si="37"/>
        <v>0</v>
      </c>
      <c r="H119" s="169">
        <f t="shared" si="37"/>
        <v>-34636.800000000003</v>
      </c>
      <c r="I119" s="169">
        <f t="shared" si="37"/>
        <v>0</v>
      </c>
      <c r="J119" s="169">
        <f t="shared" si="37"/>
        <v>0</v>
      </c>
      <c r="K119" s="169">
        <f t="shared" si="37"/>
        <v>0</v>
      </c>
      <c r="L119" s="169">
        <f t="shared" si="37"/>
        <v>0</v>
      </c>
      <c r="M119" s="169">
        <f t="shared" si="37"/>
        <v>0</v>
      </c>
      <c r="N119" s="169">
        <f t="shared" si="37"/>
        <v>0</v>
      </c>
      <c r="O119" s="169">
        <f t="shared" si="37"/>
        <v>0</v>
      </c>
    </row>
    <row r="120" spans="4:15" x14ac:dyDescent="0.15">
      <c r="D120" s="167">
        <v>0.25</v>
      </c>
      <c r="E120" s="169">
        <f t="shared" si="37"/>
        <v>0</v>
      </c>
      <c r="F120" s="169">
        <f t="shared" si="37"/>
        <v>0</v>
      </c>
      <c r="G120" s="169">
        <f t="shared" si="37"/>
        <v>0</v>
      </c>
      <c r="H120" s="169">
        <f t="shared" si="37"/>
        <v>-31356.799999999999</v>
      </c>
      <c r="I120" s="169">
        <f t="shared" si="37"/>
        <v>0</v>
      </c>
      <c r="J120" s="169">
        <f t="shared" si="37"/>
        <v>0</v>
      </c>
      <c r="K120" s="169">
        <f t="shared" si="37"/>
        <v>0</v>
      </c>
      <c r="L120" s="169">
        <f t="shared" si="37"/>
        <v>0</v>
      </c>
      <c r="M120" s="169">
        <f t="shared" si="37"/>
        <v>0</v>
      </c>
      <c r="N120" s="169">
        <f t="shared" si="37"/>
        <v>0</v>
      </c>
      <c r="O120" s="169">
        <f t="shared" si="37"/>
        <v>0</v>
      </c>
    </row>
    <row r="121" spans="4:15" ht="28" x14ac:dyDescent="0.15">
      <c r="D121" s="23" t="s">
        <v>629</v>
      </c>
      <c r="E121" s="57"/>
      <c r="F121" s="57"/>
      <c r="G121" s="57"/>
      <c r="H121" s="57"/>
      <c r="I121" s="57"/>
      <c r="J121" s="57"/>
      <c r="K121" s="57"/>
      <c r="L121" s="57"/>
      <c r="M121" s="57"/>
      <c r="N121" s="57"/>
      <c r="O121" s="57"/>
    </row>
    <row r="122" spans="4:15" x14ac:dyDescent="0.15">
      <c r="D122" s="167">
        <v>-0.25</v>
      </c>
      <c r="E122" s="169">
        <f>IF(E$7=0,0,$M71)</f>
        <v>0</v>
      </c>
      <c r="F122" s="169">
        <f t="shared" ref="F122:O122" si="38">IF(F$7=0,0,$M71)</f>
        <v>0</v>
      </c>
      <c r="G122" s="169">
        <f t="shared" si="38"/>
        <v>0</v>
      </c>
      <c r="H122" s="169">
        <f t="shared" si="38"/>
        <v>0</v>
      </c>
      <c r="I122" s="169">
        <f t="shared" si="38"/>
        <v>0</v>
      </c>
      <c r="J122" s="169">
        <f t="shared" si="38"/>
        <v>0</v>
      </c>
      <c r="K122" s="169">
        <f t="shared" si="38"/>
        <v>0</v>
      </c>
      <c r="L122" s="169">
        <f t="shared" si="38"/>
        <v>0</v>
      </c>
      <c r="M122" s="169">
        <f t="shared" si="38"/>
        <v>0</v>
      </c>
      <c r="N122" s="169">
        <f t="shared" si="38"/>
        <v>0</v>
      </c>
      <c r="O122" s="169">
        <f t="shared" si="38"/>
        <v>0</v>
      </c>
    </row>
    <row r="123" spans="4:15" x14ac:dyDescent="0.15">
      <c r="D123" s="167">
        <v>-0.2</v>
      </c>
      <c r="E123" s="169">
        <f t="shared" ref="E123:O131" si="39">IF(E$7=0,0,$M72)</f>
        <v>0</v>
      </c>
      <c r="F123" s="169">
        <f t="shared" si="39"/>
        <v>0</v>
      </c>
      <c r="G123" s="169">
        <f t="shared" si="39"/>
        <v>0</v>
      </c>
      <c r="H123" s="169">
        <f t="shared" si="39"/>
        <v>0</v>
      </c>
      <c r="I123" s="169">
        <f t="shared" si="39"/>
        <v>0</v>
      </c>
      <c r="J123" s="169">
        <f t="shared" si="39"/>
        <v>0</v>
      </c>
      <c r="K123" s="169">
        <f t="shared" si="39"/>
        <v>0</v>
      </c>
      <c r="L123" s="169">
        <f t="shared" si="39"/>
        <v>0</v>
      </c>
      <c r="M123" s="169">
        <f t="shared" si="39"/>
        <v>0</v>
      </c>
      <c r="N123" s="169">
        <f t="shared" si="39"/>
        <v>0</v>
      </c>
      <c r="O123" s="169">
        <f t="shared" si="39"/>
        <v>0</v>
      </c>
    </row>
    <row r="124" spans="4:15" x14ac:dyDescent="0.15">
      <c r="D124" s="167">
        <v>-0.15</v>
      </c>
      <c r="E124" s="169">
        <f t="shared" si="39"/>
        <v>0</v>
      </c>
      <c r="F124" s="169">
        <f t="shared" si="39"/>
        <v>0</v>
      </c>
      <c r="G124" s="169">
        <f t="shared" si="39"/>
        <v>0</v>
      </c>
      <c r="H124" s="169">
        <f t="shared" si="39"/>
        <v>0</v>
      </c>
      <c r="I124" s="169">
        <f t="shared" si="39"/>
        <v>0</v>
      </c>
      <c r="J124" s="169">
        <f t="shared" si="39"/>
        <v>0</v>
      </c>
      <c r="K124" s="169">
        <f t="shared" si="39"/>
        <v>0</v>
      </c>
      <c r="L124" s="169">
        <f t="shared" si="39"/>
        <v>0</v>
      </c>
      <c r="M124" s="169">
        <f t="shared" si="39"/>
        <v>0</v>
      </c>
      <c r="N124" s="169">
        <f t="shared" si="39"/>
        <v>0</v>
      </c>
      <c r="O124" s="169">
        <f t="shared" si="39"/>
        <v>0</v>
      </c>
    </row>
    <row r="125" spans="4:15" x14ac:dyDescent="0.15">
      <c r="D125" s="167">
        <v>-0.1</v>
      </c>
      <c r="E125" s="169">
        <f t="shared" si="39"/>
        <v>0</v>
      </c>
      <c r="F125" s="169">
        <f t="shared" si="39"/>
        <v>0</v>
      </c>
      <c r="G125" s="169">
        <f t="shared" si="39"/>
        <v>0</v>
      </c>
      <c r="H125" s="169">
        <f t="shared" si="39"/>
        <v>0</v>
      </c>
      <c r="I125" s="169">
        <f t="shared" si="39"/>
        <v>0</v>
      </c>
      <c r="J125" s="169">
        <f t="shared" si="39"/>
        <v>0</v>
      </c>
      <c r="K125" s="169">
        <f t="shared" si="39"/>
        <v>0</v>
      </c>
      <c r="L125" s="169">
        <f t="shared" si="39"/>
        <v>0</v>
      </c>
      <c r="M125" s="169">
        <f t="shared" si="39"/>
        <v>0</v>
      </c>
      <c r="N125" s="169">
        <f t="shared" si="39"/>
        <v>0</v>
      </c>
      <c r="O125" s="169">
        <f t="shared" si="39"/>
        <v>0</v>
      </c>
    </row>
    <row r="126" spans="4:15" x14ac:dyDescent="0.15">
      <c r="D126" s="167">
        <v>-0.05</v>
      </c>
      <c r="E126" s="169">
        <f t="shared" si="39"/>
        <v>0</v>
      </c>
      <c r="F126" s="169">
        <f t="shared" si="39"/>
        <v>0</v>
      </c>
      <c r="G126" s="169">
        <f t="shared" si="39"/>
        <v>0</v>
      </c>
      <c r="H126" s="169">
        <f t="shared" si="39"/>
        <v>0</v>
      </c>
      <c r="I126" s="169">
        <f t="shared" si="39"/>
        <v>0</v>
      </c>
      <c r="J126" s="169">
        <f t="shared" si="39"/>
        <v>0</v>
      </c>
      <c r="K126" s="169">
        <f t="shared" si="39"/>
        <v>0</v>
      </c>
      <c r="L126" s="169">
        <f t="shared" si="39"/>
        <v>0</v>
      </c>
      <c r="M126" s="169">
        <f t="shared" si="39"/>
        <v>0</v>
      </c>
      <c r="N126" s="169">
        <f t="shared" si="39"/>
        <v>0</v>
      </c>
      <c r="O126" s="169">
        <f t="shared" si="39"/>
        <v>0</v>
      </c>
    </row>
    <row r="127" spans="4:15" x14ac:dyDescent="0.15">
      <c r="D127" s="167">
        <v>0.05</v>
      </c>
      <c r="E127" s="169">
        <f t="shared" si="39"/>
        <v>0</v>
      </c>
      <c r="F127" s="169">
        <f t="shared" si="39"/>
        <v>0</v>
      </c>
      <c r="G127" s="169">
        <f t="shared" si="39"/>
        <v>0</v>
      </c>
      <c r="H127" s="169">
        <f t="shared" si="39"/>
        <v>0</v>
      </c>
      <c r="I127" s="169">
        <f t="shared" si="39"/>
        <v>0</v>
      </c>
      <c r="J127" s="169">
        <f t="shared" si="39"/>
        <v>0</v>
      </c>
      <c r="K127" s="169">
        <f t="shared" si="39"/>
        <v>0</v>
      </c>
      <c r="L127" s="169">
        <f t="shared" si="39"/>
        <v>0</v>
      </c>
      <c r="M127" s="169">
        <f t="shared" si="39"/>
        <v>0</v>
      </c>
      <c r="N127" s="169">
        <f t="shared" si="39"/>
        <v>0</v>
      </c>
      <c r="O127" s="169">
        <f t="shared" si="39"/>
        <v>0</v>
      </c>
    </row>
    <row r="128" spans="4:15" x14ac:dyDescent="0.15">
      <c r="D128" s="167">
        <v>0.1</v>
      </c>
      <c r="E128" s="169">
        <f t="shared" si="39"/>
        <v>0</v>
      </c>
      <c r="F128" s="169">
        <f t="shared" si="39"/>
        <v>0</v>
      </c>
      <c r="G128" s="169">
        <f t="shared" si="39"/>
        <v>0</v>
      </c>
      <c r="H128" s="169">
        <f t="shared" si="39"/>
        <v>0</v>
      </c>
      <c r="I128" s="169">
        <f t="shared" si="39"/>
        <v>0</v>
      </c>
      <c r="J128" s="169">
        <f t="shared" si="39"/>
        <v>0</v>
      </c>
      <c r="K128" s="169">
        <f t="shared" si="39"/>
        <v>0</v>
      </c>
      <c r="L128" s="169">
        <f t="shared" si="39"/>
        <v>0</v>
      </c>
      <c r="M128" s="169">
        <f t="shared" si="39"/>
        <v>0</v>
      </c>
      <c r="N128" s="169">
        <f t="shared" si="39"/>
        <v>0</v>
      </c>
      <c r="O128" s="169">
        <f t="shared" si="39"/>
        <v>0</v>
      </c>
    </row>
    <row r="129" spans="4:15" x14ac:dyDescent="0.15">
      <c r="D129" s="167">
        <v>0.15</v>
      </c>
      <c r="E129" s="169">
        <f t="shared" si="39"/>
        <v>0</v>
      </c>
      <c r="F129" s="169">
        <f t="shared" si="39"/>
        <v>0</v>
      </c>
      <c r="G129" s="169">
        <f t="shared" si="39"/>
        <v>0</v>
      </c>
      <c r="H129" s="169">
        <f t="shared" si="39"/>
        <v>0</v>
      </c>
      <c r="I129" s="169">
        <f t="shared" si="39"/>
        <v>0</v>
      </c>
      <c r="J129" s="169">
        <f t="shared" si="39"/>
        <v>0</v>
      </c>
      <c r="K129" s="169">
        <f t="shared" si="39"/>
        <v>0</v>
      </c>
      <c r="L129" s="169">
        <f t="shared" si="39"/>
        <v>0</v>
      </c>
      <c r="M129" s="169">
        <f t="shared" si="39"/>
        <v>0</v>
      </c>
      <c r="N129" s="169">
        <f t="shared" si="39"/>
        <v>0</v>
      </c>
      <c r="O129" s="169">
        <f t="shared" si="39"/>
        <v>0</v>
      </c>
    </row>
    <row r="130" spans="4:15" x14ac:dyDescent="0.15">
      <c r="D130" s="167">
        <v>0.2</v>
      </c>
      <c r="E130" s="169">
        <f t="shared" si="39"/>
        <v>0</v>
      </c>
      <c r="F130" s="169">
        <f t="shared" si="39"/>
        <v>0</v>
      </c>
      <c r="G130" s="169">
        <f t="shared" si="39"/>
        <v>0</v>
      </c>
      <c r="H130" s="169">
        <f t="shared" si="39"/>
        <v>0</v>
      </c>
      <c r="I130" s="169">
        <f t="shared" si="39"/>
        <v>0</v>
      </c>
      <c r="J130" s="169">
        <f t="shared" si="39"/>
        <v>0</v>
      </c>
      <c r="K130" s="169">
        <f t="shared" si="39"/>
        <v>0</v>
      </c>
      <c r="L130" s="169">
        <f t="shared" si="39"/>
        <v>0</v>
      </c>
      <c r="M130" s="169">
        <f t="shared" si="39"/>
        <v>0</v>
      </c>
      <c r="N130" s="169">
        <f t="shared" si="39"/>
        <v>0</v>
      </c>
      <c r="O130" s="169">
        <f t="shared" si="39"/>
        <v>0</v>
      </c>
    </row>
    <row r="131" spans="4:15" x14ac:dyDescent="0.15">
      <c r="D131" s="167">
        <v>0.25</v>
      </c>
      <c r="E131" s="169">
        <f t="shared" si="39"/>
        <v>0</v>
      </c>
      <c r="F131" s="169">
        <f t="shared" si="39"/>
        <v>0</v>
      </c>
      <c r="G131" s="169">
        <f t="shared" si="39"/>
        <v>0</v>
      </c>
      <c r="H131" s="169">
        <f t="shared" si="39"/>
        <v>0</v>
      </c>
      <c r="I131" s="169">
        <f t="shared" si="39"/>
        <v>0</v>
      </c>
      <c r="J131" s="169">
        <f t="shared" si="39"/>
        <v>0</v>
      </c>
      <c r="K131" s="169">
        <f t="shared" si="39"/>
        <v>0</v>
      </c>
      <c r="L131" s="169">
        <f t="shared" si="39"/>
        <v>0</v>
      </c>
      <c r="M131" s="169">
        <f t="shared" si="39"/>
        <v>0</v>
      </c>
      <c r="N131" s="169">
        <f t="shared" si="39"/>
        <v>0</v>
      </c>
      <c r="O131" s="169">
        <f t="shared" si="39"/>
        <v>0</v>
      </c>
    </row>
    <row r="132" spans="4:15" x14ac:dyDescent="0.15">
      <c r="D132" s="28" t="s">
        <v>591</v>
      </c>
      <c r="E132" s="57"/>
      <c r="F132" s="57"/>
      <c r="G132" s="57"/>
      <c r="H132" s="57"/>
      <c r="I132" s="57"/>
      <c r="J132" s="57"/>
      <c r="K132" s="57"/>
      <c r="L132" s="57"/>
      <c r="M132" s="57"/>
      <c r="N132" s="57"/>
      <c r="O132" s="57"/>
    </row>
    <row r="133" spans="4:15" x14ac:dyDescent="0.15">
      <c r="D133" s="167">
        <v>-0.25</v>
      </c>
      <c r="E133" s="170">
        <f>E89+E100+E111+E122+E$85</f>
        <v>0</v>
      </c>
      <c r="F133" s="170">
        <f t="shared" ref="F133:O133" si="40">F89+F100+F111+F122+F$85</f>
        <v>0</v>
      </c>
      <c r="G133" s="170">
        <f t="shared" si="40"/>
        <v>0</v>
      </c>
      <c r="H133" s="170">
        <f t="shared" si="40"/>
        <v>-5875291.7999999998</v>
      </c>
      <c r="I133" s="170">
        <f t="shared" si="40"/>
        <v>246000</v>
      </c>
      <c r="J133" s="170">
        <f t="shared" si="40"/>
        <v>0</v>
      </c>
      <c r="K133" s="170">
        <f t="shared" si="40"/>
        <v>0</v>
      </c>
      <c r="L133" s="170">
        <f t="shared" si="40"/>
        <v>0</v>
      </c>
      <c r="M133" s="170">
        <f t="shared" si="40"/>
        <v>0</v>
      </c>
      <c r="N133" s="170">
        <f t="shared" si="40"/>
        <v>0</v>
      </c>
      <c r="O133" s="170">
        <f t="shared" si="40"/>
        <v>0</v>
      </c>
    </row>
    <row r="134" spans="4:15" x14ac:dyDescent="0.15">
      <c r="D134" s="167">
        <v>-0.2</v>
      </c>
      <c r="E134" s="170">
        <f t="shared" ref="E134:O142" si="41">E90+E101+E112+E123+E$85</f>
        <v>0</v>
      </c>
      <c r="F134" s="170">
        <f t="shared" si="41"/>
        <v>0</v>
      </c>
      <c r="G134" s="170">
        <f t="shared" si="41"/>
        <v>0</v>
      </c>
      <c r="H134" s="170">
        <f t="shared" si="41"/>
        <v>-5490711.7999999998</v>
      </c>
      <c r="I134" s="170">
        <f t="shared" si="41"/>
        <v>246000</v>
      </c>
      <c r="J134" s="170">
        <f t="shared" si="41"/>
        <v>0</v>
      </c>
      <c r="K134" s="170">
        <f t="shared" si="41"/>
        <v>0</v>
      </c>
      <c r="L134" s="170">
        <f t="shared" si="41"/>
        <v>0</v>
      </c>
      <c r="M134" s="170">
        <f t="shared" si="41"/>
        <v>0</v>
      </c>
      <c r="N134" s="170">
        <f t="shared" si="41"/>
        <v>0</v>
      </c>
      <c r="O134" s="170">
        <f t="shared" si="41"/>
        <v>0</v>
      </c>
    </row>
    <row r="135" spans="4:15" x14ac:dyDescent="0.15">
      <c r="D135" s="167">
        <v>-0.15</v>
      </c>
      <c r="E135" s="170">
        <f t="shared" si="41"/>
        <v>0</v>
      </c>
      <c r="F135" s="170">
        <f t="shared" si="41"/>
        <v>0</v>
      </c>
      <c r="G135" s="170">
        <f t="shared" si="41"/>
        <v>0</v>
      </c>
      <c r="H135" s="170">
        <f t="shared" si="41"/>
        <v>-5106131.8</v>
      </c>
      <c r="I135" s="170">
        <f t="shared" si="41"/>
        <v>246000</v>
      </c>
      <c r="J135" s="170">
        <f t="shared" si="41"/>
        <v>0</v>
      </c>
      <c r="K135" s="170">
        <f t="shared" si="41"/>
        <v>0</v>
      </c>
      <c r="L135" s="170">
        <f t="shared" si="41"/>
        <v>0</v>
      </c>
      <c r="M135" s="170">
        <f t="shared" si="41"/>
        <v>0</v>
      </c>
      <c r="N135" s="170">
        <f t="shared" si="41"/>
        <v>0</v>
      </c>
      <c r="O135" s="170">
        <f t="shared" si="41"/>
        <v>0</v>
      </c>
    </row>
    <row r="136" spans="4:15" x14ac:dyDescent="0.15">
      <c r="D136" s="167">
        <v>-0.1</v>
      </c>
      <c r="E136" s="170">
        <f t="shared" si="41"/>
        <v>0</v>
      </c>
      <c r="F136" s="170">
        <f t="shared" si="41"/>
        <v>0</v>
      </c>
      <c r="G136" s="170">
        <f t="shared" si="41"/>
        <v>0</v>
      </c>
      <c r="H136" s="170">
        <f t="shared" si="41"/>
        <v>-4721551.8</v>
      </c>
      <c r="I136" s="170">
        <f t="shared" si="41"/>
        <v>246000</v>
      </c>
      <c r="J136" s="170">
        <f t="shared" si="41"/>
        <v>0</v>
      </c>
      <c r="K136" s="170">
        <f t="shared" si="41"/>
        <v>0</v>
      </c>
      <c r="L136" s="170">
        <f t="shared" si="41"/>
        <v>0</v>
      </c>
      <c r="M136" s="170">
        <f t="shared" si="41"/>
        <v>0</v>
      </c>
      <c r="N136" s="170">
        <f t="shared" si="41"/>
        <v>0</v>
      </c>
      <c r="O136" s="170">
        <f t="shared" si="41"/>
        <v>0</v>
      </c>
    </row>
    <row r="137" spans="4:15" x14ac:dyDescent="0.15">
      <c r="D137" s="167">
        <v>-0.05</v>
      </c>
      <c r="E137" s="170">
        <f t="shared" si="41"/>
        <v>0</v>
      </c>
      <c r="F137" s="170">
        <f t="shared" si="41"/>
        <v>0</v>
      </c>
      <c r="G137" s="170">
        <f t="shared" si="41"/>
        <v>0</v>
      </c>
      <c r="H137" s="170">
        <f t="shared" si="41"/>
        <v>-4336971.8</v>
      </c>
      <c r="I137" s="170">
        <f t="shared" si="41"/>
        <v>246000</v>
      </c>
      <c r="J137" s="170">
        <f t="shared" si="41"/>
        <v>0</v>
      </c>
      <c r="K137" s="170">
        <f t="shared" si="41"/>
        <v>0</v>
      </c>
      <c r="L137" s="170">
        <f t="shared" si="41"/>
        <v>0</v>
      </c>
      <c r="M137" s="170">
        <f t="shared" si="41"/>
        <v>0</v>
      </c>
      <c r="N137" s="170">
        <f t="shared" si="41"/>
        <v>0</v>
      </c>
      <c r="O137" s="170">
        <f t="shared" si="41"/>
        <v>0</v>
      </c>
    </row>
    <row r="138" spans="4:15" x14ac:dyDescent="0.15">
      <c r="D138" s="167">
        <v>0.05</v>
      </c>
      <c r="E138" s="170">
        <f t="shared" si="41"/>
        <v>0</v>
      </c>
      <c r="F138" s="170">
        <f t="shared" si="41"/>
        <v>0</v>
      </c>
      <c r="G138" s="170">
        <f t="shared" si="41"/>
        <v>0</v>
      </c>
      <c r="H138" s="170">
        <f t="shared" si="41"/>
        <v>-3567811.8</v>
      </c>
      <c r="I138" s="170">
        <f t="shared" si="41"/>
        <v>246000</v>
      </c>
      <c r="J138" s="170">
        <f t="shared" si="41"/>
        <v>0</v>
      </c>
      <c r="K138" s="170">
        <f t="shared" si="41"/>
        <v>0</v>
      </c>
      <c r="L138" s="170">
        <f t="shared" si="41"/>
        <v>0</v>
      </c>
      <c r="M138" s="170">
        <f t="shared" si="41"/>
        <v>0</v>
      </c>
      <c r="N138" s="170">
        <f t="shared" si="41"/>
        <v>0</v>
      </c>
      <c r="O138" s="170">
        <f t="shared" si="41"/>
        <v>0</v>
      </c>
    </row>
    <row r="139" spans="4:15" x14ac:dyDescent="0.15">
      <c r="D139" s="167">
        <v>0.1</v>
      </c>
      <c r="E139" s="170">
        <f t="shared" si="41"/>
        <v>0</v>
      </c>
      <c r="F139" s="170">
        <f t="shared" si="41"/>
        <v>0</v>
      </c>
      <c r="G139" s="170">
        <f t="shared" si="41"/>
        <v>0</v>
      </c>
      <c r="H139" s="170">
        <f t="shared" si="41"/>
        <v>-3183231.7999999989</v>
      </c>
      <c r="I139" s="170">
        <f t="shared" si="41"/>
        <v>246000</v>
      </c>
      <c r="J139" s="170">
        <f t="shared" si="41"/>
        <v>0</v>
      </c>
      <c r="K139" s="170">
        <f t="shared" si="41"/>
        <v>0</v>
      </c>
      <c r="L139" s="170">
        <f t="shared" si="41"/>
        <v>0</v>
      </c>
      <c r="M139" s="170">
        <f t="shared" si="41"/>
        <v>0</v>
      </c>
      <c r="N139" s="170">
        <f t="shared" si="41"/>
        <v>0</v>
      </c>
      <c r="O139" s="170">
        <f t="shared" si="41"/>
        <v>0</v>
      </c>
    </row>
    <row r="140" spans="4:15" x14ac:dyDescent="0.15">
      <c r="D140" s="167">
        <v>0.15</v>
      </c>
      <c r="E140" s="170">
        <f t="shared" si="41"/>
        <v>0</v>
      </c>
      <c r="F140" s="170">
        <f t="shared" si="41"/>
        <v>0</v>
      </c>
      <c r="G140" s="170">
        <f t="shared" si="41"/>
        <v>0</v>
      </c>
      <c r="H140" s="170">
        <f t="shared" si="41"/>
        <v>-2798651.8000000007</v>
      </c>
      <c r="I140" s="170">
        <f t="shared" si="41"/>
        <v>246000</v>
      </c>
      <c r="J140" s="170">
        <f t="shared" si="41"/>
        <v>0</v>
      </c>
      <c r="K140" s="170">
        <f t="shared" si="41"/>
        <v>0</v>
      </c>
      <c r="L140" s="170">
        <f t="shared" si="41"/>
        <v>0</v>
      </c>
      <c r="M140" s="170">
        <f t="shared" si="41"/>
        <v>0</v>
      </c>
      <c r="N140" s="170">
        <f t="shared" si="41"/>
        <v>0</v>
      </c>
      <c r="O140" s="170">
        <f t="shared" si="41"/>
        <v>0</v>
      </c>
    </row>
    <row r="141" spans="4:15" x14ac:dyDescent="0.15">
      <c r="D141" s="167">
        <v>0.2</v>
      </c>
      <c r="E141" s="170">
        <f t="shared" si="41"/>
        <v>0</v>
      </c>
      <c r="F141" s="170">
        <f t="shared" si="41"/>
        <v>0</v>
      </c>
      <c r="G141" s="170">
        <f t="shared" si="41"/>
        <v>0</v>
      </c>
      <c r="H141" s="170">
        <f t="shared" si="41"/>
        <v>-2414071.7999999998</v>
      </c>
      <c r="I141" s="170">
        <f t="shared" si="41"/>
        <v>246000</v>
      </c>
      <c r="J141" s="170">
        <f t="shared" si="41"/>
        <v>0</v>
      </c>
      <c r="K141" s="170">
        <f t="shared" si="41"/>
        <v>0</v>
      </c>
      <c r="L141" s="170">
        <f t="shared" si="41"/>
        <v>0</v>
      </c>
      <c r="M141" s="170">
        <f t="shared" si="41"/>
        <v>0</v>
      </c>
      <c r="N141" s="170">
        <f t="shared" si="41"/>
        <v>0</v>
      </c>
      <c r="O141" s="170">
        <f t="shared" si="41"/>
        <v>0</v>
      </c>
    </row>
    <row r="142" spans="4:15" x14ac:dyDescent="0.15">
      <c r="D142" s="167">
        <v>0.25</v>
      </c>
      <c r="E142" s="170">
        <f t="shared" si="41"/>
        <v>0</v>
      </c>
      <c r="F142" s="170">
        <f t="shared" si="41"/>
        <v>0</v>
      </c>
      <c r="G142" s="170">
        <f t="shared" si="41"/>
        <v>0</v>
      </c>
      <c r="H142" s="170">
        <f t="shared" si="41"/>
        <v>-2029491.8</v>
      </c>
      <c r="I142" s="170">
        <f t="shared" si="41"/>
        <v>246000</v>
      </c>
      <c r="J142" s="170">
        <f t="shared" si="41"/>
        <v>0</v>
      </c>
      <c r="K142" s="170">
        <f t="shared" si="41"/>
        <v>0</v>
      </c>
      <c r="L142" s="170">
        <f t="shared" si="41"/>
        <v>0</v>
      </c>
      <c r="M142" s="170">
        <f t="shared" si="41"/>
        <v>0</v>
      </c>
      <c r="N142" s="170">
        <f t="shared" si="41"/>
        <v>0</v>
      </c>
      <c r="O142" s="170">
        <f t="shared" si="41"/>
        <v>0</v>
      </c>
    </row>
    <row r="145" spans="3:16" x14ac:dyDescent="0.15">
      <c r="D145" s="26" t="s">
        <v>520</v>
      </c>
      <c r="E145" s="26">
        <v>1</v>
      </c>
      <c r="F145" s="26">
        <v>2</v>
      </c>
      <c r="G145" s="26">
        <v>3</v>
      </c>
      <c r="H145" s="26">
        <v>4</v>
      </c>
      <c r="I145" s="26">
        <v>5</v>
      </c>
      <c r="J145" s="26">
        <v>6</v>
      </c>
      <c r="K145" s="26">
        <v>7</v>
      </c>
      <c r="L145" s="26">
        <v>8</v>
      </c>
      <c r="M145" s="26">
        <v>9</v>
      </c>
      <c r="N145" s="26">
        <v>10</v>
      </c>
      <c r="O145" s="26" t="s">
        <v>284</v>
      </c>
    </row>
    <row r="146" spans="3:16" ht="28" x14ac:dyDescent="0.15">
      <c r="D146" s="153" t="s">
        <v>600</v>
      </c>
      <c r="E146" s="725">
        <f>IF(E4=0,0,E27)</f>
        <v>0</v>
      </c>
      <c r="F146" s="725">
        <f t="shared" ref="F146:O146" si="42">IF(F4=0,0,F27)</f>
        <v>0</v>
      </c>
      <c r="G146" s="725">
        <f t="shared" si="42"/>
        <v>0</v>
      </c>
      <c r="H146" s="725">
        <f t="shared" si="42"/>
        <v>11426550</v>
      </c>
      <c r="I146" s="725">
        <f t="shared" si="42"/>
        <v>0</v>
      </c>
      <c r="J146" s="725">
        <f t="shared" si="42"/>
        <v>0</v>
      </c>
      <c r="K146" s="725">
        <f t="shared" si="42"/>
        <v>0</v>
      </c>
      <c r="L146" s="725">
        <f t="shared" si="42"/>
        <v>0</v>
      </c>
      <c r="M146" s="725">
        <f t="shared" si="42"/>
        <v>0</v>
      </c>
      <c r="N146" s="725">
        <f t="shared" si="42"/>
        <v>0</v>
      </c>
      <c r="O146" s="725">
        <f t="shared" si="42"/>
        <v>0</v>
      </c>
    </row>
    <row r="147" spans="3:16" ht="28" x14ac:dyDescent="0.15">
      <c r="D147" s="153" t="s">
        <v>601</v>
      </c>
      <c r="E147" s="725">
        <f t="shared" ref="E147:O149" si="43">IF(E5=0,0,E28)</f>
        <v>0</v>
      </c>
      <c r="F147" s="725">
        <f t="shared" si="43"/>
        <v>0</v>
      </c>
      <c r="G147" s="725">
        <f t="shared" si="43"/>
        <v>0</v>
      </c>
      <c r="H147" s="725">
        <f t="shared" si="43"/>
        <v>2635200</v>
      </c>
      <c r="I147" s="725">
        <f t="shared" si="43"/>
        <v>0</v>
      </c>
      <c r="J147" s="725">
        <f t="shared" si="43"/>
        <v>0</v>
      </c>
      <c r="K147" s="725">
        <f t="shared" si="43"/>
        <v>0</v>
      </c>
      <c r="L147" s="725">
        <f t="shared" si="43"/>
        <v>0</v>
      </c>
      <c r="M147" s="725">
        <f t="shared" si="43"/>
        <v>0</v>
      </c>
      <c r="N147" s="725">
        <f t="shared" si="43"/>
        <v>0</v>
      </c>
      <c r="O147" s="725">
        <f t="shared" si="43"/>
        <v>0</v>
      </c>
    </row>
    <row r="148" spans="3:16" ht="28" x14ac:dyDescent="0.15">
      <c r="D148" s="153" t="s">
        <v>602</v>
      </c>
      <c r="E148" s="725">
        <f t="shared" si="43"/>
        <v>0</v>
      </c>
      <c r="F148" s="725">
        <f t="shared" si="43"/>
        <v>0</v>
      </c>
      <c r="G148" s="725">
        <f t="shared" si="43"/>
        <v>0</v>
      </c>
      <c r="H148" s="725">
        <f t="shared" si="43"/>
        <v>138240</v>
      </c>
      <c r="I148" s="725">
        <f t="shared" si="43"/>
        <v>0</v>
      </c>
      <c r="J148" s="725">
        <f t="shared" si="43"/>
        <v>0</v>
      </c>
      <c r="K148" s="725">
        <f t="shared" si="43"/>
        <v>0</v>
      </c>
      <c r="L148" s="725">
        <f t="shared" si="43"/>
        <v>0</v>
      </c>
      <c r="M148" s="725">
        <f t="shared" si="43"/>
        <v>0</v>
      </c>
      <c r="N148" s="725">
        <f t="shared" si="43"/>
        <v>0</v>
      </c>
      <c r="O148" s="725">
        <f t="shared" si="43"/>
        <v>0</v>
      </c>
    </row>
    <row r="149" spans="3:16" ht="28" x14ac:dyDescent="0.15">
      <c r="D149" s="153" t="s">
        <v>603</v>
      </c>
      <c r="E149" s="725">
        <f t="shared" si="43"/>
        <v>0</v>
      </c>
      <c r="F149" s="725">
        <f t="shared" si="43"/>
        <v>0</v>
      </c>
      <c r="G149" s="725">
        <f t="shared" si="43"/>
        <v>0</v>
      </c>
      <c r="H149" s="725">
        <f t="shared" si="43"/>
        <v>0</v>
      </c>
      <c r="I149" s="725">
        <f t="shared" si="43"/>
        <v>0</v>
      </c>
      <c r="J149" s="725">
        <f t="shared" si="43"/>
        <v>0</v>
      </c>
      <c r="K149" s="725">
        <f t="shared" si="43"/>
        <v>0</v>
      </c>
      <c r="L149" s="725">
        <f t="shared" si="43"/>
        <v>0</v>
      </c>
      <c r="M149" s="725">
        <f t="shared" si="43"/>
        <v>0</v>
      </c>
      <c r="N149" s="725">
        <f t="shared" si="43"/>
        <v>0</v>
      </c>
      <c r="O149" s="725">
        <f t="shared" si="43"/>
        <v>0</v>
      </c>
    </row>
    <row r="150" spans="3:16" x14ac:dyDescent="0.15">
      <c r="D150" s="28" t="s">
        <v>591</v>
      </c>
      <c r="E150" s="74">
        <f t="shared" ref="E150:O150" si="44">SUM(E146:E149)</f>
        <v>0</v>
      </c>
      <c r="F150" s="74">
        <f t="shared" si="44"/>
        <v>0</v>
      </c>
      <c r="G150" s="74">
        <f t="shared" si="44"/>
        <v>0</v>
      </c>
      <c r="H150" s="74">
        <f t="shared" si="44"/>
        <v>14199990</v>
      </c>
      <c r="I150" s="74">
        <f t="shared" si="44"/>
        <v>0</v>
      </c>
      <c r="J150" s="74">
        <f t="shared" si="44"/>
        <v>0</v>
      </c>
      <c r="K150" s="74">
        <f t="shared" si="44"/>
        <v>0</v>
      </c>
      <c r="L150" s="74">
        <f t="shared" si="44"/>
        <v>0</v>
      </c>
      <c r="M150" s="74">
        <f t="shared" si="44"/>
        <v>0</v>
      </c>
      <c r="N150" s="74">
        <f t="shared" si="44"/>
        <v>0</v>
      </c>
      <c r="O150" s="74">
        <f t="shared" si="44"/>
        <v>0</v>
      </c>
    </row>
    <row r="153" spans="3:16" x14ac:dyDescent="0.15">
      <c r="C153" t="s">
        <v>283</v>
      </c>
    </row>
    <row r="154" spans="3:16" x14ac:dyDescent="0.15">
      <c r="C154" s="12" t="s">
        <v>630</v>
      </c>
      <c r="D154" s="26">
        <v>0</v>
      </c>
      <c r="E154" s="26">
        <v>1</v>
      </c>
      <c r="F154" s="26">
        <v>2</v>
      </c>
      <c r="G154" s="26">
        <v>3</v>
      </c>
      <c r="H154" s="26">
        <v>4</v>
      </c>
      <c r="I154" s="26">
        <v>5</v>
      </c>
      <c r="J154" s="26">
        <v>6</v>
      </c>
      <c r="K154" s="26">
        <v>7</v>
      </c>
      <c r="L154" s="26">
        <v>8</v>
      </c>
      <c r="M154" s="26">
        <v>9</v>
      </c>
      <c r="N154" s="26">
        <v>10</v>
      </c>
      <c r="O154" s="26" t="s">
        <v>284</v>
      </c>
      <c r="P154" s="91" t="s">
        <v>216</v>
      </c>
    </row>
    <row r="155" spans="3:16" x14ac:dyDescent="0.15">
      <c r="C155" s="12" t="s">
        <v>631</v>
      </c>
      <c r="D155" s="12"/>
      <c r="E155" s="61">
        <f>'After Tax Analysis'!E8</f>
        <v>300000000</v>
      </c>
      <c r="F155" s="61">
        <f>'After Tax Analysis'!F8</f>
        <v>313500000.00000006</v>
      </c>
      <c r="G155" s="61">
        <f>'After Tax Analysis'!G8</f>
        <v>327607500.00000006</v>
      </c>
      <c r="H155" s="61">
        <f>'After Tax Analysis'!H8</f>
        <v>342349837.50000012</v>
      </c>
      <c r="I155" s="61">
        <f>'After Tax Analysis'!I8</f>
        <v>357755580.18750012</v>
      </c>
      <c r="J155" s="61">
        <f>'After Tax Analysis'!J8</f>
        <v>0</v>
      </c>
      <c r="K155" s="61">
        <f>'After Tax Analysis'!K8</f>
        <v>0</v>
      </c>
      <c r="L155" s="61">
        <f>'After Tax Analysis'!L8</f>
        <v>0</v>
      </c>
      <c r="M155" s="61">
        <f>'After Tax Analysis'!M8</f>
        <v>0</v>
      </c>
      <c r="N155" s="61">
        <f>'After Tax Analysis'!N8</f>
        <v>0</v>
      </c>
      <c r="O155" s="57"/>
      <c r="P155" s="63">
        <f t="shared" ref="P155:P166" si="45">SUM(E155:N155)</f>
        <v>1641212917.6875</v>
      </c>
    </row>
    <row r="156" spans="3:16" x14ac:dyDescent="0.15">
      <c r="C156" s="12" t="s">
        <v>632</v>
      </c>
      <c r="D156" s="12"/>
      <c r="E156" s="61">
        <f>'After Tax Analysis'!E9</f>
        <v>230170000</v>
      </c>
      <c r="F156" s="61">
        <f>'After Tax Analysis'!F9</f>
        <v>253018375.00000003</v>
      </c>
      <c r="G156" s="61">
        <f>'After Tax Analysis'!G9</f>
        <v>278725718.45125008</v>
      </c>
      <c r="H156" s="61">
        <f>'After Tax Analysis'!H9</f>
        <v>307665975.06072807</v>
      </c>
      <c r="I156" s="61">
        <f>'After Tax Analysis'!I9</f>
        <v>340262566.36057305</v>
      </c>
      <c r="J156" s="61">
        <f>'After Tax Analysis'!J9</f>
        <v>0</v>
      </c>
      <c r="K156" s="61">
        <f>'After Tax Analysis'!K9</f>
        <v>0</v>
      </c>
      <c r="L156" s="61">
        <f>'After Tax Analysis'!L9</f>
        <v>0</v>
      </c>
      <c r="M156" s="61">
        <f>'After Tax Analysis'!M9</f>
        <v>0</v>
      </c>
      <c r="N156" s="61">
        <f>'After Tax Analysis'!N9</f>
        <v>0</v>
      </c>
      <c r="O156" s="57"/>
      <c r="P156" s="63">
        <f t="shared" si="45"/>
        <v>1409842634.8725512</v>
      </c>
    </row>
    <row r="157" spans="3:16" x14ac:dyDescent="0.15">
      <c r="C157" s="12" t="s">
        <v>633</v>
      </c>
      <c r="D157" s="12"/>
      <c r="E157" s="67">
        <f>E155-E156</f>
        <v>69830000</v>
      </c>
      <c r="F157" s="67">
        <f t="shared" ref="F157:N157" si="46">F155-F156</f>
        <v>60481625.00000003</v>
      </c>
      <c r="G157" s="67">
        <f t="shared" si="46"/>
        <v>48881781.548749983</v>
      </c>
      <c r="H157" s="67">
        <f t="shared" si="46"/>
        <v>34683862.439272046</v>
      </c>
      <c r="I157" s="67">
        <f t="shared" si="46"/>
        <v>17493013.826927066</v>
      </c>
      <c r="J157" s="67">
        <f t="shared" si="46"/>
        <v>0</v>
      </c>
      <c r="K157" s="67">
        <f t="shared" si="46"/>
        <v>0</v>
      </c>
      <c r="L157" s="67">
        <f t="shared" si="46"/>
        <v>0</v>
      </c>
      <c r="M157" s="67">
        <f t="shared" si="46"/>
        <v>0</v>
      </c>
      <c r="N157" s="67">
        <f t="shared" si="46"/>
        <v>0</v>
      </c>
      <c r="O157" s="57"/>
      <c r="P157" s="67">
        <f t="shared" si="45"/>
        <v>231370282.81494913</v>
      </c>
    </row>
    <row r="158" spans="3:16" x14ac:dyDescent="0.15">
      <c r="C158" s="12" t="s">
        <v>292</v>
      </c>
      <c r="D158" s="12"/>
      <c r="E158" s="92">
        <f>'After Tax Analysis'!E11</f>
        <v>3772500</v>
      </c>
      <c r="F158" s="92">
        <f>'After Tax Analysis'!F11</f>
        <v>6218850</v>
      </c>
      <c r="G158" s="92">
        <f>'After Tax Analysis'!G11</f>
        <v>4083150</v>
      </c>
      <c r="H158" s="92">
        <f>'After Tax Analysis'!H11</f>
        <v>2775510</v>
      </c>
      <c r="I158" s="92">
        <f>'After Tax Analysis'!I11</f>
        <v>1352955</v>
      </c>
      <c r="J158" s="92">
        <f>'After Tax Analysis'!J11</f>
        <v>0</v>
      </c>
      <c r="K158" s="92">
        <f>'After Tax Analysis'!K11</f>
        <v>0</v>
      </c>
      <c r="L158" s="92">
        <f>'After Tax Analysis'!L11</f>
        <v>0</v>
      </c>
      <c r="M158" s="92">
        <f>'After Tax Analysis'!M11</f>
        <v>0</v>
      </c>
      <c r="N158" s="92">
        <f>'After Tax Analysis'!N11</f>
        <v>0</v>
      </c>
      <c r="O158" s="57"/>
      <c r="P158" s="67">
        <f t="shared" si="45"/>
        <v>18202965</v>
      </c>
    </row>
    <row r="159" spans="3:16" x14ac:dyDescent="0.15">
      <c r="C159" s="12" t="s">
        <v>633</v>
      </c>
      <c r="D159" s="12"/>
      <c r="E159" s="67">
        <f>E157-E158</f>
        <v>66057500</v>
      </c>
      <c r="F159" s="67">
        <f t="shared" ref="F159:N159" si="47">F157-F158</f>
        <v>54262775.00000003</v>
      </c>
      <c r="G159" s="67">
        <f t="shared" si="47"/>
        <v>44798631.548749983</v>
      </c>
      <c r="H159" s="67">
        <f t="shared" si="47"/>
        <v>31908352.439272046</v>
      </c>
      <c r="I159" s="67">
        <f t="shared" si="47"/>
        <v>16140058.826927066</v>
      </c>
      <c r="J159" s="67">
        <f t="shared" si="47"/>
        <v>0</v>
      </c>
      <c r="K159" s="67">
        <f t="shared" si="47"/>
        <v>0</v>
      </c>
      <c r="L159" s="67">
        <f t="shared" si="47"/>
        <v>0</v>
      </c>
      <c r="M159" s="67">
        <f t="shared" si="47"/>
        <v>0</v>
      </c>
      <c r="N159" s="67">
        <f t="shared" si="47"/>
        <v>0</v>
      </c>
      <c r="O159" s="57"/>
      <c r="P159" s="67">
        <f t="shared" si="45"/>
        <v>213167317.81494913</v>
      </c>
    </row>
    <row r="160" spans="3:16" x14ac:dyDescent="0.15">
      <c r="C160" s="12" t="s">
        <v>462</v>
      </c>
      <c r="D160" s="12"/>
      <c r="E160" s="92">
        <f>'After Tax Analysis'!E13</f>
        <v>0</v>
      </c>
      <c r="F160" s="92">
        <f>'After Tax Analysis'!F13</f>
        <v>0</v>
      </c>
      <c r="G160" s="92">
        <f>'After Tax Analysis'!G13</f>
        <v>0</v>
      </c>
      <c r="H160" s="92">
        <f>'After Tax Analysis'!H13</f>
        <v>0</v>
      </c>
      <c r="I160" s="92">
        <f>'After Tax Analysis'!I13</f>
        <v>0</v>
      </c>
      <c r="J160" s="92">
        <f>'After Tax Analysis'!J13</f>
        <v>0</v>
      </c>
      <c r="K160" s="92">
        <f>'After Tax Analysis'!K13</f>
        <v>0</v>
      </c>
      <c r="L160" s="92">
        <f>'After Tax Analysis'!L13</f>
        <v>0</v>
      </c>
      <c r="M160" s="92">
        <f>'After Tax Analysis'!M13</f>
        <v>0</v>
      </c>
      <c r="N160" s="92">
        <f>'After Tax Analysis'!N13</f>
        <v>0</v>
      </c>
      <c r="O160" s="57"/>
      <c r="P160" s="67">
        <f t="shared" si="45"/>
        <v>0</v>
      </c>
    </row>
    <row r="161" spans="3:17" x14ac:dyDescent="0.15">
      <c r="C161" s="12" t="s">
        <v>634</v>
      </c>
      <c r="D161" s="12"/>
      <c r="E161" s="67">
        <f>E159-E160</f>
        <v>66057500</v>
      </c>
      <c r="F161" s="67">
        <f t="shared" ref="F161:N161" si="48">F159-F160</f>
        <v>54262775.00000003</v>
      </c>
      <c r="G161" s="67">
        <f t="shared" si="48"/>
        <v>44798631.548749983</v>
      </c>
      <c r="H161" s="67">
        <f t="shared" si="48"/>
        <v>31908352.439272046</v>
      </c>
      <c r="I161" s="67">
        <f t="shared" si="48"/>
        <v>16140058.826927066</v>
      </c>
      <c r="J161" s="67">
        <f t="shared" si="48"/>
        <v>0</v>
      </c>
      <c r="K161" s="67">
        <f t="shared" si="48"/>
        <v>0</v>
      </c>
      <c r="L161" s="67">
        <f t="shared" si="48"/>
        <v>0</v>
      </c>
      <c r="M161" s="67">
        <f t="shared" si="48"/>
        <v>0</v>
      </c>
      <c r="N161" s="67">
        <f t="shared" si="48"/>
        <v>0</v>
      </c>
      <c r="O161" s="57"/>
      <c r="P161" s="67">
        <f t="shared" si="45"/>
        <v>213167317.81494913</v>
      </c>
    </row>
    <row r="162" spans="3:17" ht="28" x14ac:dyDescent="0.15">
      <c r="C162" s="50" t="s">
        <v>635</v>
      </c>
      <c r="D162" s="12"/>
      <c r="E162" s="67">
        <f>E161*'After Tax Analysis'!$G$3</f>
        <v>19817250</v>
      </c>
      <c r="F162" s="67">
        <f>F161*'After Tax Analysis'!$G$3</f>
        <v>16278832.500000007</v>
      </c>
      <c r="G162" s="67">
        <f>G161*'After Tax Analysis'!$G$3</f>
        <v>13439589.464624995</v>
      </c>
      <c r="H162" s="67">
        <f>H161*'After Tax Analysis'!$G$3</f>
        <v>9572505.7317816131</v>
      </c>
      <c r="I162" s="67">
        <f>I161*'After Tax Analysis'!$G$3</f>
        <v>4842017.6480781194</v>
      </c>
      <c r="J162" s="67">
        <f>J161*'After Tax Analysis'!$G$3</f>
        <v>0</v>
      </c>
      <c r="K162" s="67">
        <f>K161*'After Tax Analysis'!$G$3</f>
        <v>0</v>
      </c>
      <c r="L162" s="67">
        <f>L161*'After Tax Analysis'!$G$3</f>
        <v>0</v>
      </c>
      <c r="M162" s="67">
        <f>M161*'After Tax Analysis'!$G$3</f>
        <v>0</v>
      </c>
      <c r="N162" s="67">
        <f>N161*'After Tax Analysis'!$G$3</f>
        <v>0</v>
      </c>
      <c r="O162" s="57"/>
      <c r="P162" s="67">
        <f t="shared" si="45"/>
        <v>63950195.344484739</v>
      </c>
    </row>
    <row r="163" spans="3:17" ht="28" x14ac:dyDescent="0.15">
      <c r="C163" s="50" t="s">
        <v>128</v>
      </c>
      <c r="D163" s="12"/>
      <c r="E163" s="110">
        <f>'After Tax Analysis'!E16</f>
        <v>0</v>
      </c>
      <c r="F163" s="110">
        <f>'After Tax Analysis'!F16</f>
        <v>0</v>
      </c>
      <c r="G163" s="110">
        <f>'After Tax Analysis'!G16</f>
        <v>0</v>
      </c>
      <c r="H163" s="110">
        <f>'After Tax Analysis'!H16</f>
        <v>0</v>
      </c>
      <c r="I163" s="110">
        <f>'After Tax Analysis'!I16</f>
        <v>0</v>
      </c>
      <c r="J163" s="110">
        <f>'After Tax Analysis'!J16</f>
        <v>0</v>
      </c>
      <c r="K163" s="110">
        <f>'After Tax Analysis'!K16</f>
        <v>0</v>
      </c>
      <c r="L163" s="110">
        <f>'After Tax Analysis'!L16</f>
        <v>0</v>
      </c>
      <c r="M163" s="110">
        <f>'After Tax Analysis'!M16</f>
        <v>0</v>
      </c>
      <c r="N163" s="110">
        <f>'After Tax Analysis'!N16</f>
        <v>0</v>
      </c>
      <c r="O163" s="57"/>
      <c r="P163" s="63">
        <f t="shared" si="45"/>
        <v>0</v>
      </c>
    </row>
    <row r="164" spans="3:17" x14ac:dyDescent="0.15">
      <c r="C164" s="12" t="s">
        <v>636</v>
      </c>
      <c r="D164" s="12"/>
      <c r="E164" s="67">
        <f>E161-E162+E163</f>
        <v>46240250</v>
      </c>
      <c r="F164" s="67">
        <f t="shared" ref="F164:N164" si="49">F161-F162+F163</f>
        <v>37983942.500000022</v>
      </c>
      <c r="G164" s="67">
        <f t="shared" si="49"/>
        <v>31359042.08412499</v>
      </c>
      <c r="H164" s="67">
        <f t="shared" si="49"/>
        <v>22335846.707490433</v>
      </c>
      <c r="I164" s="67">
        <f t="shared" si="49"/>
        <v>11298041.178848946</v>
      </c>
      <c r="J164" s="67">
        <f t="shared" si="49"/>
        <v>0</v>
      </c>
      <c r="K164" s="67">
        <f t="shared" si="49"/>
        <v>0</v>
      </c>
      <c r="L164" s="67">
        <f t="shared" si="49"/>
        <v>0</v>
      </c>
      <c r="M164" s="67">
        <f t="shared" si="49"/>
        <v>0</v>
      </c>
      <c r="N164" s="67">
        <f t="shared" si="49"/>
        <v>0</v>
      </c>
      <c r="O164" s="57"/>
      <c r="P164" s="67">
        <f t="shared" si="45"/>
        <v>149217122.47046441</v>
      </c>
    </row>
    <row r="165" spans="3:17" x14ac:dyDescent="0.15">
      <c r="C165" s="12" t="s">
        <v>292</v>
      </c>
      <c r="D165" s="12"/>
      <c r="E165" s="92">
        <f>E158</f>
        <v>3772500</v>
      </c>
      <c r="F165" s="92">
        <f t="shared" ref="F165:N165" si="50">F158</f>
        <v>6218850</v>
      </c>
      <c r="G165" s="92">
        <f t="shared" si="50"/>
        <v>4083150</v>
      </c>
      <c r="H165" s="92">
        <f t="shared" si="50"/>
        <v>2775510</v>
      </c>
      <c r="I165" s="92">
        <f t="shared" si="50"/>
        <v>1352955</v>
      </c>
      <c r="J165" s="92">
        <f t="shared" si="50"/>
        <v>0</v>
      </c>
      <c r="K165" s="92">
        <f t="shared" si="50"/>
        <v>0</v>
      </c>
      <c r="L165" s="92">
        <f t="shared" si="50"/>
        <v>0</v>
      </c>
      <c r="M165" s="92">
        <f t="shared" si="50"/>
        <v>0</v>
      </c>
      <c r="N165" s="92">
        <f t="shared" si="50"/>
        <v>0</v>
      </c>
      <c r="O165" s="57"/>
      <c r="P165" s="67">
        <f t="shared" si="45"/>
        <v>18202965</v>
      </c>
    </row>
    <row r="166" spans="3:17" ht="29" thickBot="1" x14ac:dyDescent="0.2">
      <c r="C166" s="106" t="s">
        <v>637</v>
      </c>
      <c r="D166" s="94"/>
      <c r="E166" s="95">
        <f>E164+E165</f>
        <v>50012750</v>
      </c>
      <c r="F166" s="95">
        <f t="shared" ref="F166:N166" si="51">F164+F165</f>
        <v>44202792.500000022</v>
      </c>
      <c r="G166" s="95">
        <f t="shared" si="51"/>
        <v>35442192.08412499</v>
      </c>
      <c r="H166" s="95">
        <f t="shared" si="51"/>
        <v>25111356.707490433</v>
      </c>
      <c r="I166" s="95">
        <f t="shared" si="51"/>
        <v>12650996.178848946</v>
      </c>
      <c r="J166" s="95">
        <f t="shared" si="51"/>
        <v>0</v>
      </c>
      <c r="K166" s="95">
        <f t="shared" si="51"/>
        <v>0</v>
      </c>
      <c r="L166" s="95">
        <f t="shared" si="51"/>
        <v>0</v>
      </c>
      <c r="M166" s="95">
        <f t="shared" si="51"/>
        <v>0</v>
      </c>
      <c r="N166" s="95">
        <f t="shared" si="51"/>
        <v>0</v>
      </c>
      <c r="O166" s="57"/>
      <c r="P166" s="95">
        <f t="shared" si="45"/>
        <v>167420087.47046441</v>
      </c>
    </row>
    <row r="167" spans="3:17" ht="14" thickTop="1" x14ac:dyDescent="0.15">
      <c r="C167" s="96" t="s">
        <v>638</v>
      </c>
      <c r="D167" s="96"/>
      <c r="E167" s="97">
        <f>'After Tax Analysis'!E20</f>
        <v>0</v>
      </c>
      <c r="F167" s="97">
        <f>'After Tax Analysis'!F20</f>
        <v>0</v>
      </c>
      <c r="G167" s="97">
        <f>'After Tax Analysis'!G20</f>
        <v>0</v>
      </c>
      <c r="H167" s="97">
        <f>'After Tax Analysis'!H20</f>
        <v>0</v>
      </c>
      <c r="I167" s="97">
        <f>'After Tax Analysis'!I20</f>
        <v>0</v>
      </c>
      <c r="J167" s="97">
        <f>'After Tax Analysis'!J20</f>
        <v>0</v>
      </c>
      <c r="K167" s="97">
        <f>'After Tax Analysis'!K20</f>
        <v>0</v>
      </c>
      <c r="L167" s="97">
        <f>'After Tax Analysis'!L20</f>
        <v>0</v>
      </c>
      <c r="M167" s="97">
        <f>'After Tax Analysis'!M20</f>
        <v>0</v>
      </c>
      <c r="N167" s="97">
        <f>'After Tax Analysis'!N20</f>
        <v>0</v>
      </c>
      <c r="O167" s="97">
        <f>'After Tax Analysis'!O20</f>
        <v>0</v>
      </c>
      <c r="P167" s="98">
        <f>SUM(E167:O167)</f>
        <v>0</v>
      </c>
    </row>
    <row r="168" spans="3:17" x14ac:dyDescent="0.15">
      <c r="C168" s="12" t="s">
        <v>639</v>
      </c>
      <c r="D168" s="92">
        <f>D169+D170+D171</f>
        <v>-32550000</v>
      </c>
      <c r="E168" s="92"/>
      <c r="F168" s="92"/>
      <c r="G168" s="92"/>
      <c r="H168" s="92"/>
      <c r="I168" s="92"/>
      <c r="J168" s="92"/>
      <c r="K168" s="92"/>
      <c r="L168" s="92"/>
      <c r="M168" s="92"/>
      <c r="N168" s="92"/>
      <c r="O168" s="92"/>
      <c r="P168" s="67">
        <f>P169+P170+P171</f>
        <v>-18202965</v>
      </c>
    </row>
    <row r="169" spans="3:17" x14ac:dyDescent="0.15">
      <c r="C169" s="99" t="s">
        <v>207</v>
      </c>
      <c r="D169" s="92">
        <f>'After Tax Analysis'!D22</f>
        <v>-31050000</v>
      </c>
      <c r="E169" s="92">
        <f>E150</f>
        <v>0</v>
      </c>
      <c r="F169" s="92">
        <f t="shared" ref="F169:O169" si="52">F150</f>
        <v>0</v>
      </c>
      <c r="G169" s="92">
        <f t="shared" si="52"/>
        <v>0</v>
      </c>
      <c r="H169" s="92">
        <f t="shared" si="52"/>
        <v>14199990</v>
      </c>
      <c r="I169" s="92">
        <f t="shared" si="52"/>
        <v>0</v>
      </c>
      <c r="J169" s="92">
        <f t="shared" si="52"/>
        <v>0</v>
      </c>
      <c r="K169" s="92">
        <f t="shared" si="52"/>
        <v>0</v>
      </c>
      <c r="L169" s="92">
        <f t="shared" si="52"/>
        <v>0</v>
      </c>
      <c r="M169" s="92">
        <f t="shared" si="52"/>
        <v>0</v>
      </c>
      <c r="N169" s="92">
        <f t="shared" si="52"/>
        <v>0</v>
      </c>
      <c r="O169" s="92">
        <f t="shared" si="52"/>
        <v>0</v>
      </c>
      <c r="P169" s="67">
        <f>'After Tax Analysis'!P22</f>
        <v>-18202965</v>
      </c>
      <c r="Q169" s="2"/>
    </row>
    <row r="170" spans="3:17" x14ac:dyDescent="0.15">
      <c r="C170" s="99" t="s">
        <v>640</v>
      </c>
      <c r="D170" s="92">
        <f>'After Tax Analysis'!D23</f>
        <v>-1500000</v>
      </c>
      <c r="E170" s="92">
        <f>'After Tax Analysis'!E23</f>
        <v>0</v>
      </c>
      <c r="F170" s="92">
        <f>'After Tax Analysis'!F23</f>
        <v>0</v>
      </c>
      <c r="G170" s="92">
        <f>'After Tax Analysis'!G23</f>
        <v>0</v>
      </c>
      <c r="H170" s="92">
        <f>'After Tax Analysis'!H23</f>
        <v>0</v>
      </c>
      <c r="I170" s="92">
        <f>'After Tax Analysis'!I23</f>
        <v>1500000</v>
      </c>
      <c r="J170" s="92">
        <f>'After Tax Analysis'!J23</f>
        <v>0</v>
      </c>
      <c r="K170" s="92">
        <f>'After Tax Analysis'!K23</f>
        <v>0</v>
      </c>
      <c r="L170" s="92">
        <f>'After Tax Analysis'!L23</f>
        <v>0</v>
      </c>
      <c r="M170" s="92">
        <f>'After Tax Analysis'!M23</f>
        <v>0</v>
      </c>
      <c r="N170" s="92">
        <f>'After Tax Analysis'!N23</f>
        <v>0</v>
      </c>
      <c r="O170" s="92">
        <f>'After Tax Analysis'!O23</f>
        <v>0</v>
      </c>
      <c r="P170" s="67">
        <f>'After Tax Analysis'!P23</f>
        <v>0</v>
      </c>
    </row>
    <row r="171" spans="3:17" x14ac:dyDescent="0.15">
      <c r="C171" s="99" t="s">
        <v>309</v>
      </c>
      <c r="D171" s="61">
        <f>'After Tax Analysis'!D24</f>
        <v>0</v>
      </c>
      <c r="E171" s="110">
        <f>'After Tax Analysis'!E24</f>
        <v>0</v>
      </c>
      <c r="F171" s="110">
        <f>'After Tax Analysis'!F24</f>
        <v>0</v>
      </c>
      <c r="G171" s="110">
        <f>'After Tax Analysis'!G24</f>
        <v>0</v>
      </c>
      <c r="H171" s="110">
        <f>'After Tax Analysis'!H24</f>
        <v>0</v>
      </c>
      <c r="I171" s="110">
        <f>'After Tax Analysis'!I24</f>
        <v>0</v>
      </c>
      <c r="J171" s="110">
        <f>'After Tax Analysis'!J24</f>
        <v>0</v>
      </c>
      <c r="K171" s="110">
        <f>'After Tax Analysis'!K24</f>
        <v>0</v>
      </c>
      <c r="L171" s="110">
        <f>'After Tax Analysis'!L24</f>
        <v>0</v>
      </c>
      <c r="M171" s="110">
        <f>'After Tax Analysis'!M24</f>
        <v>0</v>
      </c>
      <c r="N171" s="110">
        <f>'After Tax Analysis'!N24</f>
        <v>0</v>
      </c>
      <c r="O171" s="110">
        <f>'After Tax Analysis'!O24</f>
        <v>0</v>
      </c>
      <c r="P171" s="107">
        <f>'After Tax Analysis'!P24</f>
        <v>0</v>
      </c>
    </row>
    <row r="172" spans="3:17" x14ac:dyDescent="0.15">
      <c r="C172" s="12" t="s">
        <v>311</v>
      </c>
      <c r="D172" s="162"/>
      <c r="E172" s="162"/>
      <c r="F172" s="162"/>
      <c r="G172" s="162"/>
      <c r="H172" s="162"/>
      <c r="I172" s="162"/>
      <c r="J172" s="162"/>
      <c r="K172" s="162"/>
      <c r="L172" s="162"/>
      <c r="M172" s="162"/>
      <c r="N172" s="162"/>
      <c r="O172" s="162"/>
      <c r="P172" s="171"/>
    </row>
    <row r="173" spans="3:17" x14ac:dyDescent="0.15">
      <c r="C173" s="167">
        <v>-0.25</v>
      </c>
      <c r="D173" s="162"/>
      <c r="E173" s="172">
        <f t="shared" ref="E173:O182" si="53">E133</f>
        <v>0</v>
      </c>
      <c r="F173" s="172">
        <f t="shared" si="53"/>
        <v>0</v>
      </c>
      <c r="G173" s="172">
        <f t="shared" si="53"/>
        <v>0</v>
      </c>
      <c r="H173" s="172">
        <f t="shared" si="53"/>
        <v>-5875291.7999999998</v>
      </c>
      <c r="I173" s="172">
        <f t="shared" si="53"/>
        <v>246000</v>
      </c>
      <c r="J173" s="172">
        <f t="shared" si="53"/>
        <v>0</v>
      </c>
      <c r="K173" s="172">
        <f t="shared" si="53"/>
        <v>0</v>
      </c>
      <c r="L173" s="172">
        <f t="shared" si="53"/>
        <v>0</v>
      </c>
      <c r="M173" s="172">
        <f t="shared" si="53"/>
        <v>0</v>
      </c>
      <c r="N173" s="172">
        <f t="shared" si="53"/>
        <v>0</v>
      </c>
      <c r="O173" s="172">
        <f t="shared" si="53"/>
        <v>0</v>
      </c>
      <c r="P173" s="173">
        <f>SUM(E173:O173)</f>
        <v>-5629291.7999999998</v>
      </c>
    </row>
    <row r="174" spans="3:17" x14ac:dyDescent="0.15">
      <c r="C174" s="167">
        <v>-0.2</v>
      </c>
      <c r="D174" s="162"/>
      <c r="E174" s="172">
        <f t="shared" si="53"/>
        <v>0</v>
      </c>
      <c r="F174" s="172">
        <f t="shared" si="53"/>
        <v>0</v>
      </c>
      <c r="G174" s="172">
        <f t="shared" si="53"/>
        <v>0</v>
      </c>
      <c r="H174" s="172">
        <f t="shared" si="53"/>
        <v>-5490711.7999999998</v>
      </c>
      <c r="I174" s="172">
        <f t="shared" si="53"/>
        <v>246000</v>
      </c>
      <c r="J174" s="172">
        <f t="shared" si="53"/>
        <v>0</v>
      </c>
      <c r="K174" s="172">
        <f t="shared" si="53"/>
        <v>0</v>
      </c>
      <c r="L174" s="172">
        <f t="shared" si="53"/>
        <v>0</v>
      </c>
      <c r="M174" s="172">
        <f t="shared" si="53"/>
        <v>0</v>
      </c>
      <c r="N174" s="172">
        <f t="shared" si="53"/>
        <v>0</v>
      </c>
      <c r="O174" s="172">
        <f t="shared" si="53"/>
        <v>0</v>
      </c>
      <c r="P174" s="173">
        <f t="shared" ref="P174:P182" si="54">SUM(E174:O174)</f>
        <v>-5244711.8</v>
      </c>
    </row>
    <row r="175" spans="3:17" x14ac:dyDescent="0.15">
      <c r="C175" s="167">
        <v>-0.15</v>
      </c>
      <c r="D175" s="162"/>
      <c r="E175" s="172">
        <f t="shared" si="53"/>
        <v>0</v>
      </c>
      <c r="F175" s="172">
        <f t="shared" si="53"/>
        <v>0</v>
      </c>
      <c r="G175" s="172">
        <f t="shared" si="53"/>
        <v>0</v>
      </c>
      <c r="H175" s="172">
        <f t="shared" si="53"/>
        <v>-5106131.8</v>
      </c>
      <c r="I175" s="172">
        <f t="shared" si="53"/>
        <v>246000</v>
      </c>
      <c r="J175" s="172">
        <f t="shared" si="53"/>
        <v>0</v>
      </c>
      <c r="K175" s="172">
        <f t="shared" si="53"/>
        <v>0</v>
      </c>
      <c r="L175" s="172">
        <f t="shared" si="53"/>
        <v>0</v>
      </c>
      <c r="M175" s="172">
        <f t="shared" si="53"/>
        <v>0</v>
      </c>
      <c r="N175" s="172">
        <f t="shared" si="53"/>
        <v>0</v>
      </c>
      <c r="O175" s="172">
        <f t="shared" si="53"/>
        <v>0</v>
      </c>
      <c r="P175" s="173">
        <f t="shared" si="54"/>
        <v>-4860131.8</v>
      </c>
    </row>
    <row r="176" spans="3:17" x14ac:dyDescent="0.15">
      <c r="C176" s="167">
        <v>-0.1</v>
      </c>
      <c r="D176" s="162"/>
      <c r="E176" s="172">
        <f t="shared" si="53"/>
        <v>0</v>
      </c>
      <c r="F176" s="172">
        <f t="shared" si="53"/>
        <v>0</v>
      </c>
      <c r="G176" s="172">
        <f t="shared" si="53"/>
        <v>0</v>
      </c>
      <c r="H176" s="172">
        <f t="shared" si="53"/>
        <v>-4721551.8</v>
      </c>
      <c r="I176" s="172">
        <f t="shared" si="53"/>
        <v>246000</v>
      </c>
      <c r="J176" s="172">
        <f t="shared" si="53"/>
        <v>0</v>
      </c>
      <c r="K176" s="172">
        <f t="shared" si="53"/>
        <v>0</v>
      </c>
      <c r="L176" s="172">
        <f t="shared" si="53"/>
        <v>0</v>
      </c>
      <c r="M176" s="172">
        <f t="shared" si="53"/>
        <v>0</v>
      </c>
      <c r="N176" s="172">
        <f t="shared" si="53"/>
        <v>0</v>
      </c>
      <c r="O176" s="172">
        <f t="shared" si="53"/>
        <v>0</v>
      </c>
      <c r="P176" s="173">
        <f t="shared" si="54"/>
        <v>-4475551.8</v>
      </c>
    </row>
    <row r="177" spans="3:16" x14ac:dyDescent="0.15">
      <c r="C177" s="167">
        <v>-0.05</v>
      </c>
      <c r="D177" s="162"/>
      <c r="E177" s="172">
        <f t="shared" si="53"/>
        <v>0</v>
      </c>
      <c r="F177" s="172">
        <f t="shared" si="53"/>
        <v>0</v>
      </c>
      <c r="G177" s="172">
        <f t="shared" si="53"/>
        <v>0</v>
      </c>
      <c r="H177" s="172">
        <f t="shared" si="53"/>
        <v>-4336971.8</v>
      </c>
      <c r="I177" s="172">
        <f t="shared" si="53"/>
        <v>246000</v>
      </c>
      <c r="J177" s="172">
        <f t="shared" si="53"/>
        <v>0</v>
      </c>
      <c r="K177" s="172">
        <f t="shared" si="53"/>
        <v>0</v>
      </c>
      <c r="L177" s="172">
        <f t="shared" si="53"/>
        <v>0</v>
      </c>
      <c r="M177" s="172">
        <f t="shared" si="53"/>
        <v>0</v>
      </c>
      <c r="N177" s="172">
        <f t="shared" si="53"/>
        <v>0</v>
      </c>
      <c r="O177" s="172">
        <f t="shared" si="53"/>
        <v>0</v>
      </c>
      <c r="P177" s="173">
        <f t="shared" si="54"/>
        <v>-4090971.8</v>
      </c>
    </row>
    <row r="178" spans="3:16" x14ac:dyDescent="0.15">
      <c r="C178" s="167">
        <v>0.05</v>
      </c>
      <c r="D178" s="162"/>
      <c r="E178" s="172">
        <f t="shared" si="53"/>
        <v>0</v>
      </c>
      <c r="F178" s="172">
        <f t="shared" si="53"/>
        <v>0</v>
      </c>
      <c r="G178" s="172">
        <f t="shared" si="53"/>
        <v>0</v>
      </c>
      <c r="H178" s="172">
        <f t="shared" si="53"/>
        <v>-3567811.8</v>
      </c>
      <c r="I178" s="172">
        <f t="shared" si="53"/>
        <v>246000</v>
      </c>
      <c r="J178" s="172">
        <f t="shared" si="53"/>
        <v>0</v>
      </c>
      <c r="K178" s="172">
        <f t="shared" si="53"/>
        <v>0</v>
      </c>
      <c r="L178" s="172">
        <f t="shared" si="53"/>
        <v>0</v>
      </c>
      <c r="M178" s="172">
        <f t="shared" si="53"/>
        <v>0</v>
      </c>
      <c r="N178" s="172">
        <f t="shared" si="53"/>
        <v>0</v>
      </c>
      <c r="O178" s="172">
        <f t="shared" si="53"/>
        <v>0</v>
      </c>
      <c r="P178" s="173">
        <f t="shared" si="54"/>
        <v>-3321811.8</v>
      </c>
    </row>
    <row r="179" spans="3:16" x14ac:dyDescent="0.15">
      <c r="C179" s="167">
        <v>0.1</v>
      </c>
      <c r="D179" s="162"/>
      <c r="E179" s="172">
        <f t="shared" si="53"/>
        <v>0</v>
      </c>
      <c r="F179" s="172">
        <f t="shared" si="53"/>
        <v>0</v>
      </c>
      <c r="G179" s="172">
        <f t="shared" si="53"/>
        <v>0</v>
      </c>
      <c r="H179" s="172">
        <f t="shared" si="53"/>
        <v>-3183231.7999999989</v>
      </c>
      <c r="I179" s="172">
        <f t="shared" si="53"/>
        <v>246000</v>
      </c>
      <c r="J179" s="172">
        <f t="shared" si="53"/>
        <v>0</v>
      </c>
      <c r="K179" s="172">
        <f t="shared" si="53"/>
        <v>0</v>
      </c>
      <c r="L179" s="172">
        <f t="shared" si="53"/>
        <v>0</v>
      </c>
      <c r="M179" s="172">
        <f t="shared" si="53"/>
        <v>0</v>
      </c>
      <c r="N179" s="172">
        <f t="shared" si="53"/>
        <v>0</v>
      </c>
      <c r="O179" s="172">
        <f t="shared" si="53"/>
        <v>0</v>
      </c>
      <c r="P179" s="173">
        <f t="shared" si="54"/>
        <v>-2937231.7999999989</v>
      </c>
    </row>
    <row r="180" spans="3:16" x14ac:dyDescent="0.15">
      <c r="C180" s="167">
        <v>0.15</v>
      </c>
      <c r="D180" s="162"/>
      <c r="E180" s="172">
        <f t="shared" si="53"/>
        <v>0</v>
      </c>
      <c r="F180" s="172">
        <f t="shared" si="53"/>
        <v>0</v>
      </c>
      <c r="G180" s="172">
        <f t="shared" si="53"/>
        <v>0</v>
      </c>
      <c r="H180" s="172">
        <f t="shared" si="53"/>
        <v>-2798651.8000000007</v>
      </c>
      <c r="I180" s="172">
        <f t="shared" si="53"/>
        <v>246000</v>
      </c>
      <c r="J180" s="172">
        <f t="shared" si="53"/>
        <v>0</v>
      </c>
      <c r="K180" s="172">
        <f t="shared" si="53"/>
        <v>0</v>
      </c>
      <c r="L180" s="172">
        <f t="shared" si="53"/>
        <v>0</v>
      </c>
      <c r="M180" s="172">
        <f t="shared" si="53"/>
        <v>0</v>
      </c>
      <c r="N180" s="172">
        <f t="shared" si="53"/>
        <v>0</v>
      </c>
      <c r="O180" s="172">
        <f t="shared" si="53"/>
        <v>0</v>
      </c>
      <c r="P180" s="173">
        <f t="shared" si="54"/>
        <v>-2552651.8000000007</v>
      </c>
    </row>
    <row r="181" spans="3:16" x14ac:dyDescent="0.15">
      <c r="C181" s="167">
        <v>0.2</v>
      </c>
      <c r="D181" s="162"/>
      <c r="E181" s="172">
        <f t="shared" si="53"/>
        <v>0</v>
      </c>
      <c r="F181" s="172">
        <f t="shared" si="53"/>
        <v>0</v>
      </c>
      <c r="G181" s="172">
        <f t="shared" si="53"/>
        <v>0</v>
      </c>
      <c r="H181" s="172">
        <f t="shared" si="53"/>
        <v>-2414071.7999999998</v>
      </c>
      <c r="I181" s="172">
        <f t="shared" si="53"/>
        <v>246000</v>
      </c>
      <c r="J181" s="172">
        <f t="shared" si="53"/>
        <v>0</v>
      </c>
      <c r="K181" s="172">
        <f t="shared" si="53"/>
        <v>0</v>
      </c>
      <c r="L181" s="172">
        <f t="shared" si="53"/>
        <v>0</v>
      </c>
      <c r="M181" s="172">
        <f t="shared" si="53"/>
        <v>0</v>
      </c>
      <c r="N181" s="172">
        <f t="shared" si="53"/>
        <v>0</v>
      </c>
      <c r="O181" s="172">
        <f t="shared" si="53"/>
        <v>0</v>
      </c>
      <c r="P181" s="173">
        <f t="shared" si="54"/>
        <v>-2168071.7999999998</v>
      </c>
    </row>
    <row r="182" spans="3:16" x14ac:dyDescent="0.15">
      <c r="C182" s="167">
        <v>0.25</v>
      </c>
      <c r="D182" s="162"/>
      <c r="E182" s="172">
        <f t="shared" si="53"/>
        <v>0</v>
      </c>
      <c r="F182" s="172">
        <f t="shared" si="53"/>
        <v>0</v>
      </c>
      <c r="G182" s="172">
        <f t="shared" si="53"/>
        <v>0</v>
      </c>
      <c r="H182" s="172">
        <f t="shared" si="53"/>
        <v>-2029491.8</v>
      </c>
      <c r="I182" s="172">
        <f t="shared" si="53"/>
        <v>246000</v>
      </c>
      <c r="J182" s="172">
        <f t="shared" si="53"/>
        <v>0</v>
      </c>
      <c r="K182" s="172">
        <f t="shared" si="53"/>
        <v>0</v>
      </c>
      <c r="L182" s="172">
        <f t="shared" si="53"/>
        <v>0</v>
      </c>
      <c r="M182" s="172">
        <f t="shared" si="53"/>
        <v>0</v>
      </c>
      <c r="N182" s="172">
        <f t="shared" si="53"/>
        <v>0</v>
      </c>
      <c r="O182" s="172">
        <f t="shared" si="53"/>
        <v>0</v>
      </c>
      <c r="P182" s="173">
        <f t="shared" si="54"/>
        <v>-1783491.8</v>
      </c>
    </row>
    <row r="183" spans="3:16" x14ac:dyDescent="0.15">
      <c r="C183" s="12" t="s">
        <v>115</v>
      </c>
      <c r="D183" s="92">
        <f>'After Tax Analysis'!D26</f>
        <v>-60000000</v>
      </c>
      <c r="E183" s="92">
        <f>'After Tax Analysis'!E26</f>
        <v>0</v>
      </c>
      <c r="F183" s="92">
        <f>'After Tax Analysis'!F26</f>
        <v>0</v>
      </c>
      <c r="G183" s="92">
        <f>'After Tax Analysis'!G26</f>
        <v>0</v>
      </c>
      <c r="H183" s="92">
        <f>'After Tax Analysis'!H26</f>
        <v>0</v>
      </c>
      <c r="I183" s="92">
        <f>'After Tax Analysis'!I26</f>
        <v>60000000</v>
      </c>
      <c r="J183" s="92">
        <f>'After Tax Analysis'!J26</f>
        <v>0</v>
      </c>
      <c r="K183" s="92">
        <f>'After Tax Analysis'!K26</f>
        <v>0</v>
      </c>
      <c r="L183" s="92">
        <f>'After Tax Analysis'!L26</f>
        <v>0</v>
      </c>
      <c r="M183" s="92">
        <f>'After Tax Analysis'!M26</f>
        <v>0</v>
      </c>
      <c r="N183" s="92">
        <f>'After Tax Analysis'!N26</f>
        <v>0</v>
      </c>
      <c r="O183" s="92">
        <f>'After Tax Analysis'!O26</f>
        <v>0</v>
      </c>
      <c r="P183" s="67">
        <f>SUM(D183:O183)</f>
        <v>0</v>
      </c>
    </row>
    <row r="184" spans="3:16" x14ac:dyDescent="0.15">
      <c r="C184" s="12" t="s">
        <v>641</v>
      </c>
      <c r="D184" s="57"/>
      <c r="E184" s="57"/>
      <c r="F184" s="57"/>
      <c r="G184" s="57"/>
      <c r="H184" s="57"/>
      <c r="I184" s="57"/>
      <c r="J184" s="57"/>
      <c r="K184" s="57"/>
      <c r="L184" s="57"/>
      <c r="M184" s="57"/>
      <c r="N184" s="57"/>
      <c r="O184" s="57"/>
      <c r="P184" s="57"/>
    </row>
    <row r="185" spans="3:16" x14ac:dyDescent="0.15">
      <c r="C185" s="167">
        <v>-0.25</v>
      </c>
      <c r="D185" s="67">
        <f>D$168+D$183</f>
        <v>-92550000</v>
      </c>
      <c r="E185" s="67">
        <f>E$167+E$169+E$170+E173+E$183</f>
        <v>0</v>
      </c>
      <c r="F185" s="67">
        <f t="shared" ref="F185:O185" si="55">F$167+F$169+F$170+F173+F$183</f>
        <v>0</v>
      </c>
      <c r="G185" s="67">
        <f t="shared" si="55"/>
        <v>0</v>
      </c>
      <c r="H185" s="67">
        <f t="shared" si="55"/>
        <v>8324698.2000000002</v>
      </c>
      <c r="I185" s="67">
        <f t="shared" si="55"/>
        <v>61746000</v>
      </c>
      <c r="J185" s="67">
        <f t="shared" si="55"/>
        <v>0</v>
      </c>
      <c r="K185" s="67">
        <f t="shared" si="55"/>
        <v>0</v>
      </c>
      <c r="L185" s="67">
        <f t="shared" si="55"/>
        <v>0</v>
      </c>
      <c r="M185" s="67">
        <f t="shared" si="55"/>
        <v>0</v>
      </c>
      <c r="N185" s="67">
        <f t="shared" si="55"/>
        <v>0</v>
      </c>
      <c r="O185" s="67">
        <f t="shared" si="55"/>
        <v>0</v>
      </c>
      <c r="P185" s="67">
        <f>SUM(D185:O185)</f>
        <v>-22479301.799999997</v>
      </c>
    </row>
    <row r="186" spans="3:16" x14ac:dyDescent="0.15">
      <c r="C186" s="167">
        <v>-0.2</v>
      </c>
      <c r="D186" s="67">
        <f t="shared" ref="D186:D194" si="56">D$168+D$183</f>
        <v>-92550000</v>
      </c>
      <c r="E186" s="67">
        <f t="shared" ref="E186:O194" si="57">E$167+E$169+E$170+E174+E$183</f>
        <v>0</v>
      </c>
      <c r="F186" s="67">
        <f t="shared" si="57"/>
        <v>0</v>
      </c>
      <c r="G186" s="67">
        <f t="shared" si="57"/>
        <v>0</v>
      </c>
      <c r="H186" s="67">
        <f t="shared" si="57"/>
        <v>8709278.1999999993</v>
      </c>
      <c r="I186" s="67">
        <f t="shared" si="57"/>
        <v>61746000</v>
      </c>
      <c r="J186" s="67">
        <f t="shared" si="57"/>
        <v>0</v>
      </c>
      <c r="K186" s="67">
        <f t="shared" si="57"/>
        <v>0</v>
      </c>
      <c r="L186" s="67">
        <f t="shared" si="57"/>
        <v>0</v>
      </c>
      <c r="M186" s="67">
        <f t="shared" si="57"/>
        <v>0</v>
      </c>
      <c r="N186" s="67">
        <f t="shared" si="57"/>
        <v>0</v>
      </c>
      <c r="O186" s="67">
        <f t="shared" si="57"/>
        <v>0</v>
      </c>
      <c r="P186" s="67">
        <f t="shared" ref="P186:P194" si="58">SUM(D186:O186)</f>
        <v>-22094721.799999997</v>
      </c>
    </row>
    <row r="187" spans="3:16" x14ac:dyDescent="0.15">
      <c r="C187" s="167">
        <v>-0.15</v>
      </c>
      <c r="D187" s="67">
        <f t="shared" si="56"/>
        <v>-92550000</v>
      </c>
      <c r="E187" s="67">
        <f t="shared" si="57"/>
        <v>0</v>
      </c>
      <c r="F187" s="67">
        <f t="shared" si="57"/>
        <v>0</v>
      </c>
      <c r="G187" s="67">
        <f t="shared" si="57"/>
        <v>0</v>
      </c>
      <c r="H187" s="67">
        <f t="shared" si="57"/>
        <v>9093858.1999999993</v>
      </c>
      <c r="I187" s="67">
        <f t="shared" si="57"/>
        <v>61746000</v>
      </c>
      <c r="J187" s="67">
        <f t="shared" si="57"/>
        <v>0</v>
      </c>
      <c r="K187" s="67">
        <f t="shared" si="57"/>
        <v>0</v>
      </c>
      <c r="L187" s="67">
        <f t="shared" si="57"/>
        <v>0</v>
      </c>
      <c r="M187" s="67">
        <f t="shared" si="57"/>
        <v>0</v>
      </c>
      <c r="N187" s="67">
        <f t="shared" si="57"/>
        <v>0</v>
      </c>
      <c r="O187" s="67">
        <f t="shared" si="57"/>
        <v>0</v>
      </c>
      <c r="P187" s="67">
        <f t="shared" si="58"/>
        <v>-21710141.799999997</v>
      </c>
    </row>
    <row r="188" spans="3:16" x14ac:dyDescent="0.15">
      <c r="C188" s="167">
        <v>-0.1</v>
      </c>
      <c r="D188" s="67">
        <f t="shared" si="56"/>
        <v>-92550000</v>
      </c>
      <c r="E188" s="67">
        <f t="shared" si="57"/>
        <v>0</v>
      </c>
      <c r="F188" s="67">
        <f t="shared" si="57"/>
        <v>0</v>
      </c>
      <c r="G188" s="67">
        <f t="shared" si="57"/>
        <v>0</v>
      </c>
      <c r="H188" s="67">
        <f t="shared" si="57"/>
        <v>9478438.1999999993</v>
      </c>
      <c r="I188" s="67">
        <f t="shared" si="57"/>
        <v>61746000</v>
      </c>
      <c r="J188" s="67">
        <f t="shared" si="57"/>
        <v>0</v>
      </c>
      <c r="K188" s="67">
        <f t="shared" si="57"/>
        <v>0</v>
      </c>
      <c r="L188" s="67">
        <f t="shared" si="57"/>
        <v>0</v>
      </c>
      <c r="M188" s="67">
        <f t="shared" si="57"/>
        <v>0</v>
      </c>
      <c r="N188" s="67">
        <f t="shared" si="57"/>
        <v>0</v>
      </c>
      <c r="O188" s="67">
        <f t="shared" si="57"/>
        <v>0</v>
      </c>
      <c r="P188" s="67">
        <f t="shared" si="58"/>
        <v>-21325561.799999997</v>
      </c>
    </row>
    <row r="189" spans="3:16" x14ac:dyDescent="0.15">
      <c r="C189" s="167">
        <v>-0.05</v>
      </c>
      <c r="D189" s="67">
        <f t="shared" si="56"/>
        <v>-92550000</v>
      </c>
      <c r="E189" s="67">
        <f t="shared" si="57"/>
        <v>0</v>
      </c>
      <c r="F189" s="67">
        <f t="shared" si="57"/>
        <v>0</v>
      </c>
      <c r="G189" s="67">
        <f t="shared" si="57"/>
        <v>0</v>
      </c>
      <c r="H189" s="67">
        <f t="shared" si="57"/>
        <v>9863018.1999999993</v>
      </c>
      <c r="I189" s="67">
        <f t="shared" si="57"/>
        <v>61746000</v>
      </c>
      <c r="J189" s="67">
        <f t="shared" si="57"/>
        <v>0</v>
      </c>
      <c r="K189" s="67">
        <f t="shared" si="57"/>
        <v>0</v>
      </c>
      <c r="L189" s="67">
        <f t="shared" si="57"/>
        <v>0</v>
      </c>
      <c r="M189" s="67">
        <f t="shared" si="57"/>
        <v>0</v>
      </c>
      <c r="N189" s="67">
        <f t="shared" si="57"/>
        <v>0</v>
      </c>
      <c r="O189" s="67">
        <f t="shared" si="57"/>
        <v>0</v>
      </c>
      <c r="P189" s="67">
        <f t="shared" si="58"/>
        <v>-20940981.799999997</v>
      </c>
    </row>
    <row r="190" spans="3:16" x14ac:dyDescent="0.15">
      <c r="C190" s="167">
        <v>0.05</v>
      </c>
      <c r="D190" s="67">
        <f t="shared" si="56"/>
        <v>-92550000</v>
      </c>
      <c r="E190" s="67">
        <f t="shared" si="57"/>
        <v>0</v>
      </c>
      <c r="F190" s="67">
        <f t="shared" si="57"/>
        <v>0</v>
      </c>
      <c r="G190" s="67">
        <f t="shared" si="57"/>
        <v>0</v>
      </c>
      <c r="H190" s="67">
        <f t="shared" si="57"/>
        <v>10632178.199999999</v>
      </c>
      <c r="I190" s="67">
        <f t="shared" si="57"/>
        <v>61746000</v>
      </c>
      <c r="J190" s="67">
        <f t="shared" si="57"/>
        <v>0</v>
      </c>
      <c r="K190" s="67">
        <f t="shared" si="57"/>
        <v>0</v>
      </c>
      <c r="L190" s="67">
        <f t="shared" si="57"/>
        <v>0</v>
      </c>
      <c r="M190" s="67">
        <f t="shared" si="57"/>
        <v>0</v>
      </c>
      <c r="N190" s="67">
        <f t="shared" si="57"/>
        <v>0</v>
      </c>
      <c r="O190" s="67">
        <f t="shared" si="57"/>
        <v>0</v>
      </c>
      <c r="P190" s="67">
        <f t="shared" si="58"/>
        <v>-20171821.799999997</v>
      </c>
    </row>
    <row r="191" spans="3:16" x14ac:dyDescent="0.15">
      <c r="C191" s="167">
        <v>0.1</v>
      </c>
      <c r="D191" s="67">
        <f t="shared" si="56"/>
        <v>-92550000</v>
      </c>
      <c r="E191" s="67">
        <f t="shared" si="57"/>
        <v>0</v>
      </c>
      <c r="F191" s="67">
        <f t="shared" si="57"/>
        <v>0</v>
      </c>
      <c r="G191" s="67">
        <f t="shared" si="57"/>
        <v>0</v>
      </c>
      <c r="H191" s="67">
        <f t="shared" si="57"/>
        <v>11016758.200000001</v>
      </c>
      <c r="I191" s="67">
        <f t="shared" si="57"/>
        <v>61746000</v>
      </c>
      <c r="J191" s="67">
        <f t="shared" si="57"/>
        <v>0</v>
      </c>
      <c r="K191" s="67">
        <f t="shared" si="57"/>
        <v>0</v>
      </c>
      <c r="L191" s="67">
        <f t="shared" si="57"/>
        <v>0</v>
      </c>
      <c r="M191" s="67">
        <f t="shared" si="57"/>
        <v>0</v>
      </c>
      <c r="N191" s="67">
        <f t="shared" si="57"/>
        <v>0</v>
      </c>
      <c r="O191" s="67">
        <f t="shared" si="57"/>
        <v>0</v>
      </c>
      <c r="P191" s="67">
        <f t="shared" si="58"/>
        <v>-19787241.799999997</v>
      </c>
    </row>
    <row r="192" spans="3:16" x14ac:dyDescent="0.15">
      <c r="C192" s="167">
        <v>0.15</v>
      </c>
      <c r="D192" s="67">
        <f t="shared" si="56"/>
        <v>-92550000</v>
      </c>
      <c r="E192" s="67">
        <f t="shared" si="57"/>
        <v>0</v>
      </c>
      <c r="F192" s="67">
        <f t="shared" si="57"/>
        <v>0</v>
      </c>
      <c r="G192" s="67">
        <f t="shared" si="57"/>
        <v>0</v>
      </c>
      <c r="H192" s="67">
        <f t="shared" si="57"/>
        <v>11401338.199999999</v>
      </c>
      <c r="I192" s="67">
        <f t="shared" si="57"/>
        <v>61746000</v>
      </c>
      <c r="J192" s="67">
        <f t="shared" si="57"/>
        <v>0</v>
      </c>
      <c r="K192" s="67">
        <f t="shared" si="57"/>
        <v>0</v>
      </c>
      <c r="L192" s="67">
        <f t="shared" si="57"/>
        <v>0</v>
      </c>
      <c r="M192" s="67">
        <f t="shared" si="57"/>
        <v>0</v>
      </c>
      <c r="N192" s="67">
        <f t="shared" si="57"/>
        <v>0</v>
      </c>
      <c r="O192" s="67">
        <f t="shared" si="57"/>
        <v>0</v>
      </c>
      <c r="P192" s="67">
        <f t="shared" si="58"/>
        <v>-19402661.799999997</v>
      </c>
    </row>
    <row r="193" spans="3:16" x14ac:dyDescent="0.15">
      <c r="C193" s="167">
        <v>0.2</v>
      </c>
      <c r="D193" s="67">
        <f t="shared" si="56"/>
        <v>-92550000</v>
      </c>
      <c r="E193" s="67">
        <f t="shared" si="57"/>
        <v>0</v>
      </c>
      <c r="F193" s="67">
        <f t="shared" si="57"/>
        <v>0</v>
      </c>
      <c r="G193" s="67">
        <f t="shared" si="57"/>
        <v>0</v>
      </c>
      <c r="H193" s="67">
        <f t="shared" si="57"/>
        <v>11785918.199999999</v>
      </c>
      <c r="I193" s="67">
        <f t="shared" si="57"/>
        <v>61746000</v>
      </c>
      <c r="J193" s="67">
        <f t="shared" si="57"/>
        <v>0</v>
      </c>
      <c r="K193" s="67">
        <f t="shared" si="57"/>
        <v>0</v>
      </c>
      <c r="L193" s="67">
        <f t="shared" si="57"/>
        <v>0</v>
      </c>
      <c r="M193" s="67">
        <f t="shared" si="57"/>
        <v>0</v>
      </c>
      <c r="N193" s="67">
        <f t="shared" si="57"/>
        <v>0</v>
      </c>
      <c r="O193" s="67">
        <f t="shared" si="57"/>
        <v>0</v>
      </c>
      <c r="P193" s="67">
        <f t="shared" si="58"/>
        <v>-19018081.799999997</v>
      </c>
    </row>
    <row r="194" spans="3:16" ht="14" thickBot="1" x14ac:dyDescent="0.2">
      <c r="C194" s="167">
        <v>0.25</v>
      </c>
      <c r="D194" s="95">
        <f t="shared" si="56"/>
        <v>-92550000</v>
      </c>
      <c r="E194" s="95">
        <f t="shared" si="57"/>
        <v>0</v>
      </c>
      <c r="F194" s="95">
        <f t="shared" si="57"/>
        <v>0</v>
      </c>
      <c r="G194" s="95">
        <f t="shared" si="57"/>
        <v>0</v>
      </c>
      <c r="H194" s="95">
        <f t="shared" si="57"/>
        <v>12170498.199999999</v>
      </c>
      <c r="I194" s="95">
        <f t="shared" si="57"/>
        <v>61746000</v>
      </c>
      <c r="J194" s="95">
        <f t="shared" si="57"/>
        <v>0</v>
      </c>
      <c r="K194" s="95">
        <f t="shared" si="57"/>
        <v>0</v>
      </c>
      <c r="L194" s="95">
        <f t="shared" si="57"/>
        <v>0</v>
      </c>
      <c r="M194" s="95">
        <f t="shared" si="57"/>
        <v>0</v>
      </c>
      <c r="N194" s="95">
        <f t="shared" si="57"/>
        <v>0</v>
      </c>
      <c r="O194" s="95">
        <f t="shared" si="57"/>
        <v>0</v>
      </c>
      <c r="P194" s="95">
        <f t="shared" si="58"/>
        <v>-18633501.799999997</v>
      </c>
    </row>
    <row r="195" spans="3:16" ht="14" thickTop="1" x14ac:dyDescent="0.15">
      <c r="C195" s="96" t="s">
        <v>642</v>
      </c>
      <c r="D195" s="166"/>
      <c r="E195" s="166"/>
      <c r="F195" s="166"/>
      <c r="G195" s="166"/>
      <c r="H195" s="166"/>
      <c r="I195" s="166"/>
      <c r="J195" s="166"/>
      <c r="K195" s="166"/>
      <c r="L195" s="166"/>
      <c r="M195" s="166"/>
      <c r="N195" s="166"/>
      <c r="O195" s="166"/>
      <c r="P195" s="166"/>
    </row>
    <row r="196" spans="3:16" x14ac:dyDescent="0.15">
      <c r="C196" s="167">
        <v>-0.25</v>
      </c>
      <c r="D196" s="67">
        <f>D$166+D185</f>
        <v>-92550000</v>
      </c>
      <c r="E196" s="67">
        <f t="shared" ref="E196:M196" si="59">E$166+E185</f>
        <v>50012750</v>
      </c>
      <c r="F196" s="67">
        <f t="shared" si="59"/>
        <v>44202792.500000022</v>
      </c>
      <c r="G196" s="67">
        <f t="shared" si="59"/>
        <v>35442192.08412499</v>
      </c>
      <c r="H196" s="67">
        <f t="shared" si="59"/>
        <v>33436054.907490432</v>
      </c>
      <c r="I196" s="67">
        <f t="shared" si="59"/>
        <v>74396996.178848952</v>
      </c>
      <c r="J196" s="67">
        <f t="shared" si="59"/>
        <v>0</v>
      </c>
      <c r="K196" s="67">
        <f t="shared" si="59"/>
        <v>0</v>
      </c>
      <c r="L196" s="67">
        <f t="shared" si="59"/>
        <v>0</v>
      </c>
      <c r="M196" s="67">
        <f t="shared" si="59"/>
        <v>0</v>
      </c>
      <c r="N196" s="67">
        <f>N$166+N185+O185</f>
        <v>0</v>
      </c>
      <c r="O196" s="171"/>
      <c r="P196" s="67">
        <f>SUM(D196:N196)</f>
        <v>144940785.6704644</v>
      </c>
    </row>
    <row r="197" spans="3:16" x14ac:dyDescent="0.15">
      <c r="C197" s="167">
        <v>-0.2</v>
      </c>
      <c r="D197" s="67">
        <f t="shared" ref="D197:M205" si="60">D$166+D186</f>
        <v>-92550000</v>
      </c>
      <c r="E197" s="67">
        <f t="shared" si="60"/>
        <v>50012750</v>
      </c>
      <c r="F197" s="67">
        <f t="shared" si="60"/>
        <v>44202792.500000022</v>
      </c>
      <c r="G197" s="67">
        <f t="shared" si="60"/>
        <v>35442192.08412499</v>
      </c>
      <c r="H197" s="67">
        <f t="shared" si="60"/>
        <v>33820634.907490432</v>
      </c>
      <c r="I197" s="67">
        <f t="shared" si="60"/>
        <v>74396996.178848952</v>
      </c>
      <c r="J197" s="67">
        <f t="shared" si="60"/>
        <v>0</v>
      </c>
      <c r="K197" s="67">
        <f t="shared" si="60"/>
        <v>0</v>
      </c>
      <c r="L197" s="67">
        <f t="shared" si="60"/>
        <v>0</v>
      </c>
      <c r="M197" s="67">
        <f t="shared" si="60"/>
        <v>0</v>
      </c>
      <c r="N197" s="67">
        <f t="shared" ref="N197:N205" si="61">N$166+N186+O186</f>
        <v>0</v>
      </c>
      <c r="O197" s="171"/>
      <c r="P197" s="67">
        <f t="shared" ref="P197:P205" si="62">SUM(D197:N197)</f>
        <v>145325365.6704644</v>
      </c>
    </row>
    <row r="198" spans="3:16" x14ac:dyDescent="0.15">
      <c r="C198" s="167">
        <v>-0.15</v>
      </c>
      <c r="D198" s="67">
        <f t="shared" si="60"/>
        <v>-92550000</v>
      </c>
      <c r="E198" s="67">
        <f t="shared" si="60"/>
        <v>50012750</v>
      </c>
      <c r="F198" s="67">
        <f t="shared" si="60"/>
        <v>44202792.500000022</v>
      </c>
      <c r="G198" s="67">
        <f t="shared" si="60"/>
        <v>35442192.08412499</v>
      </c>
      <c r="H198" s="67">
        <f t="shared" si="60"/>
        <v>34205214.907490432</v>
      </c>
      <c r="I198" s="67">
        <f t="shared" si="60"/>
        <v>74396996.178848952</v>
      </c>
      <c r="J198" s="67">
        <f t="shared" si="60"/>
        <v>0</v>
      </c>
      <c r="K198" s="67">
        <f t="shared" si="60"/>
        <v>0</v>
      </c>
      <c r="L198" s="67">
        <f t="shared" si="60"/>
        <v>0</v>
      </c>
      <c r="M198" s="67">
        <f t="shared" si="60"/>
        <v>0</v>
      </c>
      <c r="N198" s="67">
        <f t="shared" si="61"/>
        <v>0</v>
      </c>
      <c r="O198" s="171"/>
      <c r="P198" s="67">
        <f t="shared" si="62"/>
        <v>145709945.6704644</v>
      </c>
    </row>
    <row r="199" spans="3:16" x14ac:dyDescent="0.15">
      <c r="C199" s="167">
        <v>-0.1</v>
      </c>
      <c r="D199" s="67">
        <f t="shared" si="60"/>
        <v>-92550000</v>
      </c>
      <c r="E199" s="67">
        <f t="shared" si="60"/>
        <v>50012750</v>
      </c>
      <c r="F199" s="67">
        <f t="shared" si="60"/>
        <v>44202792.500000022</v>
      </c>
      <c r="G199" s="67">
        <f t="shared" si="60"/>
        <v>35442192.08412499</v>
      </c>
      <c r="H199" s="67">
        <f t="shared" si="60"/>
        <v>34589794.907490432</v>
      </c>
      <c r="I199" s="67">
        <f t="shared" si="60"/>
        <v>74396996.178848952</v>
      </c>
      <c r="J199" s="67">
        <f t="shared" si="60"/>
        <v>0</v>
      </c>
      <c r="K199" s="67">
        <f t="shared" si="60"/>
        <v>0</v>
      </c>
      <c r="L199" s="67">
        <f t="shared" si="60"/>
        <v>0</v>
      </c>
      <c r="M199" s="67">
        <f t="shared" si="60"/>
        <v>0</v>
      </c>
      <c r="N199" s="67">
        <f t="shared" si="61"/>
        <v>0</v>
      </c>
      <c r="O199" s="171"/>
      <c r="P199" s="67">
        <f t="shared" si="62"/>
        <v>146094525.6704644</v>
      </c>
    </row>
    <row r="200" spans="3:16" x14ac:dyDescent="0.15">
      <c r="C200" s="167">
        <v>-0.05</v>
      </c>
      <c r="D200" s="67">
        <f t="shared" si="60"/>
        <v>-92550000</v>
      </c>
      <c r="E200" s="67">
        <f t="shared" si="60"/>
        <v>50012750</v>
      </c>
      <c r="F200" s="67">
        <f t="shared" si="60"/>
        <v>44202792.500000022</v>
      </c>
      <c r="G200" s="67">
        <f t="shared" si="60"/>
        <v>35442192.08412499</v>
      </c>
      <c r="H200" s="67">
        <f t="shared" si="60"/>
        <v>34974374.907490432</v>
      </c>
      <c r="I200" s="67">
        <f t="shared" si="60"/>
        <v>74396996.178848952</v>
      </c>
      <c r="J200" s="67">
        <f t="shared" si="60"/>
        <v>0</v>
      </c>
      <c r="K200" s="67">
        <f t="shared" si="60"/>
        <v>0</v>
      </c>
      <c r="L200" s="67">
        <f t="shared" si="60"/>
        <v>0</v>
      </c>
      <c r="M200" s="67">
        <f t="shared" si="60"/>
        <v>0</v>
      </c>
      <c r="N200" s="67">
        <f t="shared" si="61"/>
        <v>0</v>
      </c>
      <c r="O200" s="171"/>
      <c r="P200" s="67">
        <f t="shared" si="62"/>
        <v>146479105.6704644</v>
      </c>
    </row>
    <row r="201" spans="3:16" x14ac:dyDescent="0.15">
      <c r="C201" s="167">
        <v>0.05</v>
      </c>
      <c r="D201" s="67">
        <f t="shared" si="60"/>
        <v>-92550000</v>
      </c>
      <c r="E201" s="67">
        <f t="shared" si="60"/>
        <v>50012750</v>
      </c>
      <c r="F201" s="67">
        <f t="shared" si="60"/>
        <v>44202792.500000022</v>
      </c>
      <c r="G201" s="67">
        <f t="shared" si="60"/>
        <v>35442192.08412499</v>
      </c>
      <c r="H201" s="67">
        <f t="shared" si="60"/>
        <v>35743534.907490432</v>
      </c>
      <c r="I201" s="67">
        <f t="shared" si="60"/>
        <v>74396996.178848952</v>
      </c>
      <c r="J201" s="67">
        <f t="shared" si="60"/>
        <v>0</v>
      </c>
      <c r="K201" s="67">
        <f t="shared" si="60"/>
        <v>0</v>
      </c>
      <c r="L201" s="67">
        <f t="shared" si="60"/>
        <v>0</v>
      </c>
      <c r="M201" s="67">
        <f t="shared" si="60"/>
        <v>0</v>
      </c>
      <c r="N201" s="67">
        <f t="shared" si="61"/>
        <v>0</v>
      </c>
      <c r="O201" s="171"/>
      <c r="P201" s="67">
        <f t="shared" si="62"/>
        <v>147248265.6704644</v>
      </c>
    </row>
    <row r="202" spans="3:16" x14ac:dyDescent="0.15">
      <c r="C202" s="167">
        <v>0.1</v>
      </c>
      <c r="D202" s="67">
        <f t="shared" si="60"/>
        <v>-92550000</v>
      </c>
      <c r="E202" s="67">
        <f t="shared" si="60"/>
        <v>50012750</v>
      </c>
      <c r="F202" s="67">
        <f t="shared" si="60"/>
        <v>44202792.500000022</v>
      </c>
      <c r="G202" s="67">
        <f t="shared" si="60"/>
        <v>35442192.08412499</v>
      </c>
      <c r="H202" s="67">
        <f t="shared" si="60"/>
        <v>36128114.907490432</v>
      </c>
      <c r="I202" s="67">
        <f t="shared" si="60"/>
        <v>74396996.178848952</v>
      </c>
      <c r="J202" s="67">
        <f t="shared" si="60"/>
        <v>0</v>
      </c>
      <c r="K202" s="67">
        <f t="shared" si="60"/>
        <v>0</v>
      </c>
      <c r="L202" s="67">
        <f t="shared" si="60"/>
        <v>0</v>
      </c>
      <c r="M202" s="67">
        <f t="shared" si="60"/>
        <v>0</v>
      </c>
      <c r="N202" s="67">
        <f t="shared" si="61"/>
        <v>0</v>
      </c>
      <c r="O202" s="171"/>
      <c r="P202" s="67">
        <f t="shared" si="62"/>
        <v>147632845.6704644</v>
      </c>
    </row>
    <row r="203" spans="3:16" x14ac:dyDescent="0.15">
      <c r="C203" s="167">
        <v>0.15</v>
      </c>
      <c r="D203" s="67">
        <f t="shared" si="60"/>
        <v>-92550000</v>
      </c>
      <c r="E203" s="67">
        <f t="shared" si="60"/>
        <v>50012750</v>
      </c>
      <c r="F203" s="67">
        <f t="shared" si="60"/>
        <v>44202792.500000022</v>
      </c>
      <c r="G203" s="67">
        <f t="shared" si="60"/>
        <v>35442192.08412499</v>
      </c>
      <c r="H203" s="67">
        <f t="shared" si="60"/>
        <v>36512694.907490432</v>
      </c>
      <c r="I203" s="67">
        <f t="shared" si="60"/>
        <v>74396996.178848952</v>
      </c>
      <c r="J203" s="67">
        <f t="shared" si="60"/>
        <v>0</v>
      </c>
      <c r="K203" s="67">
        <f t="shared" si="60"/>
        <v>0</v>
      </c>
      <c r="L203" s="67">
        <f t="shared" si="60"/>
        <v>0</v>
      </c>
      <c r="M203" s="67">
        <f t="shared" si="60"/>
        <v>0</v>
      </c>
      <c r="N203" s="67">
        <f t="shared" si="61"/>
        <v>0</v>
      </c>
      <c r="O203" s="171"/>
      <c r="P203" s="67">
        <f t="shared" si="62"/>
        <v>148017425.6704644</v>
      </c>
    </row>
    <row r="204" spans="3:16" x14ac:dyDescent="0.15">
      <c r="C204" s="167">
        <v>0.2</v>
      </c>
      <c r="D204" s="67">
        <f t="shared" si="60"/>
        <v>-92550000</v>
      </c>
      <c r="E204" s="67">
        <f t="shared" si="60"/>
        <v>50012750</v>
      </c>
      <c r="F204" s="67">
        <f t="shared" si="60"/>
        <v>44202792.500000022</v>
      </c>
      <c r="G204" s="67">
        <f t="shared" si="60"/>
        <v>35442192.08412499</v>
      </c>
      <c r="H204" s="67">
        <f t="shared" si="60"/>
        <v>36897274.907490432</v>
      </c>
      <c r="I204" s="67">
        <f t="shared" si="60"/>
        <v>74396996.178848952</v>
      </c>
      <c r="J204" s="67">
        <f t="shared" si="60"/>
        <v>0</v>
      </c>
      <c r="K204" s="67">
        <f t="shared" si="60"/>
        <v>0</v>
      </c>
      <c r="L204" s="67">
        <f t="shared" si="60"/>
        <v>0</v>
      </c>
      <c r="M204" s="67">
        <f t="shared" si="60"/>
        <v>0</v>
      </c>
      <c r="N204" s="67">
        <f t="shared" si="61"/>
        <v>0</v>
      </c>
      <c r="O204" s="171"/>
      <c r="P204" s="67">
        <f t="shared" si="62"/>
        <v>148402005.6704644</v>
      </c>
    </row>
    <row r="205" spans="3:16" x14ac:dyDescent="0.15">
      <c r="C205" s="167">
        <v>0.25</v>
      </c>
      <c r="D205" s="67">
        <f t="shared" si="60"/>
        <v>-92550000</v>
      </c>
      <c r="E205" s="67">
        <f t="shared" si="60"/>
        <v>50012750</v>
      </c>
      <c r="F205" s="67">
        <f t="shared" si="60"/>
        <v>44202792.500000022</v>
      </c>
      <c r="G205" s="67">
        <f t="shared" si="60"/>
        <v>35442192.08412499</v>
      </c>
      <c r="H205" s="67">
        <f t="shared" si="60"/>
        <v>37281854.907490432</v>
      </c>
      <c r="I205" s="67">
        <f t="shared" si="60"/>
        <v>74396996.178848952</v>
      </c>
      <c r="J205" s="67">
        <f t="shared" si="60"/>
        <v>0</v>
      </c>
      <c r="K205" s="67">
        <f t="shared" si="60"/>
        <v>0</v>
      </c>
      <c r="L205" s="67">
        <f t="shared" si="60"/>
        <v>0</v>
      </c>
      <c r="M205" s="67">
        <f t="shared" si="60"/>
        <v>0</v>
      </c>
      <c r="N205" s="67">
        <f t="shared" si="61"/>
        <v>0</v>
      </c>
      <c r="O205" s="171"/>
      <c r="P205" s="67">
        <f t="shared" si="62"/>
        <v>148786585.6704644</v>
      </c>
    </row>
    <row r="206" spans="3:16" x14ac:dyDescent="0.15">
      <c r="C206" s="12" t="s">
        <v>340</v>
      </c>
      <c r="D206" s="101">
        <f>'After Tax Analysis'!D30</f>
        <v>1</v>
      </c>
      <c r="E206" s="101">
        <f>'After Tax Analysis'!E30</f>
        <v>0.86206896551724144</v>
      </c>
      <c r="F206" s="101">
        <f>'After Tax Analysis'!F30</f>
        <v>0.74316290130796681</v>
      </c>
      <c r="G206" s="101">
        <f>'After Tax Analysis'!G30</f>
        <v>0.64065767354135073</v>
      </c>
      <c r="H206" s="101">
        <f>'After Tax Analysis'!H30</f>
        <v>0.5522910978804747</v>
      </c>
      <c r="I206" s="101">
        <f>'After Tax Analysis'!I30</f>
        <v>0.47611301541420237</v>
      </c>
      <c r="J206" s="101">
        <f>'After Tax Analysis'!J30</f>
        <v>0.41044225466741585</v>
      </c>
      <c r="K206" s="101">
        <f>'After Tax Analysis'!K30</f>
        <v>0.35382952988570338</v>
      </c>
      <c r="L206" s="101">
        <f>'After Tax Analysis'!L30</f>
        <v>0.30502545679802012</v>
      </c>
      <c r="M206" s="101">
        <f>'After Tax Analysis'!M30</f>
        <v>0.26295297999829326</v>
      </c>
      <c r="N206" s="101">
        <f>'After Tax Analysis'!N30</f>
        <v>0.22668360344680452</v>
      </c>
      <c r="O206" s="164"/>
      <c r="P206" s="102">
        <v>0</v>
      </c>
    </row>
    <row r="207" spans="3:16" x14ac:dyDescent="0.15">
      <c r="C207" s="12" t="s">
        <v>643</v>
      </c>
      <c r="D207" s="57"/>
      <c r="E207" s="57"/>
      <c r="F207" s="57"/>
      <c r="G207" s="57"/>
      <c r="H207" s="57"/>
      <c r="I207" s="57"/>
      <c r="J207" s="57"/>
      <c r="K207" s="57"/>
      <c r="L207" s="57"/>
      <c r="M207" s="57"/>
      <c r="N207" s="57"/>
      <c r="O207" s="57"/>
      <c r="P207" s="57"/>
    </row>
    <row r="208" spans="3:16" x14ac:dyDescent="0.15">
      <c r="C208" s="167">
        <v>-0.25</v>
      </c>
      <c r="D208" s="67">
        <f>D196*D$206</f>
        <v>-92550000</v>
      </c>
      <c r="E208" s="67">
        <f t="shared" ref="E208:N208" si="63">E196*E$206</f>
        <v>43114439.655172415</v>
      </c>
      <c r="F208" s="67">
        <f t="shared" si="63"/>
        <v>32849875.520214051</v>
      </c>
      <c r="G208" s="67">
        <f t="shared" si="63"/>
        <v>22706312.325821191</v>
      </c>
      <c r="H208" s="67">
        <f t="shared" si="63"/>
        <v>18466435.473649725</v>
      </c>
      <c r="I208" s="67">
        <f t="shared" si="63"/>
        <v>35421378.188470669</v>
      </c>
      <c r="J208" s="67">
        <f t="shared" si="63"/>
        <v>0</v>
      </c>
      <c r="K208" s="67">
        <f t="shared" si="63"/>
        <v>0</v>
      </c>
      <c r="L208" s="67">
        <f t="shared" si="63"/>
        <v>0</v>
      </c>
      <c r="M208" s="67">
        <f t="shared" si="63"/>
        <v>0</v>
      </c>
      <c r="N208" s="67">
        <f t="shared" si="63"/>
        <v>0</v>
      </c>
      <c r="O208" s="57"/>
      <c r="P208" s="67">
        <f>SUM(D208:N208)</f>
        <v>60008441.163328052</v>
      </c>
    </row>
    <row r="209" spans="3:16" x14ac:dyDescent="0.15">
      <c r="C209" s="167">
        <v>-0.2</v>
      </c>
      <c r="D209" s="67">
        <f t="shared" ref="D209:N217" si="64">D197*D$206</f>
        <v>-92550000</v>
      </c>
      <c r="E209" s="67">
        <f t="shared" si="64"/>
        <v>43114439.655172415</v>
      </c>
      <c r="F209" s="67">
        <f t="shared" si="64"/>
        <v>32849875.520214051</v>
      </c>
      <c r="G209" s="67">
        <f t="shared" si="64"/>
        <v>22706312.325821191</v>
      </c>
      <c r="H209" s="67">
        <f t="shared" si="64"/>
        <v>18678835.584072597</v>
      </c>
      <c r="I209" s="67">
        <f t="shared" si="64"/>
        <v>35421378.188470669</v>
      </c>
      <c r="J209" s="67">
        <f t="shared" si="64"/>
        <v>0</v>
      </c>
      <c r="K209" s="67">
        <f t="shared" si="64"/>
        <v>0</v>
      </c>
      <c r="L209" s="67">
        <f t="shared" si="64"/>
        <v>0</v>
      </c>
      <c r="M209" s="67">
        <f t="shared" si="64"/>
        <v>0</v>
      </c>
      <c r="N209" s="67">
        <f t="shared" si="64"/>
        <v>0</v>
      </c>
      <c r="O209" s="57"/>
      <c r="P209" s="67">
        <f t="shared" ref="P209:P217" si="65">SUM(D209:N209)</f>
        <v>60220841.273750924</v>
      </c>
    </row>
    <row r="210" spans="3:16" x14ac:dyDescent="0.15">
      <c r="C210" s="167">
        <v>-0.15</v>
      </c>
      <c r="D210" s="67">
        <f t="shared" si="64"/>
        <v>-92550000</v>
      </c>
      <c r="E210" s="67">
        <f t="shared" si="64"/>
        <v>43114439.655172415</v>
      </c>
      <c r="F210" s="67">
        <f t="shared" si="64"/>
        <v>32849875.520214051</v>
      </c>
      <c r="G210" s="67">
        <f t="shared" si="64"/>
        <v>22706312.325821191</v>
      </c>
      <c r="H210" s="67">
        <f t="shared" si="64"/>
        <v>18891235.694495469</v>
      </c>
      <c r="I210" s="67">
        <f t="shared" si="64"/>
        <v>35421378.188470669</v>
      </c>
      <c r="J210" s="67">
        <f t="shared" si="64"/>
        <v>0</v>
      </c>
      <c r="K210" s="67">
        <f t="shared" si="64"/>
        <v>0</v>
      </c>
      <c r="L210" s="67">
        <f t="shared" si="64"/>
        <v>0</v>
      </c>
      <c r="M210" s="67">
        <f t="shared" si="64"/>
        <v>0</v>
      </c>
      <c r="N210" s="67">
        <f t="shared" si="64"/>
        <v>0</v>
      </c>
      <c r="O210" s="57"/>
      <c r="P210" s="67">
        <f t="shared" si="65"/>
        <v>60433241.384173796</v>
      </c>
    </row>
    <row r="211" spans="3:16" x14ac:dyDescent="0.15">
      <c r="C211" s="167">
        <v>-0.1</v>
      </c>
      <c r="D211" s="67">
        <f t="shared" si="64"/>
        <v>-92550000</v>
      </c>
      <c r="E211" s="67">
        <f t="shared" si="64"/>
        <v>43114439.655172415</v>
      </c>
      <c r="F211" s="67">
        <f t="shared" si="64"/>
        <v>32849875.520214051</v>
      </c>
      <c r="G211" s="67">
        <f t="shared" si="64"/>
        <v>22706312.325821191</v>
      </c>
      <c r="H211" s="67">
        <f t="shared" si="64"/>
        <v>19103635.804918345</v>
      </c>
      <c r="I211" s="67">
        <f t="shared" si="64"/>
        <v>35421378.188470669</v>
      </c>
      <c r="J211" s="67">
        <f t="shared" si="64"/>
        <v>0</v>
      </c>
      <c r="K211" s="67">
        <f t="shared" si="64"/>
        <v>0</v>
      </c>
      <c r="L211" s="67">
        <f t="shared" si="64"/>
        <v>0</v>
      </c>
      <c r="M211" s="67">
        <f t="shared" si="64"/>
        <v>0</v>
      </c>
      <c r="N211" s="67">
        <f t="shared" si="64"/>
        <v>0</v>
      </c>
      <c r="O211" s="57"/>
      <c r="P211" s="67">
        <f t="shared" si="65"/>
        <v>60645641.494596675</v>
      </c>
    </row>
    <row r="212" spans="3:16" x14ac:dyDescent="0.15">
      <c r="C212" s="167">
        <v>-0.05</v>
      </c>
      <c r="D212" s="67">
        <f t="shared" si="64"/>
        <v>-92550000</v>
      </c>
      <c r="E212" s="67">
        <f t="shared" si="64"/>
        <v>43114439.655172415</v>
      </c>
      <c r="F212" s="67">
        <f t="shared" si="64"/>
        <v>32849875.520214051</v>
      </c>
      <c r="G212" s="67">
        <f t="shared" si="64"/>
        <v>22706312.325821191</v>
      </c>
      <c r="H212" s="67">
        <f t="shared" si="64"/>
        <v>19316035.915341217</v>
      </c>
      <c r="I212" s="67">
        <f t="shared" si="64"/>
        <v>35421378.188470669</v>
      </c>
      <c r="J212" s="67">
        <f t="shared" si="64"/>
        <v>0</v>
      </c>
      <c r="K212" s="67">
        <f t="shared" si="64"/>
        <v>0</v>
      </c>
      <c r="L212" s="67">
        <f t="shared" si="64"/>
        <v>0</v>
      </c>
      <c r="M212" s="67">
        <f t="shared" si="64"/>
        <v>0</v>
      </c>
      <c r="N212" s="67">
        <f t="shared" si="64"/>
        <v>0</v>
      </c>
      <c r="O212" s="57"/>
      <c r="P212" s="67">
        <f t="shared" si="65"/>
        <v>60858041.60501954</v>
      </c>
    </row>
    <row r="213" spans="3:16" x14ac:dyDescent="0.15">
      <c r="C213" s="167">
        <v>0.05</v>
      </c>
      <c r="D213" s="67">
        <f t="shared" si="64"/>
        <v>-92550000</v>
      </c>
      <c r="E213" s="67">
        <f t="shared" si="64"/>
        <v>43114439.655172415</v>
      </c>
      <c r="F213" s="67">
        <f t="shared" si="64"/>
        <v>32849875.520214051</v>
      </c>
      <c r="G213" s="67">
        <f t="shared" si="64"/>
        <v>22706312.325821191</v>
      </c>
      <c r="H213" s="67">
        <f t="shared" si="64"/>
        <v>19740836.136186961</v>
      </c>
      <c r="I213" s="67">
        <f t="shared" si="64"/>
        <v>35421378.188470669</v>
      </c>
      <c r="J213" s="67">
        <f t="shared" si="64"/>
        <v>0</v>
      </c>
      <c r="K213" s="67">
        <f t="shared" si="64"/>
        <v>0</v>
      </c>
      <c r="L213" s="67">
        <f t="shared" si="64"/>
        <v>0</v>
      </c>
      <c r="M213" s="67">
        <f t="shared" si="64"/>
        <v>0</v>
      </c>
      <c r="N213" s="67">
        <f t="shared" si="64"/>
        <v>0</v>
      </c>
      <c r="O213" s="57"/>
      <c r="P213" s="67">
        <f t="shared" si="65"/>
        <v>61282841.825865284</v>
      </c>
    </row>
    <row r="214" spans="3:16" x14ac:dyDescent="0.15">
      <c r="C214" s="167">
        <v>0.1</v>
      </c>
      <c r="D214" s="67">
        <f t="shared" si="64"/>
        <v>-92550000</v>
      </c>
      <c r="E214" s="67">
        <f t="shared" si="64"/>
        <v>43114439.655172415</v>
      </c>
      <c r="F214" s="67">
        <f t="shared" si="64"/>
        <v>32849875.520214051</v>
      </c>
      <c r="G214" s="67">
        <f t="shared" si="64"/>
        <v>22706312.325821191</v>
      </c>
      <c r="H214" s="67">
        <f t="shared" si="64"/>
        <v>19953236.246609837</v>
      </c>
      <c r="I214" s="67">
        <f t="shared" si="64"/>
        <v>35421378.188470669</v>
      </c>
      <c r="J214" s="67">
        <f t="shared" si="64"/>
        <v>0</v>
      </c>
      <c r="K214" s="67">
        <f t="shared" si="64"/>
        <v>0</v>
      </c>
      <c r="L214" s="67">
        <f t="shared" si="64"/>
        <v>0</v>
      </c>
      <c r="M214" s="67">
        <f t="shared" si="64"/>
        <v>0</v>
      </c>
      <c r="N214" s="67">
        <f t="shared" si="64"/>
        <v>0</v>
      </c>
      <c r="O214" s="57"/>
      <c r="P214" s="67">
        <f t="shared" si="65"/>
        <v>61495241.936288163</v>
      </c>
    </row>
    <row r="215" spans="3:16" x14ac:dyDescent="0.15">
      <c r="C215" s="167">
        <v>0.15</v>
      </c>
      <c r="D215" s="67">
        <f t="shared" si="64"/>
        <v>-92550000</v>
      </c>
      <c r="E215" s="67">
        <f t="shared" si="64"/>
        <v>43114439.655172415</v>
      </c>
      <c r="F215" s="67">
        <f t="shared" si="64"/>
        <v>32849875.520214051</v>
      </c>
      <c r="G215" s="67">
        <f t="shared" si="64"/>
        <v>22706312.325821191</v>
      </c>
      <c r="H215" s="67">
        <f t="shared" si="64"/>
        <v>20165636.357032709</v>
      </c>
      <c r="I215" s="67">
        <f t="shared" si="64"/>
        <v>35421378.188470669</v>
      </c>
      <c r="J215" s="67">
        <f t="shared" si="64"/>
        <v>0</v>
      </c>
      <c r="K215" s="67">
        <f t="shared" si="64"/>
        <v>0</v>
      </c>
      <c r="L215" s="67">
        <f t="shared" si="64"/>
        <v>0</v>
      </c>
      <c r="M215" s="67">
        <f t="shared" si="64"/>
        <v>0</v>
      </c>
      <c r="N215" s="67">
        <f t="shared" si="64"/>
        <v>0</v>
      </c>
      <c r="O215" s="57"/>
      <c r="P215" s="67">
        <f t="shared" si="65"/>
        <v>61707642.046711035</v>
      </c>
    </row>
    <row r="216" spans="3:16" x14ac:dyDescent="0.15">
      <c r="C216" s="167">
        <v>0.2</v>
      </c>
      <c r="D216" s="67">
        <f t="shared" si="64"/>
        <v>-92550000</v>
      </c>
      <c r="E216" s="67">
        <f t="shared" si="64"/>
        <v>43114439.655172415</v>
      </c>
      <c r="F216" s="67">
        <f t="shared" si="64"/>
        <v>32849875.520214051</v>
      </c>
      <c r="G216" s="67">
        <f t="shared" si="64"/>
        <v>22706312.325821191</v>
      </c>
      <c r="H216" s="67">
        <f t="shared" si="64"/>
        <v>20378036.467455581</v>
      </c>
      <c r="I216" s="67">
        <f t="shared" si="64"/>
        <v>35421378.188470669</v>
      </c>
      <c r="J216" s="67">
        <f t="shared" si="64"/>
        <v>0</v>
      </c>
      <c r="K216" s="67">
        <f t="shared" si="64"/>
        <v>0</v>
      </c>
      <c r="L216" s="67">
        <f t="shared" si="64"/>
        <v>0</v>
      </c>
      <c r="M216" s="67">
        <f t="shared" si="64"/>
        <v>0</v>
      </c>
      <c r="N216" s="67">
        <f t="shared" si="64"/>
        <v>0</v>
      </c>
      <c r="O216" s="57"/>
      <c r="P216" s="67">
        <f t="shared" si="65"/>
        <v>61920042.157133907</v>
      </c>
    </row>
    <row r="217" spans="3:16" x14ac:dyDescent="0.15">
      <c r="C217" s="167">
        <v>0.25</v>
      </c>
      <c r="D217" s="67">
        <f t="shared" si="64"/>
        <v>-92550000</v>
      </c>
      <c r="E217" s="67">
        <f t="shared" si="64"/>
        <v>43114439.655172415</v>
      </c>
      <c r="F217" s="67">
        <f t="shared" si="64"/>
        <v>32849875.520214051</v>
      </c>
      <c r="G217" s="67">
        <f t="shared" si="64"/>
        <v>22706312.325821191</v>
      </c>
      <c r="H217" s="67">
        <f t="shared" si="64"/>
        <v>20590436.577878453</v>
      </c>
      <c r="I217" s="67">
        <f t="shared" si="64"/>
        <v>35421378.188470669</v>
      </c>
      <c r="J217" s="67">
        <f t="shared" si="64"/>
        <v>0</v>
      </c>
      <c r="K217" s="67">
        <f t="shared" si="64"/>
        <v>0</v>
      </c>
      <c r="L217" s="67">
        <f t="shared" si="64"/>
        <v>0</v>
      </c>
      <c r="M217" s="67">
        <f t="shared" si="64"/>
        <v>0</v>
      </c>
      <c r="N217" s="67">
        <f t="shared" si="64"/>
        <v>0</v>
      </c>
      <c r="O217" s="57"/>
      <c r="P217" s="67">
        <f t="shared" si="65"/>
        <v>62132442.267556779</v>
      </c>
    </row>
    <row r="218" spans="3:16" x14ac:dyDescent="0.15">
      <c r="C218" s="12" t="s">
        <v>317</v>
      </c>
      <c r="D218" s="57"/>
      <c r="E218" s="57"/>
      <c r="F218" s="57"/>
      <c r="G218" s="57"/>
      <c r="H218" s="57"/>
      <c r="I218" s="57"/>
      <c r="J218" s="57"/>
      <c r="K218" s="57"/>
      <c r="L218" s="57"/>
      <c r="M218" s="57"/>
      <c r="N218" s="57"/>
      <c r="O218" s="57"/>
      <c r="P218" s="57"/>
    </row>
    <row r="219" spans="3:16" x14ac:dyDescent="0.15">
      <c r="C219" s="167">
        <v>-0.25</v>
      </c>
      <c r="D219" s="67">
        <f>D208</f>
        <v>-92550000</v>
      </c>
      <c r="E219" s="67">
        <f>D219+E208</f>
        <v>-49435560.344827585</v>
      </c>
      <c r="F219" s="67">
        <f t="shared" ref="F219:N219" si="66">E219+F208</f>
        <v>-16585684.824613534</v>
      </c>
      <c r="G219" s="67">
        <f t="shared" si="66"/>
        <v>6120627.5012076572</v>
      </c>
      <c r="H219" s="67">
        <f t="shared" si="66"/>
        <v>24587062.974857382</v>
      </c>
      <c r="I219" s="67">
        <f t="shared" si="66"/>
        <v>60008441.163328052</v>
      </c>
      <c r="J219" s="67">
        <f t="shared" si="66"/>
        <v>60008441.163328052</v>
      </c>
      <c r="K219" s="67">
        <f t="shared" si="66"/>
        <v>60008441.163328052</v>
      </c>
      <c r="L219" s="67">
        <f t="shared" si="66"/>
        <v>60008441.163328052</v>
      </c>
      <c r="M219" s="67">
        <f t="shared" si="66"/>
        <v>60008441.163328052</v>
      </c>
      <c r="N219" s="67">
        <f t="shared" si="66"/>
        <v>60008441.163328052</v>
      </c>
    </row>
    <row r="220" spans="3:16" x14ac:dyDescent="0.15">
      <c r="C220" s="167">
        <v>-0.2</v>
      </c>
      <c r="D220" s="67">
        <f t="shared" ref="D220:D228" si="67">D209</f>
        <v>-92550000</v>
      </c>
      <c r="E220" s="67">
        <f t="shared" ref="E220:N228" si="68">D220+E209</f>
        <v>-49435560.344827585</v>
      </c>
      <c r="F220" s="67">
        <f t="shared" si="68"/>
        <v>-16585684.824613534</v>
      </c>
      <c r="G220" s="67">
        <f t="shared" si="68"/>
        <v>6120627.5012076572</v>
      </c>
      <c r="H220" s="67">
        <f t="shared" si="68"/>
        <v>24799463.085280254</v>
      </c>
      <c r="I220" s="67">
        <f t="shared" si="68"/>
        <v>60220841.273750924</v>
      </c>
      <c r="J220" s="67">
        <f t="shared" si="68"/>
        <v>60220841.273750924</v>
      </c>
      <c r="K220" s="67">
        <f t="shared" si="68"/>
        <v>60220841.273750924</v>
      </c>
      <c r="L220" s="67">
        <f t="shared" si="68"/>
        <v>60220841.273750924</v>
      </c>
      <c r="M220" s="67">
        <f t="shared" si="68"/>
        <v>60220841.273750924</v>
      </c>
      <c r="N220" s="67">
        <f t="shared" si="68"/>
        <v>60220841.273750924</v>
      </c>
    </row>
    <row r="221" spans="3:16" x14ac:dyDescent="0.15">
      <c r="C221" s="167">
        <v>-0.15</v>
      </c>
      <c r="D221" s="67">
        <f t="shared" si="67"/>
        <v>-92550000</v>
      </c>
      <c r="E221" s="67">
        <f t="shared" si="68"/>
        <v>-49435560.344827585</v>
      </c>
      <c r="F221" s="67">
        <f t="shared" si="68"/>
        <v>-16585684.824613534</v>
      </c>
      <c r="G221" s="67">
        <f t="shared" si="68"/>
        <v>6120627.5012076572</v>
      </c>
      <c r="H221" s="67">
        <f t="shared" si="68"/>
        <v>25011863.195703126</v>
      </c>
      <c r="I221" s="67">
        <f t="shared" si="68"/>
        <v>60433241.384173796</v>
      </c>
      <c r="J221" s="67">
        <f t="shared" si="68"/>
        <v>60433241.384173796</v>
      </c>
      <c r="K221" s="67">
        <f t="shared" si="68"/>
        <v>60433241.384173796</v>
      </c>
      <c r="L221" s="67">
        <f t="shared" si="68"/>
        <v>60433241.384173796</v>
      </c>
      <c r="M221" s="67">
        <f t="shared" si="68"/>
        <v>60433241.384173796</v>
      </c>
      <c r="N221" s="67">
        <f t="shared" si="68"/>
        <v>60433241.384173796</v>
      </c>
    </row>
    <row r="222" spans="3:16" x14ac:dyDescent="0.15">
      <c r="C222" s="167">
        <v>-0.1</v>
      </c>
      <c r="D222" s="67">
        <f t="shared" si="67"/>
        <v>-92550000</v>
      </c>
      <c r="E222" s="67">
        <f t="shared" si="68"/>
        <v>-49435560.344827585</v>
      </c>
      <c r="F222" s="67">
        <f t="shared" si="68"/>
        <v>-16585684.824613534</v>
      </c>
      <c r="G222" s="67">
        <f t="shared" si="68"/>
        <v>6120627.5012076572</v>
      </c>
      <c r="H222" s="67">
        <f t="shared" si="68"/>
        <v>25224263.306126002</v>
      </c>
      <c r="I222" s="67">
        <f t="shared" si="68"/>
        <v>60645641.494596675</v>
      </c>
      <c r="J222" s="67">
        <f t="shared" si="68"/>
        <v>60645641.494596675</v>
      </c>
      <c r="K222" s="67">
        <f t="shared" si="68"/>
        <v>60645641.494596675</v>
      </c>
      <c r="L222" s="67">
        <f t="shared" si="68"/>
        <v>60645641.494596675</v>
      </c>
      <c r="M222" s="67">
        <f t="shared" si="68"/>
        <v>60645641.494596675</v>
      </c>
      <c r="N222" s="67">
        <f t="shared" si="68"/>
        <v>60645641.494596675</v>
      </c>
    </row>
    <row r="223" spans="3:16" x14ac:dyDescent="0.15">
      <c r="C223" s="167">
        <v>-0.05</v>
      </c>
      <c r="D223" s="67">
        <f t="shared" si="67"/>
        <v>-92550000</v>
      </c>
      <c r="E223" s="67">
        <f t="shared" si="68"/>
        <v>-49435560.344827585</v>
      </c>
      <c r="F223" s="67">
        <f t="shared" si="68"/>
        <v>-16585684.824613534</v>
      </c>
      <c r="G223" s="67">
        <f t="shared" si="68"/>
        <v>6120627.5012076572</v>
      </c>
      <c r="H223" s="67">
        <f t="shared" si="68"/>
        <v>25436663.416548874</v>
      </c>
      <c r="I223" s="67">
        <f t="shared" si="68"/>
        <v>60858041.60501954</v>
      </c>
      <c r="J223" s="67">
        <f t="shared" si="68"/>
        <v>60858041.60501954</v>
      </c>
      <c r="K223" s="67">
        <f t="shared" si="68"/>
        <v>60858041.60501954</v>
      </c>
      <c r="L223" s="67">
        <f t="shared" si="68"/>
        <v>60858041.60501954</v>
      </c>
      <c r="M223" s="67">
        <f t="shared" si="68"/>
        <v>60858041.60501954</v>
      </c>
      <c r="N223" s="67">
        <f t="shared" si="68"/>
        <v>60858041.60501954</v>
      </c>
    </row>
    <row r="224" spans="3:16" x14ac:dyDescent="0.15">
      <c r="C224" s="167">
        <v>0.05</v>
      </c>
      <c r="D224" s="67">
        <f t="shared" si="67"/>
        <v>-92550000</v>
      </c>
      <c r="E224" s="67">
        <f t="shared" si="68"/>
        <v>-49435560.344827585</v>
      </c>
      <c r="F224" s="67">
        <f t="shared" si="68"/>
        <v>-16585684.824613534</v>
      </c>
      <c r="G224" s="67">
        <f t="shared" si="68"/>
        <v>6120627.5012076572</v>
      </c>
      <c r="H224" s="67">
        <f t="shared" si="68"/>
        <v>25861463.637394618</v>
      </c>
      <c r="I224" s="67">
        <f t="shared" si="68"/>
        <v>61282841.825865284</v>
      </c>
      <c r="J224" s="67">
        <f t="shared" si="68"/>
        <v>61282841.825865284</v>
      </c>
      <c r="K224" s="67">
        <f t="shared" si="68"/>
        <v>61282841.825865284</v>
      </c>
      <c r="L224" s="67">
        <f t="shared" si="68"/>
        <v>61282841.825865284</v>
      </c>
      <c r="M224" s="67">
        <f t="shared" si="68"/>
        <v>61282841.825865284</v>
      </c>
      <c r="N224" s="67">
        <f t="shared" si="68"/>
        <v>61282841.825865284</v>
      </c>
    </row>
    <row r="225" spans="3:14" x14ac:dyDescent="0.15">
      <c r="C225" s="167">
        <v>0.1</v>
      </c>
      <c r="D225" s="67">
        <f t="shared" si="67"/>
        <v>-92550000</v>
      </c>
      <c r="E225" s="67">
        <f t="shared" si="68"/>
        <v>-49435560.344827585</v>
      </c>
      <c r="F225" s="67">
        <f t="shared" si="68"/>
        <v>-16585684.824613534</v>
      </c>
      <c r="G225" s="67">
        <f t="shared" si="68"/>
        <v>6120627.5012076572</v>
      </c>
      <c r="H225" s="67">
        <f t="shared" si="68"/>
        <v>26073863.747817494</v>
      </c>
      <c r="I225" s="67">
        <f t="shared" si="68"/>
        <v>61495241.936288163</v>
      </c>
      <c r="J225" s="67">
        <f t="shared" si="68"/>
        <v>61495241.936288163</v>
      </c>
      <c r="K225" s="67">
        <f t="shared" si="68"/>
        <v>61495241.936288163</v>
      </c>
      <c r="L225" s="67">
        <f t="shared" si="68"/>
        <v>61495241.936288163</v>
      </c>
      <c r="M225" s="67">
        <f t="shared" si="68"/>
        <v>61495241.936288163</v>
      </c>
      <c r="N225" s="67">
        <f t="shared" si="68"/>
        <v>61495241.936288163</v>
      </c>
    </row>
    <row r="226" spans="3:14" x14ac:dyDescent="0.15">
      <c r="C226" s="167">
        <v>0.15</v>
      </c>
      <c r="D226" s="67">
        <f t="shared" si="67"/>
        <v>-92550000</v>
      </c>
      <c r="E226" s="67">
        <f t="shared" si="68"/>
        <v>-49435560.344827585</v>
      </c>
      <c r="F226" s="67">
        <f t="shared" si="68"/>
        <v>-16585684.824613534</v>
      </c>
      <c r="G226" s="67">
        <f t="shared" si="68"/>
        <v>6120627.5012076572</v>
      </c>
      <c r="H226" s="67">
        <f t="shared" si="68"/>
        <v>26286263.858240366</v>
      </c>
      <c r="I226" s="67">
        <f t="shared" si="68"/>
        <v>61707642.046711035</v>
      </c>
      <c r="J226" s="67">
        <f t="shared" si="68"/>
        <v>61707642.046711035</v>
      </c>
      <c r="K226" s="67">
        <f t="shared" si="68"/>
        <v>61707642.046711035</v>
      </c>
      <c r="L226" s="67">
        <f t="shared" si="68"/>
        <v>61707642.046711035</v>
      </c>
      <c r="M226" s="67">
        <f t="shared" si="68"/>
        <v>61707642.046711035</v>
      </c>
      <c r="N226" s="67">
        <f t="shared" si="68"/>
        <v>61707642.046711035</v>
      </c>
    </row>
    <row r="227" spans="3:14" x14ac:dyDescent="0.15">
      <c r="C227" s="167">
        <v>0.2</v>
      </c>
      <c r="D227" s="67">
        <f t="shared" si="67"/>
        <v>-92550000</v>
      </c>
      <c r="E227" s="67">
        <f t="shared" si="68"/>
        <v>-49435560.344827585</v>
      </c>
      <c r="F227" s="67">
        <f t="shared" si="68"/>
        <v>-16585684.824613534</v>
      </c>
      <c r="G227" s="67">
        <f t="shared" si="68"/>
        <v>6120627.5012076572</v>
      </c>
      <c r="H227" s="67">
        <f t="shared" si="68"/>
        <v>26498663.968663238</v>
      </c>
      <c r="I227" s="67">
        <f t="shared" si="68"/>
        <v>61920042.157133907</v>
      </c>
      <c r="J227" s="67">
        <f t="shared" si="68"/>
        <v>61920042.157133907</v>
      </c>
      <c r="K227" s="67">
        <f t="shared" si="68"/>
        <v>61920042.157133907</v>
      </c>
      <c r="L227" s="67">
        <f t="shared" si="68"/>
        <v>61920042.157133907</v>
      </c>
      <c r="M227" s="67">
        <f t="shared" si="68"/>
        <v>61920042.157133907</v>
      </c>
      <c r="N227" s="67">
        <f t="shared" si="68"/>
        <v>61920042.157133907</v>
      </c>
    </row>
    <row r="228" spans="3:14" ht="14" thickBot="1" x14ac:dyDescent="0.2">
      <c r="C228" s="167">
        <v>0.25</v>
      </c>
      <c r="D228" s="95">
        <f t="shared" si="67"/>
        <v>-92550000</v>
      </c>
      <c r="E228" s="95">
        <f t="shared" si="68"/>
        <v>-49435560.344827585</v>
      </c>
      <c r="F228" s="95">
        <f t="shared" si="68"/>
        <v>-16585684.824613534</v>
      </c>
      <c r="G228" s="95">
        <f t="shared" si="68"/>
        <v>6120627.5012076572</v>
      </c>
      <c r="H228" s="95">
        <f t="shared" si="68"/>
        <v>26711064.07908611</v>
      </c>
      <c r="I228" s="95">
        <f t="shared" si="68"/>
        <v>62132442.267556779</v>
      </c>
      <c r="J228" s="95">
        <f t="shared" si="68"/>
        <v>62132442.267556779</v>
      </c>
      <c r="K228" s="95">
        <f t="shared" si="68"/>
        <v>62132442.267556779</v>
      </c>
      <c r="L228" s="95">
        <f t="shared" si="68"/>
        <v>62132442.267556779</v>
      </c>
      <c r="M228" s="95">
        <f t="shared" si="68"/>
        <v>62132442.267556779</v>
      </c>
      <c r="N228" s="95">
        <f t="shared" si="68"/>
        <v>62132442.267556779</v>
      </c>
    </row>
    <row r="229" spans="3:14" ht="15" thickTop="1" thickBot="1" x14ac:dyDescent="0.2"/>
    <row r="230" spans="3:14" x14ac:dyDescent="0.15">
      <c r="C230" s="611" t="s">
        <v>436</v>
      </c>
      <c r="D230" s="607"/>
      <c r="E230" s="607" t="s">
        <v>644</v>
      </c>
      <c r="F230" s="608" t="s">
        <v>341</v>
      </c>
      <c r="G230" s="420"/>
      <c r="H230" s="607" t="s">
        <v>644</v>
      </c>
    </row>
    <row r="231" spans="3:14" x14ac:dyDescent="0.15">
      <c r="C231" s="473">
        <v>-0.25</v>
      </c>
      <c r="D231" s="591">
        <f>IF(ISNUMBER(IRR(D196:N196)),IRR(D196:N196),"NMF")</f>
        <v>0.40746548313537811</v>
      </c>
      <c r="E231" s="591">
        <f>IF(D231="NMF","NMF",(D231-$D$236)/$D$236)</f>
        <v>-9.1137721861563308E-3</v>
      </c>
      <c r="F231" s="609">
        <v>-0.25</v>
      </c>
      <c r="G231" s="93">
        <f>P208</f>
        <v>60008441.163328052</v>
      </c>
      <c r="H231" s="591">
        <f>IF(ISNUMBER((G231-$G$236)/$G$236),(G231-$G$236)/$G$236,"NMF")</f>
        <v>-2.7488595522853158E-3</v>
      </c>
    </row>
    <row r="232" spans="3:14" x14ac:dyDescent="0.15">
      <c r="C232" s="473">
        <v>-0.2</v>
      </c>
      <c r="D232" s="591">
        <f t="shared" ref="D232:D241" si="69">IF(ISNUMBER(IRR(D197:N197)),IRR(D197:N197),"NMF")</f>
        <v>0.40809270737216052</v>
      </c>
      <c r="E232" s="591">
        <f t="shared" ref="E232:E241" si="70">IF(D232="NMF","NMF",(D232-$D$236)/$D$236)</f>
        <v>-7.5884703294288851E-3</v>
      </c>
      <c r="F232" s="609">
        <v>-0.2</v>
      </c>
      <c r="G232" s="93">
        <f>P209</f>
        <v>60220841.273750924</v>
      </c>
      <c r="H232" s="591">
        <f t="shared" ref="H232:H241" si="71">IF(ISNUMBER((G232-$G$236)/$G$236),(G232-$G$236)/$G$236,"NMF")</f>
        <v>7.8091473020135106E-4</v>
      </c>
    </row>
    <row r="233" spans="3:14" x14ac:dyDescent="0.15">
      <c r="C233" s="473">
        <v>-0.15</v>
      </c>
      <c r="D233" s="591">
        <f t="shared" si="69"/>
        <v>0.40871888340192419</v>
      </c>
      <c r="E233" s="591">
        <f t="shared" si="70"/>
        <v>-6.0657175325402601E-3</v>
      </c>
      <c r="F233" s="609">
        <v>-0.15</v>
      </c>
      <c r="G233" s="93">
        <f>P210</f>
        <v>60433241.384173796</v>
      </c>
      <c r="H233" s="591">
        <f t="shared" si="71"/>
        <v>4.3106890126880177E-3</v>
      </c>
    </row>
    <row r="234" spans="3:14" x14ac:dyDescent="0.15">
      <c r="C234" s="473">
        <v>-0.1</v>
      </c>
      <c r="D234" s="591">
        <f t="shared" si="69"/>
        <v>0.40934401529229314</v>
      </c>
      <c r="E234" s="591">
        <f t="shared" si="70"/>
        <v>-4.5455039037259172E-3</v>
      </c>
      <c r="F234" s="609">
        <v>-0.1</v>
      </c>
      <c r="G234" s="93">
        <f>P211</f>
        <v>60645641.494596675</v>
      </c>
      <c r="H234" s="591">
        <f t="shared" si="71"/>
        <v>7.8404632951748088E-3</v>
      </c>
    </row>
    <row r="235" spans="3:14" x14ac:dyDescent="0.15">
      <c r="C235" s="473">
        <v>-0.05</v>
      </c>
      <c r="D235" s="591">
        <f t="shared" si="69"/>
        <v>0.40996810708636056</v>
      </c>
      <c r="E235" s="591">
        <f t="shared" si="70"/>
        <v>-3.0278196108760739E-3</v>
      </c>
      <c r="F235" s="609">
        <v>-0.05</v>
      </c>
      <c r="G235" s="93">
        <f>P212</f>
        <v>60858041.60501954</v>
      </c>
      <c r="H235" s="591">
        <f t="shared" si="71"/>
        <v>1.1370237577661351E-2</v>
      </c>
    </row>
    <row r="236" spans="3:14" x14ac:dyDescent="0.15">
      <c r="C236" s="473" t="s">
        <v>417</v>
      </c>
      <c r="D236" s="591">
        <f t="shared" si="69"/>
        <v>0.41121318643650384</v>
      </c>
      <c r="E236" s="591">
        <f t="shared" si="70"/>
        <v>0</v>
      </c>
      <c r="F236" s="609" t="s">
        <v>417</v>
      </c>
      <c r="G236" s="93">
        <f>'After Tax Analysis'!D38</f>
        <v>60173850.627423033</v>
      </c>
      <c r="H236" s="591">
        <f t="shared" si="71"/>
        <v>0</v>
      </c>
    </row>
    <row r="237" spans="3:14" x14ac:dyDescent="0.15">
      <c r="C237" s="473">
        <v>0.05</v>
      </c>
      <c r="D237" s="591">
        <f t="shared" si="69"/>
        <v>0.41183418195789612</v>
      </c>
      <c r="E237" s="591">
        <f t="shared" si="70"/>
        <v>1.5101546883107184E-3</v>
      </c>
      <c r="F237" s="609">
        <v>0.05</v>
      </c>
      <c r="G237" s="93">
        <f>P213</f>
        <v>61282841.825865284</v>
      </c>
      <c r="H237" s="591">
        <f t="shared" si="71"/>
        <v>1.8429786142634685E-2</v>
      </c>
    </row>
    <row r="238" spans="3:14" x14ac:dyDescent="0.15">
      <c r="C238" s="473">
        <v>0.1</v>
      </c>
      <c r="D238" s="591">
        <f t="shared" si="69"/>
        <v>0.41245415331400848</v>
      </c>
      <c r="E238" s="591">
        <f t="shared" si="70"/>
        <v>3.017818782171409E-3</v>
      </c>
      <c r="F238" s="609">
        <v>0.1</v>
      </c>
      <c r="G238" s="93">
        <f>P214</f>
        <v>61495241.936288163</v>
      </c>
      <c r="H238" s="591">
        <f t="shared" si="71"/>
        <v>2.1959560425121476E-2</v>
      </c>
    </row>
    <row r="239" spans="3:14" x14ac:dyDescent="0.15">
      <c r="C239" s="473">
        <v>0.15</v>
      </c>
      <c r="D239" s="591">
        <f t="shared" si="69"/>
        <v>0.41307310442823186</v>
      </c>
      <c r="E239" s="591">
        <f t="shared" si="70"/>
        <v>4.5230018225965009E-3</v>
      </c>
      <c r="F239" s="609">
        <v>0.15</v>
      </c>
      <c r="G239" s="93">
        <f>P215</f>
        <v>61707642.046711035</v>
      </c>
      <c r="H239" s="591">
        <f t="shared" si="71"/>
        <v>2.5489334707608145E-2</v>
      </c>
    </row>
    <row r="240" spans="3:14" x14ac:dyDescent="0.15">
      <c r="C240" s="473">
        <v>0.2</v>
      </c>
      <c r="D240" s="591">
        <f t="shared" si="69"/>
        <v>0.41369103920059125</v>
      </c>
      <c r="E240" s="591">
        <f t="shared" si="70"/>
        <v>6.025713293778376E-3</v>
      </c>
      <c r="F240" s="609">
        <v>0.2</v>
      </c>
      <c r="G240" s="93">
        <f>P216</f>
        <v>61920042.157133907</v>
      </c>
      <c r="H240" s="591">
        <f t="shared" si="71"/>
        <v>2.901910899009481E-2</v>
      </c>
    </row>
    <row r="241" spans="3:8" ht="14" thickBot="1" x14ac:dyDescent="0.2">
      <c r="C241" s="474">
        <v>0.25</v>
      </c>
      <c r="D241" s="592" t="str">
        <f t="shared" si="69"/>
        <v>NMF</v>
      </c>
      <c r="E241" s="592" t="str">
        <f t="shared" si="70"/>
        <v>NMF</v>
      </c>
      <c r="F241" s="610">
        <v>0.25</v>
      </c>
      <c r="G241" s="606">
        <f>P217</f>
        <v>62132442.267556779</v>
      </c>
      <c r="H241" s="592">
        <f t="shared" si="71"/>
        <v>3.2548883272581479E-2</v>
      </c>
    </row>
  </sheetData>
  <sheetProtection password="AA36" sheet="1" objects="1" scenarios="1"/>
  <phoneticPr fontId="0"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O198"/>
  <sheetViews>
    <sheetView workbookViewId="0"/>
  </sheetViews>
  <sheetFormatPr baseColWidth="10" defaultColWidth="8.83203125" defaultRowHeight="13" x14ac:dyDescent="0.15"/>
  <cols>
    <col min="2" max="2" width="21.83203125" customWidth="1"/>
    <col min="3" max="3" width="17.5" bestFit="1" customWidth="1"/>
    <col min="4" max="4" width="18.5" bestFit="1" customWidth="1"/>
    <col min="5" max="5" width="16.1640625" customWidth="1"/>
    <col min="6" max="6" width="15.83203125" customWidth="1"/>
    <col min="7" max="7" width="18.1640625" customWidth="1"/>
    <col min="8" max="8" width="15" customWidth="1"/>
    <col min="9" max="13" width="14.5" customWidth="1"/>
    <col min="14" max="14" width="12.33203125" customWidth="1"/>
    <col min="15" max="15" width="16.33203125" customWidth="1"/>
  </cols>
  <sheetData>
    <row r="1" spans="1:5" ht="16" x14ac:dyDescent="0.2">
      <c r="A1" s="48" t="s">
        <v>645</v>
      </c>
    </row>
    <row r="2" spans="1:5" x14ac:dyDescent="0.15">
      <c r="B2" t="s">
        <v>646</v>
      </c>
    </row>
    <row r="3" spans="1:5" x14ac:dyDescent="0.15">
      <c r="B3" s="539" t="s">
        <v>647</v>
      </c>
    </row>
    <row r="4" spans="1:5" ht="28" x14ac:dyDescent="0.15">
      <c r="C4" s="23" t="s">
        <v>648</v>
      </c>
      <c r="D4" s="61">
        <f>'Loan Amortization'!D5</f>
        <v>0</v>
      </c>
      <c r="E4" s="26" t="s">
        <v>435</v>
      </c>
    </row>
    <row r="5" spans="1:5" x14ac:dyDescent="0.15">
      <c r="C5" s="103">
        <v>-0.25</v>
      </c>
      <c r="D5" s="107">
        <f>D4*0.75</f>
        <v>0</v>
      </c>
      <c r="E5" s="574">
        <f>IF(ISNUMBER(D5/'Capital &amp; Depr'!$E$20),(D5/'Capital &amp; Depr'!$E$20),"NMF")</f>
        <v>0</v>
      </c>
    </row>
    <row r="6" spans="1:5" x14ac:dyDescent="0.15">
      <c r="C6" s="103">
        <v>-0.2</v>
      </c>
      <c r="D6" s="107">
        <f>D4*0.8</f>
        <v>0</v>
      </c>
      <c r="E6" s="574">
        <f>IF(ISNUMBER(D6/'Capital &amp; Depr'!$E$20),(D6/'Capital &amp; Depr'!$E$20),"NMF")</f>
        <v>0</v>
      </c>
    </row>
    <row r="7" spans="1:5" x14ac:dyDescent="0.15">
      <c r="C7" s="103">
        <v>-0.15</v>
      </c>
      <c r="D7" s="107">
        <f>D4*0.85</f>
        <v>0</v>
      </c>
      <c r="E7" s="574">
        <f>IF(ISNUMBER(D7/'Capital &amp; Depr'!$E$20),(D7/'Capital &amp; Depr'!$E$20),"NMF")</f>
        <v>0</v>
      </c>
    </row>
    <row r="8" spans="1:5" x14ac:dyDescent="0.15">
      <c r="C8" s="103">
        <v>-0.1</v>
      </c>
      <c r="D8" s="107">
        <f>D4*0.9</f>
        <v>0</v>
      </c>
      <c r="E8" s="574">
        <f>IF(ISNUMBER(D8/'Capital &amp; Depr'!$E$20),(D8/'Capital &amp; Depr'!$E$20),"NMF")</f>
        <v>0</v>
      </c>
    </row>
    <row r="9" spans="1:5" x14ac:dyDescent="0.15">
      <c r="C9" s="103">
        <v>-0.05</v>
      </c>
      <c r="D9" s="107">
        <f>D4*0.95</f>
        <v>0</v>
      </c>
      <c r="E9" s="574">
        <f>IF(ISNUMBER(D9/'Capital &amp; Depr'!$E$20),(D9/'Capital &amp; Depr'!$E$20),"NMF")</f>
        <v>0</v>
      </c>
    </row>
    <row r="10" spans="1:5" x14ac:dyDescent="0.15">
      <c r="C10" s="103">
        <v>0</v>
      </c>
      <c r="D10" s="107">
        <f>D4</f>
        <v>0</v>
      </c>
      <c r="E10" s="574">
        <f>IF(ISNUMBER(D10/'Capital &amp; Depr'!$E$20),(D10/'Capital &amp; Depr'!$E$20),"NMF")</f>
        <v>0</v>
      </c>
    </row>
    <row r="11" spans="1:5" x14ac:dyDescent="0.15">
      <c r="C11" s="103">
        <v>0.05</v>
      </c>
      <c r="D11" s="107">
        <f>D4*1.05</f>
        <v>0</v>
      </c>
      <c r="E11" s="574">
        <f>IF(ISNUMBER(D11/'Capital &amp; Depr'!$E$20),(D11/'Capital &amp; Depr'!$E$20),"NMF")</f>
        <v>0</v>
      </c>
    </row>
    <row r="12" spans="1:5" x14ac:dyDescent="0.15">
      <c r="C12" s="103">
        <v>0.1</v>
      </c>
      <c r="D12" s="107">
        <f>D4*1.1</f>
        <v>0</v>
      </c>
      <c r="E12" s="574">
        <f>IF(ISNUMBER(D12/'Capital &amp; Depr'!$E$20),(D12/'Capital &amp; Depr'!$E$20),"NMF")</f>
        <v>0</v>
      </c>
    </row>
    <row r="13" spans="1:5" x14ac:dyDescent="0.15">
      <c r="C13" s="103">
        <v>0.15</v>
      </c>
      <c r="D13" s="107">
        <f>D4*1.15</f>
        <v>0</v>
      </c>
      <c r="E13" s="574">
        <f>IF(ISNUMBER(D13/'Capital &amp; Depr'!$E$20),(D13/'Capital &amp; Depr'!$E$20),"NMF")</f>
        <v>0</v>
      </c>
    </row>
    <row r="14" spans="1:5" x14ac:dyDescent="0.15">
      <c r="C14" s="103">
        <v>0.2</v>
      </c>
      <c r="D14" s="107">
        <f>D4*1.2</f>
        <v>0</v>
      </c>
      <c r="E14" s="574">
        <f>IF(ISNUMBER(D14/'Capital &amp; Depr'!$E$20),(D14/'Capital &amp; Depr'!$E$20),"NMF")</f>
        <v>0</v>
      </c>
    </row>
    <row r="15" spans="1:5" x14ac:dyDescent="0.15">
      <c r="C15" s="103">
        <v>0.25</v>
      </c>
      <c r="D15" s="107">
        <f>D4*1.25</f>
        <v>0</v>
      </c>
      <c r="E15" s="574">
        <f>IF(ISNUMBER(D15/'Capital &amp; Depr'!$E$20),(D15/'Capital &amp; Depr'!$E$20),"NMF")</f>
        <v>0</v>
      </c>
    </row>
    <row r="17" spans="2:15" x14ac:dyDescent="0.15">
      <c r="B17" t="s">
        <v>283</v>
      </c>
    </row>
    <row r="18" spans="2:15" x14ac:dyDescent="0.15">
      <c r="B18" s="12" t="s">
        <v>630</v>
      </c>
      <c r="C18" s="26">
        <v>0</v>
      </c>
      <c r="D18" s="26">
        <v>1</v>
      </c>
      <c r="E18" s="26">
        <v>2</v>
      </c>
      <c r="F18" s="26">
        <v>3</v>
      </c>
      <c r="G18" s="26">
        <v>4</v>
      </c>
      <c r="H18" s="26">
        <v>5</v>
      </c>
      <c r="I18" s="26">
        <v>6</v>
      </c>
      <c r="J18" s="26">
        <v>7</v>
      </c>
      <c r="K18" s="26">
        <v>8</v>
      </c>
      <c r="L18" s="26">
        <v>9</v>
      </c>
      <c r="M18" s="26">
        <v>10</v>
      </c>
      <c r="N18" s="26" t="s">
        <v>284</v>
      </c>
      <c r="O18" s="91" t="s">
        <v>216</v>
      </c>
    </row>
    <row r="19" spans="2:15" x14ac:dyDescent="0.15">
      <c r="B19" s="12" t="s">
        <v>631</v>
      </c>
      <c r="C19" s="12"/>
      <c r="D19" s="61">
        <f>'After Tax Analysis'!E8</f>
        <v>300000000</v>
      </c>
      <c r="E19" s="61">
        <f>'After Tax Analysis'!F8</f>
        <v>313500000.00000006</v>
      </c>
      <c r="F19" s="61">
        <f>'After Tax Analysis'!G8</f>
        <v>327607500.00000006</v>
      </c>
      <c r="G19" s="61">
        <f>'After Tax Analysis'!H8</f>
        <v>342349837.50000012</v>
      </c>
      <c r="H19" s="61">
        <f>'After Tax Analysis'!I8</f>
        <v>357755580.18750012</v>
      </c>
      <c r="I19" s="61">
        <f>'After Tax Analysis'!J8</f>
        <v>0</v>
      </c>
      <c r="J19" s="61">
        <f>'After Tax Analysis'!K8</f>
        <v>0</v>
      </c>
      <c r="K19" s="61">
        <f>'After Tax Analysis'!L8</f>
        <v>0</v>
      </c>
      <c r="L19" s="61">
        <f>'After Tax Analysis'!M8</f>
        <v>0</v>
      </c>
      <c r="M19" s="61">
        <f>'After Tax Analysis'!N8</f>
        <v>0</v>
      </c>
      <c r="N19" s="162"/>
      <c r="O19" s="63">
        <f>SUM(D19:M19)</f>
        <v>1641212917.6875</v>
      </c>
    </row>
    <row r="20" spans="2:15" x14ac:dyDescent="0.15">
      <c r="B20" s="12" t="s">
        <v>632</v>
      </c>
      <c r="C20" s="12"/>
      <c r="D20" s="61">
        <f>'After Tax Analysis'!E9</f>
        <v>230170000</v>
      </c>
      <c r="E20" s="61">
        <f>'After Tax Analysis'!F9</f>
        <v>253018375.00000003</v>
      </c>
      <c r="F20" s="61">
        <f>'After Tax Analysis'!G9</f>
        <v>278725718.45125008</v>
      </c>
      <c r="G20" s="61">
        <f>'After Tax Analysis'!H9</f>
        <v>307665975.06072807</v>
      </c>
      <c r="H20" s="61">
        <f>'After Tax Analysis'!I9</f>
        <v>340262566.36057305</v>
      </c>
      <c r="I20" s="61">
        <f>'After Tax Analysis'!J9</f>
        <v>0</v>
      </c>
      <c r="J20" s="61">
        <f>'After Tax Analysis'!K9</f>
        <v>0</v>
      </c>
      <c r="K20" s="61">
        <f>'After Tax Analysis'!L9</f>
        <v>0</v>
      </c>
      <c r="L20" s="61">
        <f>'After Tax Analysis'!M9</f>
        <v>0</v>
      </c>
      <c r="M20" s="61">
        <f>'After Tax Analysis'!N9</f>
        <v>0</v>
      </c>
      <c r="N20" s="162"/>
      <c r="O20" s="63">
        <f>SUM(D20:M20)</f>
        <v>1409842634.8725512</v>
      </c>
    </row>
    <row r="21" spans="2:15" x14ac:dyDescent="0.15">
      <c r="B21" s="12" t="s">
        <v>633</v>
      </c>
      <c r="C21" s="12"/>
      <c r="D21" s="67">
        <f>D19-D20</f>
        <v>69830000</v>
      </c>
      <c r="E21" s="67">
        <f t="shared" ref="E21:L21" si="0">E19-E20</f>
        <v>60481625.00000003</v>
      </c>
      <c r="F21" s="67">
        <f t="shared" si="0"/>
        <v>48881781.548749983</v>
      </c>
      <c r="G21" s="67">
        <f t="shared" si="0"/>
        <v>34683862.439272046</v>
      </c>
      <c r="H21" s="67">
        <f t="shared" si="0"/>
        <v>17493013.826927066</v>
      </c>
      <c r="I21" s="67">
        <f t="shared" si="0"/>
        <v>0</v>
      </c>
      <c r="J21" s="67">
        <f t="shared" si="0"/>
        <v>0</v>
      </c>
      <c r="K21" s="67">
        <f t="shared" si="0"/>
        <v>0</v>
      </c>
      <c r="L21" s="67">
        <f t="shared" si="0"/>
        <v>0</v>
      </c>
      <c r="M21" s="67">
        <f>M19-M20</f>
        <v>0</v>
      </c>
      <c r="N21" s="162"/>
      <c r="O21" s="67">
        <f>SUM(D21:M21)</f>
        <v>231370282.81494913</v>
      </c>
    </row>
    <row r="22" spans="2:15" x14ac:dyDescent="0.15">
      <c r="B22" s="12" t="s">
        <v>292</v>
      </c>
      <c r="C22" s="12"/>
      <c r="D22" s="92">
        <f>'After Tax Analysis'!E11</f>
        <v>3772500</v>
      </c>
      <c r="E22" s="92">
        <f>'After Tax Analysis'!F11</f>
        <v>6218850</v>
      </c>
      <c r="F22" s="92">
        <f>'After Tax Analysis'!G11</f>
        <v>4083150</v>
      </c>
      <c r="G22" s="92">
        <f>'After Tax Analysis'!H11</f>
        <v>2775510</v>
      </c>
      <c r="H22" s="92">
        <f>'After Tax Analysis'!I11</f>
        <v>1352955</v>
      </c>
      <c r="I22" s="92">
        <f>'After Tax Analysis'!J11</f>
        <v>0</v>
      </c>
      <c r="J22" s="92">
        <f>'After Tax Analysis'!K11</f>
        <v>0</v>
      </c>
      <c r="K22" s="92">
        <f>'After Tax Analysis'!L11</f>
        <v>0</v>
      </c>
      <c r="L22" s="92">
        <f>'After Tax Analysis'!M11</f>
        <v>0</v>
      </c>
      <c r="M22" s="92">
        <f>'After Tax Analysis'!N11</f>
        <v>0</v>
      </c>
      <c r="N22" s="162"/>
      <c r="O22" s="67">
        <f>SUM(D22:M22)</f>
        <v>18202965</v>
      </c>
    </row>
    <row r="23" spans="2:15" x14ac:dyDescent="0.15">
      <c r="B23" s="12" t="s">
        <v>633</v>
      </c>
      <c r="C23" s="12"/>
      <c r="D23" s="67">
        <f>D21-D22</f>
        <v>66057500</v>
      </c>
      <c r="E23" s="67">
        <f t="shared" ref="E23:L23" si="1">E21-E22</f>
        <v>54262775.00000003</v>
      </c>
      <c r="F23" s="67">
        <f t="shared" si="1"/>
        <v>44798631.548749983</v>
      </c>
      <c r="G23" s="67">
        <f t="shared" si="1"/>
        <v>31908352.439272046</v>
      </c>
      <c r="H23" s="67">
        <f t="shared" si="1"/>
        <v>16140058.826927066</v>
      </c>
      <c r="I23" s="67">
        <f t="shared" si="1"/>
        <v>0</v>
      </c>
      <c r="J23" s="67">
        <f t="shared" si="1"/>
        <v>0</v>
      </c>
      <c r="K23" s="67">
        <f t="shared" si="1"/>
        <v>0</v>
      </c>
      <c r="L23" s="67">
        <f t="shared" si="1"/>
        <v>0</v>
      </c>
      <c r="M23" s="67">
        <f>M21-M22</f>
        <v>0</v>
      </c>
      <c r="N23" s="162"/>
      <c r="O23" s="67">
        <f>SUM(D23:M23)</f>
        <v>213167317.81494913</v>
      </c>
    </row>
    <row r="24" spans="2:15" x14ac:dyDescent="0.15">
      <c r="B24" s="12" t="s">
        <v>462</v>
      </c>
      <c r="C24" s="28" t="s">
        <v>649</v>
      </c>
      <c r="D24" s="67"/>
      <c r="E24" s="67"/>
      <c r="F24" s="67"/>
      <c r="G24" s="67"/>
      <c r="H24" s="67"/>
      <c r="I24" s="67"/>
      <c r="J24" s="67"/>
      <c r="K24" s="67"/>
      <c r="L24" s="67"/>
      <c r="M24" s="67"/>
      <c r="N24" s="162"/>
      <c r="O24" s="67"/>
    </row>
    <row r="25" spans="2:15" x14ac:dyDescent="0.15">
      <c r="B25" s="103">
        <v>-0.25</v>
      </c>
      <c r="C25" s="12"/>
      <c r="D25" s="110">
        <f>-'Level Payment Fin Sens Calc'!D32</f>
        <v>0</v>
      </c>
      <c r="E25" s="110">
        <f>-'Level Payment Fin Sens Calc'!E32</f>
        <v>0</v>
      </c>
      <c r="F25" s="110">
        <f>-'Level Payment Fin Sens Calc'!F32</f>
        <v>0</v>
      </c>
      <c r="G25" s="110">
        <f>-'Level Payment Fin Sens Calc'!G32</f>
        <v>0</v>
      </c>
      <c r="H25" s="110">
        <f>-'Level Payment Fin Sens Calc'!H32</f>
        <v>0</v>
      </c>
      <c r="I25" s="110">
        <f>-'Level Payment Fin Sens Calc'!I32</f>
        <v>0</v>
      </c>
      <c r="J25" s="110">
        <f>-'Level Payment Fin Sens Calc'!J32</f>
        <v>0</v>
      </c>
      <c r="K25" s="110">
        <f>-'Level Payment Fin Sens Calc'!K32</f>
        <v>0</v>
      </c>
      <c r="L25" s="110">
        <f>-'Level Payment Fin Sens Calc'!L32</f>
        <v>0</v>
      </c>
      <c r="M25" s="110">
        <f>-'Level Payment Fin Sens Calc'!M32</f>
        <v>0</v>
      </c>
      <c r="N25" s="162"/>
      <c r="O25" s="67">
        <f t="shared" ref="O25:O35" si="2">SUM(D25:M25)</f>
        <v>0</v>
      </c>
    </row>
    <row r="26" spans="2:15" x14ac:dyDescent="0.15">
      <c r="B26" s="103">
        <v>-0.2</v>
      </c>
      <c r="C26" s="12"/>
      <c r="D26" s="110">
        <f>-'Level Payment Fin Sens Calc'!D50</f>
        <v>0</v>
      </c>
      <c r="E26" s="110">
        <f>-'Level Payment Fin Sens Calc'!E50</f>
        <v>0</v>
      </c>
      <c r="F26" s="110">
        <f>-'Level Payment Fin Sens Calc'!F50</f>
        <v>0</v>
      </c>
      <c r="G26" s="110">
        <f>-'Level Payment Fin Sens Calc'!G50</f>
        <v>0</v>
      </c>
      <c r="H26" s="110">
        <f>-'Level Payment Fin Sens Calc'!H50</f>
        <v>0</v>
      </c>
      <c r="I26" s="110">
        <f>-'Level Payment Fin Sens Calc'!I50</f>
        <v>0</v>
      </c>
      <c r="J26" s="110">
        <f>-'Level Payment Fin Sens Calc'!J50</f>
        <v>0</v>
      </c>
      <c r="K26" s="110">
        <f>-'Level Payment Fin Sens Calc'!K50</f>
        <v>0</v>
      </c>
      <c r="L26" s="110">
        <f>-'Level Payment Fin Sens Calc'!L50</f>
        <v>0</v>
      </c>
      <c r="M26" s="110">
        <f>-'Level Payment Fin Sens Calc'!M50</f>
        <v>0</v>
      </c>
      <c r="N26" s="162"/>
      <c r="O26" s="67">
        <f t="shared" si="2"/>
        <v>0</v>
      </c>
    </row>
    <row r="27" spans="2:15" x14ac:dyDescent="0.15">
      <c r="B27" s="103">
        <v>-0.15</v>
      </c>
      <c r="C27" s="12"/>
      <c r="D27" s="110">
        <f>-'Level Payment Fin Sens Calc'!D68</f>
        <v>0</v>
      </c>
      <c r="E27" s="110">
        <f>-'Level Payment Fin Sens Calc'!E68</f>
        <v>0</v>
      </c>
      <c r="F27" s="110">
        <f>-'Level Payment Fin Sens Calc'!F68</f>
        <v>0</v>
      </c>
      <c r="G27" s="110">
        <f>-'Level Payment Fin Sens Calc'!G68</f>
        <v>0</v>
      </c>
      <c r="H27" s="110">
        <f>-'Level Payment Fin Sens Calc'!H68</f>
        <v>0</v>
      </c>
      <c r="I27" s="110">
        <f>-'Level Payment Fin Sens Calc'!I68</f>
        <v>0</v>
      </c>
      <c r="J27" s="110">
        <f>-'Level Payment Fin Sens Calc'!J68</f>
        <v>0</v>
      </c>
      <c r="K27" s="110">
        <f>-'Level Payment Fin Sens Calc'!K68</f>
        <v>0</v>
      </c>
      <c r="L27" s="110">
        <f>-'Level Payment Fin Sens Calc'!L68</f>
        <v>0</v>
      </c>
      <c r="M27" s="110">
        <f>-'Level Payment Fin Sens Calc'!M68</f>
        <v>0</v>
      </c>
      <c r="N27" s="162"/>
      <c r="O27" s="107">
        <f t="shared" si="2"/>
        <v>0</v>
      </c>
    </row>
    <row r="28" spans="2:15" x14ac:dyDescent="0.15">
      <c r="B28" s="103">
        <v>-0.1</v>
      </c>
      <c r="C28" s="12"/>
      <c r="D28" s="110">
        <f>-'Level Payment Fin Sens Calc'!D86</f>
        <v>0</v>
      </c>
      <c r="E28" s="110">
        <f>-'Level Payment Fin Sens Calc'!E86</f>
        <v>0</v>
      </c>
      <c r="F28" s="110">
        <f>-'Level Payment Fin Sens Calc'!F86</f>
        <v>0</v>
      </c>
      <c r="G28" s="110">
        <f>-'Level Payment Fin Sens Calc'!G86</f>
        <v>0</v>
      </c>
      <c r="H28" s="110">
        <f>-'Level Payment Fin Sens Calc'!H86</f>
        <v>0</v>
      </c>
      <c r="I28" s="110">
        <f>-'Level Payment Fin Sens Calc'!I86</f>
        <v>0</v>
      </c>
      <c r="J28" s="110">
        <f>-'Level Payment Fin Sens Calc'!J86</f>
        <v>0</v>
      </c>
      <c r="K28" s="110">
        <f>-'Level Payment Fin Sens Calc'!K86</f>
        <v>0</v>
      </c>
      <c r="L28" s="110">
        <f>-'Level Payment Fin Sens Calc'!L86</f>
        <v>0</v>
      </c>
      <c r="M28" s="110">
        <f>-'Level Payment Fin Sens Calc'!M86</f>
        <v>0</v>
      </c>
      <c r="N28" s="162"/>
      <c r="O28" s="67">
        <f t="shared" si="2"/>
        <v>0</v>
      </c>
    </row>
    <row r="29" spans="2:15" x14ac:dyDescent="0.15">
      <c r="B29" s="103">
        <v>-0.05</v>
      </c>
      <c r="C29" s="12"/>
      <c r="D29" s="110">
        <f>-'Level Payment Fin Sens Calc'!D104</f>
        <v>0</v>
      </c>
      <c r="E29" s="110">
        <f>-'Level Payment Fin Sens Calc'!E104</f>
        <v>0</v>
      </c>
      <c r="F29" s="110">
        <f>-'Level Payment Fin Sens Calc'!F104</f>
        <v>0</v>
      </c>
      <c r="G29" s="110">
        <f>-'Level Payment Fin Sens Calc'!G104</f>
        <v>0</v>
      </c>
      <c r="H29" s="110">
        <f>-'Level Payment Fin Sens Calc'!H104</f>
        <v>0</v>
      </c>
      <c r="I29" s="110">
        <f>-'Level Payment Fin Sens Calc'!I104</f>
        <v>0</v>
      </c>
      <c r="J29" s="110">
        <f>-'Level Payment Fin Sens Calc'!J104</f>
        <v>0</v>
      </c>
      <c r="K29" s="110">
        <f>-'Level Payment Fin Sens Calc'!K104</f>
        <v>0</v>
      </c>
      <c r="L29" s="110">
        <f>-'Level Payment Fin Sens Calc'!L104</f>
        <v>0</v>
      </c>
      <c r="M29" s="110">
        <f>-'Level Payment Fin Sens Calc'!M104</f>
        <v>0</v>
      </c>
      <c r="N29" s="162"/>
      <c r="O29" s="67">
        <f t="shared" si="2"/>
        <v>0</v>
      </c>
    </row>
    <row r="30" spans="2:15" x14ac:dyDescent="0.15">
      <c r="B30" s="103" t="s">
        <v>417</v>
      </c>
      <c r="C30" s="12"/>
      <c r="D30" s="110">
        <f>-'Level Payment Fin Sens Calc'!D122</f>
        <v>0</v>
      </c>
      <c r="E30" s="110">
        <f>-'Level Payment Fin Sens Calc'!E122</f>
        <v>0</v>
      </c>
      <c r="F30" s="110">
        <f>-'Level Payment Fin Sens Calc'!F122</f>
        <v>0</v>
      </c>
      <c r="G30" s="110">
        <f>-'Level Payment Fin Sens Calc'!G122</f>
        <v>0</v>
      </c>
      <c r="H30" s="110">
        <f>-'Level Payment Fin Sens Calc'!H122</f>
        <v>0</v>
      </c>
      <c r="I30" s="110">
        <f>-'Level Payment Fin Sens Calc'!I122</f>
        <v>0</v>
      </c>
      <c r="J30" s="110">
        <f>-'Level Payment Fin Sens Calc'!J122</f>
        <v>0</v>
      </c>
      <c r="K30" s="110">
        <f>-'Level Payment Fin Sens Calc'!K122</f>
        <v>0</v>
      </c>
      <c r="L30" s="110">
        <f>-'Level Payment Fin Sens Calc'!L122</f>
        <v>0</v>
      </c>
      <c r="M30" s="110">
        <f>-'Level Payment Fin Sens Calc'!M122</f>
        <v>0</v>
      </c>
      <c r="N30" s="162"/>
      <c r="O30" s="67"/>
    </row>
    <row r="31" spans="2:15" x14ac:dyDescent="0.15">
      <c r="B31" s="103">
        <v>0.05</v>
      </c>
      <c r="C31" s="12"/>
      <c r="D31" s="110">
        <f>-'Level Payment Fin Sens Calc'!D140</f>
        <v>0</v>
      </c>
      <c r="E31" s="110">
        <f>-'Level Payment Fin Sens Calc'!E140</f>
        <v>0</v>
      </c>
      <c r="F31" s="110">
        <f>-'Level Payment Fin Sens Calc'!F140</f>
        <v>0</v>
      </c>
      <c r="G31" s="110">
        <f>-'Level Payment Fin Sens Calc'!G140</f>
        <v>0</v>
      </c>
      <c r="H31" s="110">
        <f>-'Level Payment Fin Sens Calc'!H140</f>
        <v>0</v>
      </c>
      <c r="I31" s="110">
        <f>-'Level Payment Fin Sens Calc'!I140</f>
        <v>0</v>
      </c>
      <c r="J31" s="110">
        <f>-'Level Payment Fin Sens Calc'!J140</f>
        <v>0</v>
      </c>
      <c r="K31" s="110">
        <f>-'Level Payment Fin Sens Calc'!K140</f>
        <v>0</v>
      </c>
      <c r="L31" s="110">
        <f>-'Level Payment Fin Sens Calc'!L140</f>
        <v>0</v>
      </c>
      <c r="M31" s="110">
        <f>-'Level Payment Fin Sens Calc'!M140</f>
        <v>0</v>
      </c>
      <c r="N31" s="162"/>
      <c r="O31" s="67">
        <f t="shared" si="2"/>
        <v>0</v>
      </c>
    </row>
    <row r="32" spans="2:15" x14ac:dyDescent="0.15">
      <c r="B32" s="103">
        <v>0.1</v>
      </c>
      <c r="C32" s="12"/>
      <c r="D32" s="110">
        <f>-'Level Payment Fin Sens Calc'!D158</f>
        <v>0</v>
      </c>
      <c r="E32" s="110">
        <f>-'Level Payment Fin Sens Calc'!E158</f>
        <v>0</v>
      </c>
      <c r="F32" s="110">
        <f>-'Level Payment Fin Sens Calc'!F158</f>
        <v>0</v>
      </c>
      <c r="G32" s="110">
        <f>-'Level Payment Fin Sens Calc'!G158</f>
        <v>0</v>
      </c>
      <c r="H32" s="110">
        <f>-'Level Payment Fin Sens Calc'!H158</f>
        <v>0</v>
      </c>
      <c r="I32" s="110">
        <f>-'Level Payment Fin Sens Calc'!I158</f>
        <v>0</v>
      </c>
      <c r="J32" s="110">
        <f>-'Level Payment Fin Sens Calc'!J158</f>
        <v>0</v>
      </c>
      <c r="K32" s="110">
        <f>-'Level Payment Fin Sens Calc'!K158</f>
        <v>0</v>
      </c>
      <c r="L32" s="110">
        <f>-'Level Payment Fin Sens Calc'!L158</f>
        <v>0</v>
      </c>
      <c r="M32" s="110">
        <f>-'Level Payment Fin Sens Calc'!M158</f>
        <v>0</v>
      </c>
      <c r="N32" s="162"/>
      <c r="O32" s="67">
        <f t="shared" si="2"/>
        <v>0</v>
      </c>
    </row>
    <row r="33" spans="2:15" x14ac:dyDescent="0.15">
      <c r="B33" s="103">
        <v>0.15</v>
      </c>
      <c r="C33" s="67"/>
      <c r="D33" s="110">
        <f>-'Level Payment Fin Sens Calc'!D176</f>
        <v>0</v>
      </c>
      <c r="E33" s="110">
        <f>-'Level Payment Fin Sens Calc'!E176</f>
        <v>0</v>
      </c>
      <c r="F33" s="110">
        <f>-'Level Payment Fin Sens Calc'!F176</f>
        <v>0</v>
      </c>
      <c r="G33" s="110">
        <f>-'Level Payment Fin Sens Calc'!G176</f>
        <v>0</v>
      </c>
      <c r="H33" s="110">
        <f>-'Level Payment Fin Sens Calc'!H176</f>
        <v>0</v>
      </c>
      <c r="I33" s="110">
        <f>-'Level Payment Fin Sens Calc'!I176</f>
        <v>0</v>
      </c>
      <c r="J33" s="110">
        <f>-'Level Payment Fin Sens Calc'!J176</f>
        <v>0</v>
      </c>
      <c r="K33" s="110">
        <f>-'Level Payment Fin Sens Calc'!K176</f>
        <v>0</v>
      </c>
      <c r="L33" s="110">
        <f>-'Level Payment Fin Sens Calc'!L176</f>
        <v>0</v>
      </c>
      <c r="M33" s="110">
        <f>-'Level Payment Fin Sens Calc'!M176</f>
        <v>0</v>
      </c>
      <c r="N33" s="162"/>
      <c r="O33" s="67">
        <f t="shared" si="2"/>
        <v>0</v>
      </c>
    </row>
    <row r="34" spans="2:15" x14ac:dyDescent="0.15">
      <c r="B34" s="103">
        <v>0.2</v>
      </c>
      <c r="C34" s="67"/>
      <c r="D34" s="110">
        <f>-'Level Payment Fin Sens Calc'!D194</f>
        <v>0</v>
      </c>
      <c r="E34" s="110">
        <f>-'Level Payment Fin Sens Calc'!E194</f>
        <v>0</v>
      </c>
      <c r="F34" s="110">
        <f>-'Level Payment Fin Sens Calc'!F194</f>
        <v>0</v>
      </c>
      <c r="G34" s="110">
        <f>-'Level Payment Fin Sens Calc'!G194</f>
        <v>0</v>
      </c>
      <c r="H34" s="110">
        <f>-'Level Payment Fin Sens Calc'!H194</f>
        <v>0</v>
      </c>
      <c r="I34" s="110">
        <f>-'Level Payment Fin Sens Calc'!I194</f>
        <v>0</v>
      </c>
      <c r="J34" s="110">
        <f>-'Level Payment Fin Sens Calc'!J194</f>
        <v>0</v>
      </c>
      <c r="K34" s="110">
        <f>-'Level Payment Fin Sens Calc'!K194</f>
        <v>0</v>
      </c>
      <c r="L34" s="110">
        <f>-'Level Payment Fin Sens Calc'!L194</f>
        <v>0</v>
      </c>
      <c r="M34" s="110">
        <f>-'Level Payment Fin Sens Calc'!M194</f>
        <v>0</v>
      </c>
      <c r="N34" s="162"/>
      <c r="O34" s="67">
        <f t="shared" si="2"/>
        <v>0</v>
      </c>
    </row>
    <row r="35" spans="2:15" x14ac:dyDescent="0.15">
      <c r="B35" s="103">
        <v>0.25</v>
      </c>
      <c r="C35" s="67"/>
      <c r="D35" s="110">
        <f>-'Level Payment Fin Sens Calc'!D212</f>
        <v>0</v>
      </c>
      <c r="E35" s="110">
        <f>-'Level Payment Fin Sens Calc'!E212</f>
        <v>0</v>
      </c>
      <c r="F35" s="110">
        <f>-'Level Payment Fin Sens Calc'!F212</f>
        <v>0</v>
      </c>
      <c r="G35" s="110">
        <f>-'Level Payment Fin Sens Calc'!G212</f>
        <v>0</v>
      </c>
      <c r="H35" s="110">
        <f>-'Level Payment Fin Sens Calc'!H212</f>
        <v>0</v>
      </c>
      <c r="I35" s="110">
        <f>-'Level Payment Fin Sens Calc'!I212</f>
        <v>0</v>
      </c>
      <c r="J35" s="110">
        <f>-'Level Payment Fin Sens Calc'!J212</f>
        <v>0</v>
      </c>
      <c r="K35" s="110">
        <f>-'Level Payment Fin Sens Calc'!K212</f>
        <v>0</v>
      </c>
      <c r="L35" s="110">
        <f>-'Level Payment Fin Sens Calc'!L212</f>
        <v>0</v>
      </c>
      <c r="M35" s="110">
        <f>-'Level Payment Fin Sens Calc'!M212</f>
        <v>0</v>
      </c>
      <c r="N35" s="162"/>
      <c r="O35" s="67">
        <f t="shared" si="2"/>
        <v>0</v>
      </c>
    </row>
    <row r="36" spans="2:15" x14ac:dyDescent="0.15">
      <c r="B36" s="12" t="s">
        <v>634</v>
      </c>
      <c r="C36" s="26">
        <v>0</v>
      </c>
      <c r="D36" s="26">
        <v>1</v>
      </c>
      <c r="E36" s="26">
        <v>2</v>
      </c>
      <c r="F36" s="26">
        <v>3</v>
      </c>
      <c r="G36" s="26">
        <v>4</v>
      </c>
      <c r="H36" s="26">
        <v>5</v>
      </c>
      <c r="I36" s="26">
        <v>6</v>
      </c>
      <c r="J36" s="26">
        <v>7</v>
      </c>
      <c r="K36" s="26">
        <v>8</v>
      </c>
      <c r="L36" s="26">
        <v>9</v>
      </c>
      <c r="M36" s="26">
        <v>10</v>
      </c>
      <c r="N36" s="162"/>
      <c r="O36" s="63"/>
    </row>
    <row r="37" spans="2:15" x14ac:dyDescent="0.15">
      <c r="B37" s="103">
        <v>-0.25</v>
      </c>
      <c r="C37" s="107"/>
      <c r="D37" s="109">
        <f>D$23-D25</f>
        <v>66057500</v>
      </c>
      <c r="E37" s="109">
        <f t="shared" ref="E37:M37" si="3">E$23-E25</f>
        <v>54262775.00000003</v>
      </c>
      <c r="F37" s="109">
        <f t="shared" si="3"/>
        <v>44798631.548749983</v>
      </c>
      <c r="G37" s="109">
        <f t="shared" si="3"/>
        <v>31908352.439272046</v>
      </c>
      <c r="H37" s="109">
        <f t="shared" si="3"/>
        <v>16140058.826927066</v>
      </c>
      <c r="I37" s="109">
        <f t="shared" si="3"/>
        <v>0</v>
      </c>
      <c r="J37" s="109">
        <f t="shared" si="3"/>
        <v>0</v>
      </c>
      <c r="K37" s="109">
        <f t="shared" si="3"/>
        <v>0</v>
      </c>
      <c r="L37" s="109">
        <f t="shared" si="3"/>
        <v>0</v>
      </c>
      <c r="M37" s="109">
        <f t="shared" si="3"/>
        <v>0</v>
      </c>
      <c r="N37" s="162"/>
      <c r="O37" s="63">
        <f t="shared" ref="O37:O47" si="4">SUM(D37:M37)</f>
        <v>213167317.81494913</v>
      </c>
    </row>
    <row r="38" spans="2:15" x14ac:dyDescent="0.15">
      <c r="B38" s="103">
        <v>-0.2</v>
      </c>
      <c r="C38" s="67"/>
      <c r="D38" s="109">
        <f>D$23-D26</f>
        <v>66057500</v>
      </c>
      <c r="E38" s="109">
        <f t="shared" ref="E38:M38" si="5">E$23-E26</f>
        <v>54262775.00000003</v>
      </c>
      <c r="F38" s="109">
        <f t="shared" si="5"/>
        <v>44798631.548749983</v>
      </c>
      <c r="G38" s="109">
        <f t="shared" si="5"/>
        <v>31908352.439272046</v>
      </c>
      <c r="H38" s="109">
        <f t="shared" si="5"/>
        <v>16140058.826927066</v>
      </c>
      <c r="I38" s="109">
        <f t="shared" si="5"/>
        <v>0</v>
      </c>
      <c r="J38" s="109">
        <f t="shared" si="5"/>
        <v>0</v>
      </c>
      <c r="K38" s="109">
        <f t="shared" si="5"/>
        <v>0</v>
      </c>
      <c r="L38" s="109">
        <f t="shared" si="5"/>
        <v>0</v>
      </c>
      <c r="M38" s="109">
        <f t="shared" si="5"/>
        <v>0</v>
      </c>
      <c r="N38" s="162"/>
      <c r="O38" s="109">
        <f t="shared" si="4"/>
        <v>213167317.81494913</v>
      </c>
    </row>
    <row r="39" spans="2:15" x14ac:dyDescent="0.15">
      <c r="B39" s="103">
        <v>-0.15</v>
      </c>
      <c r="C39" s="109"/>
      <c r="D39" s="109">
        <f>D$23-D27</f>
        <v>66057500</v>
      </c>
      <c r="E39" s="109">
        <f t="shared" ref="E39:M39" si="6">E$23-E27</f>
        <v>54262775.00000003</v>
      </c>
      <c r="F39" s="109">
        <f t="shared" si="6"/>
        <v>44798631.548749983</v>
      </c>
      <c r="G39" s="109">
        <f t="shared" si="6"/>
        <v>31908352.439272046</v>
      </c>
      <c r="H39" s="109">
        <f t="shared" si="6"/>
        <v>16140058.826927066</v>
      </c>
      <c r="I39" s="109">
        <f t="shared" si="6"/>
        <v>0</v>
      </c>
      <c r="J39" s="109">
        <f t="shared" si="6"/>
        <v>0</v>
      </c>
      <c r="K39" s="109">
        <f t="shared" si="6"/>
        <v>0</v>
      </c>
      <c r="L39" s="109">
        <f t="shared" si="6"/>
        <v>0</v>
      </c>
      <c r="M39" s="109">
        <f t="shared" si="6"/>
        <v>0</v>
      </c>
      <c r="N39" s="162"/>
      <c r="O39" s="67">
        <f t="shared" si="4"/>
        <v>213167317.81494913</v>
      </c>
    </row>
    <row r="40" spans="2:15" x14ac:dyDescent="0.15">
      <c r="B40" s="103">
        <v>-0.1</v>
      </c>
      <c r="C40" s="67"/>
      <c r="D40" s="109">
        <f>D$23-D28</f>
        <v>66057500</v>
      </c>
      <c r="E40" s="109">
        <f t="shared" ref="E40:M40" si="7">E$23-E28</f>
        <v>54262775.00000003</v>
      </c>
      <c r="F40" s="109">
        <f t="shared" si="7"/>
        <v>44798631.548749983</v>
      </c>
      <c r="G40" s="109">
        <f t="shared" si="7"/>
        <v>31908352.439272046</v>
      </c>
      <c r="H40" s="109">
        <f t="shared" si="7"/>
        <v>16140058.826927066</v>
      </c>
      <c r="I40" s="109">
        <f t="shared" si="7"/>
        <v>0</v>
      </c>
      <c r="J40" s="109">
        <f t="shared" si="7"/>
        <v>0</v>
      </c>
      <c r="K40" s="109">
        <f t="shared" si="7"/>
        <v>0</v>
      </c>
      <c r="L40" s="109">
        <f t="shared" si="7"/>
        <v>0</v>
      </c>
      <c r="M40" s="109">
        <f t="shared" si="7"/>
        <v>0</v>
      </c>
      <c r="N40" s="162"/>
      <c r="O40" s="67">
        <f t="shared" si="4"/>
        <v>213167317.81494913</v>
      </c>
    </row>
    <row r="41" spans="2:15" x14ac:dyDescent="0.15">
      <c r="B41" s="103">
        <v>-0.05</v>
      </c>
      <c r="C41" s="12"/>
      <c r="D41" s="109">
        <f>D$23-D29</f>
        <v>66057500</v>
      </c>
      <c r="E41" s="109">
        <f t="shared" ref="E41:M41" si="8">E$23-E29</f>
        <v>54262775.00000003</v>
      </c>
      <c r="F41" s="109">
        <f t="shared" si="8"/>
        <v>44798631.548749983</v>
      </c>
      <c r="G41" s="109">
        <f t="shared" si="8"/>
        <v>31908352.439272046</v>
      </c>
      <c r="H41" s="109">
        <f t="shared" si="8"/>
        <v>16140058.826927066</v>
      </c>
      <c r="I41" s="109">
        <f t="shared" si="8"/>
        <v>0</v>
      </c>
      <c r="J41" s="109">
        <f t="shared" si="8"/>
        <v>0</v>
      </c>
      <c r="K41" s="109">
        <f t="shared" si="8"/>
        <v>0</v>
      </c>
      <c r="L41" s="109">
        <f t="shared" si="8"/>
        <v>0</v>
      </c>
      <c r="M41" s="109">
        <f t="shared" si="8"/>
        <v>0</v>
      </c>
      <c r="N41" s="162"/>
      <c r="O41" s="67">
        <f t="shared" si="4"/>
        <v>213167317.81494913</v>
      </c>
    </row>
    <row r="42" spans="2:15" x14ac:dyDescent="0.15">
      <c r="B42" s="103"/>
      <c r="C42" s="12"/>
      <c r="D42" s="109"/>
      <c r="E42" s="109"/>
      <c r="F42" s="109"/>
      <c r="G42" s="109"/>
      <c r="H42" s="109"/>
      <c r="I42" s="109"/>
      <c r="J42" s="109"/>
      <c r="K42" s="109"/>
      <c r="L42" s="109"/>
      <c r="M42" s="109"/>
      <c r="N42" s="162"/>
      <c r="O42" s="67"/>
    </row>
    <row r="43" spans="2:15" x14ac:dyDescent="0.15">
      <c r="B43" s="103">
        <v>0.05</v>
      </c>
      <c r="C43" s="19"/>
      <c r="D43" s="109">
        <f t="shared" ref="D43:M47" si="9">D$23-D31</f>
        <v>66057500</v>
      </c>
      <c r="E43" s="109">
        <f t="shared" si="9"/>
        <v>54262775.00000003</v>
      </c>
      <c r="F43" s="109">
        <f t="shared" si="9"/>
        <v>44798631.548749983</v>
      </c>
      <c r="G43" s="109">
        <f t="shared" si="9"/>
        <v>31908352.439272046</v>
      </c>
      <c r="H43" s="109">
        <f t="shared" si="9"/>
        <v>16140058.826927066</v>
      </c>
      <c r="I43" s="109">
        <f t="shared" si="9"/>
        <v>0</v>
      </c>
      <c r="J43" s="109">
        <f t="shared" si="9"/>
        <v>0</v>
      </c>
      <c r="K43" s="109">
        <f t="shared" si="9"/>
        <v>0</v>
      </c>
      <c r="L43" s="109">
        <f t="shared" si="9"/>
        <v>0</v>
      </c>
      <c r="M43" s="109">
        <f t="shared" si="9"/>
        <v>0</v>
      </c>
      <c r="N43" s="162"/>
      <c r="O43" s="111">
        <f t="shared" si="4"/>
        <v>213167317.81494913</v>
      </c>
    </row>
    <row r="44" spans="2:15" x14ac:dyDescent="0.15">
      <c r="B44" s="103">
        <v>0.1</v>
      </c>
      <c r="C44" s="19"/>
      <c r="D44" s="109">
        <f t="shared" si="9"/>
        <v>66057500</v>
      </c>
      <c r="E44" s="109">
        <f t="shared" si="9"/>
        <v>54262775.00000003</v>
      </c>
      <c r="F44" s="109">
        <f t="shared" si="9"/>
        <v>44798631.548749983</v>
      </c>
      <c r="G44" s="109">
        <f t="shared" si="9"/>
        <v>31908352.439272046</v>
      </c>
      <c r="H44" s="109">
        <f t="shared" si="9"/>
        <v>16140058.826927066</v>
      </c>
      <c r="I44" s="109">
        <f t="shared" si="9"/>
        <v>0</v>
      </c>
      <c r="J44" s="109">
        <f t="shared" si="9"/>
        <v>0</v>
      </c>
      <c r="K44" s="109">
        <f t="shared" si="9"/>
        <v>0</v>
      </c>
      <c r="L44" s="109">
        <f t="shared" si="9"/>
        <v>0</v>
      </c>
      <c r="M44" s="109">
        <f t="shared" si="9"/>
        <v>0</v>
      </c>
      <c r="N44" s="162"/>
      <c r="O44" s="112">
        <f t="shared" si="4"/>
        <v>213167317.81494913</v>
      </c>
    </row>
    <row r="45" spans="2:15" x14ac:dyDescent="0.15">
      <c r="B45" s="103">
        <v>0.15</v>
      </c>
      <c r="C45" s="19"/>
      <c r="D45" s="109">
        <f t="shared" si="9"/>
        <v>66057500</v>
      </c>
      <c r="E45" s="109">
        <f t="shared" si="9"/>
        <v>54262775.00000003</v>
      </c>
      <c r="F45" s="109">
        <f t="shared" si="9"/>
        <v>44798631.548749983</v>
      </c>
      <c r="G45" s="109">
        <f t="shared" si="9"/>
        <v>31908352.439272046</v>
      </c>
      <c r="H45" s="109">
        <f t="shared" si="9"/>
        <v>16140058.826927066</v>
      </c>
      <c r="I45" s="109">
        <f t="shared" si="9"/>
        <v>0</v>
      </c>
      <c r="J45" s="109">
        <f t="shared" si="9"/>
        <v>0</v>
      </c>
      <c r="K45" s="109">
        <f t="shared" si="9"/>
        <v>0</v>
      </c>
      <c r="L45" s="109">
        <f t="shared" si="9"/>
        <v>0</v>
      </c>
      <c r="M45" s="109">
        <f t="shared" si="9"/>
        <v>0</v>
      </c>
      <c r="N45" s="162"/>
      <c r="O45" s="112">
        <f t="shared" si="4"/>
        <v>213167317.81494913</v>
      </c>
    </row>
    <row r="46" spans="2:15" x14ac:dyDescent="0.15">
      <c r="B46" s="103">
        <v>0.2</v>
      </c>
      <c r="C46" s="19"/>
      <c r="D46" s="109">
        <f t="shared" si="9"/>
        <v>66057500</v>
      </c>
      <c r="E46" s="109">
        <f t="shared" si="9"/>
        <v>54262775.00000003</v>
      </c>
      <c r="F46" s="109">
        <f t="shared" si="9"/>
        <v>44798631.548749983</v>
      </c>
      <c r="G46" s="109">
        <f t="shared" si="9"/>
        <v>31908352.439272046</v>
      </c>
      <c r="H46" s="109">
        <f t="shared" si="9"/>
        <v>16140058.826927066</v>
      </c>
      <c r="I46" s="109">
        <f t="shared" si="9"/>
        <v>0</v>
      </c>
      <c r="J46" s="109">
        <f t="shared" si="9"/>
        <v>0</v>
      </c>
      <c r="K46" s="109">
        <f t="shared" si="9"/>
        <v>0</v>
      </c>
      <c r="L46" s="109">
        <f t="shared" si="9"/>
        <v>0</v>
      </c>
      <c r="M46" s="109">
        <f t="shared" si="9"/>
        <v>0</v>
      </c>
      <c r="N46" s="162"/>
      <c r="O46" s="112">
        <f t="shared" si="4"/>
        <v>213167317.81494913</v>
      </c>
    </row>
    <row r="47" spans="2:15" x14ac:dyDescent="0.15">
      <c r="B47" s="103">
        <v>0.25</v>
      </c>
      <c r="C47" s="19"/>
      <c r="D47" s="109">
        <f t="shared" si="9"/>
        <v>66057500</v>
      </c>
      <c r="E47" s="109">
        <f t="shared" si="9"/>
        <v>54262775.00000003</v>
      </c>
      <c r="F47" s="109">
        <f t="shared" si="9"/>
        <v>44798631.548749983</v>
      </c>
      <c r="G47" s="109">
        <f t="shared" si="9"/>
        <v>31908352.439272046</v>
      </c>
      <c r="H47" s="109">
        <f t="shared" si="9"/>
        <v>16140058.826927066</v>
      </c>
      <c r="I47" s="109">
        <f t="shared" si="9"/>
        <v>0</v>
      </c>
      <c r="J47" s="109">
        <f t="shared" si="9"/>
        <v>0</v>
      </c>
      <c r="K47" s="109">
        <f t="shared" si="9"/>
        <v>0</v>
      </c>
      <c r="L47" s="109">
        <f t="shared" si="9"/>
        <v>0</v>
      </c>
      <c r="M47" s="109">
        <f t="shared" si="9"/>
        <v>0</v>
      </c>
      <c r="N47" s="162"/>
      <c r="O47" s="112">
        <f t="shared" si="4"/>
        <v>213167317.81494913</v>
      </c>
    </row>
    <row r="48" spans="2:15" ht="28" x14ac:dyDescent="0.15">
      <c r="B48" s="113" t="s">
        <v>635</v>
      </c>
      <c r="C48" s="26">
        <v>0</v>
      </c>
      <c r="D48" s="26">
        <v>1</v>
      </c>
      <c r="E48" s="26">
        <v>2</v>
      </c>
      <c r="F48" s="26">
        <v>3</v>
      </c>
      <c r="G48" s="26">
        <v>4</v>
      </c>
      <c r="H48" s="26">
        <v>5</v>
      </c>
      <c r="I48" s="26">
        <v>6</v>
      </c>
      <c r="J48" s="26">
        <v>7</v>
      </c>
      <c r="K48" s="26">
        <v>8</v>
      </c>
      <c r="L48" s="26">
        <v>9</v>
      </c>
      <c r="M48" s="26">
        <v>10</v>
      </c>
      <c r="N48" s="162"/>
      <c r="O48" s="102"/>
    </row>
    <row r="49" spans="2:15" x14ac:dyDescent="0.15">
      <c r="B49" s="103">
        <v>-0.25</v>
      </c>
      <c r="C49" s="19"/>
      <c r="D49" s="68">
        <f>D37*'After Tax Analysis'!$G$3</f>
        <v>19817250</v>
      </c>
      <c r="E49" s="68">
        <f>E37*'After Tax Analysis'!$G$3</f>
        <v>16278832.500000007</v>
      </c>
      <c r="F49" s="68">
        <f>F37*'After Tax Analysis'!$G$3</f>
        <v>13439589.464624995</v>
      </c>
      <c r="G49" s="68">
        <f>G37*'After Tax Analysis'!$G$3</f>
        <v>9572505.7317816131</v>
      </c>
      <c r="H49" s="68">
        <f>H37*'After Tax Analysis'!$G$3</f>
        <v>4842017.6480781194</v>
      </c>
      <c r="I49" s="68">
        <f>I37*'After Tax Analysis'!$G$3</f>
        <v>0</v>
      </c>
      <c r="J49" s="68">
        <f>J37*'After Tax Analysis'!$G$3</f>
        <v>0</v>
      </c>
      <c r="K49" s="68">
        <f>K37*'After Tax Analysis'!$G$3</f>
        <v>0</v>
      </c>
      <c r="L49" s="68">
        <f>L37*'After Tax Analysis'!$G$3</f>
        <v>0</v>
      </c>
      <c r="M49" s="68">
        <f>M37*'After Tax Analysis'!$G$3</f>
        <v>0</v>
      </c>
      <c r="N49" s="162"/>
      <c r="O49" s="112">
        <f t="shared" ref="O49:O59" si="10">SUM(D49:M49)</f>
        <v>63950195.344484739</v>
      </c>
    </row>
    <row r="50" spans="2:15" x14ac:dyDescent="0.15">
      <c r="B50" s="103">
        <v>-0.2</v>
      </c>
      <c r="C50" s="19"/>
      <c r="D50" s="68">
        <f>D38*'After Tax Analysis'!$G$3</f>
        <v>19817250</v>
      </c>
      <c r="E50" s="68">
        <f>E38*'After Tax Analysis'!$G$3</f>
        <v>16278832.500000007</v>
      </c>
      <c r="F50" s="68">
        <f>F38*'After Tax Analysis'!$G$3</f>
        <v>13439589.464624995</v>
      </c>
      <c r="G50" s="68">
        <f>G38*'After Tax Analysis'!$G$3</f>
        <v>9572505.7317816131</v>
      </c>
      <c r="H50" s="68">
        <f>H38*'After Tax Analysis'!$G$3</f>
        <v>4842017.6480781194</v>
      </c>
      <c r="I50" s="68">
        <f>I38*'After Tax Analysis'!$G$3</f>
        <v>0</v>
      </c>
      <c r="J50" s="68">
        <f>J38*'After Tax Analysis'!$G$3</f>
        <v>0</v>
      </c>
      <c r="K50" s="68">
        <f>K38*'After Tax Analysis'!$G$3</f>
        <v>0</v>
      </c>
      <c r="L50" s="68">
        <f>L38*'After Tax Analysis'!$G$3</f>
        <v>0</v>
      </c>
      <c r="M50" s="68">
        <f>M38*'After Tax Analysis'!$G$3</f>
        <v>0</v>
      </c>
      <c r="N50" s="162"/>
      <c r="O50" s="112">
        <f t="shared" si="10"/>
        <v>63950195.344484739</v>
      </c>
    </row>
    <row r="51" spans="2:15" x14ac:dyDescent="0.15">
      <c r="B51" s="103">
        <v>-0.15</v>
      </c>
      <c r="C51" s="19"/>
      <c r="D51" s="68">
        <f>D39*'After Tax Analysis'!$G$3</f>
        <v>19817250</v>
      </c>
      <c r="E51" s="68">
        <f>E39*'After Tax Analysis'!$G$3</f>
        <v>16278832.500000007</v>
      </c>
      <c r="F51" s="68">
        <f>F39*'After Tax Analysis'!$G$3</f>
        <v>13439589.464624995</v>
      </c>
      <c r="G51" s="68">
        <f>G39*'After Tax Analysis'!$G$3</f>
        <v>9572505.7317816131</v>
      </c>
      <c r="H51" s="68">
        <f>H39*'After Tax Analysis'!$G$3</f>
        <v>4842017.6480781194</v>
      </c>
      <c r="I51" s="68">
        <f>I39*'After Tax Analysis'!$G$3</f>
        <v>0</v>
      </c>
      <c r="J51" s="68">
        <f>J39*'After Tax Analysis'!$G$3</f>
        <v>0</v>
      </c>
      <c r="K51" s="68">
        <f>K39*'After Tax Analysis'!$G$3</f>
        <v>0</v>
      </c>
      <c r="L51" s="68">
        <f>L39*'After Tax Analysis'!$G$3</f>
        <v>0</v>
      </c>
      <c r="M51" s="68">
        <f>M39*'After Tax Analysis'!$G$3</f>
        <v>0</v>
      </c>
      <c r="N51" s="162"/>
      <c r="O51" s="112">
        <f t="shared" si="10"/>
        <v>63950195.344484739</v>
      </c>
    </row>
    <row r="52" spans="2:15" x14ac:dyDescent="0.15">
      <c r="B52" s="103">
        <v>-0.1</v>
      </c>
      <c r="C52" s="19"/>
      <c r="D52" s="68">
        <f>D40*'After Tax Analysis'!$G$3</f>
        <v>19817250</v>
      </c>
      <c r="E52" s="68">
        <f>E40*'After Tax Analysis'!$G$3</f>
        <v>16278832.500000007</v>
      </c>
      <c r="F52" s="68">
        <f>F40*'After Tax Analysis'!$G$3</f>
        <v>13439589.464624995</v>
      </c>
      <c r="G52" s="68">
        <f>G40*'After Tax Analysis'!$G$3</f>
        <v>9572505.7317816131</v>
      </c>
      <c r="H52" s="68">
        <f>H40*'After Tax Analysis'!$G$3</f>
        <v>4842017.6480781194</v>
      </c>
      <c r="I52" s="68">
        <f>I40*'After Tax Analysis'!$G$3</f>
        <v>0</v>
      </c>
      <c r="J52" s="68">
        <f>J40*'After Tax Analysis'!$G$3</f>
        <v>0</v>
      </c>
      <c r="K52" s="68">
        <f>K40*'After Tax Analysis'!$G$3</f>
        <v>0</v>
      </c>
      <c r="L52" s="68">
        <f>L40*'After Tax Analysis'!$G$3</f>
        <v>0</v>
      </c>
      <c r="M52" s="68">
        <f>M40*'After Tax Analysis'!$G$3</f>
        <v>0</v>
      </c>
      <c r="N52" s="162"/>
      <c r="O52" s="112">
        <f t="shared" si="10"/>
        <v>63950195.344484739</v>
      </c>
    </row>
    <row r="53" spans="2:15" x14ac:dyDescent="0.15">
      <c r="B53" s="103">
        <v>-0.05</v>
      </c>
      <c r="C53" s="12"/>
      <c r="D53" s="68">
        <f>D41*'After Tax Analysis'!$G$3</f>
        <v>19817250</v>
      </c>
      <c r="E53" s="68">
        <f>E41*'After Tax Analysis'!$G$3</f>
        <v>16278832.500000007</v>
      </c>
      <c r="F53" s="68">
        <f>F41*'After Tax Analysis'!$G$3</f>
        <v>13439589.464624995</v>
      </c>
      <c r="G53" s="68">
        <f>G41*'After Tax Analysis'!$G$3</f>
        <v>9572505.7317816131</v>
      </c>
      <c r="H53" s="68">
        <f>H41*'After Tax Analysis'!$G$3</f>
        <v>4842017.6480781194</v>
      </c>
      <c r="I53" s="68">
        <f>I41*'After Tax Analysis'!$G$3</f>
        <v>0</v>
      </c>
      <c r="J53" s="68">
        <f>J41*'After Tax Analysis'!$G$3</f>
        <v>0</v>
      </c>
      <c r="K53" s="68">
        <f>K41*'After Tax Analysis'!$G$3</f>
        <v>0</v>
      </c>
      <c r="L53" s="68">
        <f>L41*'After Tax Analysis'!$G$3</f>
        <v>0</v>
      </c>
      <c r="M53" s="68">
        <f>M41*'After Tax Analysis'!$G$3</f>
        <v>0</v>
      </c>
      <c r="N53" s="162"/>
      <c r="O53" s="67">
        <f t="shared" si="10"/>
        <v>63950195.344484739</v>
      </c>
    </row>
    <row r="54" spans="2:15" x14ac:dyDescent="0.15">
      <c r="B54" s="103"/>
      <c r="C54" s="12"/>
      <c r="D54" s="68"/>
      <c r="E54" s="68"/>
      <c r="F54" s="68"/>
      <c r="G54" s="68"/>
      <c r="H54" s="68"/>
      <c r="I54" s="68"/>
      <c r="J54" s="68"/>
      <c r="K54" s="68"/>
      <c r="L54" s="68"/>
      <c r="M54" s="68"/>
      <c r="N54" s="162"/>
      <c r="O54" s="67"/>
    </row>
    <row r="55" spans="2:15" x14ac:dyDescent="0.15">
      <c r="B55" s="103">
        <v>0.05</v>
      </c>
      <c r="C55" s="67"/>
      <c r="D55" s="68">
        <f>D43*'After Tax Analysis'!$G$3</f>
        <v>19817250</v>
      </c>
      <c r="E55" s="68">
        <f>E43*'After Tax Analysis'!$G$3</f>
        <v>16278832.500000007</v>
      </c>
      <c r="F55" s="68">
        <f>F43*'After Tax Analysis'!$G$3</f>
        <v>13439589.464624995</v>
      </c>
      <c r="G55" s="68">
        <f>G43*'After Tax Analysis'!$G$3</f>
        <v>9572505.7317816131</v>
      </c>
      <c r="H55" s="68">
        <f>H43*'After Tax Analysis'!$G$3</f>
        <v>4842017.6480781194</v>
      </c>
      <c r="I55" s="68">
        <f>I43*'After Tax Analysis'!$G$3</f>
        <v>0</v>
      </c>
      <c r="J55" s="68">
        <f>J43*'After Tax Analysis'!$G$3</f>
        <v>0</v>
      </c>
      <c r="K55" s="68">
        <f>K43*'After Tax Analysis'!$G$3</f>
        <v>0</v>
      </c>
      <c r="L55" s="68">
        <f>L43*'After Tax Analysis'!$G$3</f>
        <v>0</v>
      </c>
      <c r="M55" s="68">
        <f>M43*'After Tax Analysis'!$G$3</f>
        <v>0</v>
      </c>
      <c r="N55" s="162"/>
      <c r="O55" s="67">
        <f t="shared" si="10"/>
        <v>63950195.344484739</v>
      </c>
    </row>
    <row r="56" spans="2:15" x14ac:dyDescent="0.15">
      <c r="B56" s="103">
        <v>0.1</v>
      </c>
      <c r="C56" s="67"/>
      <c r="D56" s="68">
        <f>D44*'After Tax Analysis'!$G$3</f>
        <v>19817250</v>
      </c>
      <c r="E56" s="68">
        <f>E44*'After Tax Analysis'!$G$3</f>
        <v>16278832.500000007</v>
      </c>
      <c r="F56" s="68">
        <f>F44*'After Tax Analysis'!$G$3</f>
        <v>13439589.464624995</v>
      </c>
      <c r="G56" s="68">
        <f>G44*'After Tax Analysis'!$G$3</f>
        <v>9572505.7317816131</v>
      </c>
      <c r="H56" s="68">
        <f>H44*'After Tax Analysis'!$G$3</f>
        <v>4842017.6480781194</v>
      </c>
      <c r="I56" s="68">
        <f>I44*'After Tax Analysis'!$G$3</f>
        <v>0</v>
      </c>
      <c r="J56" s="68">
        <f>J44*'After Tax Analysis'!$G$3</f>
        <v>0</v>
      </c>
      <c r="K56" s="68">
        <f>K44*'After Tax Analysis'!$G$3</f>
        <v>0</v>
      </c>
      <c r="L56" s="68">
        <f>L44*'After Tax Analysis'!$G$3</f>
        <v>0</v>
      </c>
      <c r="M56" s="68">
        <f>M44*'After Tax Analysis'!$G$3</f>
        <v>0</v>
      </c>
      <c r="N56" s="162"/>
      <c r="O56" s="67">
        <f t="shared" si="10"/>
        <v>63950195.344484739</v>
      </c>
    </row>
    <row r="57" spans="2:15" x14ac:dyDescent="0.15">
      <c r="B57" s="103">
        <v>0.15</v>
      </c>
      <c r="C57" s="67"/>
      <c r="D57" s="68">
        <f>D45*'After Tax Analysis'!$G$3</f>
        <v>19817250</v>
      </c>
      <c r="E57" s="68">
        <f>E45*'After Tax Analysis'!$G$3</f>
        <v>16278832.500000007</v>
      </c>
      <c r="F57" s="68">
        <f>F45*'After Tax Analysis'!$G$3</f>
        <v>13439589.464624995</v>
      </c>
      <c r="G57" s="68">
        <f>G45*'After Tax Analysis'!$G$3</f>
        <v>9572505.7317816131</v>
      </c>
      <c r="H57" s="68">
        <f>H45*'After Tax Analysis'!$G$3</f>
        <v>4842017.6480781194</v>
      </c>
      <c r="I57" s="68">
        <f>I45*'After Tax Analysis'!$G$3</f>
        <v>0</v>
      </c>
      <c r="J57" s="68">
        <f>J45*'After Tax Analysis'!$G$3</f>
        <v>0</v>
      </c>
      <c r="K57" s="68">
        <f>K45*'After Tax Analysis'!$G$3</f>
        <v>0</v>
      </c>
      <c r="L57" s="68">
        <f>L45*'After Tax Analysis'!$G$3</f>
        <v>0</v>
      </c>
      <c r="M57" s="68">
        <f>M45*'After Tax Analysis'!$G$3</f>
        <v>0</v>
      </c>
      <c r="N57" s="162"/>
      <c r="O57" s="67">
        <f t="shared" si="10"/>
        <v>63950195.344484739</v>
      </c>
    </row>
    <row r="58" spans="2:15" x14ac:dyDescent="0.15">
      <c r="B58" s="103">
        <v>0.2</v>
      </c>
      <c r="C58" s="67"/>
      <c r="D58" s="68">
        <f>D46*'After Tax Analysis'!$G$3</f>
        <v>19817250</v>
      </c>
      <c r="E58" s="68">
        <f>E46*'After Tax Analysis'!$G$3</f>
        <v>16278832.500000007</v>
      </c>
      <c r="F58" s="68">
        <f>F46*'After Tax Analysis'!$G$3</f>
        <v>13439589.464624995</v>
      </c>
      <c r="G58" s="68">
        <f>G46*'After Tax Analysis'!$G$3</f>
        <v>9572505.7317816131</v>
      </c>
      <c r="H58" s="68">
        <f>H46*'After Tax Analysis'!$G$3</f>
        <v>4842017.6480781194</v>
      </c>
      <c r="I58" s="68">
        <f>I46*'After Tax Analysis'!$G$3</f>
        <v>0</v>
      </c>
      <c r="J58" s="68">
        <f>J46*'After Tax Analysis'!$G$3</f>
        <v>0</v>
      </c>
      <c r="K58" s="68">
        <f>K46*'After Tax Analysis'!$G$3</f>
        <v>0</v>
      </c>
      <c r="L58" s="68">
        <f>L46*'After Tax Analysis'!$G$3</f>
        <v>0</v>
      </c>
      <c r="M58" s="68">
        <f>M46*'After Tax Analysis'!$G$3</f>
        <v>0</v>
      </c>
      <c r="N58" s="162"/>
      <c r="O58" s="67">
        <f t="shared" si="10"/>
        <v>63950195.344484739</v>
      </c>
    </row>
    <row r="59" spans="2:15" x14ac:dyDescent="0.15">
      <c r="B59" s="103">
        <v>0.25</v>
      </c>
      <c r="C59" s="67"/>
      <c r="D59" s="68">
        <f>D47*'After Tax Analysis'!$G$3</f>
        <v>19817250</v>
      </c>
      <c r="E59" s="68">
        <f>E47*'After Tax Analysis'!$G$3</f>
        <v>16278832.500000007</v>
      </c>
      <c r="F59" s="68">
        <f>F47*'After Tax Analysis'!$G$3</f>
        <v>13439589.464624995</v>
      </c>
      <c r="G59" s="68">
        <f>G47*'After Tax Analysis'!$G$3</f>
        <v>9572505.7317816131</v>
      </c>
      <c r="H59" s="68">
        <f>H47*'After Tax Analysis'!$G$3</f>
        <v>4842017.6480781194</v>
      </c>
      <c r="I59" s="68">
        <f>I47*'After Tax Analysis'!$G$3</f>
        <v>0</v>
      </c>
      <c r="J59" s="68">
        <f>J47*'After Tax Analysis'!$G$3</f>
        <v>0</v>
      </c>
      <c r="K59" s="68">
        <f>K47*'After Tax Analysis'!$G$3</f>
        <v>0</v>
      </c>
      <c r="L59" s="68">
        <f>L47*'After Tax Analysis'!$G$3</f>
        <v>0</v>
      </c>
      <c r="M59" s="68">
        <f>M47*'After Tax Analysis'!$G$3</f>
        <v>0</v>
      </c>
      <c r="N59" s="162"/>
      <c r="O59" s="67">
        <f t="shared" si="10"/>
        <v>63950195.344484739</v>
      </c>
    </row>
    <row r="60" spans="2:15" ht="28" x14ac:dyDescent="0.15">
      <c r="B60" s="113" t="s">
        <v>128</v>
      </c>
      <c r="C60" s="26">
        <v>0</v>
      </c>
      <c r="D60" s="26">
        <v>1</v>
      </c>
      <c r="E60" s="26">
        <v>2</v>
      </c>
      <c r="F60" s="26">
        <v>3</v>
      </c>
      <c r="G60" s="26">
        <v>4</v>
      </c>
      <c r="H60" s="26">
        <v>5</v>
      </c>
      <c r="I60" s="26">
        <v>6</v>
      </c>
      <c r="J60" s="26">
        <v>7</v>
      </c>
      <c r="K60" s="26">
        <v>8</v>
      </c>
      <c r="L60" s="26">
        <v>9</v>
      </c>
      <c r="M60" s="26">
        <v>10</v>
      </c>
      <c r="N60" s="162"/>
      <c r="O60" s="67"/>
    </row>
    <row r="61" spans="2:15" x14ac:dyDescent="0.15">
      <c r="B61" s="103">
        <v>-0.25</v>
      </c>
      <c r="C61" s="67"/>
      <c r="D61" s="67">
        <f>-C110*'After Tax Analysis'!$G$5</f>
        <v>0</v>
      </c>
      <c r="E61" s="15">
        <v>0</v>
      </c>
      <c r="F61" s="15">
        <v>0</v>
      </c>
      <c r="G61" s="15">
        <v>0</v>
      </c>
      <c r="H61" s="15">
        <v>0</v>
      </c>
      <c r="I61" s="15">
        <v>0</v>
      </c>
      <c r="J61" s="15">
        <v>0</v>
      </c>
      <c r="K61" s="15">
        <v>0</v>
      </c>
      <c r="L61" s="15">
        <v>0</v>
      </c>
      <c r="M61" s="15">
        <v>0</v>
      </c>
      <c r="N61" s="162"/>
      <c r="O61" s="67">
        <f t="shared" ref="O61:O71" si="11">SUM(D61:M61)</f>
        <v>0</v>
      </c>
    </row>
    <row r="62" spans="2:15" x14ac:dyDescent="0.15">
      <c r="B62" s="103">
        <v>-0.2</v>
      </c>
      <c r="C62" s="67"/>
      <c r="D62" s="67">
        <f>-C111*'After Tax Analysis'!$G$5</f>
        <v>0</v>
      </c>
      <c r="E62" s="15">
        <v>0</v>
      </c>
      <c r="F62" s="15">
        <v>0</v>
      </c>
      <c r="G62" s="15">
        <v>0</v>
      </c>
      <c r="H62" s="15">
        <v>0</v>
      </c>
      <c r="I62" s="15">
        <v>0</v>
      </c>
      <c r="J62" s="15">
        <v>0</v>
      </c>
      <c r="K62" s="15">
        <v>0</v>
      </c>
      <c r="L62" s="15">
        <v>0</v>
      </c>
      <c r="M62" s="15">
        <v>0</v>
      </c>
      <c r="N62" s="162"/>
      <c r="O62" s="67">
        <f t="shared" si="11"/>
        <v>0</v>
      </c>
    </row>
    <row r="63" spans="2:15" x14ac:dyDescent="0.15">
      <c r="B63" s="103">
        <v>-0.15</v>
      </c>
      <c r="C63" s="67"/>
      <c r="D63" s="67">
        <f>-C112*'After Tax Analysis'!$G$5</f>
        <v>0</v>
      </c>
      <c r="E63" s="15">
        <v>0</v>
      </c>
      <c r="F63" s="15">
        <v>0</v>
      </c>
      <c r="G63" s="15">
        <v>0</v>
      </c>
      <c r="H63" s="15">
        <v>0</v>
      </c>
      <c r="I63" s="15">
        <v>0</v>
      </c>
      <c r="J63" s="15">
        <v>0</v>
      </c>
      <c r="K63" s="15">
        <v>0</v>
      </c>
      <c r="L63" s="15">
        <v>0</v>
      </c>
      <c r="M63" s="15">
        <v>0</v>
      </c>
      <c r="N63" s="162"/>
      <c r="O63" s="67">
        <f t="shared" si="11"/>
        <v>0</v>
      </c>
    </row>
    <row r="64" spans="2:15" x14ac:dyDescent="0.15">
      <c r="B64" s="103">
        <v>-0.1</v>
      </c>
      <c r="C64" s="67"/>
      <c r="D64" s="67">
        <f>-C113*'After Tax Analysis'!$G$5</f>
        <v>0</v>
      </c>
      <c r="E64" s="15">
        <v>0</v>
      </c>
      <c r="F64" s="15">
        <v>0</v>
      </c>
      <c r="G64" s="15">
        <v>0</v>
      </c>
      <c r="H64" s="15">
        <v>0</v>
      </c>
      <c r="I64" s="15">
        <v>0</v>
      </c>
      <c r="J64" s="15">
        <v>0</v>
      </c>
      <c r="K64" s="15">
        <v>0</v>
      </c>
      <c r="L64" s="15">
        <v>0</v>
      </c>
      <c r="M64" s="15">
        <v>0</v>
      </c>
      <c r="N64" s="162"/>
      <c r="O64" s="67">
        <f t="shared" si="11"/>
        <v>0</v>
      </c>
    </row>
    <row r="65" spans="2:15" x14ac:dyDescent="0.15">
      <c r="B65" s="103">
        <v>-0.05</v>
      </c>
      <c r="C65" s="12"/>
      <c r="D65" s="67">
        <f>-C114*'After Tax Analysis'!$G$5</f>
        <v>0</v>
      </c>
      <c r="E65" s="15">
        <v>0</v>
      </c>
      <c r="F65" s="15">
        <v>0</v>
      </c>
      <c r="G65" s="15">
        <v>0</v>
      </c>
      <c r="H65" s="15">
        <v>0</v>
      </c>
      <c r="I65" s="15">
        <v>0</v>
      </c>
      <c r="J65" s="15">
        <v>0</v>
      </c>
      <c r="K65" s="15">
        <v>0</v>
      </c>
      <c r="L65" s="15">
        <v>0</v>
      </c>
      <c r="M65" s="15">
        <v>0</v>
      </c>
      <c r="N65" s="162"/>
      <c r="O65" s="67">
        <f t="shared" si="11"/>
        <v>0</v>
      </c>
    </row>
    <row r="66" spans="2:15" x14ac:dyDescent="0.15">
      <c r="B66" s="103"/>
      <c r="C66" s="12"/>
      <c r="D66" s="67"/>
      <c r="E66" s="15"/>
      <c r="F66" s="15"/>
      <c r="G66" s="15"/>
      <c r="H66" s="15"/>
      <c r="I66" s="15"/>
      <c r="J66" s="15"/>
      <c r="K66" s="15"/>
      <c r="L66" s="15"/>
      <c r="M66" s="15"/>
      <c r="N66" s="162"/>
      <c r="O66" s="67"/>
    </row>
    <row r="67" spans="2:15" x14ac:dyDescent="0.15">
      <c r="B67" s="103">
        <v>0.05</v>
      </c>
      <c r="C67" s="67"/>
      <c r="D67" s="67">
        <f>-C116*'After Tax Analysis'!$G$5</f>
        <v>0</v>
      </c>
      <c r="E67" s="15">
        <v>0</v>
      </c>
      <c r="F67" s="15">
        <v>0</v>
      </c>
      <c r="G67" s="15">
        <v>0</v>
      </c>
      <c r="H67" s="15">
        <v>0</v>
      </c>
      <c r="I67" s="15">
        <v>0</v>
      </c>
      <c r="J67" s="15">
        <v>0</v>
      </c>
      <c r="K67" s="15">
        <v>0</v>
      </c>
      <c r="L67" s="15">
        <v>0</v>
      </c>
      <c r="M67" s="15">
        <v>0</v>
      </c>
      <c r="N67" s="162"/>
      <c r="O67" s="67">
        <f t="shared" si="11"/>
        <v>0</v>
      </c>
    </row>
    <row r="68" spans="2:15" x14ac:dyDescent="0.15">
      <c r="B68" s="103">
        <v>0.1</v>
      </c>
      <c r="C68" s="67"/>
      <c r="D68" s="67">
        <f>-C117*'After Tax Analysis'!$G$5</f>
        <v>0</v>
      </c>
      <c r="E68" s="15">
        <v>0</v>
      </c>
      <c r="F68" s="15">
        <v>0</v>
      </c>
      <c r="G68" s="15">
        <v>0</v>
      </c>
      <c r="H68" s="15">
        <v>0</v>
      </c>
      <c r="I68" s="15">
        <v>0</v>
      </c>
      <c r="J68" s="15">
        <v>0</v>
      </c>
      <c r="K68" s="15">
        <v>0</v>
      </c>
      <c r="L68" s="15">
        <v>0</v>
      </c>
      <c r="M68" s="15">
        <v>0</v>
      </c>
      <c r="N68" s="162"/>
      <c r="O68" s="67">
        <f t="shared" si="11"/>
        <v>0</v>
      </c>
    </row>
    <row r="69" spans="2:15" x14ac:dyDescent="0.15">
      <c r="B69" s="103">
        <v>0.15</v>
      </c>
      <c r="C69" s="67"/>
      <c r="D69" s="67">
        <f>-C118*'After Tax Analysis'!$G$5</f>
        <v>0</v>
      </c>
      <c r="E69" s="15">
        <v>0</v>
      </c>
      <c r="F69" s="15">
        <v>0</v>
      </c>
      <c r="G69" s="15">
        <v>0</v>
      </c>
      <c r="H69" s="15">
        <v>0</v>
      </c>
      <c r="I69" s="15">
        <v>0</v>
      </c>
      <c r="J69" s="15">
        <v>0</v>
      </c>
      <c r="K69" s="15">
        <v>0</v>
      </c>
      <c r="L69" s="15">
        <v>0</v>
      </c>
      <c r="M69" s="15">
        <v>0</v>
      </c>
      <c r="N69" s="162"/>
      <c r="O69" s="67">
        <f t="shared" si="11"/>
        <v>0</v>
      </c>
    </row>
    <row r="70" spans="2:15" x14ac:dyDescent="0.15">
      <c r="B70" s="103">
        <v>0.2</v>
      </c>
      <c r="C70" s="67"/>
      <c r="D70" s="67">
        <f>-C119*'After Tax Analysis'!$G$5</f>
        <v>0</v>
      </c>
      <c r="E70" s="15">
        <v>0</v>
      </c>
      <c r="F70" s="15">
        <v>0</v>
      </c>
      <c r="G70" s="15">
        <v>0</v>
      </c>
      <c r="H70" s="15">
        <v>0</v>
      </c>
      <c r="I70" s="15">
        <v>0</v>
      </c>
      <c r="J70" s="15">
        <v>0</v>
      </c>
      <c r="K70" s="15">
        <v>0</v>
      </c>
      <c r="L70" s="15">
        <v>0</v>
      </c>
      <c r="M70" s="15">
        <v>0</v>
      </c>
      <c r="N70" s="162"/>
      <c r="O70" s="67">
        <f t="shared" si="11"/>
        <v>0</v>
      </c>
    </row>
    <row r="71" spans="2:15" x14ac:dyDescent="0.15">
      <c r="B71" s="103">
        <v>0.25</v>
      </c>
      <c r="C71" s="67"/>
      <c r="D71" s="67">
        <f>-C120*'After Tax Analysis'!$G$5</f>
        <v>0</v>
      </c>
      <c r="E71" s="15">
        <v>0</v>
      </c>
      <c r="F71" s="15">
        <v>0</v>
      </c>
      <c r="G71" s="15">
        <v>0</v>
      </c>
      <c r="H71" s="15">
        <v>0</v>
      </c>
      <c r="I71" s="15">
        <v>0</v>
      </c>
      <c r="J71" s="15">
        <v>0</v>
      </c>
      <c r="K71" s="15">
        <v>0</v>
      </c>
      <c r="L71" s="15">
        <v>0</v>
      </c>
      <c r="M71" s="15">
        <v>0</v>
      </c>
      <c r="N71" s="162"/>
      <c r="O71" s="67">
        <f t="shared" si="11"/>
        <v>0</v>
      </c>
    </row>
    <row r="72" spans="2:15" x14ac:dyDescent="0.15">
      <c r="B72" s="103" t="s">
        <v>636</v>
      </c>
      <c r="C72" s="26">
        <v>0</v>
      </c>
      <c r="D72" s="26">
        <v>1</v>
      </c>
      <c r="E72" s="26">
        <v>2</v>
      </c>
      <c r="F72" s="26">
        <v>3</v>
      </c>
      <c r="G72" s="26">
        <v>4</v>
      </c>
      <c r="H72" s="26">
        <v>5</v>
      </c>
      <c r="I72" s="26">
        <v>6</v>
      </c>
      <c r="J72" s="26">
        <v>7</v>
      </c>
      <c r="K72" s="26">
        <v>8</v>
      </c>
      <c r="L72" s="26">
        <v>9</v>
      </c>
      <c r="M72" s="26">
        <v>10</v>
      </c>
      <c r="N72" s="162"/>
      <c r="O72" s="12"/>
    </row>
    <row r="73" spans="2:15" x14ac:dyDescent="0.15">
      <c r="B73" s="103">
        <v>-0.25</v>
      </c>
      <c r="C73" s="67"/>
      <c r="D73" s="67">
        <f>D37-D49+D61</f>
        <v>46240250</v>
      </c>
      <c r="E73" s="67">
        <f t="shared" ref="E73:M73" si="12">E37-E49+E61</f>
        <v>37983942.500000022</v>
      </c>
      <c r="F73" s="67">
        <f t="shared" si="12"/>
        <v>31359042.08412499</v>
      </c>
      <c r="G73" s="67">
        <f t="shared" si="12"/>
        <v>22335846.707490433</v>
      </c>
      <c r="H73" s="67">
        <f t="shared" si="12"/>
        <v>11298041.178848946</v>
      </c>
      <c r="I73" s="67">
        <f t="shared" si="12"/>
        <v>0</v>
      </c>
      <c r="J73" s="67">
        <f t="shared" si="12"/>
        <v>0</v>
      </c>
      <c r="K73" s="67">
        <f t="shared" si="12"/>
        <v>0</v>
      </c>
      <c r="L73" s="67">
        <f t="shared" si="12"/>
        <v>0</v>
      </c>
      <c r="M73" s="67">
        <f t="shared" si="12"/>
        <v>0</v>
      </c>
      <c r="N73" s="162"/>
      <c r="O73" s="67">
        <f t="shared" ref="O73:O84" si="13">SUM(D73:M73)</f>
        <v>149217122.47046441</v>
      </c>
    </row>
    <row r="74" spans="2:15" x14ac:dyDescent="0.15">
      <c r="B74" s="103">
        <v>-0.2</v>
      </c>
      <c r="C74" s="67"/>
      <c r="D74" s="67">
        <f>D38-D50+D62</f>
        <v>46240250</v>
      </c>
      <c r="E74" s="67">
        <f t="shared" ref="E74:M74" si="14">E38-E50+E62</f>
        <v>37983942.500000022</v>
      </c>
      <c r="F74" s="67">
        <f t="shared" si="14"/>
        <v>31359042.08412499</v>
      </c>
      <c r="G74" s="67">
        <f t="shared" si="14"/>
        <v>22335846.707490433</v>
      </c>
      <c r="H74" s="67">
        <f t="shared" si="14"/>
        <v>11298041.178848946</v>
      </c>
      <c r="I74" s="67">
        <f t="shared" si="14"/>
        <v>0</v>
      </c>
      <c r="J74" s="67">
        <f t="shared" si="14"/>
        <v>0</v>
      </c>
      <c r="K74" s="67">
        <f t="shared" si="14"/>
        <v>0</v>
      </c>
      <c r="L74" s="67">
        <f t="shared" si="14"/>
        <v>0</v>
      </c>
      <c r="M74" s="67">
        <f t="shared" si="14"/>
        <v>0</v>
      </c>
      <c r="N74" s="162"/>
      <c r="O74" s="67">
        <f t="shared" si="13"/>
        <v>149217122.47046441</v>
      </c>
    </row>
    <row r="75" spans="2:15" x14ac:dyDescent="0.15">
      <c r="B75" s="103">
        <v>-0.15</v>
      </c>
      <c r="C75" s="67"/>
      <c r="D75" s="67">
        <f>D39-D51+D63</f>
        <v>46240250</v>
      </c>
      <c r="E75" s="67">
        <f t="shared" ref="E75:M75" si="15">E39-E51+E63</f>
        <v>37983942.500000022</v>
      </c>
      <c r="F75" s="67">
        <f t="shared" si="15"/>
        <v>31359042.08412499</v>
      </c>
      <c r="G75" s="67">
        <f t="shared" si="15"/>
        <v>22335846.707490433</v>
      </c>
      <c r="H75" s="67">
        <f t="shared" si="15"/>
        <v>11298041.178848946</v>
      </c>
      <c r="I75" s="67">
        <f t="shared" si="15"/>
        <v>0</v>
      </c>
      <c r="J75" s="67">
        <f t="shared" si="15"/>
        <v>0</v>
      </c>
      <c r="K75" s="67">
        <f t="shared" si="15"/>
        <v>0</v>
      </c>
      <c r="L75" s="67">
        <f t="shared" si="15"/>
        <v>0</v>
      </c>
      <c r="M75" s="67">
        <f t="shared" si="15"/>
        <v>0</v>
      </c>
      <c r="N75" s="162"/>
      <c r="O75" s="67">
        <f t="shared" si="13"/>
        <v>149217122.47046441</v>
      </c>
    </row>
    <row r="76" spans="2:15" x14ac:dyDescent="0.15">
      <c r="B76" s="103">
        <v>-0.1</v>
      </c>
      <c r="C76" s="67"/>
      <c r="D76" s="67">
        <f>D40-D52+D64</f>
        <v>46240250</v>
      </c>
      <c r="E76" s="67">
        <f t="shared" ref="E76:M76" si="16">E40-E52+E64</f>
        <v>37983942.500000022</v>
      </c>
      <c r="F76" s="67">
        <f t="shared" si="16"/>
        <v>31359042.08412499</v>
      </c>
      <c r="G76" s="67">
        <f t="shared" si="16"/>
        <v>22335846.707490433</v>
      </c>
      <c r="H76" s="67">
        <f t="shared" si="16"/>
        <v>11298041.178848946</v>
      </c>
      <c r="I76" s="67">
        <f t="shared" si="16"/>
        <v>0</v>
      </c>
      <c r="J76" s="67">
        <f t="shared" si="16"/>
        <v>0</v>
      </c>
      <c r="K76" s="67">
        <f t="shared" si="16"/>
        <v>0</v>
      </c>
      <c r="L76" s="67">
        <f t="shared" si="16"/>
        <v>0</v>
      </c>
      <c r="M76" s="67">
        <f t="shared" si="16"/>
        <v>0</v>
      </c>
      <c r="N76" s="162"/>
      <c r="O76" s="67">
        <f t="shared" si="13"/>
        <v>149217122.47046441</v>
      </c>
    </row>
    <row r="77" spans="2:15" x14ac:dyDescent="0.15">
      <c r="B77" s="103">
        <v>-0.05</v>
      </c>
      <c r="C77" s="12"/>
      <c r="D77" s="67">
        <f>D41-D53+D65</f>
        <v>46240250</v>
      </c>
      <c r="E77" s="67">
        <f t="shared" ref="E77:M77" si="17">E41-E53+E65</f>
        <v>37983942.500000022</v>
      </c>
      <c r="F77" s="67">
        <f t="shared" si="17"/>
        <v>31359042.08412499</v>
      </c>
      <c r="G77" s="67">
        <f t="shared" si="17"/>
        <v>22335846.707490433</v>
      </c>
      <c r="H77" s="67">
        <f t="shared" si="17"/>
        <v>11298041.178848946</v>
      </c>
      <c r="I77" s="67">
        <f t="shared" si="17"/>
        <v>0</v>
      </c>
      <c r="J77" s="67">
        <f t="shared" si="17"/>
        <v>0</v>
      </c>
      <c r="K77" s="67">
        <f t="shared" si="17"/>
        <v>0</v>
      </c>
      <c r="L77" s="67">
        <f t="shared" si="17"/>
        <v>0</v>
      </c>
      <c r="M77" s="67">
        <f t="shared" si="17"/>
        <v>0</v>
      </c>
      <c r="N77" s="162"/>
      <c r="O77" s="67">
        <f t="shared" si="13"/>
        <v>149217122.47046441</v>
      </c>
    </row>
    <row r="78" spans="2:15" x14ac:dyDescent="0.15">
      <c r="B78" s="103"/>
      <c r="C78" s="12"/>
      <c r="D78" s="67"/>
      <c r="E78" s="67"/>
      <c r="F78" s="67"/>
      <c r="G78" s="67"/>
      <c r="H78" s="67"/>
      <c r="I78" s="67"/>
      <c r="J78" s="67"/>
      <c r="K78" s="67"/>
      <c r="L78" s="67"/>
      <c r="M78" s="67"/>
      <c r="N78" s="162"/>
      <c r="O78" s="67"/>
    </row>
    <row r="79" spans="2:15" x14ac:dyDescent="0.15">
      <c r="B79" s="103">
        <v>0.05</v>
      </c>
      <c r="C79" s="12"/>
      <c r="D79" s="67">
        <f t="shared" ref="D79:M79" si="18">D43-D55+D67</f>
        <v>46240250</v>
      </c>
      <c r="E79" s="67">
        <f t="shared" si="18"/>
        <v>37983942.500000022</v>
      </c>
      <c r="F79" s="67">
        <f t="shared" si="18"/>
        <v>31359042.08412499</v>
      </c>
      <c r="G79" s="67">
        <f t="shared" si="18"/>
        <v>22335846.707490433</v>
      </c>
      <c r="H79" s="67">
        <f t="shared" si="18"/>
        <v>11298041.178848946</v>
      </c>
      <c r="I79" s="67">
        <f t="shared" si="18"/>
        <v>0</v>
      </c>
      <c r="J79" s="67">
        <f t="shared" si="18"/>
        <v>0</v>
      </c>
      <c r="K79" s="67">
        <f t="shared" si="18"/>
        <v>0</v>
      </c>
      <c r="L79" s="67">
        <f t="shared" si="18"/>
        <v>0</v>
      </c>
      <c r="M79" s="67">
        <f t="shared" si="18"/>
        <v>0</v>
      </c>
      <c r="N79" s="162"/>
      <c r="O79" s="67">
        <f t="shared" si="13"/>
        <v>149217122.47046441</v>
      </c>
    </row>
    <row r="80" spans="2:15" x14ac:dyDescent="0.15">
      <c r="B80" s="103">
        <v>0.1</v>
      </c>
      <c r="C80" s="104"/>
      <c r="D80" s="67">
        <f t="shared" ref="D80:M80" si="19">D44-D56+D68</f>
        <v>46240250</v>
      </c>
      <c r="E80" s="67">
        <f t="shared" si="19"/>
        <v>37983942.500000022</v>
      </c>
      <c r="F80" s="67">
        <f t="shared" si="19"/>
        <v>31359042.08412499</v>
      </c>
      <c r="G80" s="67">
        <f t="shared" si="19"/>
        <v>22335846.707490433</v>
      </c>
      <c r="H80" s="67">
        <f t="shared" si="19"/>
        <v>11298041.178848946</v>
      </c>
      <c r="I80" s="67">
        <f t="shared" si="19"/>
        <v>0</v>
      </c>
      <c r="J80" s="67">
        <f t="shared" si="19"/>
        <v>0</v>
      </c>
      <c r="K80" s="67">
        <f t="shared" si="19"/>
        <v>0</v>
      </c>
      <c r="L80" s="67">
        <f t="shared" si="19"/>
        <v>0</v>
      </c>
      <c r="M80" s="67">
        <f t="shared" si="19"/>
        <v>0</v>
      </c>
      <c r="N80" s="162"/>
      <c r="O80" s="67">
        <f t="shared" si="13"/>
        <v>149217122.47046441</v>
      </c>
    </row>
    <row r="81" spans="2:15" x14ac:dyDescent="0.15">
      <c r="B81" s="103">
        <v>0.15</v>
      </c>
      <c r="C81" s="104"/>
      <c r="D81" s="67">
        <f t="shared" ref="D81:M81" si="20">D45-D57+D69</f>
        <v>46240250</v>
      </c>
      <c r="E81" s="67">
        <f t="shared" si="20"/>
        <v>37983942.500000022</v>
      </c>
      <c r="F81" s="67">
        <f t="shared" si="20"/>
        <v>31359042.08412499</v>
      </c>
      <c r="G81" s="67">
        <f t="shared" si="20"/>
        <v>22335846.707490433</v>
      </c>
      <c r="H81" s="67">
        <f t="shared" si="20"/>
        <v>11298041.178848946</v>
      </c>
      <c r="I81" s="67">
        <f t="shared" si="20"/>
        <v>0</v>
      </c>
      <c r="J81" s="67">
        <f t="shared" si="20"/>
        <v>0</v>
      </c>
      <c r="K81" s="67">
        <f t="shared" si="20"/>
        <v>0</v>
      </c>
      <c r="L81" s="67">
        <f t="shared" si="20"/>
        <v>0</v>
      </c>
      <c r="M81" s="67">
        <f t="shared" si="20"/>
        <v>0</v>
      </c>
      <c r="N81" s="162"/>
      <c r="O81" s="67">
        <f t="shared" si="13"/>
        <v>149217122.47046441</v>
      </c>
    </row>
    <row r="82" spans="2:15" x14ac:dyDescent="0.15">
      <c r="B82" s="103">
        <v>0.2</v>
      </c>
      <c r="C82" s="104"/>
      <c r="D82" s="67">
        <f t="shared" ref="D82:M82" si="21">D46-D58+D70</f>
        <v>46240250</v>
      </c>
      <c r="E82" s="67">
        <f t="shared" si="21"/>
        <v>37983942.500000022</v>
      </c>
      <c r="F82" s="67">
        <f t="shared" si="21"/>
        <v>31359042.08412499</v>
      </c>
      <c r="G82" s="67">
        <f t="shared" si="21"/>
        <v>22335846.707490433</v>
      </c>
      <c r="H82" s="67">
        <f t="shared" si="21"/>
        <v>11298041.178848946</v>
      </c>
      <c r="I82" s="67">
        <f t="shared" si="21"/>
        <v>0</v>
      </c>
      <c r="J82" s="67">
        <f t="shared" si="21"/>
        <v>0</v>
      </c>
      <c r="K82" s="67">
        <f t="shared" si="21"/>
        <v>0</v>
      </c>
      <c r="L82" s="67">
        <f t="shared" si="21"/>
        <v>0</v>
      </c>
      <c r="M82" s="67">
        <f t="shared" si="21"/>
        <v>0</v>
      </c>
      <c r="N82" s="162"/>
      <c r="O82" s="67">
        <f t="shared" si="13"/>
        <v>149217122.47046441</v>
      </c>
    </row>
    <row r="83" spans="2:15" x14ac:dyDescent="0.15">
      <c r="B83" s="103">
        <v>0.25</v>
      </c>
      <c r="C83" s="104"/>
      <c r="D83" s="67">
        <f t="shared" ref="D83:M83" si="22">D47-D59+D71</f>
        <v>46240250</v>
      </c>
      <c r="E83" s="67">
        <f t="shared" si="22"/>
        <v>37983942.500000022</v>
      </c>
      <c r="F83" s="67">
        <f t="shared" si="22"/>
        <v>31359042.08412499</v>
      </c>
      <c r="G83" s="67">
        <f t="shared" si="22"/>
        <v>22335846.707490433</v>
      </c>
      <c r="H83" s="67">
        <f t="shared" si="22"/>
        <v>11298041.178848946</v>
      </c>
      <c r="I83" s="67">
        <f t="shared" si="22"/>
        <v>0</v>
      </c>
      <c r="J83" s="67">
        <f t="shared" si="22"/>
        <v>0</v>
      </c>
      <c r="K83" s="67">
        <f t="shared" si="22"/>
        <v>0</v>
      </c>
      <c r="L83" s="67">
        <f t="shared" si="22"/>
        <v>0</v>
      </c>
      <c r="M83" s="67">
        <f t="shared" si="22"/>
        <v>0</v>
      </c>
      <c r="N83" s="162"/>
      <c r="O83" s="67">
        <f t="shared" si="13"/>
        <v>149217122.47046441</v>
      </c>
    </row>
    <row r="84" spans="2:15" x14ac:dyDescent="0.15">
      <c r="B84" s="103" t="s">
        <v>292</v>
      </c>
      <c r="C84" s="104"/>
      <c r="D84" s="92">
        <f>D22</f>
        <v>3772500</v>
      </c>
      <c r="E84" s="92">
        <f t="shared" ref="E84:M84" si="23">E22</f>
        <v>6218850</v>
      </c>
      <c r="F84" s="92">
        <f t="shared" si="23"/>
        <v>4083150</v>
      </c>
      <c r="G84" s="92">
        <f t="shared" si="23"/>
        <v>2775510</v>
      </c>
      <c r="H84" s="92">
        <f t="shared" si="23"/>
        <v>1352955</v>
      </c>
      <c r="I84" s="92">
        <f t="shared" si="23"/>
        <v>0</v>
      </c>
      <c r="J84" s="92">
        <f t="shared" si="23"/>
        <v>0</v>
      </c>
      <c r="K84" s="92">
        <f t="shared" si="23"/>
        <v>0</v>
      </c>
      <c r="L84" s="92">
        <f t="shared" si="23"/>
        <v>0</v>
      </c>
      <c r="M84" s="92">
        <f t="shared" si="23"/>
        <v>0</v>
      </c>
      <c r="N84" s="162"/>
      <c r="O84" s="67">
        <f t="shared" si="13"/>
        <v>18202965</v>
      </c>
    </row>
    <row r="85" spans="2:15" ht="28" x14ac:dyDescent="0.15">
      <c r="B85" s="113" t="s">
        <v>650</v>
      </c>
      <c r="C85" s="26">
        <v>0</v>
      </c>
      <c r="D85" s="26">
        <v>1</v>
      </c>
      <c r="E85" s="26">
        <v>2</v>
      </c>
      <c r="F85" s="26">
        <v>3</v>
      </c>
      <c r="G85" s="26">
        <v>4</v>
      </c>
      <c r="H85" s="26">
        <v>5</v>
      </c>
      <c r="I85" s="26">
        <v>6</v>
      </c>
      <c r="J85" s="26">
        <v>7</v>
      </c>
      <c r="K85" s="26">
        <v>8</v>
      </c>
      <c r="L85" s="26">
        <v>9</v>
      </c>
      <c r="M85" s="26">
        <v>10</v>
      </c>
      <c r="N85" s="162"/>
      <c r="O85" s="12"/>
    </row>
    <row r="86" spans="2:15" x14ac:dyDescent="0.15">
      <c r="B86" s="103">
        <v>-0.25</v>
      </c>
      <c r="C86" s="104"/>
      <c r="D86" s="67">
        <f>D73+D$84</f>
        <v>50012750</v>
      </c>
      <c r="E86" s="67">
        <f t="shared" ref="E86:M86" si="24">E73+E$84</f>
        <v>44202792.500000022</v>
      </c>
      <c r="F86" s="67">
        <f t="shared" si="24"/>
        <v>35442192.08412499</v>
      </c>
      <c r="G86" s="67">
        <f t="shared" si="24"/>
        <v>25111356.707490433</v>
      </c>
      <c r="H86" s="67">
        <f t="shared" si="24"/>
        <v>12650996.178848946</v>
      </c>
      <c r="I86" s="67">
        <f t="shared" si="24"/>
        <v>0</v>
      </c>
      <c r="J86" s="67">
        <f t="shared" si="24"/>
        <v>0</v>
      </c>
      <c r="K86" s="67">
        <f t="shared" si="24"/>
        <v>0</v>
      </c>
      <c r="L86" s="67">
        <f t="shared" si="24"/>
        <v>0</v>
      </c>
      <c r="M86" s="67">
        <f t="shared" si="24"/>
        <v>0</v>
      </c>
      <c r="N86" s="162"/>
      <c r="O86" s="67">
        <f t="shared" ref="O86:O96" si="25">SUM(D86:M86)</f>
        <v>167420087.47046441</v>
      </c>
    </row>
    <row r="87" spans="2:15" x14ac:dyDescent="0.15">
      <c r="B87" s="103">
        <v>-0.2</v>
      </c>
      <c r="C87" s="104"/>
      <c r="D87" s="67">
        <f>D74+D$84</f>
        <v>50012750</v>
      </c>
      <c r="E87" s="67">
        <f t="shared" ref="E87:M87" si="26">E74+E$84</f>
        <v>44202792.500000022</v>
      </c>
      <c r="F87" s="67">
        <f t="shared" si="26"/>
        <v>35442192.08412499</v>
      </c>
      <c r="G87" s="67">
        <f t="shared" si="26"/>
        <v>25111356.707490433</v>
      </c>
      <c r="H87" s="67">
        <f t="shared" si="26"/>
        <v>12650996.178848946</v>
      </c>
      <c r="I87" s="67">
        <f t="shared" si="26"/>
        <v>0</v>
      </c>
      <c r="J87" s="67">
        <f t="shared" si="26"/>
        <v>0</v>
      </c>
      <c r="K87" s="67">
        <f t="shared" si="26"/>
        <v>0</v>
      </c>
      <c r="L87" s="67">
        <f t="shared" si="26"/>
        <v>0</v>
      </c>
      <c r="M87" s="67">
        <f t="shared" si="26"/>
        <v>0</v>
      </c>
      <c r="N87" s="162"/>
      <c r="O87" s="67">
        <f t="shared" si="25"/>
        <v>167420087.47046441</v>
      </c>
    </row>
    <row r="88" spans="2:15" x14ac:dyDescent="0.15">
      <c r="B88" s="103">
        <v>-0.15</v>
      </c>
      <c r="C88" s="104"/>
      <c r="D88" s="67">
        <f>D75+D$84</f>
        <v>50012750</v>
      </c>
      <c r="E88" s="67">
        <f t="shared" ref="E88:M88" si="27">E75+E$84</f>
        <v>44202792.500000022</v>
      </c>
      <c r="F88" s="67">
        <f t="shared" si="27"/>
        <v>35442192.08412499</v>
      </c>
      <c r="G88" s="67">
        <f t="shared" si="27"/>
        <v>25111356.707490433</v>
      </c>
      <c r="H88" s="67">
        <f t="shared" si="27"/>
        <v>12650996.178848946</v>
      </c>
      <c r="I88" s="67">
        <f t="shared" si="27"/>
        <v>0</v>
      </c>
      <c r="J88" s="67">
        <f t="shared" si="27"/>
        <v>0</v>
      </c>
      <c r="K88" s="67">
        <f t="shared" si="27"/>
        <v>0</v>
      </c>
      <c r="L88" s="67">
        <f t="shared" si="27"/>
        <v>0</v>
      </c>
      <c r="M88" s="67">
        <f t="shared" si="27"/>
        <v>0</v>
      </c>
      <c r="N88" s="162"/>
      <c r="O88" s="67">
        <f t="shared" si="25"/>
        <v>167420087.47046441</v>
      </c>
    </row>
    <row r="89" spans="2:15" x14ac:dyDescent="0.15">
      <c r="B89" s="103">
        <v>-0.1</v>
      </c>
      <c r="C89" s="104"/>
      <c r="D89" s="67">
        <f>D76+D$84</f>
        <v>50012750</v>
      </c>
      <c r="E89" s="67">
        <f t="shared" ref="E89:M89" si="28">E76+E$84</f>
        <v>44202792.500000022</v>
      </c>
      <c r="F89" s="67">
        <f t="shared" si="28"/>
        <v>35442192.08412499</v>
      </c>
      <c r="G89" s="67">
        <f t="shared" si="28"/>
        <v>25111356.707490433</v>
      </c>
      <c r="H89" s="67">
        <f t="shared" si="28"/>
        <v>12650996.178848946</v>
      </c>
      <c r="I89" s="67">
        <f t="shared" si="28"/>
        <v>0</v>
      </c>
      <c r="J89" s="67">
        <f t="shared" si="28"/>
        <v>0</v>
      </c>
      <c r="K89" s="67">
        <f t="shared" si="28"/>
        <v>0</v>
      </c>
      <c r="L89" s="67">
        <f t="shared" si="28"/>
        <v>0</v>
      </c>
      <c r="M89" s="67">
        <f t="shared" si="28"/>
        <v>0</v>
      </c>
      <c r="N89" s="162"/>
      <c r="O89" s="67">
        <f t="shared" si="25"/>
        <v>167420087.47046441</v>
      </c>
    </row>
    <row r="90" spans="2:15" x14ac:dyDescent="0.15">
      <c r="B90" s="103">
        <v>-0.05</v>
      </c>
      <c r="C90" s="12"/>
      <c r="D90" s="67">
        <f>D77+D$84</f>
        <v>50012750</v>
      </c>
      <c r="E90" s="67">
        <f t="shared" ref="E90:M90" si="29">E77+E$84</f>
        <v>44202792.500000022</v>
      </c>
      <c r="F90" s="67">
        <f t="shared" si="29"/>
        <v>35442192.08412499</v>
      </c>
      <c r="G90" s="67">
        <f t="shared" si="29"/>
        <v>25111356.707490433</v>
      </c>
      <c r="H90" s="67">
        <f t="shared" si="29"/>
        <v>12650996.178848946</v>
      </c>
      <c r="I90" s="67">
        <f t="shared" si="29"/>
        <v>0</v>
      </c>
      <c r="J90" s="67">
        <f t="shared" si="29"/>
        <v>0</v>
      </c>
      <c r="K90" s="67">
        <f t="shared" si="29"/>
        <v>0</v>
      </c>
      <c r="L90" s="67">
        <f t="shared" si="29"/>
        <v>0</v>
      </c>
      <c r="M90" s="67">
        <f t="shared" si="29"/>
        <v>0</v>
      </c>
      <c r="N90" s="162"/>
      <c r="O90" s="67">
        <f t="shared" si="25"/>
        <v>167420087.47046441</v>
      </c>
    </row>
    <row r="91" spans="2:15" x14ac:dyDescent="0.15">
      <c r="B91" s="103"/>
      <c r="C91" s="12"/>
      <c r="D91" s="67"/>
      <c r="E91" s="67"/>
      <c r="F91" s="67"/>
      <c r="G91" s="67"/>
      <c r="H91" s="67"/>
      <c r="I91" s="67"/>
      <c r="J91" s="67"/>
      <c r="K91" s="67"/>
      <c r="L91" s="67"/>
      <c r="M91" s="67"/>
      <c r="N91" s="162"/>
      <c r="O91" s="67"/>
    </row>
    <row r="92" spans="2:15" x14ac:dyDescent="0.15">
      <c r="B92" s="103">
        <v>0.05</v>
      </c>
      <c r="C92" s="12"/>
      <c r="D92" s="67">
        <f t="shared" ref="D92:M92" si="30">D79+D$84</f>
        <v>50012750</v>
      </c>
      <c r="E92" s="67">
        <f t="shared" si="30"/>
        <v>44202792.500000022</v>
      </c>
      <c r="F92" s="67">
        <f t="shared" si="30"/>
        <v>35442192.08412499</v>
      </c>
      <c r="G92" s="67">
        <f t="shared" si="30"/>
        <v>25111356.707490433</v>
      </c>
      <c r="H92" s="67">
        <f t="shared" si="30"/>
        <v>12650996.178848946</v>
      </c>
      <c r="I92" s="67">
        <f t="shared" si="30"/>
        <v>0</v>
      </c>
      <c r="J92" s="67">
        <f t="shared" si="30"/>
        <v>0</v>
      </c>
      <c r="K92" s="67">
        <f t="shared" si="30"/>
        <v>0</v>
      </c>
      <c r="L92" s="67">
        <f t="shared" si="30"/>
        <v>0</v>
      </c>
      <c r="M92" s="67">
        <f t="shared" si="30"/>
        <v>0</v>
      </c>
      <c r="N92" s="162"/>
      <c r="O92" s="67">
        <f t="shared" si="25"/>
        <v>167420087.47046441</v>
      </c>
    </row>
    <row r="93" spans="2:15" x14ac:dyDescent="0.15">
      <c r="B93" s="103">
        <v>0.1</v>
      </c>
      <c r="C93" s="12"/>
      <c r="D93" s="67">
        <f t="shared" ref="D93:M93" si="31">D80+D$84</f>
        <v>50012750</v>
      </c>
      <c r="E93" s="67">
        <f t="shared" si="31"/>
        <v>44202792.500000022</v>
      </c>
      <c r="F93" s="67">
        <f t="shared" si="31"/>
        <v>35442192.08412499</v>
      </c>
      <c r="G93" s="67">
        <f t="shared" si="31"/>
        <v>25111356.707490433</v>
      </c>
      <c r="H93" s="67">
        <f t="shared" si="31"/>
        <v>12650996.178848946</v>
      </c>
      <c r="I93" s="67">
        <f t="shared" si="31"/>
        <v>0</v>
      </c>
      <c r="J93" s="67">
        <f t="shared" si="31"/>
        <v>0</v>
      </c>
      <c r="K93" s="67">
        <f t="shared" si="31"/>
        <v>0</v>
      </c>
      <c r="L93" s="67">
        <f t="shared" si="31"/>
        <v>0</v>
      </c>
      <c r="M93" s="67">
        <f t="shared" si="31"/>
        <v>0</v>
      </c>
      <c r="N93" s="162"/>
      <c r="O93" s="67">
        <f t="shared" si="25"/>
        <v>167420087.47046441</v>
      </c>
    </row>
    <row r="94" spans="2:15" x14ac:dyDescent="0.15">
      <c r="B94" s="103">
        <v>0.15</v>
      </c>
      <c r="C94" s="12"/>
      <c r="D94" s="67">
        <f t="shared" ref="D94:M94" si="32">D81+D$84</f>
        <v>50012750</v>
      </c>
      <c r="E94" s="67">
        <f t="shared" si="32"/>
        <v>44202792.500000022</v>
      </c>
      <c r="F94" s="67">
        <f t="shared" si="32"/>
        <v>35442192.08412499</v>
      </c>
      <c r="G94" s="67">
        <f t="shared" si="32"/>
        <v>25111356.707490433</v>
      </c>
      <c r="H94" s="67">
        <f t="shared" si="32"/>
        <v>12650996.178848946</v>
      </c>
      <c r="I94" s="67">
        <f t="shared" si="32"/>
        <v>0</v>
      </c>
      <c r="J94" s="67">
        <f t="shared" si="32"/>
        <v>0</v>
      </c>
      <c r="K94" s="67">
        <f t="shared" si="32"/>
        <v>0</v>
      </c>
      <c r="L94" s="67">
        <f t="shared" si="32"/>
        <v>0</v>
      </c>
      <c r="M94" s="67">
        <f t="shared" si="32"/>
        <v>0</v>
      </c>
      <c r="N94" s="162"/>
      <c r="O94" s="67">
        <f t="shared" si="25"/>
        <v>167420087.47046441</v>
      </c>
    </row>
    <row r="95" spans="2:15" x14ac:dyDescent="0.15">
      <c r="B95" s="103">
        <v>0.2</v>
      </c>
      <c r="C95" s="12"/>
      <c r="D95" s="67">
        <f t="shared" ref="D95:M95" si="33">D82+D$84</f>
        <v>50012750</v>
      </c>
      <c r="E95" s="67">
        <f t="shared" si="33"/>
        <v>44202792.500000022</v>
      </c>
      <c r="F95" s="67">
        <f t="shared" si="33"/>
        <v>35442192.08412499</v>
      </c>
      <c r="G95" s="67">
        <f t="shared" si="33"/>
        <v>25111356.707490433</v>
      </c>
      <c r="H95" s="67">
        <f t="shared" si="33"/>
        <v>12650996.178848946</v>
      </c>
      <c r="I95" s="67">
        <f t="shared" si="33"/>
        <v>0</v>
      </c>
      <c r="J95" s="67">
        <f t="shared" si="33"/>
        <v>0</v>
      </c>
      <c r="K95" s="67">
        <f t="shared" si="33"/>
        <v>0</v>
      </c>
      <c r="L95" s="67">
        <f t="shared" si="33"/>
        <v>0</v>
      </c>
      <c r="M95" s="67">
        <f t="shared" si="33"/>
        <v>0</v>
      </c>
      <c r="N95" s="162"/>
      <c r="O95" s="67">
        <f t="shared" si="25"/>
        <v>167420087.47046441</v>
      </c>
    </row>
    <row r="96" spans="2:15" ht="14" thickBot="1" x14ac:dyDescent="0.2">
      <c r="B96" s="103">
        <v>0.25</v>
      </c>
      <c r="C96" s="94"/>
      <c r="D96" s="95">
        <f t="shared" ref="D96:M96" si="34">D83+D$84</f>
        <v>50012750</v>
      </c>
      <c r="E96" s="95">
        <f t="shared" si="34"/>
        <v>44202792.500000022</v>
      </c>
      <c r="F96" s="95">
        <f t="shared" si="34"/>
        <v>35442192.08412499</v>
      </c>
      <c r="G96" s="95">
        <f t="shared" si="34"/>
        <v>25111356.707490433</v>
      </c>
      <c r="H96" s="95">
        <f t="shared" si="34"/>
        <v>12650996.178848946</v>
      </c>
      <c r="I96" s="95">
        <f t="shared" si="34"/>
        <v>0</v>
      </c>
      <c r="J96" s="95">
        <f t="shared" si="34"/>
        <v>0</v>
      </c>
      <c r="K96" s="95">
        <f t="shared" si="34"/>
        <v>0</v>
      </c>
      <c r="L96" s="95">
        <f t="shared" si="34"/>
        <v>0</v>
      </c>
      <c r="M96" s="95">
        <f t="shared" si="34"/>
        <v>0</v>
      </c>
      <c r="N96" s="163"/>
      <c r="O96" s="95">
        <f t="shared" si="25"/>
        <v>167420087.47046441</v>
      </c>
    </row>
    <row r="97" spans="2:15" ht="14" thickTop="1" x14ac:dyDescent="0.15">
      <c r="B97" s="96" t="s">
        <v>638</v>
      </c>
      <c r="C97" s="96" t="s">
        <v>651</v>
      </c>
      <c r="D97" s="96"/>
      <c r="E97" s="96"/>
      <c r="F97" s="96"/>
      <c r="G97" s="96"/>
      <c r="H97" s="96"/>
      <c r="I97" s="96"/>
      <c r="J97" s="96"/>
      <c r="K97" s="96"/>
      <c r="L97" s="96"/>
      <c r="M97" s="96"/>
      <c r="N97" s="96"/>
      <c r="O97" s="96"/>
    </row>
    <row r="98" spans="2:15" x14ac:dyDescent="0.15">
      <c r="B98" s="103">
        <v>-0.25</v>
      </c>
      <c r="C98" s="12"/>
      <c r="D98" s="92">
        <f>'Level Payment Fin Sens Calc'!D33</f>
        <v>0</v>
      </c>
      <c r="E98" s="92">
        <f>'Level Payment Fin Sens Calc'!E33</f>
        <v>0</v>
      </c>
      <c r="F98" s="92">
        <f>'Level Payment Fin Sens Calc'!F33</f>
        <v>0</v>
      </c>
      <c r="G98" s="92">
        <f>'Level Payment Fin Sens Calc'!G33</f>
        <v>0</v>
      </c>
      <c r="H98" s="92">
        <f>'Level Payment Fin Sens Calc'!H33</f>
        <v>0</v>
      </c>
      <c r="I98" s="92">
        <f>'Level Payment Fin Sens Calc'!I33</f>
        <v>0</v>
      </c>
      <c r="J98" s="92">
        <f>'Level Payment Fin Sens Calc'!J33</f>
        <v>0</v>
      </c>
      <c r="K98" s="92">
        <f>'Level Payment Fin Sens Calc'!K33</f>
        <v>0</v>
      </c>
      <c r="L98" s="92">
        <f>'Level Payment Fin Sens Calc'!L33</f>
        <v>0</v>
      </c>
      <c r="M98" s="92">
        <f>'Level Payment Fin Sens Calc'!M33</f>
        <v>0</v>
      </c>
      <c r="N98" s="57"/>
      <c r="O98" s="67">
        <f t="shared" ref="O98:O108" si="35">SUM(D98:M98)</f>
        <v>0</v>
      </c>
    </row>
    <row r="99" spans="2:15" x14ac:dyDescent="0.15">
      <c r="B99" s="103">
        <v>-0.2</v>
      </c>
      <c r="C99" s="12"/>
      <c r="D99" s="92">
        <f>'Level Payment Fin Sens Calc'!D51</f>
        <v>0</v>
      </c>
      <c r="E99" s="92">
        <f>'Level Payment Fin Sens Calc'!E51</f>
        <v>0</v>
      </c>
      <c r="F99" s="92">
        <f>'Level Payment Fin Sens Calc'!F51</f>
        <v>0</v>
      </c>
      <c r="G99" s="92">
        <f>'Level Payment Fin Sens Calc'!G51</f>
        <v>0</v>
      </c>
      <c r="H99" s="92">
        <f>'Level Payment Fin Sens Calc'!H51</f>
        <v>0</v>
      </c>
      <c r="I99" s="92">
        <f>'Level Payment Fin Sens Calc'!I51</f>
        <v>0</v>
      </c>
      <c r="J99" s="92">
        <f>'Level Payment Fin Sens Calc'!J51</f>
        <v>0</v>
      </c>
      <c r="K99" s="92">
        <f>'Level Payment Fin Sens Calc'!K51</f>
        <v>0</v>
      </c>
      <c r="L99" s="92">
        <f>'Level Payment Fin Sens Calc'!L51</f>
        <v>0</v>
      </c>
      <c r="M99" s="92">
        <f>'Level Payment Fin Sens Calc'!M51</f>
        <v>0</v>
      </c>
      <c r="N99" s="57"/>
      <c r="O99" s="67">
        <f t="shared" si="35"/>
        <v>0</v>
      </c>
    </row>
    <row r="100" spans="2:15" x14ac:dyDescent="0.15">
      <c r="B100" s="103">
        <v>-0.15</v>
      </c>
      <c r="C100" s="12"/>
      <c r="D100" s="92">
        <f>'Level Payment Fin Sens Calc'!D69</f>
        <v>0</v>
      </c>
      <c r="E100" s="92">
        <f>'Level Payment Fin Sens Calc'!E69</f>
        <v>0</v>
      </c>
      <c r="F100" s="92">
        <f>'Level Payment Fin Sens Calc'!F69</f>
        <v>0</v>
      </c>
      <c r="G100" s="92">
        <f>'Level Payment Fin Sens Calc'!G69</f>
        <v>0</v>
      </c>
      <c r="H100" s="92">
        <f>'Level Payment Fin Sens Calc'!H69</f>
        <v>0</v>
      </c>
      <c r="I100" s="92">
        <f>'Level Payment Fin Sens Calc'!I69</f>
        <v>0</v>
      </c>
      <c r="J100" s="92">
        <f>'Level Payment Fin Sens Calc'!J69</f>
        <v>0</v>
      </c>
      <c r="K100" s="92">
        <f>'Level Payment Fin Sens Calc'!K69</f>
        <v>0</v>
      </c>
      <c r="L100" s="92">
        <f>'Level Payment Fin Sens Calc'!L69</f>
        <v>0</v>
      </c>
      <c r="M100" s="92">
        <f>'Level Payment Fin Sens Calc'!M69</f>
        <v>0</v>
      </c>
      <c r="N100" s="57"/>
      <c r="O100" s="67">
        <f t="shared" si="35"/>
        <v>0</v>
      </c>
    </row>
    <row r="101" spans="2:15" x14ac:dyDescent="0.15">
      <c r="B101" s="103">
        <v>-0.1</v>
      </c>
      <c r="C101" s="12"/>
      <c r="D101" s="92">
        <f>'Level Payment Fin Sens Calc'!D87</f>
        <v>0</v>
      </c>
      <c r="E101" s="92">
        <f>'Level Payment Fin Sens Calc'!E87</f>
        <v>0</v>
      </c>
      <c r="F101" s="92">
        <f>'Level Payment Fin Sens Calc'!F87</f>
        <v>0</v>
      </c>
      <c r="G101" s="92">
        <f>'Level Payment Fin Sens Calc'!G87</f>
        <v>0</v>
      </c>
      <c r="H101" s="92">
        <f>'Level Payment Fin Sens Calc'!H87</f>
        <v>0</v>
      </c>
      <c r="I101" s="92">
        <f>'Level Payment Fin Sens Calc'!I87</f>
        <v>0</v>
      </c>
      <c r="J101" s="92">
        <f>'Level Payment Fin Sens Calc'!J87</f>
        <v>0</v>
      </c>
      <c r="K101" s="92">
        <f>'Level Payment Fin Sens Calc'!K87</f>
        <v>0</v>
      </c>
      <c r="L101" s="92">
        <f>'Level Payment Fin Sens Calc'!L87</f>
        <v>0</v>
      </c>
      <c r="M101" s="92">
        <f>'Level Payment Fin Sens Calc'!M87</f>
        <v>0</v>
      </c>
      <c r="N101" s="57"/>
      <c r="O101" s="67">
        <f t="shared" si="35"/>
        <v>0</v>
      </c>
    </row>
    <row r="102" spans="2:15" x14ac:dyDescent="0.15">
      <c r="B102" s="103">
        <v>-0.05</v>
      </c>
      <c r="C102" s="12"/>
      <c r="D102" s="92">
        <f>'Level Payment Fin Sens Calc'!D105</f>
        <v>0</v>
      </c>
      <c r="E102" s="92">
        <f>'Level Payment Fin Sens Calc'!E105</f>
        <v>0</v>
      </c>
      <c r="F102" s="92">
        <f>'Level Payment Fin Sens Calc'!F105</f>
        <v>0</v>
      </c>
      <c r="G102" s="92">
        <f>'Level Payment Fin Sens Calc'!G105</f>
        <v>0</v>
      </c>
      <c r="H102" s="92">
        <f>'Level Payment Fin Sens Calc'!H105</f>
        <v>0</v>
      </c>
      <c r="I102" s="92">
        <f>'Level Payment Fin Sens Calc'!I105</f>
        <v>0</v>
      </c>
      <c r="J102" s="92">
        <f>'Level Payment Fin Sens Calc'!J105</f>
        <v>0</v>
      </c>
      <c r="K102" s="92">
        <f>'Level Payment Fin Sens Calc'!K105</f>
        <v>0</v>
      </c>
      <c r="L102" s="92">
        <f>'Level Payment Fin Sens Calc'!L105</f>
        <v>0</v>
      </c>
      <c r="M102" s="92">
        <f>'Level Payment Fin Sens Calc'!M105</f>
        <v>0</v>
      </c>
      <c r="N102" s="57"/>
      <c r="O102" s="67">
        <f t="shared" si="35"/>
        <v>0</v>
      </c>
    </row>
    <row r="103" spans="2:15" x14ac:dyDescent="0.15">
      <c r="B103" s="103"/>
      <c r="C103" s="12"/>
      <c r="D103" s="92">
        <f>'Level Payment Fin Sens Calc'!D123</f>
        <v>0</v>
      </c>
      <c r="E103" s="92">
        <f>'Level Payment Fin Sens Calc'!E123</f>
        <v>0</v>
      </c>
      <c r="F103" s="92">
        <f>'Level Payment Fin Sens Calc'!F123</f>
        <v>0</v>
      </c>
      <c r="G103" s="92">
        <f>'Level Payment Fin Sens Calc'!G123</f>
        <v>0</v>
      </c>
      <c r="H103" s="92">
        <f>'Level Payment Fin Sens Calc'!H123</f>
        <v>0</v>
      </c>
      <c r="I103" s="92">
        <f>'Level Payment Fin Sens Calc'!I123</f>
        <v>0</v>
      </c>
      <c r="J103" s="92">
        <f>'Level Payment Fin Sens Calc'!J123</f>
        <v>0</v>
      </c>
      <c r="K103" s="92">
        <f>'Level Payment Fin Sens Calc'!K123</f>
        <v>0</v>
      </c>
      <c r="L103" s="92">
        <f>'Level Payment Fin Sens Calc'!L123</f>
        <v>0</v>
      </c>
      <c r="M103" s="92">
        <f>'Level Payment Fin Sens Calc'!M123</f>
        <v>0</v>
      </c>
      <c r="N103" s="57"/>
      <c r="O103" s="67">
        <f t="shared" si="35"/>
        <v>0</v>
      </c>
    </row>
    <row r="104" spans="2:15" x14ac:dyDescent="0.15">
      <c r="B104" s="103">
        <v>0.05</v>
      </c>
      <c r="C104" s="12"/>
      <c r="D104" s="92">
        <f>'Level Payment Fin Sens Calc'!D141</f>
        <v>0</v>
      </c>
      <c r="E104" s="92">
        <f>'Level Payment Fin Sens Calc'!E141</f>
        <v>0</v>
      </c>
      <c r="F104" s="92">
        <f>'Level Payment Fin Sens Calc'!F141</f>
        <v>0</v>
      </c>
      <c r="G104" s="92">
        <f>'Level Payment Fin Sens Calc'!G141</f>
        <v>0</v>
      </c>
      <c r="H104" s="92">
        <f>'Level Payment Fin Sens Calc'!H141</f>
        <v>0</v>
      </c>
      <c r="I104" s="92">
        <f>'Level Payment Fin Sens Calc'!I141</f>
        <v>0</v>
      </c>
      <c r="J104" s="92">
        <f>'Level Payment Fin Sens Calc'!J141</f>
        <v>0</v>
      </c>
      <c r="K104" s="92">
        <f>'Level Payment Fin Sens Calc'!K141</f>
        <v>0</v>
      </c>
      <c r="L104" s="92">
        <f>'Level Payment Fin Sens Calc'!L141</f>
        <v>0</v>
      </c>
      <c r="M104" s="92">
        <f>'Level Payment Fin Sens Calc'!M141</f>
        <v>0</v>
      </c>
      <c r="N104" s="57"/>
      <c r="O104" s="67">
        <f t="shared" si="35"/>
        <v>0</v>
      </c>
    </row>
    <row r="105" spans="2:15" x14ac:dyDescent="0.15">
      <c r="B105" s="103">
        <v>0.1</v>
      </c>
      <c r="C105" s="12"/>
      <c r="D105" s="92">
        <f>'Level Payment Fin Sens Calc'!D159</f>
        <v>0</v>
      </c>
      <c r="E105" s="92">
        <f>'Level Payment Fin Sens Calc'!E159</f>
        <v>0</v>
      </c>
      <c r="F105" s="92">
        <f>'Level Payment Fin Sens Calc'!F159</f>
        <v>0</v>
      </c>
      <c r="G105" s="92">
        <f>'Level Payment Fin Sens Calc'!G159</f>
        <v>0</v>
      </c>
      <c r="H105" s="92">
        <f>'Level Payment Fin Sens Calc'!H159</f>
        <v>0</v>
      </c>
      <c r="I105" s="92">
        <f>'Level Payment Fin Sens Calc'!I159</f>
        <v>0</v>
      </c>
      <c r="J105" s="92">
        <f>'Level Payment Fin Sens Calc'!J159</f>
        <v>0</v>
      </c>
      <c r="K105" s="92">
        <f>'Level Payment Fin Sens Calc'!K159</f>
        <v>0</v>
      </c>
      <c r="L105" s="92">
        <f>'Level Payment Fin Sens Calc'!L159</f>
        <v>0</v>
      </c>
      <c r="M105" s="92">
        <f>'Level Payment Fin Sens Calc'!M159</f>
        <v>0</v>
      </c>
      <c r="N105" s="57"/>
      <c r="O105" s="67">
        <f t="shared" si="35"/>
        <v>0</v>
      </c>
    </row>
    <row r="106" spans="2:15" x14ac:dyDescent="0.15">
      <c r="B106" s="103">
        <v>0.15</v>
      </c>
      <c r="C106" s="12"/>
      <c r="D106" s="92">
        <f>'Level Payment Fin Sens Calc'!D177</f>
        <v>0</v>
      </c>
      <c r="E106" s="92">
        <f>'Level Payment Fin Sens Calc'!E177</f>
        <v>0</v>
      </c>
      <c r="F106" s="92">
        <f>'Level Payment Fin Sens Calc'!F177</f>
        <v>0</v>
      </c>
      <c r="G106" s="92">
        <f>'Level Payment Fin Sens Calc'!G177</f>
        <v>0</v>
      </c>
      <c r="H106" s="92">
        <f>'Level Payment Fin Sens Calc'!H177</f>
        <v>0</v>
      </c>
      <c r="I106" s="92">
        <f>'Level Payment Fin Sens Calc'!I177</f>
        <v>0</v>
      </c>
      <c r="J106" s="92">
        <f>'Level Payment Fin Sens Calc'!J177</f>
        <v>0</v>
      </c>
      <c r="K106" s="92">
        <f>'Level Payment Fin Sens Calc'!K177</f>
        <v>0</v>
      </c>
      <c r="L106" s="92">
        <f>'Level Payment Fin Sens Calc'!L177</f>
        <v>0</v>
      </c>
      <c r="M106" s="92">
        <f>'Level Payment Fin Sens Calc'!M177</f>
        <v>0</v>
      </c>
      <c r="N106" s="57"/>
      <c r="O106" s="67">
        <f t="shared" si="35"/>
        <v>0</v>
      </c>
    </row>
    <row r="107" spans="2:15" x14ac:dyDescent="0.15">
      <c r="B107" s="103">
        <v>0.2</v>
      </c>
      <c r="C107" s="12"/>
      <c r="D107" s="92">
        <f>'Level Payment Fin Sens Calc'!D195</f>
        <v>0</v>
      </c>
      <c r="E107" s="92">
        <f>'Level Payment Fin Sens Calc'!E195</f>
        <v>0</v>
      </c>
      <c r="F107" s="92">
        <f>'Level Payment Fin Sens Calc'!F195</f>
        <v>0</v>
      </c>
      <c r="G107" s="92">
        <f>'Level Payment Fin Sens Calc'!G195</f>
        <v>0</v>
      </c>
      <c r="H107" s="92">
        <f>'Level Payment Fin Sens Calc'!H195</f>
        <v>0</v>
      </c>
      <c r="I107" s="92">
        <f>'Level Payment Fin Sens Calc'!I195</f>
        <v>0</v>
      </c>
      <c r="J107" s="92">
        <f>'Level Payment Fin Sens Calc'!J195</f>
        <v>0</v>
      </c>
      <c r="K107" s="92">
        <f>'Level Payment Fin Sens Calc'!K195</f>
        <v>0</v>
      </c>
      <c r="L107" s="92">
        <f>'Level Payment Fin Sens Calc'!L195</f>
        <v>0</v>
      </c>
      <c r="M107" s="92">
        <f>'Level Payment Fin Sens Calc'!M195</f>
        <v>0</v>
      </c>
      <c r="N107" s="57"/>
      <c r="O107" s="67">
        <f t="shared" si="35"/>
        <v>0</v>
      </c>
    </row>
    <row r="108" spans="2:15" x14ac:dyDescent="0.15">
      <c r="B108" s="103">
        <v>0.25</v>
      </c>
      <c r="C108" s="12"/>
      <c r="D108" s="92">
        <f>'Level Payment Fin Sens Calc'!D213</f>
        <v>0</v>
      </c>
      <c r="E108" s="92">
        <f>'Level Payment Fin Sens Calc'!E213</f>
        <v>0</v>
      </c>
      <c r="F108" s="92">
        <f>'Level Payment Fin Sens Calc'!F213</f>
        <v>0</v>
      </c>
      <c r="G108" s="92">
        <f>'Level Payment Fin Sens Calc'!G213</f>
        <v>0</v>
      </c>
      <c r="H108" s="92">
        <f>'Level Payment Fin Sens Calc'!H213</f>
        <v>0</v>
      </c>
      <c r="I108" s="92">
        <f>'Level Payment Fin Sens Calc'!I213</f>
        <v>0</v>
      </c>
      <c r="J108" s="92">
        <f>'Level Payment Fin Sens Calc'!J213</f>
        <v>0</v>
      </c>
      <c r="K108" s="92">
        <f>'Level Payment Fin Sens Calc'!K213</f>
        <v>0</v>
      </c>
      <c r="L108" s="92">
        <f>'Level Payment Fin Sens Calc'!L213</f>
        <v>0</v>
      </c>
      <c r="M108" s="92">
        <f>'Level Payment Fin Sens Calc'!M213</f>
        <v>0</v>
      </c>
      <c r="N108" s="57"/>
      <c r="O108" s="67">
        <f t="shared" si="35"/>
        <v>0</v>
      </c>
    </row>
    <row r="109" spans="2:15" x14ac:dyDescent="0.15">
      <c r="B109" s="12" t="s">
        <v>639</v>
      </c>
      <c r="C109" s="26">
        <v>0</v>
      </c>
      <c r="D109" s="26">
        <v>1</v>
      </c>
      <c r="E109" s="26">
        <v>2</v>
      </c>
      <c r="F109" s="26">
        <v>3</v>
      </c>
      <c r="G109" s="26">
        <v>4</v>
      </c>
      <c r="H109" s="26">
        <v>5</v>
      </c>
      <c r="I109" s="26">
        <v>6</v>
      </c>
      <c r="J109" s="26">
        <v>7</v>
      </c>
      <c r="K109" s="26">
        <v>8</v>
      </c>
      <c r="L109" s="26">
        <v>9</v>
      </c>
      <c r="M109" s="26">
        <v>10</v>
      </c>
      <c r="N109" s="12"/>
      <c r="O109" s="12"/>
    </row>
    <row r="110" spans="2:15" x14ac:dyDescent="0.15">
      <c r="B110" s="103">
        <v>-0.25</v>
      </c>
      <c r="C110" s="67">
        <f>C$121+C$122+C124</f>
        <v>-32550000</v>
      </c>
      <c r="D110" s="15"/>
      <c r="E110" s="15"/>
      <c r="F110" s="15"/>
      <c r="G110" s="15"/>
      <c r="H110" s="15"/>
      <c r="I110" s="15"/>
      <c r="J110" s="15"/>
      <c r="K110" s="15"/>
      <c r="L110" s="15"/>
      <c r="M110" s="15"/>
      <c r="N110" s="12"/>
      <c r="O110" s="67">
        <f t="shared" ref="O110:O120" si="36">SUM(C110:M110)</f>
        <v>-32550000</v>
      </c>
    </row>
    <row r="111" spans="2:15" x14ac:dyDescent="0.15">
      <c r="B111" s="103">
        <v>-0.2</v>
      </c>
      <c r="C111" s="67">
        <f>C$121+C$122+C125</f>
        <v>-32550000</v>
      </c>
      <c r="D111" s="15"/>
      <c r="E111" s="15"/>
      <c r="F111" s="15"/>
      <c r="G111" s="15"/>
      <c r="H111" s="15"/>
      <c r="I111" s="15"/>
      <c r="J111" s="15"/>
      <c r="K111" s="15"/>
      <c r="L111" s="15"/>
      <c r="M111" s="15"/>
      <c r="N111" s="12"/>
      <c r="O111" s="67">
        <f t="shared" si="36"/>
        <v>-32550000</v>
      </c>
    </row>
    <row r="112" spans="2:15" x14ac:dyDescent="0.15">
      <c r="B112" s="103">
        <v>-0.15</v>
      </c>
      <c r="C112" s="67">
        <f>C$121+C$122+C126</f>
        <v>-32550000</v>
      </c>
      <c r="D112" s="15"/>
      <c r="E112" s="15"/>
      <c r="F112" s="15"/>
      <c r="G112" s="15"/>
      <c r="H112" s="15"/>
      <c r="I112" s="15"/>
      <c r="J112" s="15"/>
      <c r="K112" s="15"/>
      <c r="L112" s="15"/>
      <c r="M112" s="15"/>
      <c r="N112" s="12"/>
      <c r="O112" s="67">
        <f t="shared" si="36"/>
        <v>-32550000</v>
      </c>
    </row>
    <row r="113" spans="2:15" x14ac:dyDescent="0.15">
      <c r="B113" s="103">
        <v>-0.1</v>
      </c>
      <c r="C113" s="67">
        <f>C$121+C$122+C127</f>
        <v>-32550000</v>
      </c>
      <c r="D113" s="15"/>
      <c r="E113" s="15"/>
      <c r="F113" s="15"/>
      <c r="G113" s="15"/>
      <c r="H113" s="15"/>
      <c r="I113" s="15"/>
      <c r="J113" s="15"/>
      <c r="K113" s="15"/>
      <c r="L113" s="15"/>
      <c r="M113" s="15"/>
      <c r="N113" s="12"/>
      <c r="O113" s="67">
        <f t="shared" si="36"/>
        <v>-32550000</v>
      </c>
    </row>
    <row r="114" spans="2:15" x14ac:dyDescent="0.15">
      <c r="B114" s="103">
        <v>-0.05</v>
      </c>
      <c r="C114" s="67">
        <f>C$121+C$122+C128</f>
        <v>-32550000</v>
      </c>
      <c r="D114" s="15"/>
      <c r="E114" s="15"/>
      <c r="F114" s="15"/>
      <c r="G114" s="15"/>
      <c r="H114" s="15"/>
      <c r="I114" s="15"/>
      <c r="J114" s="15"/>
      <c r="K114" s="15"/>
      <c r="L114" s="15"/>
      <c r="M114" s="15"/>
      <c r="N114" s="12"/>
      <c r="O114" s="67">
        <f t="shared" si="36"/>
        <v>-32550000</v>
      </c>
    </row>
    <row r="115" spans="2:15" x14ac:dyDescent="0.15">
      <c r="B115" s="103"/>
      <c r="C115" s="67"/>
      <c r="D115" s="15"/>
      <c r="E115" s="15"/>
      <c r="F115" s="15"/>
      <c r="G115" s="15"/>
      <c r="H115" s="15"/>
      <c r="I115" s="15"/>
      <c r="J115" s="15"/>
      <c r="K115" s="15"/>
      <c r="L115" s="15"/>
      <c r="M115" s="15"/>
      <c r="N115" s="12"/>
      <c r="O115" s="67"/>
    </row>
    <row r="116" spans="2:15" x14ac:dyDescent="0.15">
      <c r="B116" s="103">
        <v>0.05</v>
      </c>
      <c r="C116" s="67">
        <f>C$121+C$122+C130</f>
        <v>-32550000</v>
      </c>
      <c r="D116" s="15"/>
      <c r="E116" s="15"/>
      <c r="F116" s="15"/>
      <c r="G116" s="15"/>
      <c r="H116" s="15"/>
      <c r="I116" s="15"/>
      <c r="J116" s="15"/>
      <c r="K116" s="15"/>
      <c r="L116" s="15"/>
      <c r="M116" s="15"/>
      <c r="N116" s="12"/>
      <c r="O116" s="67">
        <f t="shared" si="36"/>
        <v>-32550000</v>
      </c>
    </row>
    <row r="117" spans="2:15" x14ac:dyDescent="0.15">
      <c r="B117" s="103">
        <v>0.1</v>
      </c>
      <c r="C117" s="67">
        <f>C$121+C$122+C131</f>
        <v>-32550000</v>
      </c>
      <c r="D117" s="15"/>
      <c r="E117" s="15"/>
      <c r="F117" s="15"/>
      <c r="G117" s="15"/>
      <c r="H117" s="15"/>
      <c r="I117" s="15"/>
      <c r="J117" s="15"/>
      <c r="K117" s="15"/>
      <c r="L117" s="15"/>
      <c r="M117" s="15"/>
      <c r="N117" s="12"/>
      <c r="O117" s="67">
        <f t="shared" si="36"/>
        <v>-32550000</v>
      </c>
    </row>
    <row r="118" spans="2:15" x14ac:dyDescent="0.15">
      <c r="B118" s="103">
        <v>0.15</v>
      </c>
      <c r="C118" s="67">
        <f>C$121+C$122+C132</f>
        <v>-32550000</v>
      </c>
      <c r="D118" s="15"/>
      <c r="E118" s="15"/>
      <c r="F118" s="15"/>
      <c r="G118" s="15"/>
      <c r="H118" s="15"/>
      <c r="I118" s="15"/>
      <c r="J118" s="15"/>
      <c r="K118" s="15"/>
      <c r="L118" s="15"/>
      <c r="M118" s="15"/>
      <c r="N118" s="12"/>
      <c r="O118" s="67">
        <f t="shared" si="36"/>
        <v>-32550000</v>
      </c>
    </row>
    <row r="119" spans="2:15" x14ac:dyDescent="0.15">
      <c r="B119" s="103">
        <v>0.2</v>
      </c>
      <c r="C119" s="67">
        <f>C$121+C$122+C133</f>
        <v>-32550000</v>
      </c>
      <c r="D119" s="15"/>
      <c r="E119" s="15"/>
      <c r="F119" s="15"/>
      <c r="G119" s="15"/>
      <c r="H119" s="15"/>
      <c r="I119" s="15"/>
      <c r="J119" s="15"/>
      <c r="K119" s="15"/>
      <c r="L119" s="15"/>
      <c r="M119" s="15"/>
      <c r="N119" s="12"/>
      <c r="O119" s="67">
        <f t="shared" si="36"/>
        <v>-32550000</v>
      </c>
    </row>
    <row r="120" spans="2:15" x14ac:dyDescent="0.15">
      <c r="B120" s="103">
        <v>0.25</v>
      </c>
      <c r="C120" s="67">
        <f>C$121+C$122+C134</f>
        <v>-32550000</v>
      </c>
      <c r="D120" s="15"/>
      <c r="E120" s="15"/>
      <c r="F120" s="15"/>
      <c r="G120" s="15"/>
      <c r="H120" s="15"/>
      <c r="I120" s="15"/>
      <c r="J120" s="15"/>
      <c r="K120" s="15"/>
      <c r="L120" s="15"/>
      <c r="M120" s="15"/>
      <c r="N120" s="12"/>
      <c r="O120" s="67">
        <f t="shared" si="36"/>
        <v>-32550000</v>
      </c>
    </row>
    <row r="121" spans="2:15" x14ac:dyDescent="0.15">
      <c r="B121" s="99" t="s">
        <v>207</v>
      </c>
      <c r="C121" s="92">
        <f>'After Tax Analysis'!D22</f>
        <v>-31050000</v>
      </c>
      <c r="D121" s="110">
        <f>'After Tax Analysis'!E22</f>
        <v>0</v>
      </c>
      <c r="E121" s="110">
        <f>'After Tax Analysis'!F22</f>
        <v>0</v>
      </c>
      <c r="F121" s="110">
        <f>'After Tax Analysis'!G22</f>
        <v>0</v>
      </c>
      <c r="G121" s="110">
        <f>'After Tax Analysis'!H22</f>
        <v>0</v>
      </c>
      <c r="H121" s="110">
        <f>'After Tax Analysis'!I22</f>
        <v>12847035</v>
      </c>
      <c r="I121" s="110">
        <f>'After Tax Analysis'!J22</f>
        <v>0</v>
      </c>
      <c r="J121" s="110">
        <f>'After Tax Analysis'!K22</f>
        <v>0</v>
      </c>
      <c r="K121" s="110">
        <f>'After Tax Analysis'!L22</f>
        <v>0</v>
      </c>
      <c r="L121" s="110">
        <f>'After Tax Analysis'!M22</f>
        <v>0</v>
      </c>
      <c r="M121" s="110">
        <f>'After Tax Analysis'!N22</f>
        <v>0</v>
      </c>
      <c r="N121" s="110">
        <f>'After Tax Analysis'!O22</f>
        <v>0</v>
      </c>
      <c r="O121" s="67">
        <f>SUM(C121:N121)</f>
        <v>-18202965</v>
      </c>
    </row>
    <row r="122" spans="2:15" x14ac:dyDescent="0.15">
      <c r="B122" s="99" t="s">
        <v>640</v>
      </c>
      <c r="C122" s="92">
        <f>'After Tax Analysis'!D23</f>
        <v>-1500000</v>
      </c>
      <c r="D122" s="110">
        <f>'After Tax Analysis'!E23</f>
        <v>0</v>
      </c>
      <c r="E122" s="110">
        <f>'After Tax Analysis'!F23</f>
        <v>0</v>
      </c>
      <c r="F122" s="110">
        <f>'After Tax Analysis'!G23</f>
        <v>0</v>
      </c>
      <c r="G122" s="110">
        <f>'After Tax Analysis'!H23</f>
        <v>0</v>
      </c>
      <c r="H122" s="110">
        <f>'After Tax Analysis'!I23</f>
        <v>1500000</v>
      </c>
      <c r="I122" s="110">
        <f>'After Tax Analysis'!J23</f>
        <v>0</v>
      </c>
      <c r="J122" s="110">
        <f>'After Tax Analysis'!K23</f>
        <v>0</v>
      </c>
      <c r="K122" s="110">
        <f>'After Tax Analysis'!L23</f>
        <v>0</v>
      </c>
      <c r="L122" s="110">
        <f>'After Tax Analysis'!M23</f>
        <v>0</v>
      </c>
      <c r="M122" s="110">
        <f>'After Tax Analysis'!N23</f>
        <v>0</v>
      </c>
      <c r="N122" s="110">
        <f>'After Tax Analysis'!O23</f>
        <v>0</v>
      </c>
      <c r="O122" s="62">
        <f>SUM(C122:N122)</f>
        <v>0</v>
      </c>
    </row>
    <row r="123" spans="2:15" x14ac:dyDescent="0.15">
      <c r="B123" s="99" t="s">
        <v>309</v>
      </c>
      <c r="C123" s="26">
        <v>0</v>
      </c>
      <c r="D123" s="26">
        <v>1</v>
      </c>
      <c r="E123" s="26">
        <v>2</v>
      </c>
      <c r="F123" s="26">
        <v>3</v>
      </c>
      <c r="G123" s="26">
        <v>4</v>
      </c>
      <c r="H123" s="26">
        <v>5</v>
      </c>
      <c r="I123" s="26">
        <v>6</v>
      </c>
      <c r="J123" s="26">
        <v>7</v>
      </c>
      <c r="K123" s="26">
        <v>8</v>
      </c>
      <c r="L123" s="26">
        <v>9</v>
      </c>
      <c r="M123" s="26">
        <v>10</v>
      </c>
      <c r="N123" s="12"/>
      <c r="O123" s="12"/>
    </row>
    <row r="124" spans="2:15" x14ac:dyDescent="0.15">
      <c r="B124" s="103">
        <v>-0.25</v>
      </c>
      <c r="C124" s="63">
        <f>D5</f>
        <v>0</v>
      </c>
      <c r="D124" s="15"/>
      <c r="E124" s="15"/>
      <c r="F124" s="15"/>
      <c r="G124" s="15"/>
      <c r="H124" s="15"/>
      <c r="I124" s="15"/>
      <c r="J124" s="15"/>
      <c r="K124" s="15"/>
      <c r="L124" s="15"/>
      <c r="M124" s="15"/>
      <c r="N124" s="15"/>
      <c r="O124" s="63">
        <f t="shared" ref="O124:O134" si="37">SUM(C124:M124)</f>
        <v>0</v>
      </c>
    </row>
    <row r="125" spans="2:15" x14ac:dyDescent="0.15">
      <c r="B125" s="103">
        <v>-0.2</v>
      </c>
      <c r="C125" s="63">
        <f>D6</f>
        <v>0</v>
      </c>
      <c r="D125" s="15"/>
      <c r="E125" s="15"/>
      <c r="F125" s="15"/>
      <c r="G125" s="15"/>
      <c r="H125" s="15"/>
      <c r="I125" s="15"/>
      <c r="J125" s="15"/>
      <c r="K125" s="15"/>
      <c r="L125" s="15"/>
      <c r="M125" s="15"/>
      <c r="N125" s="15"/>
      <c r="O125" s="63">
        <f t="shared" si="37"/>
        <v>0</v>
      </c>
    </row>
    <row r="126" spans="2:15" x14ac:dyDescent="0.15">
      <c r="B126" s="103">
        <v>-0.15</v>
      </c>
      <c r="C126" s="63">
        <f>D7</f>
        <v>0</v>
      </c>
      <c r="D126" s="15"/>
      <c r="E126" s="15"/>
      <c r="F126" s="15"/>
      <c r="G126" s="15"/>
      <c r="H126" s="15"/>
      <c r="I126" s="15"/>
      <c r="J126" s="15"/>
      <c r="K126" s="15"/>
      <c r="L126" s="15"/>
      <c r="M126" s="15"/>
      <c r="N126" s="15"/>
      <c r="O126" s="63">
        <f t="shared" si="37"/>
        <v>0</v>
      </c>
    </row>
    <row r="127" spans="2:15" x14ac:dyDescent="0.15">
      <c r="B127" s="103">
        <v>-0.1</v>
      </c>
      <c r="C127" s="63">
        <f>D8</f>
        <v>0</v>
      </c>
      <c r="D127" s="15"/>
      <c r="E127" s="15"/>
      <c r="F127" s="15"/>
      <c r="G127" s="15"/>
      <c r="H127" s="15"/>
      <c r="I127" s="15"/>
      <c r="J127" s="15"/>
      <c r="K127" s="15"/>
      <c r="L127" s="15"/>
      <c r="M127" s="15"/>
      <c r="N127" s="15"/>
      <c r="O127" s="63">
        <f t="shared" si="37"/>
        <v>0</v>
      </c>
    </row>
    <row r="128" spans="2:15" x14ac:dyDescent="0.15">
      <c r="B128" s="103">
        <v>-0.05</v>
      </c>
      <c r="C128" s="63">
        <f>D9</f>
        <v>0</v>
      </c>
      <c r="D128" s="15"/>
      <c r="E128" s="15"/>
      <c r="F128" s="15"/>
      <c r="G128" s="15"/>
      <c r="H128" s="15"/>
      <c r="I128" s="15"/>
      <c r="J128" s="15"/>
      <c r="K128" s="15"/>
      <c r="L128" s="15"/>
      <c r="M128" s="15"/>
      <c r="N128" s="15"/>
      <c r="O128" s="63">
        <f t="shared" si="37"/>
        <v>0</v>
      </c>
    </row>
    <row r="129" spans="2:15" x14ac:dyDescent="0.15">
      <c r="B129" s="103"/>
      <c r="C129" s="63"/>
      <c r="D129" s="15"/>
      <c r="E129" s="15"/>
      <c r="F129" s="15"/>
      <c r="G129" s="15"/>
      <c r="H129" s="15"/>
      <c r="I129" s="15"/>
      <c r="J129" s="15"/>
      <c r="K129" s="15"/>
      <c r="L129" s="15"/>
      <c r="M129" s="15"/>
      <c r="N129" s="15"/>
      <c r="O129" s="63"/>
    </row>
    <row r="130" spans="2:15" x14ac:dyDescent="0.15">
      <c r="B130" s="103">
        <v>0.05</v>
      </c>
      <c r="C130" s="63">
        <f>D11</f>
        <v>0</v>
      </c>
      <c r="D130" s="15"/>
      <c r="E130" s="15"/>
      <c r="F130" s="15"/>
      <c r="G130" s="15"/>
      <c r="H130" s="15"/>
      <c r="I130" s="15"/>
      <c r="J130" s="15"/>
      <c r="K130" s="15"/>
      <c r="L130" s="15"/>
      <c r="M130" s="15"/>
      <c r="N130" s="15"/>
      <c r="O130" s="63">
        <f t="shared" si="37"/>
        <v>0</v>
      </c>
    </row>
    <row r="131" spans="2:15" x14ac:dyDescent="0.15">
      <c r="B131" s="103">
        <v>0.1</v>
      </c>
      <c r="C131" s="63">
        <f>D12</f>
        <v>0</v>
      </c>
      <c r="D131" s="15"/>
      <c r="E131" s="15"/>
      <c r="F131" s="15"/>
      <c r="G131" s="15"/>
      <c r="H131" s="15"/>
      <c r="I131" s="15"/>
      <c r="J131" s="15"/>
      <c r="K131" s="15"/>
      <c r="L131" s="15"/>
      <c r="M131" s="15"/>
      <c r="N131" s="15"/>
      <c r="O131" s="63">
        <f t="shared" si="37"/>
        <v>0</v>
      </c>
    </row>
    <row r="132" spans="2:15" x14ac:dyDescent="0.15">
      <c r="B132" s="103">
        <v>0.15</v>
      </c>
      <c r="C132" s="63">
        <f>D13</f>
        <v>0</v>
      </c>
      <c r="D132" s="15"/>
      <c r="E132" s="15"/>
      <c r="F132" s="15"/>
      <c r="G132" s="15"/>
      <c r="H132" s="15"/>
      <c r="I132" s="15"/>
      <c r="J132" s="15"/>
      <c r="K132" s="15"/>
      <c r="L132" s="15"/>
      <c r="M132" s="15"/>
      <c r="N132" s="15"/>
      <c r="O132" s="63">
        <f t="shared" si="37"/>
        <v>0</v>
      </c>
    </row>
    <row r="133" spans="2:15" x14ac:dyDescent="0.15">
      <c r="B133" s="103">
        <v>0.2</v>
      </c>
      <c r="C133" s="63">
        <f>D14</f>
        <v>0</v>
      </c>
      <c r="D133" s="15"/>
      <c r="E133" s="15"/>
      <c r="F133" s="15"/>
      <c r="G133" s="15"/>
      <c r="H133" s="15"/>
      <c r="I133" s="15"/>
      <c r="J133" s="15"/>
      <c r="K133" s="15"/>
      <c r="L133" s="15"/>
      <c r="M133" s="15"/>
      <c r="N133" s="15"/>
      <c r="O133" s="63">
        <f t="shared" si="37"/>
        <v>0</v>
      </c>
    </row>
    <row r="134" spans="2:15" x14ac:dyDescent="0.15">
      <c r="B134" s="103">
        <v>0.25</v>
      </c>
      <c r="C134" s="63">
        <f>D15</f>
        <v>0</v>
      </c>
      <c r="D134" s="15"/>
      <c r="E134" s="15"/>
      <c r="F134" s="15"/>
      <c r="G134" s="15"/>
      <c r="H134" s="15"/>
      <c r="I134" s="15"/>
      <c r="J134" s="15"/>
      <c r="K134" s="15"/>
      <c r="L134" s="15"/>
      <c r="M134" s="15"/>
      <c r="N134" s="15"/>
      <c r="O134" s="63">
        <f t="shared" si="37"/>
        <v>0</v>
      </c>
    </row>
    <row r="135" spans="2:15" x14ac:dyDescent="0.15">
      <c r="B135" s="12" t="s">
        <v>311</v>
      </c>
      <c r="C135" s="229"/>
      <c r="D135" s="110">
        <f>'After Tax Analysis'!E25</f>
        <v>0</v>
      </c>
      <c r="E135" s="110">
        <f>'After Tax Analysis'!F25</f>
        <v>0</v>
      </c>
      <c r="F135" s="110">
        <f>'After Tax Analysis'!G25</f>
        <v>0</v>
      </c>
      <c r="G135" s="110">
        <f>'After Tax Analysis'!H25</f>
        <v>0</v>
      </c>
      <c r="H135" s="110">
        <f>'After Tax Analysis'!I25</f>
        <v>-2596968.7000000002</v>
      </c>
      <c r="I135" s="110">
        <f>'After Tax Analysis'!J25</f>
        <v>0</v>
      </c>
      <c r="J135" s="110">
        <f>'After Tax Analysis'!K25</f>
        <v>0</v>
      </c>
      <c r="K135" s="110">
        <f>'After Tax Analysis'!L25</f>
        <v>0</v>
      </c>
      <c r="L135" s="110">
        <f>'After Tax Analysis'!M25</f>
        <v>0</v>
      </c>
      <c r="M135" s="110">
        <f>'After Tax Analysis'!N25</f>
        <v>0</v>
      </c>
      <c r="N135" s="110">
        <f>'After Tax Analysis'!O25</f>
        <v>0</v>
      </c>
      <c r="O135" s="68">
        <f>SUM(C135:N135)</f>
        <v>-2596968.7000000002</v>
      </c>
    </row>
    <row r="136" spans="2:15" x14ac:dyDescent="0.15">
      <c r="B136" s="12" t="s">
        <v>115</v>
      </c>
      <c r="C136" s="110">
        <f>'After Tax Analysis'!D26</f>
        <v>-60000000</v>
      </c>
      <c r="D136" s="110">
        <f>'After Tax Analysis'!E26</f>
        <v>0</v>
      </c>
      <c r="E136" s="110">
        <f>'After Tax Analysis'!F26</f>
        <v>0</v>
      </c>
      <c r="F136" s="110">
        <f>'After Tax Analysis'!G26</f>
        <v>0</v>
      </c>
      <c r="G136" s="110">
        <f>'After Tax Analysis'!H26</f>
        <v>0</v>
      </c>
      <c r="H136" s="110">
        <f>'After Tax Analysis'!I26</f>
        <v>60000000</v>
      </c>
      <c r="I136" s="110">
        <f>'After Tax Analysis'!J26</f>
        <v>0</v>
      </c>
      <c r="J136" s="110">
        <f>'After Tax Analysis'!K26</f>
        <v>0</v>
      </c>
      <c r="K136" s="110">
        <f>'After Tax Analysis'!L26</f>
        <v>0</v>
      </c>
      <c r="L136" s="110">
        <f>'After Tax Analysis'!M26</f>
        <v>0</v>
      </c>
      <c r="M136" s="110">
        <f>'After Tax Analysis'!N26</f>
        <v>0</v>
      </c>
      <c r="N136" s="110">
        <f>'After Tax Analysis'!O26</f>
        <v>0</v>
      </c>
      <c r="O136" s="68">
        <f>SUM(C136:N136)</f>
        <v>0</v>
      </c>
    </row>
    <row r="137" spans="2:15" x14ac:dyDescent="0.15">
      <c r="B137" s="12" t="s">
        <v>641</v>
      </c>
      <c r="C137" s="26">
        <v>0</v>
      </c>
      <c r="D137" s="26">
        <v>1</v>
      </c>
      <c r="E137" s="26">
        <v>2</v>
      </c>
      <c r="F137" s="26">
        <v>3</v>
      </c>
      <c r="G137" s="26">
        <v>4</v>
      </c>
      <c r="H137" s="26">
        <v>5</v>
      </c>
      <c r="I137" s="26">
        <v>6</v>
      </c>
      <c r="J137" s="26">
        <v>7</v>
      </c>
      <c r="K137" s="26">
        <v>8</v>
      </c>
      <c r="L137" s="26">
        <v>9</v>
      </c>
      <c r="M137" s="26">
        <v>10</v>
      </c>
      <c r="N137" s="12"/>
      <c r="O137" s="12"/>
    </row>
    <row r="138" spans="2:15" x14ac:dyDescent="0.15">
      <c r="B138" s="103">
        <v>-0.25</v>
      </c>
      <c r="C138" s="67">
        <f>C98+C$121+C$122+C124+C$135+C$136</f>
        <v>-92550000</v>
      </c>
      <c r="D138" s="67">
        <f t="shared" ref="D138:N138" si="38">D98+D$121+D$122+D124+D$135+D$136</f>
        <v>0</v>
      </c>
      <c r="E138" s="67">
        <f t="shared" si="38"/>
        <v>0</v>
      </c>
      <c r="F138" s="67">
        <f t="shared" si="38"/>
        <v>0</v>
      </c>
      <c r="G138" s="67">
        <f t="shared" si="38"/>
        <v>0</v>
      </c>
      <c r="H138" s="67">
        <f t="shared" si="38"/>
        <v>71750066.299999997</v>
      </c>
      <c r="I138" s="67">
        <f t="shared" si="38"/>
        <v>0</v>
      </c>
      <c r="J138" s="67">
        <f t="shared" si="38"/>
        <v>0</v>
      </c>
      <c r="K138" s="67">
        <f t="shared" si="38"/>
        <v>0</v>
      </c>
      <c r="L138" s="67">
        <f t="shared" si="38"/>
        <v>0</v>
      </c>
      <c r="M138" s="67">
        <f t="shared" si="38"/>
        <v>0</v>
      </c>
      <c r="N138" s="67">
        <f t="shared" si="38"/>
        <v>0</v>
      </c>
      <c r="O138" s="67">
        <f t="shared" ref="O138:O148" si="39">SUM(C138:N138)</f>
        <v>-20799933.700000003</v>
      </c>
    </row>
    <row r="139" spans="2:15" x14ac:dyDescent="0.15">
      <c r="B139" s="103">
        <v>-0.2</v>
      </c>
      <c r="C139" s="67">
        <f>C99+C$121+C$122+C125+C$135+C$136</f>
        <v>-92550000</v>
      </c>
      <c r="D139" s="67">
        <f t="shared" ref="D139:N139" si="40">D99+D$121+D$122+D125+D$135+D$136</f>
        <v>0</v>
      </c>
      <c r="E139" s="67">
        <f t="shared" si="40"/>
        <v>0</v>
      </c>
      <c r="F139" s="67">
        <f t="shared" si="40"/>
        <v>0</v>
      </c>
      <c r="G139" s="67">
        <f t="shared" si="40"/>
        <v>0</v>
      </c>
      <c r="H139" s="67">
        <f t="shared" si="40"/>
        <v>71750066.299999997</v>
      </c>
      <c r="I139" s="67">
        <f t="shared" si="40"/>
        <v>0</v>
      </c>
      <c r="J139" s="67">
        <f t="shared" si="40"/>
        <v>0</v>
      </c>
      <c r="K139" s="67">
        <f t="shared" si="40"/>
        <v>0</v>
      </c>
      <c r="L139" s="67">
        <f t="shared" si="40"/>
        <v>0</v>
      </c>
      <c r="M139" s="67">
        <f t="shared" si="40"/>
        <v>0</v>
      </c>
      <c r="N139" s="67">
        <f t="shared" si="40"/>
        <v>0</v>
      </c>
      <c r="O139" s="67">
        <f t="shared" si="39"/>
        <v>-20799933.700000003</v>
      </c>
    </row>
    <row r="140" spans="2:15" x14ac:dyDescent="0.15">
      <c r="B140" s="103">
        <v>-0.15</v>
      </c>
      <c r="C140" s="67">
        <f>C100+C$121+C$122+C126+C$135+C$136</f>
        <v>-92550000</v>
      </c>
      <c r="D140" s="67">
        <f t="shared" ref="D140:N140" si="41">D100+D$121+D$122+D126+D$135+D$136</f>
        <v>0</v>
      </c>
      <c r="E140" s="67">
        <f t="shared" si="41"/>
        <v>0</v>
      </c>
      <c r="F140" s="67">
        <f t="shared" si="41"/>
        <v>0</v>
      </c>
      <c r="G140" s="67">
        <f t="shared" si="41"/>
        <v>0</v>
      </c>
      <c r="H140" s="67">
        <f t="shared" si="41"/>
        <v>71750066.299999997</v>
      </c>
      <c r="I140" s="67">
        <f t="shared" si="41"/>
        <v>0</v>
      </c>
      <c r="J140" s="67">
        <f t="shared" si="41"/>
        <v>0</v>
      </c>
      <c r="K140" s="67">
        <f t="shared" si="41"/>
        <v>0</v>
      </c>
      <c r="L140" s="67">
        <f t="shared" si="41"/>
        <v>0</v>
      </c>
      <c r="M140" s="67">
        <f t="shared" si="41"/>
        <v>0</v>
      </c>
      <c r="N140" s="67">
        <f t="shared" si="41"/>
        <v>0</v>
      </c>
      <c r="O140" s="67">
        <f t="shared" si="39"/>
        <v>-20799933.700000003</v>
      </c>
    </row>
    <row r="141" spans="2:15" x14ac:dyDescent="0.15">
      <c r="B141" s="103">
        <v>-0.1</v>
      </c>
      <c r="C141" s="67">
        <f>C101+C$121+C$122+C127+C$135+C$136</f>
        <v>-92550000</v>
      </c>
      <c r="D141" s="67">
        <f t="shared" ref="D141:N141" si="42">D101+D$121+D$122+D127+D$135+D$136</f>
        <v>0</v>
      </c>
      <c r="E141" s="67">
        <f t="shared" si="42"/>
        <v>0</v>
      </c>
      <c r="F141" s="67">
        <f t="shared" si="42"/>
        <v>0</v>
      </c>
      <c r="G141" s="67">
        <f t="shared" si="42"/>
        <v>0</v>
      </c>
      <c r="H141" s="67">
        <f t="shared" si="42"/>
        <v>71750066.299999997</v>
      </c>
      <c r="I141" s="67">
        <f t="shared" si="42"/>
        <v>0</v>
      </c>
      <c r="J141" s="67">
        <f t="shared" si="42"/>
        <v>0</v>
      </c>
      <c r="K141" s="67">
        <f t="shared" si="42"/>
        <v>0</v>
      </c>
      <c r="L141" s="67">
        <f t="shared" si="42"/>
        <v>0</v>
      </c>
      <c r="M141" s="67">
        <f t="shared" si="42"/>
        <v>0</v>
      </c>
      <c r="N141" s="67">
        <f t="shared" si="42"/>
        <v>0</v>
      </c>
      <c r="O141" s="67">
        <f t="shared" si="39"/>
        <v>-20799933.700000003</v>
      </c>
    </row>
    <row r="142" spans="2:15" x14ac:dyDescent="0.15">
      <c r="B142" s="103">
        <v>-0.05</v>
      </c>
      <c r="C142" s="67">
        <f>C102+C$121+C$122+C128+C$135+C$136</f>
        <v>-92550000</v>
      </c>
      <c r="D142" s="67">
        <f t="shared" ref="D142:N142" si="43">D102+D$121+D$122+D128+D$135+D$136</f>
        <v>0</v>
      </c>
      <c r="E142" s="67">
        <f t="shared" si="43"/>
        <v>0</v>
      </c>
      <c r="F142" s="67">
        <f t="shared" si="43"/>
        <v>0</v>
      </c>
      <c r="G142" s="67">
        <f t="shared" si="43"/>
        <v>0</v>
      </c>
      <c r="H142" s="67">
        <f t="shared" si="43"/>
        <v>71750066.299999997</v>
      </c>
      <c r="I142" s="67">
        <f t="shared" si="43"/>
        <v>0</v>
      </c>
      <c r="J142" s="67">
        <f t="shared" si="43"/>
        <v>0</v>
      </c>
      <c r="K142" s="67">
        <f t="shared" si="43"/>
        <v>0</v>
      </c>
      <c r="L142" s="67">
        <f t="shared" si="43"/>
        <v>0</v>
      </c>
      <c r="M142" s="67">
        <f t="shared" si="43"/>
        <v>0</v>
      </c>
      <c r="N142" s="67">
        <f t="shared" si="43"/>
        <v>0</v>
      </c>
      <c r="O142" s="67">
        <f t="shared" si="39"/>
        <v>-20799933.700000003</v>
      </c>
    </row>
    <row r="143" spans="2:15" x14ac:dyDescent="0.15">
      <c r="B143" s="103"/>
      <c r="C143" s="67"/>
      <c r="D143" s="67"/>
      <c r="E143" s="67"/>
      <c r="F143" s="67"/>
      <c r="G143" s="67"/>
      <c r="H143" s="67"/>
      <c r="I143" s="67"/>
      <c r="J143" s="67"/>
      <c r="K143" s="67"/>
      <c r="L143" s="67"/>
      <c r="M143" s="67"/>
      <c r="N143" s="67"/>
      <c r="O143" s="67"/>
    </row>
    <row r="144" spans="2:15" x14ac:dyDescent="0.15">
      <c r="B144" s="103">
        <v>0.05</v>
      </c>
      <c r="C144" s="67">
        <f t="shared" ref="C144:N144" si="44">C104+C$121+C$122+C130+C$135+C$136</f>
        <v>-92550000</v>
      </c>
      <c r="D144" s="67">
        <f t="shared" si="44"/>
        <v>0</v>
      </c>
      <c r="E144" s="67">
        <f t="shared" si="44"/>
        <v>0</v>
      </c>
      <c r="F144" s="67">
        <f t="shared" si="44"/>
        <v>0</v>
      </c>
      <c r="G144" s="67">
        <f t="shared" si="44"/>
        <v>0</v>
      </c>
      <c r="H144" s="67">
        <f t="shared" si="44"/>
        <v>71750066.299999997</v>
      </c>
      <c r="I144" s="67">
        <f t="shared" si="44"/>
        <v>0</v>
      </c>
      <c r="J144" s="67">
        <f t="shared" si="44"/>
        <v>0</v>
      </c>
      <c r="K144" s="67">
        <f t="shared" si="44"/>
        <v>0</v>
      </c>
      <c r="L144" s="67">
        <f t="shared" si="44"/>
        <v>0</v>
      </c>
      <c r="M144" s="67">
        <f t="shared" si="44"/>
        <v>0</v>
      </c>
      <c r="N144" s="67">
        <f t="shared" si="44"/>
        <v>0</v>
      </c>
      <c r="O144" s="67">
        <f t="shared" si="39"/>
        <v>-20799933.700000003</v>
      </c>
    </row>
    <row r="145" spans="2:15" x14ac:dyDescent="0.15">
      <c r="B145" s="103">
        <v>0.1</v>
      </c>
      <c r="C145" s="67">
        <f t="shared" ref="C145:N145" si="45">C105+C$121+C$122+C131+C$135+C$136</f>
        <v>-92550000</v>
      </c>
      <c r="D145" s="67">
        <f t="shared" si="45"/>
        <v>0</v>
      </c>
      <c r="E145" s="67">
        <f t="shared" si="45"/>
        <v>0</v>
      </c>
      <c r="F145" s="67">
        <f t="shared" si="45"/>
        <v>0</v>
      </c>
      <c r="G145" s="67">
        <f t="shared" si="45"/>
        <v>0</v>
      </c>
      <c r="H145" s="67">
        <f t="shared" si="45"/>
        <v>71750066.299999997</v>
      </c>
      <c r="I145" s="67">
        <f t="shared" si="45"/>
        <v>0</v>
      </c>
      <c r="J145" s="67">
        <f t="shared" si="45"/>
        <v>0</v>
      </c>
      <c r="K145" s="67">
        <f t="shared" si="45"/>
        <v>0</v>
      </c>
      <c r="L145" s="67">
        <f t="shared" si="45"/>
        <v>0</v>
      </c>
      <c r="M145" s="67">
        <f t="shared" si="45"/>
        <v>0</v>
      </c>
      <c r="N145" s="67">
        <f t="shared" si="45"/>
        <v>0</v>
      </c>
      <c r="O145" s="67">
        <f t="shared" si="39"/>
        <v>-20799933.700000003</v>
      </c>
    </row>
    <row r="146" spans="2:15" x14ac:dyDescent="0.15">
      <c r="B146" s="103">
        <v>0.15</v>
      </c>
      <c r="C146" s="67">
        <f t="shared" ref="C146:N146" si="46">C106+C$121+C$122+C132+C$135+C$136</f>
        <v>-92550000</v>
      </c>
      <c r="D146" s="67">
        <f t="shared" si="46"/>
        <v>0</v>
      </c>
      <c r="E146" s="67">
        <f t="shared" si="46"/>
        <v>0</v>
      </c>
      <c r="F146" s="67">
        <f t="shared" si="46"/>
        <v>0</v>
      </c>
      <c r="G146" s="67">
        <f t="shared" si="46"/>
        <v>0</v>
      </c>
      <c r="H146" s="67">
        <f t="shared" si="46"/>
        <v>71750066.299999997</v>
      </c>
      <c r="I146" s="67">
        <f t="shared" si="46"/>
        <v>0</v>
      </c>
      <c r="J146" s="67">
        <f t="shared" si="46"/>
        <v>0</v>
      </c>
      <c r="K146" s="67">
        <f t="shared" si="46"/>
        <v>0</v>
      </c>
      <c r="L146" s="67">
        <f t="shared" si="46"/>
        <v>0</v>
      </c>
      <c r="M146" s="67">
        <f t="shared" si="46"/>
        <v>0</v>
      </c>
      <c r="N146" s="67">
        <f t="shared" si="46"/>
        <v>0</v>
      </c>
      <c r="O146" s="67">
        <f t="shared" si="39"/>
        <v>-20799933.700000003</v>
      </c>
    </row>
    <row r="147" spans="2:15" x14ac:dyDescent="0.15">
      <c r="B147" s="103">
        <v>0.2</v>
      </c>
      <c r="C147" s="67">
        <f t="shared" ref="C147:N147" si="47">C107+C$121+C$122+C133+C$135+C$136</f>
        <v>-92550000</v>
      </c>
      <c r="D147" s="67">
        <f t="shared" si="47"/>
        <v>0</v>
      </c>
      <c r="E147" s="67">
        <f t="shared" si="47"/>
        <v>0</v>
      </c>
      <c r="F147" s="67">
        <f t="shared" si="47"/>
        <v>0</v>
      </c>
      <c r="G147" s="67">
        <f t="shared" si="47"/>
        <v>0</v>
      </c>
      <c r="H147" s="67">
        <f t="shared" si="47"/>
        <v>71750066.299999997</v>
      </c>
      <c r="I147" s="67">
        <f t="shared" si="47"/>
        <v>0</v>
      </c>
      <c r="J147" s="67">
        <f t="shared" si="47"/>
        <v>0</v>
      </c>
      <c r="K147" s="67">
        <f t="shared" si="47"/>
        <v>0</v>
      </c>
      <c r="L147" s="67">
        <f t="shared" si="47"/>
        <v>0</v>
      </c>
      <c r="M147" s="67">
        <f t="shared" si="47"/>
        <v>0</v>
      </c>
      <c r="N147" s="67">
        <f t="shared" si="47"/>
        <v>0</v>
      </c>
      <c r="O147" s="67">
        <f t="shared" si="39"/>
        <v>-20799933.700000003</v>
      </c>
    </row>
    <row r="148" spans="2:15" ht="14" thickBot="1" x14ac:dyDescent="0.2">
      <c r="B148" s="103">
        <v>0.25</v>
      </c>
      <c r="C148" s="67">
        <f t="shared" ref="C148:N148" si="48">C108+C$121+C$122+C134+C$135+C$136</f>
        <v>-92550000</v>
      </c>
      <c r="D148" s="67">
        <f t="shared" si="48"/>
        <v>0</v>
      </c>
      <c r="E148" s="67">
        <f t="shared" si="48"/>
        <v>0</v>
      </c>
      <c r="F148" s="67">
        <f t="shared" si="48"/>
        <v>0</v>
      </c>
      <c r="G148" s="67">
        <f t="shared" si="48"/>
        <v>0</v>
      </c>
      <c r="H148" s="67">
        <f t="shared" si="48"/>
        <v>71750066.299999997</v>
      </c>
      <c r="I148" s="67">
        <f t="shared" si="48"/>
        <v>0</v>
      </c>
      <c r="J148" s="67">
        <f t="shared" si="48"/>
        <v>0</v>
      </c>
      <c r="K148" s="67">
        <f t="shared" si="48"/>
        <v>0</v>
      </c>
      <c r="L148" s="67">
        <f t="shared" si="48"/>
        <v>0</v>
      </c>
      <c r="M148" s="67">
        <f t="shared" si="48"/>
        <v>0</v>
      </c>
      <c r="N148" s="95">
        <f t="shared" si="48"/>
        <v>0</v>
      </c>
      <c r="O148" s="95">
        <f t="shared" si="39"/>
        <v>-20799933.700000003</v>
      </c>
    </row>
    <row r="149" spans="2:15" ht="14" thickTop="1" x14ac:dyDescent="0.15">
      <c r="B149" s="96" t="s">
        <v>642</v>
      </c>
      <c r="C149" s="26">
        <v>0</v>
      </c>
      <c r="D149" s="26">
        <v>1</v>
      </c>
      <c r="E149" s="26">
        <v>2</v>
      </c>
      <c r="F149" s="26">
        <v>3</v>
      </c>
      <c r="G149" s="26">
        <v>4</v>
      </c>
      <c r="H149" s="26">
        <v>5</v>
      </c>
      <c r="I149" s="26">
        <v>6</v>
      </c>
      <c r="J149" s="26">
        <v>7</v>
      </c>
      <c r="K149" s="26">
        <v>8</v>
      </c>
      <c r="L149" s="26">
        <v>9</v>
      </c>
      <c r="M149" s="26">
        <v>10</v>
      </c>
      <c r="O149" s="96"/>
    </row>
    <row r="150" spans="2:15" x14ac:dyDescent="0.15">
      <c r="B150" s="103">
        <v>-0.25</v>
      </c>
      <c r="C150" s="68">
        <f>C86+C138</f>
        <v>-92550000</v>
      </c>
      <c r="D150" s="68">
        <f t="shared" ref="D150:L150" si="49">D86+D138</f>
        <v>50012750</v>
      </c>
      <c r="E150" s="68">
        <f t="shared" si="49"/>
        <v>44202792.500000022</v>
      </c>
      <c r="F150" s="68">
        <f t="shared" si="49"/>
        <v>35442192.08412499</v>
      </c>
      <c r="G150" s="68">
        <f t="shared" si="49"/>
        <v>25111356.707490433</v>
      </c>
      <c r="H150" s="68">
        <f t="shared" si="49"/>
        <v>84401062.478848949</v>
      </c>
      <c r="I150" s="68">
        <f t="shared" si="49"/>
        <v>0</v>
      </c>
      <c r="J150" s="68">
        <f t="shared" si="49"/>
        <v>0</v>
      </c>
      <c r="K150" s="68">
        <f t="shared" si="49"/>
        <v>0</v>
      </c>
      <c r="L150" s="68">
        <f t="shared" si="49"/>
        <v>0</v>
      </c>
      <c r="M150" s="68">
        <f>M86+M138+N138</f>
        <v>0</v>
      </c>
      <c r="N150" s="164"/>
      <c r="O150" s="67">
        <f>SUM(C150:N150)</f>
        <v>146620153.77046439</v>
      </c>
    </row>
    <row r="151" spans="2:15" x14ac:dyDescent="0.15">
      <c r="B151" s="103">
        <v>-0.2</v>
      </c>
      <c r="C151" s="68">
        <f>C87+C139</f>
        <v>-92550000</v>
      </c>
      <c r="D151" s="68">
        <f t="shared" ref="D151:L151" si="50">D87+D139</f>
        <v>50012750</v>
      </c>
      <c r="E151" s="68">
        <f t="shared" si="50"/>
        <v>44202792.500000022</v>
      </c>
      <c r="F151" s="68">
        <f t="shared" si="50"/>
        <v>35442192.08412499</v>
      </c>
      <c r="G151" s="68">
        <f t="shared" si="50"/>
        <v>25111356.707490433</v>
      </c>
      <c r="H151" s="68">
        <f t="shared" si="50"/>
        <v>84401062.478848949</v>
      </c>
      <c r="I151" s="68">
        <f t="shared" si="50"/>
        <v>0</v>
      </c>
      <c r="J151" s="68">
        <f t="shared" si="50"/>
        <v>0</v>
      </c>
      <c r="K151" s="68">
        <f t="shared" si="50"/>
        <v>0</v>
      </c>
      <c r="L151" s="68">
        <f t="shared" si="50"/>
        <v>0</v>
      </c>
      <c r="M151" s="68">
        <f>M87+M139+N139</f>
        <v>0</v>
      </c>
      <c r="N151" s="164"/>
      <c r="O151" s="67">
        <f t="shared" ref="O151:O160" si="51">SUM(C151:N151)</f>
        <v>146620153.77046439</v>
      </c>
    </row>
    <row r="152" spans="2:15" x14ac:dyDescent="0.15">
      <c r="B152" s="103">
        <v>-0.15</v>
      </c>
      <c r="C152" s="68">
        <f>C88+C140</f>
        <v>-92550000</v>
      </c>
      <c r="D152" s="68">
        <f t="shared" ref="D152:L152" si="52">D88+D140</f>
        <v>50012750</v>
      </c>
      <c r="E152" s="68">
        <f t="shared" si="52"/>
        <v>44202792.500000022</v>
      </c>
      <c r="F152" s="68">
        <f t="shared" si="52"/>
        <v>35442192.08412499</v>
      </c>
      <c r="G152" s="68">
        <f t="shared" si="52"/>
        <v>25111356.707490433</v>
      </c>
      <c r="H152" s="68">
        <f t="shared" si="52"/>
        <v>84401062.478848949</v>
      </c>
      <c r="I152" s="68">
        <f t="shared" si="52"/>
        <v>0</v>
      </c>
      <c r="J152" s="68">
        <f t="shared" si="52"/>
        <v>0</v>
      </c>
      <c r="K152" s="68">
        <f t="shared" si="52"/>
        <v>0</v>
      </c>
      <c r="L152" s="68">
        <f t="shared" si="52"/>
        <v>0</v>
      </c>
      <c r="M152" s="68">
        <f>M88+M140+N140</f>
        <v>0</v>
      </c>
      <c r="N152" s="164"/>
      <c r="O152" s="67">
        <f t="shared" si="51"/>
        <v>146620153.77046439</v>
      </c>
    </row>
    <row r="153" spans="2:15" x14ac:dyDescent="0.15">
      <c r="B153" s="103">
        <v>-0.1</v>
      </c>
      <c r="C153" s="68">
        <f>C89+C141</f>
        <v>-92550000</v>
      </c>
      <c r="D153" s="68">
        <f t="shared" ref="D153:L153" si="53">D89+D141</f>
        <v>50012750</v>
      </c>
      <c r="E153" s="68">
        <f t="shared" si="53"/>
        <v>44202792.500000022</v>
      </c>
      <c r="F153" s="68">
        <f t="shared" si="53"/>
        <v>35442192.08412499</v>
      </c>
      <c r="G153" s="68">
        <f t="shared" si="53"/>
        <v>25111356.707490433</v>
      </c>
      <c r="H153" s="68">
        <f t="shared" si="53"/>
        <v>84401062.478848949</v>
      </c>
      <c r="I153" s="68">
        <f t="shared" si="53"/>
        <v>0</v>
      </c>
      <c r="J153" s="68">
        <f t="shared" si="53"/>
        <v>0</v>
      </c>
      <c r="K153" s="68">
        <f t="shared" si="53"/>
        <v>0</v>
      </c>
      <c r="L153" s="68">
        <f t="shared" si="53"/>
        <v>0</v>
      </c>
      <c r="M153" s="68">
        <f>M89+M141+N141</f>
        <v>0</v>
      </c>
      <c r="N153" s="164"/>
      <c r="O153" s="67">
        <f t="shared" si="51"/>
        <v>146620153.77046439</v>
      </c>
    </row>
    <row r="154" spans="2:15" x14ac:dyDescent="0.15">
      <c r="B154" s="103">
        <v>-0.05</v>
      </c>
      <c r="C154" s="68">
        <f>C90+C142</f>
        <v>-92550000</v>
      </c>
      <c r="D154" s="68">
        <f t="shared" ref="D154:L154" si="54">D90+D142</f>
        <v>50012750</v>
      </c>
      <c r="E154" s="68">
        <f t="shared" si="54"/>
        <v>44202792.500000022</v>
      </c>
      <c r="F154" s="68">
        <f t="shared" si="54"/>
        <v>35442192.08412499</v>
      </c>
      <c r="G154" s="68">
        <f t="shared" si="54"/>
        <v>25111356.707490433</v>
      </c>
      <c r="H154" s="68">
        <f t="shared" si="54"/>
        <v>84401062.478848949</v>
      </c>
      <c r="I154" s="68">
        <f t="shared" si="54"/>
        <v>0</v>
      </c>
      <c r="J154" s="68">
        <f t="shared" si="54"/>
        <v>0</v>
      </c>
      <c r="K154" s="68">
        <f t="shared" si="54"/>
        <v>0</v>
      </c>
      <c r="L154" s="68">
        <f t="shared" si="54"/>
        <v>0</v>
      </c>
      <c r="M154" s="68">
        <f>M90+M142+N142</f>
        <v>0</v>
      </c>
      <c r="N154" s="164"/>
      <c r="O154" s="67">
        <f t="shared" si="51"/>
        <v>146620153.77046439</v>
      </c>
    </row>
    <row r="155" spans="2:15" x14ac:dyDescent="0.15">
      <c r="B155" s="103"/>
      <c r="C155" s="68">
        <f>'After Tax Analysis'!D28</f>
        <v>-92550000</v>
      </c>
      <c r="D155" s="68">
        <f>'After Tax Analysis'!E28</f>
        <v>50012750</v>
      </c>
      <c r="E155" s="68">
        <f>'After Tax Analysis'!F28</f>
        <v>44202792.500000022</v>
      </c>
      <c r="F155" s="68">
        <f>'After Tax Analysis'!G28</f>
        <v>35442192.08412499</v>
      </c>
      <c r="G155" s="68">
        <f>'After Tax Analysis'!H28</f>
        <v>25111356.707490433</v>
      </c>
      <c r="H155" s="68">
        <f>'After Tax Analysis'!I28</f>
        <v>84401062.478848949</v>
      </c>
      <c r="I155" s="68">
        <f>'After Tax Analysis'!J28</f>
        <v>0</v>
      </c>
      <c r="J155" s="68">
        <f>'After Tax Analysis'!K28</f>
        <v>0</v>
      </c>
      <c r="K155" s="68">
        <f>'After Tax Analysis'!L28</f>
        <v>0</v>
      </c>
      <c r="L155" s="68">
        <f>'After Tax Analysis'!M28</f>
        <v>0</v>
      </c>
      <c r="M155" s="68">
        <f>'After Tax Analysis'!N28</f>
        <v>0</v>
      </c>
      <c r="N155" s="164"/>
      <c r="O155" s="67"/>
    </row>
    <row r="156" spans="2:15" x14ac:dyDescent="0.15">
      <c r="B156" s="103">
        <v>0.05</v>
      </c>
      <c r="C156" s="68">
        <f t="shared" ref="C156:L156" si="55">C92+C144</f>
        <v>-92550000</v>
      </c>
      <c r="D156" s="68">
        <f t="shared" si="55"/>
        <v>50012750</v>
      </c>
      <c r="E156" s="68">
        <f t="shared" si="55"/>
        <v>44202792.500000022</v>
      </c>
      <c r="F156" s="68">
        <f t="shared" si="55"/>
        <v>35442192.08412499</v>
      </c>
      <c r="G156" s="68">
        <f t="shared" si="55"/>
        <v>25111356.707490433</v>
      </c>
      <c r="H156" s="68">
        <f t="shared" si="55"/>
        <v>84401062.478848949</v>
      </c>
      <c r="I156" s="68">
        <f t="shared" si="55"/>
        <v>0</v>
      </c>
      <c r="J156" s="68">
        <f t="shared" si="55"/>
        <v>0</v>
      </c>
      <c r="K156" s="68">
        <f t="shared" si="55"/>
        <v>0</v>
      </c>
      <c r="L156" s="68">
        <f t="shared" si="55"/>
        <v>0</v>
      </c>
      <c r="M156" s="68">
        <f>M92+M144+N144</f>
        <v>0</v>
      </c>
      <c r="N156" s="164"/>
      <c r="O156" s="67">
        <f t="shared" si="51"/>
        <v>146620153.77046439</v>
      </c>
    </row>
    <row r="157" spans="2:15" x14ac:dyDescent="0.15">
      <c r="B157" s="103">
        <v>0.1</v>
      </c>
      <c r="C157" s="68">
        <f t="shared" ref="C157:L157" si="56">C93+C145</f>
        <v>-92550000</v>
      </c>
      <c r="D157" s="68">
        <f t="shared" si="56"/>
        <v>50012750</v>
      </c>
      <c r="E157" s="68">
        <f t="shared" si="56"/>
        <v>44202792.500000022</v>
      </c>
      <c r="F157" s="68">
        <f t="shared" si="56"/>
        <v>35442192.08412499</v>
      </c>
      <c r="G157" s="68">
        <f t="shared" si="56"/>
        <v>25111356.707490433</v>
      </c>
      <c r="H157" s="68">
        <f t="shared" si="56"/>
        <v>84401062.478848949</v>
      </c>
      <c r="I157" s="68">
        <f t="shared" si="56"/>
        <v>0</v>
      </c>
      <c r="J157" s="68">
        <f t="shared" si="56"/>
        <v>0</v>
      </c>
      <c r="K157" s="68">
        <f t="shared" si="56"/>
        <v>0</v>
      </c>
      <c r="L157" s="68">
        <f t="shared" si="56"/>
        <v>0</v>
      </c>
      <c r="M157" s="68">
        <f>M93+M145+N145</f>
        <v>0</v>
      </c>
      <c r="N157" s="164"/>
      <c r="O157" s="67">
        <f t="shared" si="51"/>
        <v>146620153.77046439</v>
      </c>
    </row>
    <row r="158" spans="2:15" x14ac:dyDescent="0.15">
      <c r="B158" s="103">
        <v>0.15</v>
      </c>
      <c r="C158" s="68">
        <f t="shared" ref="C158:L158" si="57">C94+C146</f>
        <v>-92550000</v>
      </c>
      <c r="D158" s="68">
        <f t="shared" si="57"/>
        <v>50012750</v>
      </c>
      <c r="E158" s="68">
        <f t="shared" si="57"/>
        <v>44202792.500000022</v>
      </c>
      <c r="F158" s="68">
        <f t="shared" si="57"/>
        <v>35442192.08412499</v>
      </c>
      <c r="G158" s="68">
        <f t="shared" si="57"/>
        <v>25111356.707490433</v>
      </c>
      <c r="H158" s="68">
        <f t="shared" si="57"/>
        <v>84401062.478848949</v>
      </c>
      <c r="I158" s="68">
        <f t="shared" si="57"/>
        <v>0</v>
      </c>
      <c r="J158" s="68">
        <f t="shared" si="57"/>
        <v>0</v>
      </c>
      <c r="K158" s="68">
        <f t="shared" si="57"/>
        <v>0</v>
      </c>
      <c r="L158" s="68">
        <f t="shared" si="57"/>
        <v>0</v>
      </c>
      <c r="M158" s="68">
        <f>M94+M146+N146</f>
        <v>0</v>
      </c>
      <c r="N158" s="164"/>
      <c r="O158" s="67">
        <f t="shared" si="51"/>
        <v>146620153.77046439</v>
      </c>
    </row>
    <row r="159" spans="2:15" x14ac:dyDescent="0.15">
      <c r="B159" s="103">
        <v>0.2</v>
      </c>
      <c r="C159" s="68">
        <f t="shared" ref="C159:L159" si="58">C95+C147</f>
        <v>-92550000</v>
      </c>
      <c r="D159" s="68">
        <f t="shared" si="58"/>
        <v>50012750</v>
      </c>
      <c r="E159" s="68">
        <f t="shared" si="58"/>
        <v>44202792.500000022</v>
      </c>
      <c r="F159" s="68">
        <f t="shared" si="58"/>
        <v>35442192.08412499</v>
      </c>
      <c r="G159" s="68">
        <f t="shared" si="58"/>
        <v>25111356.707490433</v>
      </c>
      <c r="H159" s="68">
        <f t="shared" si="58"/>
        <v>84401062.478848949</v>
      </c>
      <c r="I159" s="68">
        <f t="shared" si="58"/>
        <v>0</v>
      </c>
      <c r="J159" s="68">
        <f t="shared" si="58"/>
        <v>0</v>
      </c>
      <c r="K159" s="68">
        <f t="shared" si="58"/>
        <v>0</v>
      </c>
      <c r="L159" s="68">
        <f t="shared" si="58"/>
        <v>0</v>
      </c>
      <c r="M159" s="68">
        <f>M95+M147+N147</f>
        <v>0</v>
      </c>
      <c r="N159" s="164"/>
      <c r="O159" s="67">
        <f t="shared" si="51"/>
        <v>146620153.77046439</v>
      </c>
    </row>
    <row r="160" spans="2:15" x14ac:dyDescent="0.15">
      <c r="B160" s="103">
        <v>0.25</v>
      </c>
      <c r="C160" s="68">
        <f t="shared" ref="C160:L160" si="59">C96+C148</f>
        <v>-92550000</v>
      </c>
      <c r="D160" s="68">
        <f t="shared" si="59"/>
        <v>50012750</v>
      </c>
      <c r="E160" s="68">
        <f t="shared" si="59"/>
        <v>44202792.500000022</v>
      </c>
      <c r="F160" s="68">
        <f t="shared" si="59"/>
        <v>35442192.08412499</v>
      </c>
      <c r="G160" s="68">
        <f t="shared" si="59"/>
        <v>25111356.707490433</v>
      </c>
      <c r="H160" s="68">
        <f t="shared" si="59"/>
        <v>84401062.478848949</v>
      </c>
      <c r="I160" s="68">
        <f t="shared" si="59"/>
        <v>0</v>
      </c>
      <c r="J160" s="68">
        <f t="shared" si="59"/>
        <v>0</v>
      </c>
      <c r="K160" s="68">
        <f t="shared" si="59"/>
        <v>0</v>
      </c>
      <c r="L160" s="68">
        <f t="shared" si="59"/>
        <v>0</v>
      </c>
      <c r="M160" s="68">
        <f>M96+M148+N148</f>
        <v>0</v>
      </c>
      <c r="N160" s="164"/>
      <c r="O160" s="67">
        <f t="shared" si="51"/>
        <v>146620153.77046439</v>
      </c>
    </row>
    <row r="161" spans="2:15" x14ac:dyDescent="0.15">
      <c r="B161" s="12" t="s">
        <v>340</v>
      </c>
      <c r="C161" s="101">
        <f>'After Tax Analysis'!D30</f>
        <v>1</v>
      </c>
      <c r="D161" s="101">
        <f>'After Tax Analysis'!E30</f>
        <v>0.86206896551724144</v>
      </c>
      <c r="E161" s="101">
        <f>'After Tax Analysis'!F30</f>
        <v>0.74316290130796681</v>
      </c>
      <c r="F161" s="101">
        <f>'After Tax Analysis'!G30</f>
        <v>0.64065767354135073</v>
      </c>
      <c r="G161" s="101">
        <f>'After Tax Analysis'!H30</f>
        <v>0.5522910978804747</v>
      </c>
      <c r="H161" s="101">
        <f>'After Tax Analysis'!I30</f>
        <v>0.47611301541420237</v>
      </c>
      <c r="I161" s="101">
        <f>'After Tax Analysis'!J30</f>
        <v>0.41044225466741585</v>
      </c>
      <c r="J161" s="101">
        <f>'After Tax Analysis'!K30</f>
        <v>0.35382952988570338</v>
      </c>
      <c r="K161" s="101">
        <f>'After Tax Analysis'!L30</f>
        <v>0.30502545679802012</v>
      </c>
      <c r="L161" s="101">
        <f>'After Tax Analysis'!M30</f>
        <v>0.26295297999829326</v>
      </c>
      <c r="M161" s="101">
        <f>'After Tax Analysis'!N30</f>
        <v>0.22668360344680452</v>
      </c>
      <c r="N161" s="164"/>
      <c r="O161" s="102">
        <v>0</v>
      </c>
    </row>
    <row r="162" spans="2:15" x14ac:dyDescent="0.15">
      <c r="B162" s="12" t="s">
        <v>643</v>
      </c>
      <c r="C162" s="26">
        <v>0</v>
      </c>
      <c r="D162" s="26">
        <v>1</v>
      </c>
      <c r="E162" s="26">
        <v>2</v>
      </c>
      <c r="F162" s="26">
        <v>3</v>
      </c>
      <c r="G162" s="26">
        <v>4</v>
      </c>
      <c r="H162" s="26">
        <v>5</v>
      </c>
      <c r="I162" s="26">
        <v>6</v>
      </c>
      <c r="J162" s="26">
        <v>7</v>
      </c>
      <c r="K162" s="26">
        <v>8</v>
      </c>
      <c r="L162" s="26">
        <v>9</v>
      </c>
      <c r="M162" s="26">
        <v>10</v>
      </c>
      <c r="N162" s="164"/>
      <c r="O162" s="12"/>
    </row>
    <row r="163" spans="2:15" x14ac:dyDescent="0.15">
      <c r="B163" s="103">
        <v>-0.25</v>
      </c>
      <c r="C163" s="67">
        <f>C150*C$161</f>
        <v>-92550000</v>
      </c>
      <c r="D163" s="67">
        <f t="shared" ref="D163:M163" si="60">D150*D$161</f>
        <v>43114439.655172415</v>
      </c>
      <c r="E163" s="67">
        <f t="shared" si="60"/>
        <v>32849875.520214051</v>
      </c>
      <c r="F163" s="67">
        <f t="shared" si="60"/>
        <v>22706312.325821191</v>
      </c>
      <c r="G163" s="67">
        <f t="shared" si="60"/>
        <v>13868778.765248114</v>
      </c>
      <c r="H163" s="67">
        <f t="shared" si="60"/>
        <v>40184444.360967264</v>
      </c>
      <c r="I163" s="67">
        <f t="shared" si="60"/>
        <v>0</v>
      </c>
      <c r="J163" s="67">
        <f t="shared" si="60"/>
        <v>0</v>
      </c>
      <c r="K163" s="67">
        <f t="shared" si="60"/>
        <v>0</v>
      </c>
      <c r="L163" s="67">
        <f t="shared" si="60"/>
        <v>0</v>
      </c>
      <c r="M163" s="67">
        <f t="shared" si="60"/>
        <v>0</v>
      </c>
      <c r="N163" s="164"/>
      <c r="O163" s="67">
        <f t="shared" ref="O163:O173" si="61">SUM(C163:M163)</f>
        <v>60173850.627423033</v>
      </c>
    </row>
    <row r="164" spans="2:15" x14ac:dyDescent="0.15">
      <c r="B164" s="103">
        <v>-0.2</v>
      </c>
      <c r="C164" s="67">
        <f>C151*C$161</f>
        <v>-92550000</v>
      </c>
      <c r="D164" s="67">
        <f t="shared" ref="D164:M164" si="62">D151*D$161</f>
        <v>43114439.655172415</v>
      </c>
      <c r="E164" s="67">
        <f t="shared" si="62"/>
        <v>32849875.520214051</v>
      </c>
      <c r="F164" s="67">
        <f t="shared" si="62"/>
        <v>22706312.325821191</v>
      </c>
      <c r="G164" s="67">
        <f t="shared" si="62"/>
        <v>13868778.765248114</v>
      </c>
      <c r="H164" s="67">
        <f t="shared" si="62"/>
        <v>40184444.360967264</v>
      </c>
      <c r="I164" s="67">
        <f t="shared" si="62"/>
        <v>0</v>
      </c>
      <c r="J164" s="67">
        <f t="shared" si="62"/>
        <v>0</v>
      </c>
      <c r="K164" s="67">
        <f t="shared" si="62"/>
        <v>0</v>
      </c>
      <c r="L164" s="67">
        <f t="shared" si="62"/>
        <v>0</v>
      </c>
      <c r="M164" s="67">
        <f t="shared" si="62"/>
        <v>0</v>
      </c>
      <c r="N164" s="164"/>
      <c r="O164" s="67">
        <f t="shared" si="61"/>
        <v>60173850.627423033</v>
      </c>
    </row>
    <row r="165" spans="2:15" x14ac:dyDescent="0.15">
      <c r="B165" s="103">
        <v>-0.15</v>
      </c>
      <c r="C165" s="67">
        <f>C152*C$161</f>
        <v>-92550000</v>
      </c>
      <c r="D165" s="67">
        <f t="shared" ref="D165:M165" si="63">D152*D$161</f>
        <v>43114439.655172415</v>
      </c>
      <c r="E165" s="67">
        <f t="shared" si="63"/>
        <v>32849875.520214051</v>
      </c>
      <c r="F165" s="67">
        <f t="shared" si="63"/>
        <v>22706312.325821191</v>
      </c>
      <c r="G165" s="67">
        <f t="shared" si="63"/>
        <v>13868778.765248114</v>
      </c>
      <c r="H165" s="67">
        <f t="shared" si="63"/>
        <v>40184444.360967264</v>
      </c>
      <c r="I165" s="67">
        <f t="shared" si="63"/>
        <v>0</v>
      </c>
      <c r="J165" s="67">
        <f t="shared" si="63"/>
        <v>0</v>
      </c>
      <c r="K165" s="67">
        <f t="shared" si="63"/>
        <v>0</v>
      </c>
      <c r="L165" s="67">
        <f t="shared" si="63"/>
        <v>0</v>
      </c>
      <c r="M165" s="67">
        <f t="shared" si="63"/>
        <v>0</v>
      </c>
      <c r="N165" s="164"/>
      <c r="O165" s="67">
        <f t="shared" si="61"/>
        <v>60173850.627423033</v>
      </c>
    </row>
    <row r="166" spans="2:15" x14ac:dyDescent="0.15">
      <c r="B166" s="103">
        <v>-0.1</v>
      </c>
      <c r="C166" s="67">
        <f>C153*C$161</f>
        <v>-92550000</v>
      </c>
      <c r="D166" s="67">
        <f t="shared" ref="D166:M166" si="64">D153*D$161</f>
        <v>43114439.655172415</v>
      </c>
      <c r="E166" s="67">
        <f t="shared" si="64"/>
        <v>32849875.520214051</v>
      </c>
      <c r="F166" s="67">
        <f t="shared" si="64"/>
        <v>22706312.325821191</v>
      </c>
      <c r="G166" s="67">
        <f t="shared" si="64"/>
        <v>13868778.765248114</v>
      </c>
      <c r="H166" s="67">
        <f t="shared" si="64"/>
        <v>40184444.360967264</v>
      </c>
      <c r="I166" s="67">
        <f t="shared" si="64"/>
        <v>0</v>
      </c>
      <c r="J166" s="67">
        <f t="shared" si="64"/>
        <v>0</v>
      </c>
      <c r="K166" s="67">
        <f t="shared" si="64"/>
        <v>0</v>
      </c>
      <c r="L166" s="67">
        <f t="shared" si="64"/>
        <v>0</v>
      </c>
      <c r="M166" s="67">
        <f t="shared" si="64"/>
        <v>0</v>
      </c>
      <c r="N166" s="164"/>
      <c r="O166" s="67">
        <f t="shared" si="61"/>
        <v>60173850.627423033</v>
      </c>
    </row>
    <row r="167" spans="2:15" x14ac:dyDescent="0.15">
      <c r="B167" s="103">
        <v>-0.05</v>
      </c>
      <c r="C167" s="67">
        <f>C154*C$161</f>
        <v>-92550000</v>
      </c>
      <c r="D167" s="67">
        <f t="shared" ref="D167:M167" si="65">D154*D$161</f>
        <v>43114439.655172415</v>
      </c>
      <c r="E167" s="67">
        <f t="shared" si="65"/>
        <v>32849875.520214051</v>
      </c>
      <c r="F167" s="67">
        <f t="shared" si="65"/>
        <v>22706312.325821191</v>
      </c>
      <c r="G167" s="67">
        <f t="shared" si="65"/>
        <v>13868778.765248114</v>
      </c>
      <c r="H167" s="67">
        <f t="shared" si="65"/>
        <v>40184444.360967264</v>
      </c>
      <c r="I167" s="67">
        <f t="shared" si="65"/>
        <v>0</v>
      </c>
      <c r="J167" s="67">
        <f t="shared" si="65"/>
        <v>0</v>
      </c>
      <c r="K167" s="67">
        <f t="shared" si="65"/>
        <v>0</v>
      </c>
      <c r="L167" s="67">
        <f t="shared" si="65"/>
        <v>0</v>
      </c>
      <c r="M167" s="67">
        <f t="shared" si="65"/>
        <v>0</v>
      </c>
      <c r="N167" s="164"/>
      <c r="O167" s="67">
        <f t="shared" si="61"/>
        <v>60173850.627423033</v>
      </c>
    </row>
    <row r="168" spans="2:15" x14ac:dyDescent="0.15">
      <c r="B168" s="103"/>
      <c r="C168" s="67"/>
      <c r="D168" s="67"/>
      <c r="E168" s="67"/>
      <c r="F168" s="67"/>
      <c r="G168" s="67"/>
      <c r="H168" s="67"/>
      <c r="I168" s="67"/>
      <c r="J168" s="67"/>
      <c r="K168" s="67"/>
      <c r="L168" s="67"/>
      <c r="M168" s="67"/>
      <c r="N168" s="164"/>
      <c r="O168" s="67"/>
    </row>
    <row r="169" spans="2:15" x14ac:dyDescent="0.15">
      <c r="B169" s="103">
        <v>0.05</v>
      </c>
      <c r="C169" s="67">
        <f t="shared" ref="C169:M169" si="66">C156*C$161</f>
        <v>-92550000</v>
      </c>
      <c r="D169" s="67">
        <f t="shared" si="66"/>
        <v>43114439.655172415</v>
      </c>
      <c r="E169" s="67">
        <f t="shared" si="66"/>
        <v>32849875.520214051</v>
      </c>
      <c r="F169" s="67">
        <f t="shared" si="66"/>
        <v>22706312.325821191</v>
      </c>
      <c r="G169" s="67">
        <f t="shared" si="66"/>
        <v>13868778.765248114</v>
      </c>
      <c r="H169" s="67">
        <f t="shared" si="66"/>
        <v>40184444.360967264</v>
      </c>
      <c r="I169" s="67">
        <f t="shared" si="66"/>
        <v>0</v>
      </c>
      <c r="J169" s="67">
        <f t="shared" si="66"/>
        <v>0</v>
      </c>
      <c r="K169" s="67">
        <f t="shared" si="66"/>
        <v>0</v>
      </c>
      <c r="L169" s="67">
        <f t="shared" si="66"/>
        <v>0</v>
      </c>
      <c r="M169" s="67">
        <f t="shared" si="66"/>
        <v>0</v>
      </c>
      <c r="N169" s="164"/>
      <c r="O169" s="67">
        <f t="shared" si="61"/>
        <v>60173850.627423033</v>
      </c>
    </row>
    <row r="170" spans="2:15" x14ac:dyDescent="0.15">
      <c r="B170" s="103">
        <v>0.1</v>
      </c>
      <c r="C170" s="67">
        <f t="shared" ref="C170:M170" si="67">C157*C$161</f>
        <v>-92550000</v>
      </c>
      <c r="D170" s="67">
        <f t="shared" si="67"/>
        <v>43114439.655172415</v>
      </c>
      <c r="E170" s="67">
        <f t="shared" si="67"/>
        <v>32849875.520214051</v>
      </c>
      <c r="F170" s="67">
        <f t="shared" si="67"/>
        <v>22706312.325821191</v>
      </c>
      <c r="G170" s="67">
        <f t="shared" si="67"/>
        <v>13868778.765248114</v>
      </c>
      <c r="H170" s="67">
        <f t="shared" si="67"/>
        <v>40184444.360967264</v>
      </c>
      <c r="I170" s="67">
        <f t="shared" si="67"/>
        <v>0</v>
      </c>
      <c r="J170" s="67">
        <f t="shared" si="67"/>
        <v>0</v>
      </c>
      <c r="K170" s="67">
        <f t="shared" si="67"/>
        <v>0</v>
      </c>
      <c r="L170" s="67">
        <f t="shared" si="67"/>
        <v>0</v>
      </c>
      <c r="M170" s="67">
        <f t="shared" si="67"/>
        <v>0</v>
      </c>
      <c r="N170" s="164"/>
      <c r="O170" s="67">
        <f t="shared" si="61"/>
        <v>60173850.627423033</v>
      </c>
    </row>
    <row r="171" spans="2:15" x14ac:dyDescent="0.15">
      <c r="B171" s="103">
        <v>0.15</v>
      </c>
      <c r="C171" s="67">
        <f t="shared" ref="C171:M171" si="68">C158*C$161</f>
        <v>-92550000</v>
      </c>
      <c r="D171" s="67">
        <f t="shared" si="68"/>
        <v>43114439.655172415</v>
      </c>
      <c r="E171" s="67">
        <f t="shared" si="68"/>
        <v>32849875.520214051</v>
      </c>
      <c r="F171" s="67">
        <f t="shared" si="68"/>
        <v>22706312.325821191</v>
      </c>
      <c r="G171" s="67">
        <f t="shared" si="68"/>
        <v>13868778.765248114</v>
      </c>
      <c r="H171" s="67">
        <f t="shared" si="68"/>
        <v>40184444.360967264</v>
      </c>
      <c r="I171" s="67">
        <f t="shared" si="68"/>
        <v>0</v>
      </c>
      <c r="J171" s="67">
        <f t="shared" si="68"/>
        <v>0</v>
      </c>
      <c r="K171" s="67">
        <f t="shared" si="68"/>
        <v>0</v>
      </c>
      <c r="L171" s="67">
        <f t="shared" si="68"/>
        <v>0</v>
      </c>
      <c r="M171" s="67">
        <f t="shared" si="68"/>
        <v>0</v>
      </c>
      <c r="N171" s="164"/>
      <c r="O171" s="67">
        <f t="shared" si="61"/>
        <v>60173850.627423033</v>
      </c>
    </row>
    <row r="172" spans="2:15" x14ac:dyDescent="0.15">
      <c r="B172" s="103">
        <v>0.2</v>
      </c>
      <c r="C172" s="67">
        <f t="shared" ref="C172:M172" si="69">C159*C$161</f>
        <v>-92550000</v>
      </c>
      <c r="D172" s="67">
        <f t="shared" si="69"/>
        <v>43114439.655172415</v>
      </c>
      <c r="E172" s="67">
        <f t="shared" si="69"/>
        <v>32849875.520214051</v>
      </c>
      <c r="F172" s="67">
        <f t="shared" si="69"/>
        <v>22706312.325821191</v>
      </c>
      <c r="G172" s="67">
        <f t="shared" si="69"/>
        <v>13868778.765248114</v>
      </c>
      <c r="H172" s="67">
        <f t="shared" si="69"/>
        <v>40184444.360967264</v>
      </c>
      <c r="I172" s="67">
        <f t="shared" si="69"/>
        <v>0</v>
      </c>
      <c r="J172" s="67">
        <f t="shared" si="69"/>
        <v>0</v>
      </c>
      <c r="K172" s="67">
        <f t="shared" si="69"/>
        <v>0</v>
      </c>
      <c r="L172" s="67">
        <f t="shared" si="69"/>
        <v>0</v>
      </c>
      <c r="M172" s="67">
        <f t="shared" si="69"/>
        <v>0</v>
      </c>
      <c r="N172" s="164"/>
      <c r="O172" s="67">
        <f t="shared" si="61"/>
        <v>60173850.627423033</v>
      </c>
    </row>
    <row r="173" spans="2:15" x14ac:dyDescent="0.15">
      <c r="B173" s="103">
        <v>0.25</v>
      </c>
      <c r="C173" s="67">
        <f t="shared" ref="C173:M173" si="70">C160*C$161</f>
        <v>-92550000</v>
      </c>
      <c r="D173" s="67">
        <f t="shared" si="70"/>
        <v>43114439.655172415</v>
      </c>
      <c r="E173" s="67">
        <f t="shared" si="70"/>
        <v>32849875.520214051</v>
      </c>
      <c r="F173" s="67">
        <f t="shared" si="70"/>
        <v>22706312.325821191</v>
      </c>
      <c r="G173" s="67">
        <f t="shared" si="70"/>
        <v>13868778.765248114</v>
      </c>
      <c r="H173" s="67">
        <f t="shared" si="70"/>
        <v>40184444.360967264</v>
      </c>
      <c r="I173" s="67">
        <f t="shared" si="70"/>
        <v>0</v>
      </c>
      <c r="J173" s="67">
        <f t="shared" si="70"/>
        <v>0</v>
      </c>
      <c r="K173" s="67">
        <f t="shared" si="70"/>
        <v>0</v>
      </c>
      <c r="L173" s="67">
        <f t="shared" si="70"/>
        <v>0</v>
      </c>
      <c r="M173" s="67">
        <f t="shared" si="70"/>
        <v>0</v>
      </c>
      <c r="N173" s="164"/>
      <c r="O173" s="67">
        <f t="shared" si="61"/>
        <v>60173850.627423033</v>
      </c>
    </row>
    <row r="174" spans="2:15" x14ac:dyDescent="0.15">
      <c r="B174" s="12" t="s">
        <v>317</v>
      </c>
      <c r="C174" s="26">
        <v>0</v>
      </c>
      <c r="D174" s="26">
        <v>1</v>
      </c>
      <c r="E174" s="26">
        <v>2</v>
      </c>
      <c r="F174" s="26">
        <v>3</v>
      </c>
      <c r="G174" s="26">
        <v>4</v>
      </c>
      <c r="H174" s="26">
        <v>5</v>
      </c>
      <c r="I174" s="26">
        <v>6</v>
      </c>
      <c r="J174" s="26">
        <v>7</v>
      </c>
      <c r="K174" s="26">
        <v>8</v>
      </c>
      <c r="L174" s="26">
        <v>9</v>
      </c>
      <c r="M174" s="26">
        <v>10</v>
      </c>
      <c r="N174" s="164"/>
      <c r="O174" s="12"/>
    </row>
    <row r="175" spans="2:15" x14ac:dyDescent="0.15">
      <c r="B175" s="103">
        <v>-0.25</v>
      </c>
      <c r="C175" s="67">
        <f>C163</f>
        <v>-92550000</v>
      </c>
      <c r="D175" s="67">
        <f>C175+D163</f>
        <v>-49435560.344827585</v>
      </c>
      <c r="E175" s="67">
        <f t="shared" ref="E175:M175" si="71">D175+E163</f>
        <v>-16585684.824613534</v>
      </c>
      <c r="F175" s="67">
        <f t="shared" si="71"/>
        <v>6120627.5012076572</v>
      </c>
      <c r="G175" s="67">
        <f t="shared" si="71"/>
        <v>19989406.26645577</v>
      </c>
      <c r="H175" s="67">
        <f t="shared" si="71"/>
        <v>60173850.627423033</v>
      </c>
      <c r="I175" s="67">
        <f t="shared" si="71"/>
        <v>60173850.627423033</v>
      </c>
      <c r="J175" s="67">
        <f t="shared" si="71"/>
        <v>60173850.627423033</v>
      </c>
      <c r="K175" s="67">
        <f t="shared" si="71"/>
        <v>60173850.627423033</v>
      </c>
      <c r="L175" s="67">
        <f t="shared" si="71"/>
        <v>60173850.627423033</v>
      </c>
      <c r="M175" s="67">
        <f t="shared" si="71"/>
        <v>60173850.627423033</v>
      </c>
      <c r="N175" s="164"/>
      <c r="O175" s="12"/>
    </row>
    <row r="176" spans="2:15" x14ac:dyDescent="0.15">
      <c r="B176" s="103">
        <v>-0.2</v>
      </c>
      <c r="C176" s="67">
        <f>C164</f>
        <v>-92550000</v>
      </c>
      <c r="D176" s="67">
        <f>C176+D164</f>
        <v>-49435560.344827585</v>
      </c>
      <c r="E176" s="67">
        <f t="shared" ref="E176:M176" si="72">D176+E164</f>
        <v>-16585684.824613534</v>
      </c>
      <c r="F176" s="67">
        <f t="shared" si="72"/>
        <v>6120627.5012076572</v>
      </c>
      <c r="G176" s="67">
        <f t="shared" si="72"/>
        <v>19989406.26645577</v>
      </c>
      <c r="H176" s="67">
        <f t="shared" si="72"/>
        <v>60173850.627423033</v>
      </c>
      <c r="I176" s="67">
        <f t="shared" si="72"/>
        <v>60173850.627423033</v>
      </c>
      <c r="J176" s="67">
        <f t="shared" si="72"/>
        <v>60173850.627423033</v>
      </c>
      <c r="K176" s="67">
        <f t="shared" si="72"/>
        <v>60173850.627423033</v>
      </c>
      <c r="L176" s="67">
        <f t="shared" si="72"/>
        <v>60173850.627423033</v>
      </c>
      <c r="M176" s="67">
        <f t="shared" si="72"/>
        <v>60173850.627423033</v>
      </c>
      <c r="N176" s="164"/>
      <c r="O176" s="12"/>
    </row>
    <row r="177" spans="2:15" x14ac:dyDescent="0.15">
      <c r="B177" s="103">
        <v>-0.15</v>
      </c>
      <c r="C177" s="67">
        <f>C165</f>
        <v>-92550000</v>
      </c>
      <c r="D177" s="67">
        <f>C177+D165</f>
        <v>-49435560.344827585</v>
      </c>
      <c r="E177" s="67">
        <f t="shared" ref="E177:M177" si="73">D177+E165</f>
        <v>-16585684.824613534</v>
      </c>
      <c r="F177" s="67">
        <f t="shared" si="73"/>
        <v>6120627.5012076572</v>
      </c>
      <c r="G177" s="67">
        <f t="shared" si="73"/>
        <v>19989406.26645577</v>
      </c>
      <c r="H177" s="67">
        <f t="shared" si="73"/>
        <v>60173850.627423033</v>
      </c>
      <c r="I177" s="67">
        <f t="shared" si="73"/>
        <v>60173850.627423033</v>
      </c>
      <c r="J177" s="67">
        <f t="shared" si="73"/>
        <v>60173850.627423033</v>
      </c>
      <c r="K177" s="67">
        <f t="shared" si="73"/>
        <v>60173850.627423033</v>
      </c>
      <c r="L177" s="67">
        <f t="shared" si="73"/>
        <v>60173850.627423033</v>
      </c>
      <c r="M177" s="67">
        <f t="shared" si="73"/>
        <v>60173850.627423033</v>
      </c>
      <c r="N177" s="164"/>
      <c r="O177" s="12"/>
    </row>
    <row r="178" spans="2:15" x14ac:dyDescent="0.15">
      <c r="B178" s="103">
        <v>-0.1</v>
      </c>
      <c r="C178" s="67">
        <f>C166</f>
        <v>-92550000</v>
      </c>
      <c r="D178" s="67">
        <f>C178+D166</f>
        <v>-49435560.344827585</v>
      </c>
      <c r="E178" s="67">
        <f t="shared" ref="E178:M178" si="74">D178+E166</f>
        <v>-16585684.824613534</v>
      </c>
      <c r="F178" s="67">
        <f t="shared" si="74"/>
        <v>6120627.5012076572</v>
      </c>
      <c r="G178" s="67">
        <f t="shared" si="74"/>
        <v>19989406.26645577</v>
      </c>
      <c r="H178" s="67">
        <f t="shared" si="74"/>
        <v>60173850.627423033</v>
      </c>
      <c r="I178" s="67">
        <f t="shared" si="74"/>
        <v>60173850.627423033</v>
      </c>
      <c r="J178" s="67">
        <f t="shared" si="74"/>
        <v>60173850.627423033</v>
      </c>
      <c r="K178" s="67">
        <f t="shared" si="74"/>
        <v>60173850.627423033</v>
      </c>
      <c r="L178" s="67">
        <f t="shared" si="74"/>
        <v>60173850.627423033</v>
      </c>
      <c r="M178" s="67">
        <f t="shared" si="74"/>
        <v>60173850.627423033</v>
      </c>
      <c r="N178" s="164"/>
      <c r="O178" s="12"/>
    </row>
    <row r="179" spans="2:15" x14ac:dyDescent="0.15">
      <c r="B179" s="103">
        <v>-0.05</v>
      </c>
      <c r="C179" s="67">
        <f>C167</f>
        <v>-92550000</v>
      </c>
      <c r="D179" s="67">
        <f>C179+D167</f>
        <v>-49435560.344827585</v>
      </c>
      <c r="E179" s="67">
        <f t="shared" ref="E179:M179" si="75">D179+E167</f>
        <v>-16585684.824613534</v>
      </c>
      <c r="F179" s="67">
        <f t="shared" si="75"/>
        <v>6120627.5012076572</v>
      </c>
      <c r="G179" s="67">
        <f t="shared" si="75"/>
        <v>19989406.26645577</v>
      </c>
      <c r="H179" s="67">
        <f t="shared" si="75"/>
        <v>60173850.627423033</v>
      </c>
      <c r="I179" s="67">
        <f t="shared" si="75"/>
        <v>60173850.627423033</v>
      </c>
      <c r="J179" s="67">
        <f t="shared" si="75"/>
        <v>60173850.627423033</v>
      </c>
      <c r="K179" s="67">
        <f t="shared" si="75"/>
        <v>60173850.627423033</v>
      </c>
      <c r="L179" s="67">
        <f t="shared" si="75"/>
        <v>60173850.627423033</v>
      </c>
      <c r="M179" s="67">
        <f t="shared" si="75"/>
        <v>60173850.627423033</v>
      </c>
      <c r="N179" s="164"/>
      <c r="O179" s="12"/>
    </row>
    <row r="180" spans="2:15" x14ac:dyDescent="0.15">
      <c r="B180" s="103"/>
      <c r="C180" s="67"/>
      <c r="D180" s="67"/>
      <c r="E180" s="67"/>
      <c r="F180" s="67"/>
      <c r="G180" s="67"/>
      <c r="H180" s="67"/>
      <c r="I180" s="67"/>
      <c r="J180" s="67"/>
      <c r="K180" s="67"/>
      <c r="L180" s="67"/>
      <c r="M180" s="67"/>
      <c r="N180" s="164"/>
      <c r="O180" s="12"/>
    </row>
    <row r="181" spans="2:15" x14ac:dyDescent="0.15">
      <c r="B181" s="103">
        <v>0.05</v>
      </c>
      <c r="C181" s="67">
        <f>C169</f>
        <v>-92550000</v>
      </c>
      <c r="D181" s="67">
        <f t="shared" ref="D181:M181" si="76">C181+D169</f>
        <v>-49435560.344827585</v>
      </c>
      <c r="E181" s="67">
        <f t="shared" si="76"/>
        <v>-16585684.824613534</v>
      </c>
      <c r="F181" s="67">
        <f t="shared" si="76"/>
        <v>6120627.5012076572</v>
      </c>
      <c r="G181" s="67">
        <f t="shared" si="76"/>
        <v>19989406.26645577</v>
      </c>
      <c r="H181" s="67">
        <f t="shared" si="76"/>
        <v>60173850.627423033</v>
      </c>
      <c r="I181" s="67">
        <f t="shared" si="76"/>
        <v>60173850.627423033</v>
      </c>
      <c r="J181" s="67">
        <f t="shared" si="76"/>
        <v>60173850.627423033</v>
      </c>
      <c r="K181" s="67">
        <f t="shared" si="76"/>
        <v>60173850.627423033</v>
      </c>
      <c r="L181" s="67">
        <f t="shared" si="76"/>
        <v>60173850.627423033</v>
      </c>
      <c r="M181" s="67">
        <f t="shared" si="76"/>
        <v>60173850.627423033</v>
      </c>
      <c r="N181" s="164"/>
      <c r="O181" s="12"/>
    </row>
    <row r="182" spans="2:15" x14ac:dyDescent="0.15">
      <c r="B182" s="103">
        <v>0.1</v>
      </c>
      <c r="C182" s="67">
        <f>C170</f>
        <v>-92550000</v>
      </c>
      <c r="D182" s="67">
        <f t="shared" ref="D182:M182" si="77">C182+D170</f>
        <v>-49435560.344827585</v>
      </c>
      <c r="E182" s="67">
        <f t="shared" si="77"/>
        <v>-16585684.824613534</v>
      </c>
      <c r="F182" s="67">
        <f t="shared" si="77"/>
        <v>6120627.5012076572</v>
      </c>
      <c r="G182" s="67">
        <f t="shared" si="77"/>
        <v>19989406.26645577</v>
      </c>
      <c r="H182" s="67">
        <f t="shared" si="77"/>
        <v>60173850.627423033</v>
      </c>
      <c r="I182" s="67">
        <f t="shared" si="77"/>
        <v>60173850.627423033</v>
      </c>
      <c r="J182" s="67">
        <f t="shared" si="77"/>
        <v>60173850.627423033</v>
      </c>
      <c r="K182" s="67">
        <f t="shared" si="77"/>
        <v>60173850.627423033</v>
      </c>
      <c r="L182" s="67">
        <f t="shared" si="77"/>
        <v>60173850.627423033</v>
      </c>
      <c r="M182" s="67">
        <f t="shared" si="77"/>
        <v>60173850.627423033</v>
      </c>
      <c r="N182" s="164"/>
      <c r="O182" s="12"/>
    </row>
    <row r="183" spans="2:15" x14ac:dyDescent="0.15">
      <c r="B183" s="103">
        <v>0.15</v>
      </c>
      <c r="C183" s="67">
        <f>C171</f>
        <v>-92550000</v>
      </c>
      <c r="D183" s="67">
        <f t="shared" ref="D183:M183" si="78">C183+D171</f>
        <v>-49435560.344827585</v>
      </c>
      <c r="E183" s="67">
        <f t="shared" si="78"/>
        <v>-16585684.824613534</v>
      </c>
      <c r="F183" s="67">
        <f t="shared" si="78"/>
        <v>6120627.5012076572</v>
      </c>
      <c r="G183" s="67">
        <f t="shared" si="78"/>
        <v>19989406.26645577</v>
      </c>
      <c r="H183" s="67">
        <f t="shared" si="78"/>
        <v>60173850.627423033</v>
      </c>
      <c r="I183" s="67">
        <f t="shared" si="78"/>
        <v>60173850.627423033</v>
      </c>
      <c r="J183" s="67">
        <f t="shared" si="78"/>
        <v>60173850.627423033</v>
      </c>
      <c r="K183" s="67">
        <f t="shared" si="78"/>
        <v>60173850.627423033</v>
      </c>
      <c r="L183" s="67">
        <f t="shared" si="78"/>
        <v>60173850.627423033</v>
      </c>
      <c r="M183" s="67">
        <f t="shared" si="78"/>
        <v>60173850.627423033</v>
      </c>
      <c r="N183" s="164"/>
      <c r="O183" s="12"/>
    </row>
    <row r="184" spans="2:15" x14ac:dyDescent="0.15">
      <c r="B184" s="103">
        <v>0.2</v>
      </c>
      <c r="C184" s="67">
        <f>C172</f>
        <v>-92550000</v>
      </c>
      <c r="D184" s="67">
        <f t="shared" ref="D184:M184" si="79">C184+D172</f>
        <v>-49435560.344827585</v>
      </c>
      <c r="E184" s="67">
        <f t="shared" si="79"/>
        <v>-16585684.824613534</v>
      </c>
      <c r="F184" s="67">
        <f t="shared" si="79"/>
        <v>6120627.5012076572</v>
      </c>
      <c r="G184" s="67">
        <f t="shared" si="79"/>
        <v>19989406.26645577</v>
      </c>
      <c r="H184" s="67">
        <f t="shared" si="79"/>
        <v>60173850.627423033</v>
      </c>
      <c r="I184" s="67">
        <f t="shared" si="79"/>
        <v>60173850.627423033</v>
      </c>
      <c r="J184" s="67">
        <f t="shared" si="79"/>
        <v>60173850.627423033</v>
      </c>
      <c r="K184" s="67">
        <f t="shared" si="79"/>
        <v>60173850.627423033</v>
      </c>
      <c r="L184" s="67">
        <f t="shared" si="79"/>
        <v>60173850.627423033</v>
      </c>
      <c r="M184" s="67">
        <f t="shared" si="79"/>
        <v>60173850.627423033</v>
      </c>
      <c r="N184" s="164"/>
      <c r="O184" s="12"/>
    </row>
    <row r="185" spans="2:15" ht="14" thickBot="1" x14ac:dyDescent="0.2">
      <c r="B185" s="103">
        <v>0.25</v>
      </c>
      <c r="C185" s="95">
        <f>C173</f>
        <v>-92550000</v>
      </c>
      <c r="D185" s="95">
        <f t="shared" ref="D185:M185" si="80">C185+D173</f>
        <v>-49435560.344827585</v>
      </c>
      <c r="E185" s="95">
        <f t="shared" si="80"/>
        <v>-16585684.824613534</v>
      </c>
      <c r="F185" s="95">
        <f t="shared" si="80"/>
        <v>6120627.5012076572</v>
      </c>
      <c r="G185" s="95">
        <f t="shared" si="80"/>
        <v>19989406.26645577</v>
      </c>
      <c r="H185" s="95">
        <f t="shared" si="80"/>
        <v>60173850.627423033</v>
      </c>
      <c r="I185" s="95">
        <f t="shared" si="80"/>
        <v>60173850.627423033</v>
      </c>
      <c r="J185" s="95">
        <f t="shared" si="80"/>
        <v>60173850.627423033</v>
      </c>
      <c r="K185" s="95">
        <f t="shared" si="80"/>
        <v>60173850.627423033</v>
      </c>
      <c r="L185" s="95">
        <f t="shared" si="80"/>
        <v>60173850.627423033</v>
      </c>
      <c r="M185" s="95">
        <f t="shared" si="80"/>
        <v>60173850.627423033</v>
      </c>
      <c r="N185" s="154"/>
      <c r="O185" s="94"/>
    </row>
    <row r="186" spans="2:15" ht="15" thickTop="1" thickBot="1" x14ac:dyDescent="0.2"/>
    <row r="187" spans="2:15" x14ac:dyDescent="0.15">
      <c r="B187" s="526" t="s">
        <v>436</v>
      </c>
      <c r="C187" s="527"/>
      <c r="D187" s="528" t="s">
        <v>652</v>
      </c>
      <c r="E187" s="526" t="s">
        <v>341</v>
      </c>
      <c r="F187" s="527"/>
      <c r="G187" s="529" t="s">
        <v>652</v>
      </c>
    </row>
    <row r="188" spans="2:15" x14ac:dyDescent="0.15">
      <c r="B188" s="530">
        <v>-0.25</v>
      </c>
      <c r="C188" s="531">
        <f>IF(ISNUMBER(IRR(C150:M150)),IRR(C150:M150),"NMF")</f>
        <v>0.40549033935008683</v>
      </c>
      <c r="D188" s="532">
        <f>IF(C188="NMF","NMF",(C188-$C$193)/$C$193)</f>
        <v>0</v>
      </c>
      <c r="E188" s="530">
        <v>-0.25</v>
      </c>
      <c r="F188" s="533">
        <f>O163</f>
        <v>60173850.627423033</v>
      </c>
      <c r="G188" s="534">
        <f>IF(ISNUMBER((F188-$F$193)/$F$193),(F188-$F$193)/$F$193,"NMF")</f>
        <v>0</v>
      </c>
    </row>
    <row r="189" spans="2:15" x14ac:dyDescent="0.15">
      <c r="B189" s="530">
        <v>-0.2</v>
      </c>
      <c r="C189" s="531">
        <f t="shared" ref="C189:C198" si="81">IF(ISNUMBER(IRR(C151:M151)),IRR(C151:M151),"NMF")</f>
        <v>0.40549033935008683</v>
      </c>
      <c r="D189" s="532">
        <f t="shared" ref="D189:D198" si="82">IF(C189="NMF","NMF",(C189-$C$193)/$C$193)</f>
        <v>0</v>
      </c>
      <c r="E189" s="530">
        <v>-0.2</v>
      </c>
      <c r="F189" s="533">
        <f>O164</f>
        <v>60173850.627423033</v>
      </c>
      <c r="G189" s="534">
        <f t="shared" ref="G189:G198" si="83">IF(ISNUMBER((F189-$F$193)/$F$193),(F189-$F$193)/$F$193,"NMF")</f>
        <v>0</v>
      </c>
    </row>
    <row r="190" spans="2:15" x14ac:dyDescent="0.15">
      <c r="B190" s="530">
        <v>-0.15</v>
      </c>
      <c r="C190" s="531">
        <f t="shared" si="81"/>
        <v>0.40549033935008683</v>
      </c>
      <c r="D190" s="532">
        <f t="shared" si="82"/>
        <v>0</v>
      </c>
      <c r="E190" s="530">
        <v>-0.15</v>
      </c>
      <c r="F190" s="533">
        <f>O165</f>
        <v>60173850.627423033</v>
      </c>
      <c r="G190" s="534">
        <f t="shared" si="83"/>
        <v>0</v>
      </c>
    </row>
    <row r="191" spans="2:15" x14ac:dyDescent="0.15">
      <c r="B191" s="530">
        <v>-0.1</v>
      </c>
      <c r="C191" s="531">
        <f t="shared" si="81"/>
        <v>0.40549033935008683</v>
      </c>
      <c r="D191" s="532">
        <f t="shared" si="82"/>
        <v>0</v>
      </c>
      <c r="E191" s="530">
        <v>-0.1</v>
      </c>
      <c r="F191" s="533">
        <f>O166</f>
        <v>60173850.627423033</v>
      </c>
      <c r="G191" s="534">
        <f t="shared" si="83"/>
        <v>0</v>
      </c>
    </row>
    <row r="192" spans="2:15" x14ac:dyDescent="0.15">
      <c r="B192" s="530">
        <v>-0.05</v>
      </c>
      <c r="C192" s="531">
        <f t="shared" si="81"/>
        <v>0.40549033935008683</v>
      </c>
      <c r="D192" s="532">
        <f t="shared" si="82"/>
        <v>0</v>
      </c>
      <c r="E192" s="530">
        <v>-0.05</v>
      </c>
      <c r="F192" s="533">
        <f>O167</f>
        <v>60173850.627423033</v>
      </c>
      <c r="G192" s="534">
        <f t="shared" si="83"/>
        <v>0</v>
      </c>
    </row>
    <row r="193" spans="2:7" x14ac:dyDescent="0.15">
      <c r="B193" s="535" t="s">
        <v>653</v>
      </c>
      <c r="C193" s="531">
        <f t="shared" si="81"/>
        <v>0.40549033935008683</v>
      </c>
      <c r="D193" s="532">
        <f t="shared" si="82"/>
        <v>0</v>
      </c>
      <c r="E193" s="535" t="s">
        <v>653</v>
      </c>
      <c r="F193" s="533">
        <f>'After Tax Analysis'!D38</f>
        <v>60173850.627423033</v>
      </c>
      <c r="G193" s="534">
        <f t="shared" si="83"/>
        <v>0</v>
      </c>
    </row>
    <row r="194" spans="2:7" x14ac:dyDescent="0.15">
      <c r="B194" s="530">
        <v>0.05</v>
      </c>
      <c r="C194" s="531">
        <f t="shared" si="81"/>
        <v>0.40549033935008683</v>
      </c>
      <c r="D194" s="532">
        <f t="shared" si="82"/>
        <v>0</v>
      </c>
      <c r="E194" s="530">
        <v>0.05</v>
      </c>
      <c r="F194" s="533">
        <f>O169</f>
        <v>60173850.627423033</v>
      </c>
      <c r="G194" s="534">
        <f t="shared" si="83"/>
        <v>0</v>
      </c>
    </row>
    <row r="195" spans="2:7" x14ac:dyDescent="0.15">
      <c r="B195" s="530">
        <v>0.1</v>
      </c>
      <c r="C195" s="531">
        <f t="shared" si="81"/>
        <v>0.40549033935008683</v>
      </c>
      <c r="D195" s="532">
        <f t="shared" si="82"/>
        <v>0</v>
      </c>
      <c r="E195" s="530">
        <v>0.1</v>
      </c>
      <c r="F195" s="533">
        <f>O170</f>
        <v>60173850.627423033</v>
      </c>
      <c r="G195" s="534">
        <f t="shared" si="83"/>
        <v>0</v>
      </c>
    </row>
    <row r="196" spans="2:7" x14ac:dyDescent="0.15">
      <c r="B196" s="530">
        <v>0.15</v>
      </c>
      <c r="C196" s="531">
        <f t="shared" si="81"/>
        <v>0.40549033935008683</v>
      </c>
      <c r="D196" s="532">
        <f t="shared" si="82"/>
        <v>0</v>
      </c>
      <c r="E196" s="530">
        <v>0.15</v>
      </c>
      <c r="F196" s="533">
        <f>O171</f>
        <v>60173850.627423033</v>
      </c>
      <c r="G196" s="534">
        <f t="shared" si="83"/>
        <v>0</v>
      </c>
    </row>
    <row r="197" spans="2:7" x14ac:dyDescent="0.15">
      <c r="B197" s="530">
        <v>0.2</v>
      </c>
      <c r="C197" s="531">
        <f t="shared" si="81"/>
        <v>0.40549033935008683</v>
      </c>
      <c r="D197" s="532">
        <f t="shared" si="82"/>
        <v>0</v>
      </c>
      <c r="E197" s="530">
        <v>0.2</v>
      </c>
      <c r="F197" s="533">
        <f>O172</f>
        <v>60173850.627423033</v>
      </c>
      <c r="G197" s="534">
        <f t="shared" si="83"/>
        <v>0</v>
      </c>
    </row>
    <row r="198" spans="2:7" ht="14" thickBot="1" x14ac:dyDescent="0.2">
      <c r="B198" s="536">
        <v>0.25</v>
      </c>
      <c r="C198" s="531">
        <f t="shared" si="81"/>
        <v>0.40549033935008683</v>
      </c>
      <c r="D198" s="532">
        <f t="shared" si="82"/>
        <v>0</v>
      </c>
      <c r="E198" s="536">
        <v>0.25</v>
      </c>
      <c r="F198" s="537">
        <f>O173</f>
        <v>60173850.627423033</v>
      </c>
      <c r="G198" s="534">
        <f t="shared" si="83"/>
        <v>0</v>
      </c>
    </row>
  </sheetData>
  <sheetProtection password="AA36" sheet="1" objects="1" scenarios="1"/>
  <phoneticPr fontId="0" type="noConversion"/>
  <pageMargins left="0.75" right="0.75" top="1" bottom="1" header="0.5" footer="0.5"/>
  <pageSetup scale="35" fitToHeight="2" orientation="landscape"/>
  <headerFooter alignWithMargins="0">
    <oddHeader>&amp;LEngineering Economics Model for Senior Design&amp;R&amp;"Times New Roman,Bold"&amp;14Financing Sensitivity Wksht</oddHeader>
    <oddFooter>&amp;LJ:/EM355/Spring01/Labs/EEworkingfolder/&amp;F&amp;CPage &amp;P of &amp;N&amp;R&amp;T&amp;D</oddFoot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198"/>
  <sheetViews>
    <sheetView workbookViewId="0"/>
  </sheetViews>
  <sheetFormatPr baseColWidth="10" defaultColWidth="8.83203125" defaultRowHeight="13" x14ac:dyDescent="0.15"/>
  <cols>
    <col min="2" max="2" width="30.1640625" customWidth="1"/>
    <col min="3" max="3" width="21.83203125" customWidth="1"/>
    <col min="4" max="4" width="18.5" customWidth="1"/>
    <col min="5" max="6" width="15" bestFit="1" customWidth="1"/>
    <col min="7" max="7" width="18.5" bestFit="1" customWidth="1"/>
    <col min="8" max="8" width="15" bestFit="1" customWidth="1"/>
    <col min="9" max="13" width="14.5" bestFit="1" customWidth="1"/>
    <col min="14" max="14" width="4.33203125" customWidth="1"/>
    <col min="15" max="15" width="16" customWidth="1"/>
  </cols>
  <sheetData>
    <row r="1" spans="1:5" ht="16" x14ac:dyDescent="0.2">
      <c r="A1" s="48" t="s">
        <v>654</v>
      </c>
    </row>
    <row r="2" spans="1:5" x14ac:dyDescent="0.15">
      <c r="B2" t="s">
        <v>646</v>
      </c>
    </row>
    <row r="3" spans="1:5" x14ac:dyDescent="0.15">
      <c r="B3" s="539" t="s">
        <v>647</v>
      </c>
    </row>
    <row r="4" spans="1:5" ht="28" x14ac:dyDescent="0.15">
      <c r="C4" s="23" t="s">
        <v>648</v>
      </c>
      <c r="D4" s="61">
        <f>'Loan Amortization'!D5</f>
        <v>0</v>
      </c>
      <c r="E4" s="26" t="s">
        <v>435</v>
      </c>
    </row>
    <row r="5" spans="1:5" x14ac:dyDescent="0.15">
      <c r="C5" s="103">
        <v>-0.25</v>
      </c>
      <c r="D5" s="107">
        <f>D4*0.75</f>
        <v>0</v>
      </c>
      <c r="E5" s="574">
        <f>IF(ISNUMBER(D5/'Capital &amp; Depr'!$E$20),(D5/'Capital &amp; Depr'!$E$20),"NMF")</f>
        <v>0</v>
      </c>
    </row>
    <row r="6" spans="1:5" x14ac:dyDescent="0.15">
      <c r="C6" s="103">
        <v>-0.2</v>
      </c>
      <c r="D6" s="107">
        <f>D4*0.8</f>
        <v>0</v>
      </c>
      <c r="E6" s="574">
        <f>IF(ISNUMBER(D6/'Capital &amp; Depr'!$E$20),(D6/'Capital &amp; Depr'!$E$20),"NMF")</f>
        <v>0</v>
      </c>
    </row>
    <row r="7" spans="1:5" x14ac:dyDescent="0.15">
      <c r="C7" s="103">
        <v>-0.15</v>
      </c>
      <c r="D7" s="107">
        <f>D4*0.85</f>
        <v>0</v>
      </c>
      <c r="E7" s="574">
        <f>IF(ISNUMBER(D7/'Capital &amp; Depr'!$E$20),(D7/'Capital &amp; Depr'!$E$20),"NMF")</f>
        <v>0</v>
      </c>
    </row>
    <row r="8" spans="1:5" x14ac:dyDescent="0.15">
      <c r="C8" s="103">
        <v>-0.1</v>
      </c>
      <c r="D8" s="107">
        <f>D4*0.9</f>
        <v>0</v>
      </c>
      <c r="E8" s="574">
        <f>IF(ISNUMBER(D8/'Capital &amp; Depr'!$E$20),(D8/'Capital &amp; Depr'!$E$20),"NMF")</f>
        <v>0</v>
      </c>
    </row>
    <row r="9" spans="1:5" x14ac:dyDescent="0.15">
      <c r="C9" s="103">
        <v>-0.05</v>
      </c>
      <c r="D9" s="107">
        <f>D4*0.95</f>
        <v>0</v>
      </c>
      <c r="E9" s="574">
        <f>IF(ISNUMBER(D9/'Capital &amp; Depr'!$E$20),(D9/'Capital &amp; Depr'!$E$20),"NMF")</f>
        <v>0</v>
      </c>
    </row>
    <row r="10" spans="1:5" x14ac:dyDescent="0.15">
      <c r="C10" s="103">
        <v>0</v>
      </c>
      <c r="D10" s="107">
        <f>D4</f>
        <v>0</v>
      </c>
      <c r="E10" s="574">
        <f>IF(ISNUMBER(D10/'Capital &amp; Depr'!$E$20),(D10/'Capital &amp; Depr'!$E$20),"NMF")</f>
        <v>0</v>
      </c>
    </row>
    <row r="11" spans="1:5" x14ac:dyDescent="0.15">
      <c r="C11" s="103">
        <v>0.05</v>
      </c>
      <c r="D11" s="107">
        <f>D4*1.05</f>
        <v>0</v>
      </c>
      <c r="E11" s="574">
        <f>IF(ISNUMBER(D11/'Capital &amp; Depr'!$E$20),(D11/'Capital &amp; Depr'!$E$20),"NMF")</f>
        <v>0</v>
      </c>
    </row>
    <row r="12" spans="1:5" x14ac:dyDescent="0.15">
      <c r="C12" s="103">
        <v>0.1</v>
      </c>
      <c r="D12" s="107">
        <f>D4*1.1</f>
        <v>0</v>
      </c>
      <c r="E12" s="574">
        <f>IF(ISNUMBER(D12/'Capital &amp; Depr'!$E$20),(D12/'Capital &amp; Depr'!$E$20),"NMF")</f>
        <v>0</v>
      </c>
    </row>
    <row r="13" spans="1:5" x14ac:dyDescent="0.15">
      <c r="C13" s="103">
        <v>0.15</v>
      </c>
      <c r="D13" s="107">
        <f>D4*1.15</f>
        <v>0</v>
      </c>
      <c r="E13" s="574">
        <f>IF(ISNUMBER(D13/'Capital &amp; Depr'!$E$20),(D13/'Capital &amp; Depr'!$E$20),"NMF")</f>
        <v>0</v>
      </c>
    </row>
    <row r="14" spans="1:5" x14ac:dyDescent="0.15">
      <c r="C14" s="103">
        <v>0.2</v>
      </c>
      <c r="D14" s="107">
        <f>D4*1.2</f>
        <v>0</v>
      </c>
      <c r="E14" s="574">
        <f>IF(ISNUMBER(D14/'Capital &amp; Depr'!$E$20),(D14/'Capital &amp; Depr'!$E$20),"NMF")</f>
        <v>0</v>
      </c>
    </row>
    <row r="15" spans="1:5" x14ac:dyDescent="0.15">
      <c r="C15" s="103">
        <v>0.25</v>
      </c>
      <c r="D15" s="107">
        <f>D4*1.25</f>
        <v>0</v>
      </c>
      <c r="E15" s="574">
        <f>IF(ISNUMBER(D15/'Capital &amp; Depr'!$E$20),(D15/'Capital &amp; Depr'!$E$20),"NMF")</f>
        <v>0</v>
      </c>
    </row>
    <row r="17" spans="2:15" x14ac:dyDescent="0.15">
      <c r="B17" t="s">
        <v>283</v>
      </c>
    </row>
    <row r="18" spans="2:15" x14ac:dyDescent="0.15">
      <c r="B18" s="12" t="s">
        <v>630</v>
      </c>
      <c r="C18" s="26">
        <v>0</v>
      </c>
      <c r="D18" s="26">
        <v>1</v>
      </c>
      <c r="E18" s="26">
        <v>2</v>
      </c>
      <c r="F18" s="26">
        <v>3</v>
      </c>
      <c r="G18" s="26">
        <v>4</v>
      </c>
      <c r="H18" s="26">
        <v>5</v>
      </c>
      <c r="I18" s="26">
        <v>6</v>
      </c>
      <c r="J18" s="26">
        <v>7</v>
      </c>
      <c r="K18" s="26">
        <v>8</v>
      </c>
      <c r="L18" s="26">
        <v>9</v>
      </c>
      <c r="M18" s="26">
        <v>10</v>
      </c>
      <c r="N18" s="26" t="s">
        <v>284</v>
      </c>
      <c r="O18" s="91" t="s">
        <v>216</v>
      </c>
    </row>
    <row r="19" spans="2:15" x14ac:dyDescent="0.15">
      <c r="B19" s="12" t="s">
        <v>631</v>
      </c>
      <c r="C19" s="12"/>
      <c r="D19" s="61">
        <f>'After Tax Analysis'!E8</f>
        <v>300000000</v>
      </c>
      <c r="E19" s="61">
        <f>'After Tax Analysis'!F8</f>
        <v>313500000.00000006</v>
      </c>
      <c r="F19" s="61">
        <f>'After Tax Analysis'!G8</f>
        <v>327607500.00000006</v>
      </c>
      <c r="G19" s="61">
        <f>'After Tax Analysis'!H8</f>
        <v>342349837.50000012</v>
      </c>
      <c r="H19" s="61">
        <f>'After Tax Analysis'!I8</f>
        <v>357755580.18750012</v>
      </c>
      <c r="I19" s="61">
        <f>'After Tax Analysis'!J8</f>
        <v>0</v>
      </c>
      <c r="J19" s="61">
        <f>'After Tax Analysis'!K8</f>
        <v>0</v>
      </c>
      <c r="K19" s="61">
        <f>'After Tax Analysis'!L8</f>
        <v>0</v>
      </c>
      <c r="L19" s="61">
        <f>'After Tax Analysis'!M8</f>
        <v>0</v>
      </c>
      <c r="M19" s="61">
        <f>'After Tax Analysis'!N8</f>
        <v>0</v>
      </c>
      <c r="N19" s="162"/>
      <c r="O19" s="63">
        <f>SUM(D19:M19)</f>
        <v>1641212917.6875</v>
      </c>
    </row>
    <row r="20" spans="2:15" x14ac:dyDescent="0.15">
      <c r="B20" s="12" t="s">
        <v>632</v>
      </c>
      <c r="C20" s="12"/>
      <c r="D20" s="61">
        <f>'After Tax Analysis'!E9</f>
        <v>230170000</v>
      </c>
      <c r="E20" s="61">
        <f>'After Tax Analysis'!F9</f>
        <v>253018375.00000003</v>
      </c>
      <c r="F20" s="61">
        <f>'After Tax Analysis'!G9</f>
        <v>278725718.45125008</v>
      </c>
      <c r="G20" s="61">
        <f>'After Tax Analysis'!H9</f>
        <v>307665975.06072807</v>
      </c>
      <c r="H20" s="61">
        <f>'After Tax Analysis'!I9</f>
        <v>340262566.36057305</v>
      </c>
      <c r="I20" s="61">
        <f>'After Tax Analysis'!J9</f>
        <v>0</v>
      </c>
      <c r="J20" s="61">
        <f>'After Tax Analysis'!K9</f>
        <v>0</v>
      </c>
      <c r="K20" s="61">
        <f>'After Tax Analysis'!L9</f>
        <v>0</v>
      </c>
      <c r="L20" s="61">
        <f>'After Tax Analysis'!M9</f>
        <v>0</v>
      </c>
      <c r="M20" s="61">
        <f>'After Tax Analysis'!N9</f>
        <v>0</v>
      </c>
      <c r="N20" s="162"/>
      <c r="O20" s="63">
        <f>SUM(D20:M20)</f>
        <v>1409842634.8725512</v>
      </c>
    </row>
    <row r="21" spans="2:15" x14ac:dyDescent="0.15">
      <c r="B21" s="12" t="s">
        <v>633</v>
      </c>
      <c r="C21" s="12"/>
      <c r="D21" s="67">
        <f>D19-D20</f>
        <v>69830000</v>
      </c>
      <c r="E21" s="67">
        <f t="shared" ref="E21:L21" si="0">E19-E20</f>
        <v>60481625.00000003</v>
      </c>
      <c r="F21" s="67">
        <f t="shared" si="0"/>
        <v>48881781.548749983</v>
      </c>
      <c r="G21" s="67">
        <f t="shared" si="0"/>
        <v>34683862.439272046</v>
      </c>
      <c r="H21" s="67">
        <f t="shared" si="0"/>
        <v>17493013.826927066</v>
      </c>
      <c r="I21" s="67">
        <f t="shared" si="0"/>
        <v>0</v>
      </c>
      <c r="J21" s="67">
        <f t="shared" si="0"/>
        <v>0</v>
      </c>
      <c r="K21" s="67">
        <f t="shared" si="0"/>
        <v>0</v>
      </c>
      <c r="L21" s="67">
        <f t="shared" si="0"/>
        <v>0</v>
      </c>
      <c r="M21" s="67">
        <f>M19-M20</f>
        <v>0</v>
      </c>
      <c r="N21" s="162"/>
      <c r="O21" s="67">
        <f>SUM(D21:M21)</f>
        <v>231370282.81494913</v>
      </c>
    </row>
    <row r="22" spans="2:15" x14ac:dyDescent="0.15">
      <c r="B22" s="12" t="s">
        <v>292</v>
      </c>
      <c r="C22" s="12"/>
      <c r="D22" s="92">
        <f>'After Tax Analysis'!E11</f>
        <v>3772500</v>
      </c>
      <c r="E22" s="92">
        <f>'After Tax Analysis'!F11</f>
        <v>6218850</v>
      </c>
      <c r="F22" s="92">
        <f>'After Tax Analysis'!G11</f>
        <v>4083150</v>
      </c>
      <c r="G22" s="92">
        <f>'After Tax Analysis'!H11</f>
        <v>2775510</v>
      </c>
      <c r="H22" s="92">
        <f>'After Tax Analysis'!I11</f>
        <v>1352955</v>
      </c>
      <c r="I22" s="92">
        <f>'After Tax Analysis'!J11</f>
        <v>0</v>
      </c>
      <c r="J22" s="92">
        <f>'After Tax Analysis'!K11</f>
        <v>0</v>
      </c>
      <c r="K22" s="92">
        <f>'After Tax Analysis'!L11</f>
        <v>0</v>
      </c>
      <c r="L22" s="92">
        <f>'After Tax Analysis'!M11</f>
        <v>0</v>
      </c>
      <c r="M22" s="92">
        <f>'After Tax Analysis'!N11</f>
        <v>0</v>
      </c>
      <c r="N22" s="162"/>
      <c r="O22" s="67">
        <f>SUM(D22:M22)</f>
        <v>18202965</v>
      </c>
    </row>
    <row r="23" spans="2:15" x14ac:dyDescent="0.15">
      <c r="B23" s="12" t="s">
        <v>633</v>
      </c>
      <c r="C23" s="12"/>
      <c r="D23" s="67">
        <f>D21-D22</f>
        <v>66057500</v>
      </c>
      <c r="E23" s="67">
        <f t="shared" ref="E23:L23" si="1">E21-E22</f>
        <v>54262775.00000003</v>
      </c>
      <c r="F23" s="67">
        <f t="shared" si="1"/>
        <v>44798631.548749983</v>
      </c>
      <c r="G23" s="67">
        <f t="shared" si="1"/>
        <v>31908352.439272046</v>
      </c>
      <c r="H23" s="67">
        <f t="shared" si="1"/>
        <v>16140058.826927066</v>
      </c>
      <c r="I23" s="67">
        <f t="shared" si="1"/>
        <v>0</v>
      </c>
      <c r="J23" s="67">
        <f t="shared" si="1"/>
        <v>0</v>
      </c>
      <c r="K23" s="67">
        <f t="shared" si="1"/>
        <v>0</v>
      </c>
      <c r="L23" s="67">
        <f t="shared" si="1"/>
        <v>0</v>
      </c>
      <c r="M23" s="67">
        <f>M21-M22</f>
        <v>0</v>
      </c>
      <c r="N23" s="162"/>
      <c r="O23" s="67">
        <f>SUM(D23:M23)</f>
        <v>213167317.81494913</v>
      </c>
    </row>
    <row r="24" spans="2:15" x14ac:dyDescent="0.15">
      <c r="B24" s="12" t="s">
        <v>462</v>
      </c>
      <c r="C24" s="28" t="s">
        <v>655</v>
      </c>
      <c r="D24" s="67"/>
      <c r="E24" s="67"/>
      <c r="F24" s="67"/>
      <c r="G24" s="67"/>
      <c r="H24" s="67"/>
      <c r="I24" s="67"/>
      <c r="J24" s="67"/>
      <c r="K24" s="67"/>
      <c r="L24" s="67"/>
      <c r="M24" s="67"/>
      <c r="N24" s="162"/>
      <c r="O24" s="67"/>
    </row>
    <row r="25" spans="2:15" x14ac:dyDescent="0.15">
      <c r="B25" s="103">
        <v>-0.25</v>
      </c>
      <c r="C25" s="12"/>
      <c r="D25" s="110">
        <f>-'Level Prin Paymt Fin Sens Calc'!D37</f>
        <v>0</v>
      </c>
      <c r="E25" s="110">
        <f>-'Level Prin Paymt Fin Sens Calc'!E37</f>
        <v>0</v>
      </c>
      <c r="F25" s="110">
        <f>-'Level Prin Paymt Fin Sens Calc'!F37</f>
        <v>0</v>
      </c>
      <c r="G25" s="110">
        <f>-'Level Prin Paymt Fin Sens Calc'!G37</f>
        <v>0</v>
      </c>
      <c r="H25" s="110">
        <f>-'Level Prin Paymt Fin Sens Calc'!H37</f>
        <v>0</v>
      </c>
      <c r="I25" s="110">
        <f>-'Level Prin Paymt Fin Sens Calc'!I37</f>
        <v>0</v>
      </c>
      <c r="J25" s="110">
        <f>-'Level Prin Paymt Fin Sens Calc'!J37</f>
        <v>0</v>
      </c>
      <c r="K25" s="110">
        <f>-'Level Prin Paymt Fin Sens Calc'!K37</f>
        <v>0</v>
      </c>
      <c r="L25" s="110">
        <f>-'Level Prin Paymt Fin Sens Calc'!L37</f>
        <v>0</v>
      </c>
      <c r="M25" s="110">
        <f>-'Level Prin Paymt Fin Sens Calc'!M37</f>
        <v>0</v>
      </c>
      <c r="N25" s="162"/>
      <c r="O25" s="67">
        <f t="shared" ref="O25:O35" si="2">SUM(D25:M25)</f>
        <v>0</v>
      </c>
    </row>
    <row r="26" spans="2:15" x14ac:dyDescent="0.15">
      <c r="B26" s="103">
        <v>-0.2</v>
      </c>
      <c r="C26" s="12"/>
      <c r="D26" s="110">
        <f>-'Level Prin Paymt Fin Sens Calc'!D58</f>
        <v>0</v>
      </c>
      <c r="E26" s="110">
        <f>-'Level Prin Paymt Fin Sens Calc'!E58</f>
        <v>0</v>
      </c>
      <c r="F26" s="110">
        <f>-'Level Prin Paymt Fin Sens Calc'!F58</f>
        <v>0</v>
      </c>
      <c r="G26" s="110">
        <f>-'Level Prin Paymt Fin Sens Calc'!G58</f>
        <v>0</v>
      </c>
      <c r="H26" s="110">
        <f>-'Level Prin Paymt Fin Sens Calc'!H58</f>
        <v>0</v>
      </c>
      <c r="I26" s="110">
        <f>-'Level Prin Paymt Fin Sens Calc'!I58</f>
        <v>0</v>
      </c>
      <c r="J26" s="110">
        <f>-'Level Prin Paymt Fin Sens Calc'!J58</f>
        <v>0</v>
      </c>
      <c r="K26" s="110">
        <f>-'Level Prin Paymt Fin Sens Calc'!K58</f>
        <v>0</v>
      </c>
      <c r="L26" s="110">
        <f>-'Level Prin Paymt Fin Sens Calc'!L58</f>
        <v>0</v>
      </c>
      <c r="M26" s="110">
        <f>-'Level Prin Paymt Fin Sens Calc'!M58</f>
        <v>0</v>
      </c>
      <c r="N26" s="162"/>
      <c r="O26" s="67">
        <f t="shared" si="2"/>
        <v>0</v>
      </c>
    </row>
    <row r="27" spans="2:15" x14ac:dyDescent="0.15">
      <c r="B27" s="103">
        <v>-0.15</v>
      </c>
      <c r="C27" s="12"/>
      <c r="D27" s="110">
        <f>-'Level Prin Paymt Fin Sens Calc'!D79</f>
        <v>0</v>
      </c>
      <c r="E27" s="110">
        <f>-'Level Prin Paymt Fin Sens Calc'!E79</f>
        <v>0</v>
      </c>
      <c r="F27" s="110">
        <f>-'Level Prin Paymt Fin Sens Calc'!F79</f>
        <v>0</v>
      </c>
      <c r="G27" s="110">
        <f>-'Level Prin Paymt Fin Sens Calc'!G79</f>
        <v>0</v>
      </c>
      <c r="H27" s="110">
        <f>-'Level Prin Paymt Fin Sens Calc'!H79</f>
        <v>0</v>
      </c>
      <c r="I27" s="110">
        <f>-'Level Prin Paymt Fin Sens Calc'!I79</f>
        <v>0</v>
      </c>
      <c r="J27" s="110">
        <f>-'Level Prin Paymt Fin Sens Calc'!J79</f>
        <v>0</v>
      </c>
      <c r="K27" s="110">
        <f>-'Level Prin Paymt Fin Sens Calc'!K79</f>
        <v>0</v>
      </c>
      <c r="L27" s="110">
        <f>-'Level Prin Paymt Fin Sens Calc'!L79</f>
        <v>0</v>
      </c>
      <c r="M27" s="110">
        <f>-'Level Prin Paymt Fin Sens Calc'!M79</f>
        <v>0</v>
      </c>
      <c r="N27" s="162"/>
      <c r="O27" s="107">
        <f t="shared" si="2"/>
        <v>0</v>
      </c>
    </row>
    <row r="28" spans="2:15" x14ac:dyDescent="0.15">
      <c r="B28" s="103">
        <v>-0.1</v>
      </c>
      <c r="C28" s="12"/>
      <c r="D28" s="110">
        <f>-'Level Prin Paymt Fin Sens Calc'!D100</f>
        <v>0</v>
      </c>
      <c r="E28" s="110">
        <f>-'Level Prin Paymt Fin Sens Calc'!E100</f>
        <v>0</v>
      </c>
      <c r="F28" s="110">
        <f>-'Level Prin Paymt Fin Sens Calc'!F100</f>
        <v>0</v>
      </c>
      <c r="G28" s="110">
        <f>-'Level Prin Paymt Fin Sens Calc'!G100</f>
        <v>0</v>
      </c>
      <c r="H28" s="110">
        <f>-'Level Prin Paymt Fin Sens Calc'!H100</f>
        <v>0</v>
      </c>
      <c r="I28" s="110">
        <f>-'Level Prin Paymt Fin Sens Calc'!I100</f>
        <v>0</v>
      </c>
      <c r="J28" s="110">
        <f>-'Level Prin Paymt Fin Sens Calc'!J100</f>
        <v>0</v>
      </c>
      <c r="K28" s="110">
        <f>-'Level Prin Paymt Fin Sens Calc'!K100</f>
        <v>0</v>
      </c>
      <c r="L28" s="110">
        <f>-'Level Prin Paymt Fin Sens Calc'!L100</f>
        <v>0</v>
      </c>
      <c r="M28" s="110">
        <f>-'Level Prin Paymt Fin Sens Calc'!M100</f>
        <v>0</v>
      </c>
      <c r="N28" s="162"/>
      <c r="O28" s="67">
        <f t="shared" si="2"/>
        <v>0</v>
      </c>
    </row>
    <row r="29" spans="2:15" x14ac:dyDescent="0.15">
      <c r="B29" s="103">
        <v>-0.05</v>
      </c>
      <c r="C29" s="12"/>
      <c r="D29" s="110">
        <f>-'Level Prin Paymt Fin Sens Calc'!D121</f>
        <v>0</v>
      </c>
      <c r="E29" s="110">
        <f>-'Level Prin Paymt Fin Sens Calc'!E121</f>
        <v>0</v>
      </c>
      <c r="F29" s="110">
        <f>-'Level Prin Paymt Fin Sens Calc'!F121</f>
        <v>0</v>
      </c>
      <c r="G29" s="110">
        <f>-'Level Prin Paymt Fin Sens Calc'!G121</f>
        <v>0</v>
      </c>
      <c r="H29" s="110">
        <f>-'Level Prin Paymt Fin Sens Calc'!H121</f>
        <v>0</v>
      </c>
      <c r="I29" s="110">
        <f>-'Level Prin Paymt Fin Sens Calc'!I121</f>
        <v>0</v>
      </c>
      <c r="J29" s="110">
        <f>-'Level Prin Paymt Fin Sens Calc'!J121</f>
        <v>0</v>
      </c>
      <c r="K29" s="110">
        <f>-'Level Prin Paymt Fin Sens Calc'!K121</f>
        <v>0</v>
      </c>
      <c r="L29" s="110">
        <f>-'Level Prin Paymt Fin Sens Calc'!L121</f>
        <v>0</v>
      </c>
      <c r="M29" s="110">
        <f>-'Level Prin Paymt Fin Sens Calc'!M121</f>
        <v>0</v>
      </c>
      <c r="N29" s="162"/>
      <c r="O29" s="67">
        <f t="shared" si="2"/>
        <v>0</v>
      </c>
    </row>
    <row r="30" spans="2:15" x14ac:dyDescent="0.15">
      <c r="B30" s="563" t="s">
        <v>417</v>
      </c>
      <c r="C30" s="12"/>
      <c r="D30" s="110">
        <f>-'Level Prin Paymt Fin Sens Calc'!D142</f>
        <v>0</v>
      </c>
      <c r="E30" s="110">
        <f>-'Level Prin Paymt Fin Sens Calc'!E142</f>
        <v>0</v>
      </c>
      <c r="F30" s="110">
        <f>-'Level Prin Paymt Fin Sens Calc'!F142</f>
        <v>0</v>
      </c>
      <c r="G30" s="110">
        <f>-'Level Prin Paymt Fin Sens Calc'!G142</f>
        <v>0</v>
      </c>
      <c r="H30" s="110">
        <f>-'Level Prin Paymt Fin Sens Calc'!H142</f>
        <v>0</v>
      </c>
      <c r="I30" s="110">
        <f>-'Level Prin Paymt Fin Sens Calc'!I142</f>
        <v>0</v>
      </c>
      <c r="J30" s="110">
        <f>-'Level Prin Paymt Fin Sens Calc'!J142</f>
        <v>0</v>
      </c>
      <c r="K30" s="110">
        <f>-'Level Prin Paymt Fin Sens Calc'!K142</f>
        <v>0</v>
      </c>
      <c r="L30" s="110">
        <f>-'Level Prin Paymt Fin Sens Calc'!L142</f>
        <v>0</v>
      </c>
      <c r="M30" s="110">
        <f>-'Level Prin Paymt Fin Sens Calc'!M142</f>
        <v>0</v>
      </c>
      <c r="N30" s="162"/>
      <c r="O30" s="67">
        <f t="shared" si="2"/>
        <v>0</v>
      </c>
    </row>
    <row r="31" spans="2:15" x14ac:dyDescent="0.15">
      <c r="B31" s="103">
        <v>0.05</v>
      </c>
      <c r="C31" s="12"/>
      <c r="D31" s="110">
        <f>-'Level Prin Paymt Fin Sens Calc'!D163</f>
        <v>0</v>
      </c>
      <c r="E31" s="110">
        <f>-'Level Prin Paymt Fin Sens Calc'!E163</f>
        <v>0</v>
      </c>
      <c r="F31" s="110">
        <f>-'Level Prin Paymt Fin Sens Calc'!F163</f>
        <v>0</v>
      </c>
      <c r="G31" s="110">
        <f>-'Level Prin Paymt Fin Sens Calc'!G163</f>
        <v>0</v>
      </c>
      <c r="H31" s="110">
        <f>-'Level Prin Paymt Fin Sens Calc'!H163</f>
        <v>0</v>
      </c>
      <c r="I31" s="110">
        <f>-'Level Prin Paymt Fin Sens Calc'!I163</f>
        <v>0</v>
      </c>
      <c r="J31" s="110">
        <f>-'Level Prin Paymt Fin Sens Calc'!J163</f>
        <v>0</v>
      </c>
      <c r="K31" s="110">
        <f>-'Level Prin Paymt Fin Sens Calc'!K163</f>
        <v>0</v>
      </c>
      <c r="L31" s="110">
        <f>-'Level Prin Paymt Fin Sens Calc'!L163</f>
        <v>0</v>
      </c>
      <c r="M31" s="110">
        <f>-'Level Prin Paymt Fin Sens Calc'!M163</f>
        <v>0</v>
      </c>
      <c r="N31" s="162"/>
      <c r="O31" s="67">
        <f t="shared" si="2"/>
        <v>0</v>
      </c>
    </row>
    <row r="32" spans="2:15" x14ac:dyDescent="0.15">
      <c r="B32" s="103">
        <v>0.1</v>
      </c>
      <c r="C32" s="12"/>
      <c r="D32" s="110">
        <f>-'Level Prin Paymt Fin Sens Calc'!D184</f>
        <v>0</v>
      </c>
      <c r="E32" s="110">
        <f>-'Level Prin Paymt Fin Sens Calc'!E184</f>
        <v>0</v>
      </c>
      <c r="F32" s="110">
        <f>-'Level Prin Paymt Fin Sens Calc'!F184</f>
        <v>0</v>
      </c>
      <c r="G32" s="110">
        <f>-'Level Prin Paymt Fin Sens Calc'!G184</f>
        <v>0</v>
      </c>
      <c r="H32" s="110">
        <f>-'Level Prin Paymt Fin Sens Calc'!H184</f>
        <v>0</v>
      </c>
      <c r="I32" s="110">
        <f>-'Level Prin Paymt Fin Sens Calc'!I184</f>
        <v>0</v>
      </c>
      <c r="J32" s="110">
        <f>-'Level Prin Paymt Fin Sens Calc'!J184</f>
        <v>0</v>
      </c>
      <c r="K32" s="110">
        <f>-'Level Prin Paymt Fin Sens Calc'!K184</f>
        <v>0</v>
      </c>
      <c r="L32" s="110">
        <f>-'Level Prin Paymt Fin Sens Calc'!L184</f>
        <v>0</v>
      </c>
      <c r="M32" s="110">
        <f>-'Level Prin Paymt Fin Sens Calc'!M184</f>
        <v>0</v>
      </c>
      <c r="N32" s="162"/>
      <c r="O32" s="67">
        <f t="shared" si="2"/>
        <v>0</v>
      </c>
    </row>
    <row r="33" spans="2:15" x14ac:dyDescent="0.15">
      <c r="B33" s="103">
        <v>0.15</v>
      </c>
      <c r="C33" s="67"/>
      <c r="D33" s="110">
        <f>-'Level Prin Paymt Fin Sens Calc'!D205</f>
        <v>0</v>
      </c>
      <c r="E33" s="110">
        <f>-'Level Prin Paymt Fin Sens Calc'!E205</f>
        <v>0</v>
      </c>
      <c r="F33" s="110">
        <f>-'Level Prin Paymt Fin Sens Calc'!F205</f>
        <v>0</v>
      </c>
      <c r="G33" s="110">
        <f>-'Level Prin Paymt Fin Sens Calc'!G205</f>
        <v>0</v>
      </c>
      <c r="H33" s="110">
        <f>-'Level Prin Paymt Fin Sens Calc'!H205</f>
        <v>0</v>
      </c>
      <c r="I33" s="110">
        <f>-'Level Prin Paymt Fin Sens Calc'!I205</f>
        <v>0</v>
      </c>
      <c r="J33" s="110">
        <f>-'Level Prin Paymt Fin Sens Calc'!J205</f>
        <v>0</v>
      </c>
      <c r="K33" s="110">
        <f>-'Level Prin Paymt Fin Sens Calc'!K205</f>
        <v>0</v>
      </c>
      <c r="L33" s="110">
        <f>-'Level Prin Paymt Fin Sens Calc'!L205</f>
        <v>0</v>
      </c>
      <c r="M33" s="110">
        <f>-'Level Prin Paymt Fin Sens Calc'!M205</f>
        <v>0</v>
      </c>
      <c r="N33" s="162"/>
      <c r="O33" s="67">
        <f t="shared" si="2"/>
        <v>0</v>
      </c>
    </row>
    <row r="34" spans="2:15" x14ac:dyDescent="0.15">
      <c r="B34" s="103">
        <v>0.2</v>
      </c>
      <c r="C34" s="67"/>
      <c r="D34" s="110">
        <f>-'Level Prin Paymt Fin Sens Calc'!D226</f>
        <v>0</v>
      </c>
      <c r="E34" s="110">
        <f>-'Level Prin Paymt Fin Sens Calc'!E226</f>
        <v>0</v>
      </c>
      <c r="F34" s="110">
        <f>-'Level Prin Paymt Fin Sens Calc'!F226</f>
        <v>0</v>
      </c>
      <c r="G34" s="110">
        <f>-'Level Prin Paymt Fin Sens Calc'!G226</f>
        <v>0</v>
      </c>
      <c r="H34" s="110">
        <f>-'Level Prin Paymt Fin Sens Calc'!H226</f>
        <v>0</v>
      </c>
      <c r="I34" s="110">
        <f>-'Level Prin Paymt Fin Sens Calc'!I226</f>
        <v>0</v>
      </c>
      <c r="J34" s="110">
        <f>-'Level Prin Paymt Fin Sens Calc'!J226</f>
        <v>0</v>
      </c>
      <c r="K34" s="110">
        <f>-'Level Prin Paymt Fin Sens Calc'!K226</f>
        <v>0</v>
      </c>
      <c r="L34" s="110">
        <f>-'Level Prin Paymt Fin Sens Calc'!L226</f>
        <v>0</v>
      </c>
      <c r="M34" s="110">
        <f>-'Level Prin Paymt Fin Sens Calc'!M226</f>
        <v>0</v>
      </c>
      <c r="N34" s="162"/>
      <c r="O34" s="67">
        <f t="shared" si="2"/>
        <v>0</v>
      </c>
    </row>
    <row r="35" spans="2:15" x14ac:dyDescent="0.15">
      <c r="B35" s="103">
        <v>0.25</v>
      </c>
      <c r="C35" s="67"/>
      <c r="D35" s="110">
        <f>-'Level Prin Paymt Fin Sens Calc'!D247</f>
        <v>0</v>
      </c>
      <c r="E35" s="110">
        <f>-'Level Prin Paymt Fin Sens Calc'!E247</f>
        <v>0</v>
      </c>
      <c r="F35" s="110">
        <f>-'Level Prin Paymt Fin Sens Calc'!F247</f>
        <v>0</v>
      </c>
      <c r="G35" s="110">
        <f>-'Level Prin Paymt Fin Sens Calc'!G247</f>
        <v>0</v>
      </c>
      <c r="H35" s="110">
        <f>-'Level Prin Paymt Fin Sens Calc'!H247</f>
        <v>0</v>
      </c>
      <c r="I35" s="110">
        <f>-'Level Prin Paymt Fin Sens Calc'!I247</f>
        <v>0</v>
      </c>
      <c r="J35" s="110">
        <f>-'Level Prin Paymt Fin Sens Calc'!J247</f>
        <v>0</v>
      </c>
      <c r="K35" s="110">
        <f>-'Level Prin Paymt Fin Sens Calc'!K247</f>
        <v>0</v>
      </c>
      <c r="L35" s="110">
        <f>-'Level Prin Paymt Fin Sens Calc'!L247</f>
        <v>0</v>
      </c>
      <c r="M35" s="110">
        <f>-'Level Prin Paymt Fin Sens Calc'!M247</f>
        <v>0</v>
      </c>
      <c r="N35" s="162"/>
      <c r="O35" s="67">
        <f t="shared" si="2"/>
        <v>0</v>
      </c>
    </row>
    <row r="36" spans="2:15" x14ac:dyDescent="0.15">
      <c r="B36" s="12" t="s">
        <v>634</v>
      </c>
      <c r="C36" s="107"/>
      <c r="D36" s="107"/>
      <c r="E36" s="107"/>
      <c r="F36" s="107"/>
      <c r="G36" s="107"/>
      <c r="H36" s="107"/>
      <c r="I36" s="107"/>
      <c r="J36" s="107"/>
      <c r="K36" s="107"/>
      <c r="L36" s="107"/>
      <c r="M36" s="107"/>
      <c r="N36" s="162"/>
      <c r="O36" s="63"/>
    </row>
    <row r="37" spans="2:15" x14ac:dyDescent="0.15">
      <c r="B37" s="103">
        <v>-0.25</v>
      </c>
      <c r="C37" s="107"/>
      <c r="D37" s="109">
        <f>D$23-D25</f>
        <v>66057500</v>
      </c>
      <c r="E37" s="109">
        <f t="shared" ref="E37:M41" si="3">E$23-E25</f>
        <v>54262775.00000003</v>
      </c>
      <c r="F37" s="109">
        <f t="shared" si="3"/>
        <v>44798631.548749983</v>
      </c>
      <c r="G37" s="109">
        <f t="shared" si="3"/>
        <v>31908352.439272046</v>
      </c>
      <c r="H37" s="109">
        <f t="shared" si="3"/>
        <v>16140058.826927066</v>
      </c>
      <c r="I37" s="109">
        <f t="shared" si="3"/>
        <v>0</v>
      </c>
      <c r="J37" s="109">
        <f t="shared" si="3"/>
        <v>0</v>
      </c>
      <c r="K37" s="109">
        <f t="shared" si="3"/>
        <v>0</v>
      </c>
      <c r="L37" s="109">
        <f t="shared" si="3"/>
        <v>0</v>
      </c>
      <c r="M37" s="109">
        <f t="shared" si="3"/>
        <v>0</v>
      </c>
      <c r="N37" s="162"/>
      <c r="O37" s="63">
        <f t="shared" ref="O37:O47" si="4">SUM(D37:M37)</f>
        <v>213167317.81494913</v>
      </c>
    </row>
    <row r="38" spans="2:15" x14ac:dyDescent="0.15">
      <c r="B38" s="103">
        <v>-0.2</v>
      </c>
      <c r="C38" s="67"/>
      <c r="D38" s="109">
        <f>D$23-D26</f>
        <v>66057500</v>
      </c>
      <c r="E38" s="109">
        <f t="shared" si="3"/>
        <v>54262775.00000003</v>
      </c>
      <c r="F38" s="109">
        <f t="shared" si="3"/>
        <v>44798631.548749983</v>
      </c>
      <c r="G38" s="109">
        <f t="shared" si="3"/>
        <v>31908352.439272046</v>
      </c>
      <c r="H38" s="109">
        <f t="shared" si="3"/>
        <v>16140058.826927066</v>
      </c>
      <c r="I38" s="109">
        <f t="shared" si="3"/>
        <v>0</v>
      </c>
      <c r="J38" s="109">
        <f t="shared" si="3"/>
        <v>0</v>
      </c>
      <c r="K38" s="109">
        <f t="shared" si="3"/>
        <v>0</v>
      </c>
      <c r="L38" s="109">
        <f t="shared" si="3"/>
        <v>0</v>
      </c>
      <c r="M38" s="109">
        <f t="shared" si="3"/>
        <v>0</v>
      </c>
      <c r="N38" s="162"/>
      <c r="O38" s="109">
        <f t="shared" si="4"/>
        <v>213167317.81494913</v>
      </c>
    </row>
    <row r="39" spans="2:15" x14ac:dyDescent="0.15">
      <c r="B39" s="103">
        <v>-0.15</v>
      </c>
      <c r="C39" s="109"/>
      <c r="D39" s="109">
        <f>D$23-D27</f>
        <v>66057500</v>
      </c>
      <c r="E39" s="109">
        <f t="shared" si="3"/>
        <v>54262775.00000003</v>
      </c>
      <c r="F39" s="109">
        <f t="shared" si="3"/>
        <v>44798631.548749983</v>
      </c>
      <c r="G39" s="109">
        <f t="shared" si="3"/>
        <v>31908352.439272046</v>
      </c>
      <c r="H39" s="109">
        <f t="shared" si="3"/>
        <v>16140058.826927066</v>
      </c>
      <c r="I39" s="109">
        <f t="shared" si="3"/>
        <v>0</v>
      </c>
      <c r="J39" s="109">
        <f t="shared" si="3"/>
        <v>0</v>
      </c>
      <c r="K39" s="109">
        <f t="shared" si="3"/>
        <v>0</v>
      </c>
      <c r="L39" s="109">
        <f t="shared" si="3"/>
        <v>0</v>
      </c>
      <c r="M39" s="109">
        <f t="shared" si="3"/>
        <v>0</v>
      </c>
      <c r="N39" s="162"/>
      <c r="O39" s="67">
        <f t="shared" si="4"/>
        <v>213167317.81494913</v>
      </c>
    </row>
    <row r="40" spans="2:15" x14ac:dyDescent="0.15">
      <c r="B40" s="103">
        <v>-0.1</v>
      </c>
      <c r="C40" s="67"/>
      <c r="D40" s="109">
        <f>D$23-D28</f>
        <v>66057500</v>
      </c>
      <c r="E40" s="109">
        <f t="shared" si="3"/>
        <v>54262775.00000003</v>
      </c>
      <c r="F40" s="109">
        <f t="shared" si="3"/>
        <v>44798631.548749983</v>
      </c>
      <c r="G40" s="109">
        <f t="shared" si="3"/>
        <v>31908352.439272046</v>
      </c>
      <c r="H40" s="109">
        <f t="shared" si="3"/>
        <v>16140058.826927066</v>
      </c>
      <c r="I40" s="109">
        <f t="shared" si="3"/>
        <v>0</v>
      </c>
      <c r="J40" s="109">
        <f t="shared" si="3"/>
        <v>0</v>
      </c>
      <c r="K40" s="109">
        <f t="shared" si="3"/>
        <v>0</v>
      </c>
      <c r="L40" s="109">
        <f t="shared" si="3"/>
        <v>0</v>
      </c>
      <c r="M40" s="109">
        <f t="shared" si="3"/>
        <v>0</v>
      </c>
      <c r="N40" s="162"/>
      <c r="O40" s="67">
        <f t="shared" si="4"/>
        <v>213167317.81494913</v>
      </c>
    </row>
    <row r="41" spans="2:15" x14ac:dyDescent="0.15">
      <c r="B41" s="103">
        <v>-0.05</v>
      </c>
      <c r="C41" s="12"/>
      <c r="D41" s="109">
        <f>D$23-D29</f>
        <v>66057500</v>
      </c>
      <c r="E41" s="109">
        <f t="shared" si="3"/>
        <v>54262775.00000003</v>
      </c>
      <c r="F41" s="109">
        <f t="shared" si="3"/>
        <v>44798631.548749983</v>
      </c>
      <c r="G41" s="109">
        <f t="shared" si="3"/>
        <v>31908352.439272046</v>
      </c>
      <c r="H41" s="109">
        <f t="shared" si="3"/>
        <v>16140058.826927066</v>
      </c>
      <c r="I41" s="109">
        <f t="shared" si="3"/>
        <v>0</v>
      </c>
      <c r="J41" s="109">
        <f t="shared" si="3"/>
        <v>0</v>
      </c>
      <c r="K41" s="109">
        <f t="shared" si="3"/>
        <v>0</v>
      </c>
      <c r="L41" s="109">
        <f t="shared" si="3"/>
        <v>0</v>
      </c>
      <c r="M41" s="109">
        <f t="shared" si="3"/>
        <v>0</v>
      </c>
      <c r="N41" s="162"/>
      <c r="O41" s="67">
        <f t="shared" si="4"/>
        <v>213167317.81494913</v>
      </c>
    </row>
    <row r="42" spans="2:15" x14ac:dyDescent="0.15">
      <c r="B42" s="103"/>
      <c r="C42" s="12"/>
      <c r="D42" s="109"/>
      <c r="E42" s="109"/>
      <c r="F42" s="109"/>
      <c r="G42" s="109"/>
      <c r="H42" s="109"/>
      <c r="I42" s="109"/>
      <c r="J42" s="109"/>
      <c r="K42" s="109"/>
      <c r="L42" s="109"/>
      <c r="M42" s="109"/>
      <c r="N42" s="162"/>
      <c r="O42" s="67"/>
    </row>
    <row r="43" spans="2:15" x14ac:dyDescent="0.15">
      <c r="B43" s="103">
        <v>0.05</v>
      </c>
      <c r="C43" s="19"/>
      <c r="D43" s="109">
        <f t="shared" ref="D43:M47" si="5">D$23-D31</f>
        <v>66057500</v>
      </c>
      <c r="E43" s="109">
        <f t="shared" si="5"/>
        <v>54262775.00000003</v>
      </c>
      <c r="F43" s="109">
        <f t="shared" si="5"/>
        <v>44798631.548749983</v>
      </c>
      <c r="G43" s="109">
        <f t="shared" si="5"/>
        <v>31908352.439272046</v>
      </c>
      <c r="H43" s="109">
        <f t="shared" si="5"/>
        <v>16140058.826927066</v>
      </c>
      <c r="I43" s="109">
        <f t="shared" si="5"/>
        <v>0</v>
      </c>
      <c r="J43" s="109">
        <f t="shared" si="5"/>
        <v>0</v>
      </c>
      <c r="K43" s="109">
        <f t="shared" si="5"/>
        <v>0</v>
      </c>
      <c r="L43" s="109">
        <f t="shared" si="5"/>
        <v>0</v>
      </c>
      <c r="M43" s="109">
        <f t="shared" si="5"/>
        <v>0</v>
      </c>
      <c r="N43" s="162"/>
      <c r="O43" s="111">
        <f t="shared" si="4"/>
        <v>213167317.81494913</v>
      </c>
    </row>
    <row r="44" spans="2:15" x14ac:dyDescent="0.15">
      <c r="B44" s="103">
        <v>0.1</v>
      </c>
      <c r="C44" s="19"/>
      <c r="D44" s="109">
        <f t="shared" si="5"/>
        <v>66057500</v>
      </c>
      <c r="E44" s="109">
        <f t="shared" si="5"/>
        <v>54262775.00000003</v>
      </c>
      <c r="F44" s="109">
        <f t="shared" si="5"/>
        <v>44798631.548749983</v>
      </c>
      <c r="G44" s="109">
        <f t="shared" si="5"/>
        <v>31908352.439272046</v>
      </c>
      <c r="H44" s="109">
        <f t="shared" si="5"/>
        <v>16140058.826927066</v>
      </c>
      <c r="I44" s="109">
        <f t="shared" si="5"/>
        <v>0</v>
      </c>
      <c r="J44" s="109">
        <f t="shared" si="5"/>
        <v>0</v>
      </c>
      <c r="K44" s="109">
        <f t="shared" si="5"/>
        <v>0</v>
      </c>
      <c r="L44" s="109">
        <f t="shared" si="5"/>
        <v>0</v>
      </c>
      <c r="M44" s="109">
        <f t="shared" si="5"/>
        <v>0</v>
      </c>
      <c r="N44" s="162"/>
      <c r="O44" s="112">
        <f t="shared" si="4"/>
        <v>213167317.81494913</v>
      </c>
    </row>
    <row r="45" spans="2:15" x14ac:dyDescent="0.15">
      <c r="B45" s="103">
        <v>0.15</v>
      </c>
      <c r="C45" s="19"/>
      <c r="D45" s="109">
        <f t="shared" si="5"/>
        <v>66057500</v>
      </c>
      <c r="E45" s="109">
        <f t="shared" si="5"/>
        <v>54262775.00000003</v>
      </c>
      <c r="F45" s="109">
        <f t="shared" si="5"/>
        <v>44798631.548749983</v>
      </c>
      <c r="G45" s="109">
        <f t="shared" si="5"/>
        <v>31908352.439272046</v>
      </c>
      <c r="H45" s="109">
        <f t="shared" si="5"/>
        <v>16140058.826927066</v>
      </c>
      <c r="I45" s="109">
        <f t="shared" si="5"/>
        <v>0</v>
      </c>
      <c r="J45" s="109">
        <f t="shared" si="5"/>
        <v>0</v>
      </c>
      <c r="K45" s="109">
        <f t="shared" si="5"/>
        <v>0</v>
      </c>
      <c r="L45" s="109">
        <f t="shared" si="5"/>
        <v>0</v>
      </c>
      <c r="M45" s="109">
        <f t="shared" si="5"/>
        <v>0</v>
      </c>
      <c r="N45" s="162"/>
      <c r="O45" s="112">
        <f t="shared" si="4"/>
        <v>213167317.81494913</v>
      </c>
    </row>
    <row r="46" spans="2:15" x14ac:dyDescent="0.15">
      <c r="B46" s="103">
        <v>0.2</v>
      </c>
      <c r="C46" s="19"/>
      <c r="D46" s="109">
        <f t="shared" si="5"/>
        <v>66057500</v>
      </c>
      <c r="E46" s="109">
        <f t="shared" si="5"/>
        <v>54262775.00000003</v>
      </c>
      <c r="F46" s="109">
        <f t="shared" si="5"/>
        <v>44798631.548749983</v>
      </c>
      <c r="G46" s="109">
        <f t="shared" si="5"/>
        <v>31908352.439272046</v>
      </c>
      <c r="H46" s="109">
        <f t="shared" si="5"/>
        <v>16140058.826927066</v>
      </c>
      <c r="I46" s="109">
        <f t="shared" si="5"/>
        <v>0</v>
      </c>
      <c r="J46" s="109">
        <f t="shared" si="5"/>
        <v>0</v>
      </c>
      <c r="K46" s="109">
        <f t="shared" si="5"/>
        <v>0</v>
      </c>
      <c r="L46" s="109">
        <f t="shared" si="5"/>
        <v>0</v>
      </c>
      <c r="M46" s="109">
        <f t="shared" si="5"/>
        <v>0</v>
      </c>
      <c r="N46" s="162"/>
      <c r="O46" s="112">
        <f t="shared" si="4"/>
        <v>213167317.81494913</v>
      </c>
    </row>
    <row r="47" spans="2:15" x14ac:dyDescent="0.15">
      <c r="B47" s="103">
        <v>0.25</v>
      </c>
      <c r="C47" s="19"/>
      <c r="D47" s="109">
        <f t="shared" si="5"/>
        <v>66057500</v>
      </c>
      <c r="E47" s="109">
        <f t="shared" si="5"/>
        <v>54262775.00000003</v>
      </c>
      <c r="F47" s="109">
        <f t="shared" si="5"/>
        <v>44798631.548749983</v>
      </c>
      <c r="G47" s="109">
        <f t="shared" si="5"/>
        <v>31908352.439272046</v>
      </c>
      <c r="H47" s="109">
        <f t="shared" si="5"/>
        <v>16140058.826927066</v>
      </c>
      <c r="I47" s="109">
        <f t="shared" si="5"/>
        <v>0</v>
      </c>
      <c r="J47" s="109">
        <f t="shared" si="5"/>
        <v>0</v>
      </c>
      <c r="K47" s="109">
        <f t="shared" si="5"/>
        <v>0</v>
      </c>
      <c r="L47" s="109">
        <f t="shared" si="5"/>
        <v>0</v>
      </c>
      <c r="M47" s="109">
        <f t="shared" si="5"/>
        <v>0</v>
      </c>
      <c r="N47" s="162"/>
      <c r="O47" s="112">
        <f t="shared" si="4"/>
        <v>213167317.81494913</v>
      </c>
    </row>
    <row r="48" spans="2:15" ht="14" x14ac:dyDescent="0.15">
      <c r="B48" s="113" t="s">
        <v>635</v>
      </c>
      <c r="C48" s="19"/>
      <c r="D48" s="19"/>
      <c r="E48" s="19"/>
      <c r="F48" s="19"/>
      <c r="G48" s="19"/>
      <c r="H48" s="19"/>
      <c r="I48" s="19"/>
      <c r="J48" s="19"/>
      <c r="K48" s="19"/>
      <c r="L48" s="19"/>
      <c r="M48" s="19"/>
      <c r="N48" s="162"/>
      <c r="O48" s="102"/>
    </row>
    <row r="49" spans="2:15" x14ac:dyDescent="0.15">
      <c r="B49" s="103">
        <v>-0.25</v>
      </c>
      <c r="C49" s="19"/>
      <c r="D49" s="68">
        <f>D37*'After Tax Analysis'!$G$3</f>
        <v>19817250</v>
      </c>
      <c r="E49" s="68">
        <f>E37*'After Tax Analysis'!$G$3</f>
        <v>16278832.500000007</v>
      </c>
      <c r="F49" s="68">
        <f>F37*'After Tax Analysis'!$G$3</f>
        <v>13439589.464624995</v>
      </c>
      <c r="G49" s="68">
        <f>G37*'After Tax Analysis'!$G$3</f>
        <v>9572505.7317816131</v>
      </c>
      <c r="H49" s="68">
        <f>H37*'After Tax Analysis'!$G$3</f>
        <v>4842017.6480781194</v>
      </c>
      <c r="I49" s="68">
        <f>I37*'After Tax Analysis'!$G$3</f>
        <v>0</v>
      </c>
      <c r="J49" s="68">
        <f>J37*'After Tax Analysis'!$G$3</f>
        <v>0</v>
      </c>
      <c r="K49" s="68">
        <f>K37*'After Tax Analysis'!$G$3</f>
        <v>0</v>
      </c>
      <c r="L49" s="68">
        <f>L37*'After Tax Analysis'!$G$3</f>
        <v>0</v>
      </c>
      <c r="M49" s="68">
        <f>M37*'After Tax Analysis'!$G$3</f>
        <v>0</v>
      </c>
      <c r="N49" s="162"/>
      <c r="O49" s="112">
        <f t="shared" ref="O49:O59" si="6">SUM(D49:M49)</f>
        <v>63950195.344484739</v>
      </c>
    </row>
    <row r="50" spans="2:15" x14ac:dyDescent="0.15">
      <c r="B50" s="103">
        <v>-0.2</v>
      </c>
      <c r="C50" s="19"/>
      <c r="D50" s="68">
        <f>D38*'After Tax Analysis'!$G$3</f>
        <v>19817250</v>
      </c>
      <c r="E50" s="68">
        <f>E38*'After Tax Analysis'!$G$3</f>
        <v>16278832.500000007</v>
      </c>
      <c r="F50" s="68">
        <f>F38*'After Tax Analysis'!$G$3</f>
        <v>13439589.464624995</v>
      </c>
      <c r="G50" s="68">
        <f>G38*'After Tax Analysis'!$G$3</f>
        <v>9572505.7317816131</v>
      </c>
      <c r="H50" s="68">
        <f>H38*'After Tax Analysis'!$G$3</f>
        <v>4842017.6480781194</v>
      </c>
      <c r="I50" s="68">
        <f>I38*'After Tax Analysis'!$G$3</f>
        <v>0</v>
      </c>
      <c r="J50" s="68">
        <f>J38*'After Tax Analysis'!$G$3</f>
        <v>0</v>
      </c>
      <c r="K50" s="68">
        <f>K38*'After Tax Analysis'!$G$3</f>
        <v>0</v>
      </c>
      <c r="L50" s="68">
        <f>L38*'After Tax Analysis'!$G$3</f>
        <v>0</v>
      </c>
      <c r="M50" s="68">
        <f>M38*'After Tax Analysis'!$G$3</f>
        <v>0</v>
      </c>
      <c r="N50" s="162"/>
      <c r="O50" s="112">
        <f t="shared" si="6"/>
        <v>63950195.344484739</v>
      </c>
    </row>
    <row r="51" spans="2:15" x14ac:dyDescent="0.15">
      <c r="B51" s="103">
        <v>-0.15</v>
      </c>
      <c r="C51" s="19"/>
      <c r="D51" s="68">
        <f>D39*'After Tax Analysis'!$G$3</f>
        <v>19817250</v>
      </c>
      <c r="E51" s="68">
        <f>E39*'After Tax Analysis'!$G$3</f>
        <v>16278832.500000007</v>
      </c>
      <c r="F51" s="68">
        <f>F39*'After Tax Analysis'!$G$3</f>
        <v>13439589.464624995</v>
      </c>
      <c r="G51" s="68">
        <f>G39*'After Tax Analysis'!$G$3</f>
        <v>9572505.7317816131</v>
      </c>
      <c r="H51" s="68">
        <f>H39*'After Tax Analysis'!$G$3</f>
        <v>4842017.6480781194</v>
      </c>
      <c r="I51" s="68">
        <f>I39*'After Tax Analysis'!$G$3</f>
        <v>0</v>
      </c>
      <c r="J51" s="68">
        <f>J39*'After Tax Analysis'!$G$3</f>
        <v>0</v>
      </c>
      <c r="K51" s="68">
        <f>K39*'After Tax Analysis'!$G$3</f>
        <v>0</v>
      </c>
      <c r="L51" s="68">
        <f>L39*'After Tax Analysis'!$G$3</f>
        <v>0</v>
      </c>
      <c r="M51" s="68">
        <f>M39*'After Tax Analysis'!$G$3</f>
        <v>0</v>
      </c>
      <c r="N51" s="162"/>
      <c r="O51" s="112">
        <f t="shared" si="6"/>
        <v>63950195.344484739</v>
      </c>
    </row>
    <row r="52" spans="2:15" x14ac:dyDescent="0.15">
      <c r="B52" s="103">
        <v>-0.1</v>
      </c>
      <c r="C52" s="19"/>
      <c r="D52" s="68">
        <f>D40*'After Tax Analysis'!$G$3</f>
        <v>19817250</v>
      </c>
      <c r="E52" s="68">
        <f>E40*'After Tax Analysis'!$G$3</f>
        <v>16278832.500000007</v>
      </c>
      <c r="F52" s="68">
        <f>F40*'After Tax Analysis'!$G$3</f>
        <v>13439589.464624995</v>
      </c>
      <c r="G52" s="68">
        <f>G40*'After Tax Analysis'!$G$3</f>
        <v>9572505.7317816131</v>
      </c>
      <c r="H52" s="68">
        <f>H40*'After Tax Analysis'!$G$3</f>
        <v>4842017.6480781194</v>
      </c>
      <c r="I52" s="68">
        <f>I40*'After Tax Analysis'!$G$3</f>
        <v>0</v>
      </c>
      <c r="J52" s="68">
        <f>J40*'After Tax Analysis'!$G$3</f>
        <v>0</v>
      </c>
      <c r="K52" s="68">
        <f>K40*'After Tax Analysis'!$G$3</f>
        <v>0</v>
      </c>
      <c r="L52" s="68">
        <f>L40*'After Tax Analysis'!$G$3</f>
        <v>0</v>
      </c>
      <c r="M52" s="68">
        <f>M40*'After Tax Analysis'!$G$3</f>
        <v>0</v>
      </c>
      <c r="N52" s="162"/>
      <c r="O52" s="112">
        <f t="shared" si="6"/>
        <v>63950195.344484739</v>
      </c>
    </row>
    <row r="53" spans="2:15" x14ac:dyDescent="0.15">
      <c r="B53" s="103">
        <v>-0.05</v>
      </c>
      <c r="C53" s="12"/>
      <c r="D53" s="68">
        <f>D41*'After Tax Analysis'!$G$3</f>
        <v>19817250</v>
      </c>
      <c r="E53" s="68">
        <f>E41*'After Tax Analysis'!$G$3</f>
        <v>16278832.500000007</v>
      </c>
      <c r="F53" s="68">
        <f>F41*'After Tax Analysis'!$G$3</f>
        <v>13439589.464624995</v>
      </c>
      <c r="G53" s="68">
        <f>G41*'After Tax Analysis'!$G$3</f>
        <v>9572505.7317816131</v>
      </c>
      <c r="H53" s="68">
        <f>H41*'After Tax Analysis'!$G$3</f>
        <v>4842017.6480781194</v>
      </c>
      <c r="I53" s="68">
        <f>I41*'After Tax Analysis'!$G$3</f>
        <v>0</v>
      </c>
      <c r="J53" s="68">
        <f>J41*'After Tax Analysis'!$G$3</f>
        <v>0</v>
      </c>
      <c r="K53" s="68">
        <f>K41*'After Tax Analysis'!$G$3</f>
        <v>0</v>
      </c>
      <c r="L53" s="68">
        <f>L41*'After Tax Analysis'!$G$3</f>
        <v>0</v>
      </c>
      <c r="M53" s="68">
        <f>M41*'After Tax Analysis'!$G$3</f>
        <v>0</v>
      </c>
      <c r="N53" s="162"/>
      <c r="O53" s="67">
        <f t="shared" si="6"/>
        <v>63950195.344484739</v>
      </c>
    </row>
    <row r="54" spans="2:15" x14ac:dyDescent="0.15">
      <c r="B54" s="103"/>
      <c r="C54" s="12"/>
      <c r="D54" s="68"/>
      <c r="E54" s="68"/>
      <c r="F54" s="68"/>
      <c r="G54" s="68"/>
      <c r="H54" s="68"/>
      <c r="I54" s="68"/>
      <c r="J54" s="68"/>
      <c r="K54" s="68"/>
      <c r="L54" s="68"/>
      <c r="M54" s="68"/>
      <c r="N54" s="162"/>
      <c r="O54" s="67"/>
    </row>
    <row r="55" spans="2:15" x14ac:dyDescent="0.15">
      <c r="B55" s="103">
        <v>0.05</v>
      </c>
      <c r="C55" s="67"/>
      <c r="D55" s="68">
        <f>D43*'After Tax Analysis'!$G$3</f>
        <v>19817250</v>
      </c>
      <c r="E55" s="68">
        <f>E43*'After Tax Analysis'!$G$3</f>
        <v>16278832.500000007</v>
      </c>
      <c r="F55" s="68">
        <f>F43*'After Tax Analysis'!$G$3</f>
        <v>13439589.464624995</v>
      </c>
      <c r="G55" s="68">
        <f>G43*'After Tax Analysis'!$G$3</f>
        <v>9572505.7317816131</v>
      </c>
      <c r="H55" s="68">
        <f>H43*'After Tax Analysis'!$G$3</f>
        <v>4842017.6480781194</v>
      </c>
      <c r="I55" s="68">
        <f>I43*'After Tax Analysis'!$G$3</f>
        <v>0</v>
      </c>
      <c r="J55" s="68">
        <f>J43*'After Tax Analysis'!$G$3</f>
        <v>0</v>
      </c>
      <c r="K55" s="68">
        <f>K43*'After Tax Analysis'!$G$3</f>
        <v>0</v>
      </c>
      <c r="L55" s="68">
        <f>L43*'After Tax Analysis'!$G$3</f>
        <v>0</v>
      </c>
      <c r="M55" s="68">
        <f>M43*'After Tax Analysis'!$G$3</f>
        <v>0</v>
      </c>
      <c r="N55" s="162"/>
      <c r="O55" s="67">
        <f t="shared" si="6"/>
        <v>63950195.344484739</v>
      </c>
    </row>
    <row r="56" spans="2:15" x14ac:dyDescent="0.15">
      <c r="B56" s="103">
        <v>0.1</v>
      </c>
      <c r="C56" s="67"/>
      <c r="D56" s="68">
        <f>D44*'After Tax Analysis'!$G$3</f>
        <v>19817250</v>
      </c>
      <c r="E56" s="68">
        <f>E44*'After Tax Analysis'!$G$3</f>
        <v>16278832.500000007</v>
      </c>
      <c r="F56" s="68">
        <f>F44*'After Tax Analysis'!$G$3</f>
        <v>13439589.464624995</v>
      </c>
      <c r="G56" s="68">
        <f>G44*'After Tax Analysis'!$G$3</f>
        <v>9572505.7317816131</v>
      </c>
      <c r="H56" s="68">
        <f>H44*'After Tax Analysis'!$G$3</f>
        <v>4842017.6480781194</v>
      </c>
      <c r="I56" s="68">
        <f>I44*'After Tax Analysis'!$G$3</f>
        <v>0</v>
      </c>
      <c r="J56" s="68">
        <f>J44*'After Tax Analysis'!$G$3</f>
        <v>0</v>
      </c>
      <c r="K56" s="68">
        <f>K44*'After Tax Analysis'!$G$3</f>
        <v>0</v>
      </c>
      <c r="L56" s="68">
        <f>L44*'After Tax Analysis'!$G$3</f>
        <v>0</v>
      </c>
      <c r="M56" s="68">
        <f>M44*'After Tax Analysis'!$G$3</f>
        <v>0</v>
      </c>
      <c r="N56" s="162"/>
      <c r="O56" s="67">
        <f t="shared" si="6"/>
        <v>63950195.344484739</v>
      </c>
    </row>
    <row r="57" spans="2:15" x14ac:dyDescent="0.15">
      <c r="B57" s="103">
        <v>0.15</v>
      </c>
      <c r="C57" s="67"/>
      <c r="D57" s="68">
        <f>D45*'After Tax Analysis'!$G$3</f>
        <v>19817250</v>
      </c>
      <c r="E57" s="68">
        <f>E45*'After Tax Analysis'!$G$3</f>
        <v>16278832.500000007</v>
      </c>
      <c r="F57" s="68">
        <f>F45*'After Tax Analysis'!$G$3</f>
        <v>13439589.464624995</v>
      </c>
      <c r="G57" s="68">
        <f>G45*'After Tax Analysis'!$G$3</f>
        <v>9572505.7317816131</v>
      </c>
      <c r="H57" s="68">
        <f>H45*'After Tax Analysis'!$G$3</f>
        <v>4842017.6480781194</v>
      </c>
      <c r="I57" s="68">
        <f>I45*'After Tax Analysis'!$G$3</f>
        <v>0</v>
      </c>
      <c r="J57" s="68">
        <f>J45*'After Tax Analysis'!$G$3</f>
        <v>0</v>
      </c>
      <c r="K57" s="68">
        <f>K45*'After Tax Analysis'!$G$3</f>
        <v>0</v>
      </c>
      <c r="L57" s="68">
        <f>L45*'After Tax Analysis'!$G$3</f>
        <v>0</v>
      </c>
      <c r="M57" s="68">
        <f>M45*'After Tax Analysis'!$G$3</f>
        <v>0</v>
      </c>
      <c r="N57" s="162"/>
      <c r="O57" s="67">
        <f t="shared" si="6"/>
        <v>63950195.344484739</v>
      </c>
    </row>
    <row r="58" spans="2:15" x14ac:dyDescent="0.15">
      <c r="B58" s="103">
        <v>0.2</v>
      </c>
      <c r="C58" s="67"/>
      <c r="D58" s="68">
        <f>D46*'After Tax Analysis'!$G$3</f>
        <v>19817250</v>
      </c>
      <c r="E58" s="68">
        <f>E46*'After Tax Analysis'!$G$3</f>
        <v>16278832.500000007</v>
      </c>
      <c r="F58" s="68">
        <f>F46*'After Tax Analysis'!$G$3</f>
        <v>13439589.464624995</v>
      </c>
      <c r="G58" s="68">
        <f>G46*'After Tax Analysis'!$G$3</f>
        <v>9572505.7317816131</v>
      </c>
      <c r="H58" s="68">
        <f>H46*'After Tax Analysis'!$G$3</f>
        <v>4842017.6480781194</v>
      </c>
      <c r="I58" s="68">
        <f>I46*'After Tax Analysis'!$G$3</f>
        <v>0</v>
      </c>
      <c r="J58" s="68">
        <f>J46*'After Tax Analysis'!$G$3</f>
        <v>0</v>
      </c>
      <c r="K58" s="68">
        <f>K46*'After Tax Analysis'!$G$3</f>
        <v>0</v>
      </c>
      <c r="L58" s="68">
        <f>L46*'After Tax Analysis'!$G$3</f>
        <v>0</v>
      </c>
      <c r="M58" s="68">
        <f>M46*'After Tax Analysis'!$G$3</f>
        <v>0</v>
      </c>
      <c r="N58" s="162"/>
      <c r="O58" s="67">
        <f t="shared" si="6"/>
        <v>63950195.344484739</v>
      </c>
    </row>
    <row r="59" spans="2:15" x14ac:dyDescent="0.15">
      <c r="B59" s="103">
        <v>0.25</v>
      </c>
      <c r="C59" s="67"/>
      <c r="D59" s="68">
        <f>D47*'After Tax Analysis'!$G$3</f>
        <v>19817250</v>
      </c>
      <c r="E59" s="68">
        <f>E47*'After Tax Analysis'!$G$3</f>
        <v>16278832.500000007</v>
      </c>
      <c r="F59" s="68">
        <f>F47*'After Tax Analysis'!$G$3</f>
        <v>13439589.464624995</v>
      </c>
      <c r="G59" s="68">
        <f>G47*'After Tax Analysis'!$G$3</f>
        <v>9572505.7317816131</v>
      </c>
      <c r="H59" s="68">
        <f>H47*'After Tax Analysis'!$G$3</f>
        <v>4842017.6480781194</v>
      </c>
      <c r="I59" s="68">
        <f>I47*'After Tax Analysis'!$G$3</f>
        <v>0</v>
      </c>
      <c r="J59" s="68">
        <f>J47*'After Tax Analysis'!$G$3</f>
        <v>0</v>
      </c>
      <c r="K59" s="68">
        <f>K47*'After Tax Analysis'!$G$3</f>
        <v>0</v>
      </c>
      <c r="L59" s="68">
        <f>L47*'After Tax Analysis'!$G$3</f>
        <v>0</v>
      </c>
      <c r="M59" s="68">
        <f>M47*'After Tax Analysis'!$G$3</f>
        <v>0</v>
      </c>
      <c r="N59" s="162"/>
      <c r="O59" s="67">
        <f t="shared" si="6"/>
        <v>63950195.344484739</v>
      </c>
    </row>
    <row r="60" spans="2:15" ht="14" x14ac:dyDescent="0.15">
      <c r="B60" s="113" t="s">
        <v>128</v>
      </c>
      <c r="C60" s="67"/>
      <c r="D60" s="67"/>
      <c r="E60" s="67"/>
      <c r="F60" s="67"/>
      <c r="G60" s="67"/>
      <c r="H60" s="67"/>
      <c r="I60" s="67"/>
      <c r="J60" s="67"/>
      <c r="K60" s="67"/>
      <c r="L60" s="67"/>
      <c r="M60" s="67"/>
      <c r="N60" s="162"/>
      <c r="O60" s="67"/>
    </row>
    <row r="61" spans="2:15" x14ac:dyDescent="0.15">
      <c r="B61" s="103">
        <v>-0.25</v>
      </c>
      <c r="C61" s="67"/>
      <c r="D61" s="569">
        <f>-'After Tax Analysis'!E16</f>
        <v>0</v>
      </c>
      <c r="E61" s="15">
        <v>0</v>
      </c>
      <c r="F61" s="15">
        <v>0</v>
      </c>
      <c r="G61" s="15">
        <v>0</v>
      </c>
      <c r="H61" s="15">
        <v>0</v>
      </c>
      <c r="I61" s="15">
        <v>0</v>
      </c>
      <c r="J61" s="15">
        <v>0</v>
      </c>
      <c r="K61" s="15">
        <v>0</v>
      </c>
      <c r="L61" s="15">
        <v>0</v>
      </c>
      <c r="M61" s="15">
        <v>0</v>
      </c>
      <c r="N61" s="162"/>
      <c r="O61" s="67">
        <f t="shared" ref="O61:O71" si="7">SUM(D61:M61)</f>
        <v>0</v>
      </c>
    </row>
    <row r="62" spans="2:15" x14ac:dyDescent="0.15">
      <c r="B62" s="103">
        <v>-0.2</v>
      </c>
      <c r="C62" s="67"/>
      <c r="D62" s="569">
        <f>D61</f>
        <v>0</v>
      </c>
      <c r="E62" s="15">
        <v>0</v>
      </c>
      <c r="F62" s="15">
        <v>0</v>
      </c>
      <c r="G62" s="15">
        <v>0</v>
      </c>
      <c r="H62" s="15">
        <v>0</v>
      </c>
      <c r="I62" s="15">
        <v>0</v>
      </c>
      <c r="J62" s="15">
        <v>0</v>
      </c>
      <c r="K62" s="15">
        <v>0</v>
      </c>
      <c r="L62" s="15">
        <v>0</v>
      </c>
      <c r="M62" s="15">
        <v>0</v>
      </c>
      <c r="N62" s="162"/>
      <c r="O62" s="67">
        <f t="shared" si="7"/>
        <v>0</v>
      </c>
    </row>
    <row r="63" spans="2:15" x14ac:dyDescent="0.15">
      <c r="B63" s="103">
        <v>-0.15</v>
      </c>
      <c r="C63" s="67"/>
      <c r="D63" s="569">
        <f t="shared" ref="D63:D71" si="8">D62</f>
        <v>0</v>
      </c>
      <c r="E63" s="15">
        <v>0</v>
      </c>
      <c r="F63" s="15">
        <v>0</v>
      </c>
      <c r="G63" s="15">
        <v>0</v>
      </c>
      <c r="H63" s="15">
        <v>0</v>
      </c>
      <c r="I63" s="15">
        <v>0</v>
      </c>
      <c r="J63" s="15">
        <v>0</v>
      </c>
      <c r="K63" s="15">
        <v>0</v>
      </c>
      <c r="L63" s="15">
        <v>0</v>
      </c>
      <c r="M63" s="15">
        <v>0</v>
      </c>
      <c r="N63" s="162"/>
      <c r="O63" s="67">
        <f t="shared" si="7"/>
        <v>0</v>
      </c>
    </row>
    <row r="64" spans="2:15" x14ac:dyDescent="0.15">
      <c r="B64" s="103">
        <v>-0.1</v>
      </c>
      <c r="C64" s="67"/>
      <c r="D64" s="569">
        <f t="shared" si="8"/>
        <v>0</v>
      </c>
      <c r="E64" s="15">
        <v>0</v>
      </c>
      <c r="F64" s="15">
        <v>0</v>
      </c>
      <c r="G64" s="15">
        <v>0</v>
      </c>
      <c r="H64" s="15">
        <v>0</v>
      </c>
      <c r="I64" s="15">
        <v>0</v>
      </c>
      <c r="J64" s="15">
        <v>0</v>
      </c>
      <c r="K64" s="15">
        <v>0</v>
      </c>
      <c r="L64" s="15">
        <v>0</v>
      </c>
      <c r="M64" s="15">
        <v>0</v>
      </c>
      <c r="N64" s="162"/>
      <c r="O64" s="67">
        <f t="shared" si="7"/>
        <v>0</v>
      </c>
    </row>
    <row r="65" spans="2:15" x14ac:dyDescent="0.15">
      <c r="B65" s="103">
        <v>-0.05</v>
      </c>
      <c r="C65" s="12"/>
      <c r="D65" s="569">
        <f t="shared" si="8"/>
        <v>0</v>
      </c>
      <c r="E65" s="15">
        <v>0</v>
      </c>
      <c r="F65" s="15">
        <v>0</v>
      </c>
      <c r="G65" s="15">
        <v>0</v>
      </c>
      <c r="H65" s="15">
        <v>0</v>
      </c>
      <c r="I65" s="15">
        <v>0</v>
      </c>
      <c r="J65" s="15">
        <v>0</v>
      </c>
      <c r="K65" s="15">
        <v>0</v>
      </c>
      <c r="L65" s="15">
        <v>0</v>
      </c>
      <c r="M65" s="15">
        <v>0</v>
      </c>
      <c r="N65" s="162"/>
      <c r="O65" s="67">
        <f t="shared" si="7"/>
        <v>0</v>
      </c>
    </row>
    <row r="66" spans="2:15" x14ac:dyDescent="0.15">
      <c r="B66" s="103"/>
      <c r="C66" s="12"/>
      <c r="D66" s="569">
        <f t="shared" si="8"/>
        <v>0</v>
      </c>
      <c r="E66" s="15"/>
      <c r="F66" s="15"/>
      <c r="G66" s="15"/>
      <c r="H66" s="15"/>
      <c r="I66" s="15"/>
      <c r="J66" s="15"/>
      <c r="K66" s="15"/>
      <c r="L66" s="15"/>
      <c r="M66" s="15"/>
      <c r="N66" s="162"/>
      <c r="O66" s="67"/>
    </row>
    <row r="67" spans="2:15" x14ac:dyDescent="0.15">
      <c r="B67" s="103">
        <v>0.05</v>
      </c>
      <c r="C67" s="67"/>
      <c r="D67" s="569">
        <f t="shared" si="8"/>
        <v>0</v>
      </c>
      <c r="E67" s="15">
        <v>0</v>
      </c>
      <c r="F67" s="15">
        <v>0</v>
      </c>
      <c r="G67" s="15">
        <v>0</v>
      </c>
      <c r="H67" s="15">
        <v>0</v>
      </c>
      <c r="I67" s="15">
        <v>0</v>
      </c>
      <c r="J67" s="15">
        <v>0</v>
      </c>
      <c r="K67" s="15">
        <v>0</v>
      </c>
      <c r="L67" s="15">
        <v>0</v>
      </c>
      <c r="M67" s="15">
        <v>0</v>
      </c>
      <c r="N67" s="162"/>
      <c r="O67" s="67">
        <f t="shared" si="7"/>
        <v>0</v>
      </c>
    </row>
    <row r="68" spans="2:15" x14ac:dyDescent="0.15">
      <c r="B68" s="103">
        <v>0.1</v>
      </c>
      <c r="C68" s="67"/>
      <c r="D68" s="569">
        <f t="shared" si="8"/>
        <v>0</v>
      </c>
      <c r="E68" s="15">
        <v>0</v>
      </c>
      <c r="F68" s="15">
        <v>0</v>
      </c>
      <c r="G68" s="15">
        <v>0</v>
      </c>
      <c r="H68" s="15">
        <v>0</v>
      </c>
      <c r="I68" s="15">
        <v>0</v>
      </c>
      <c r="J68" s="15">
        <v>0</v>
      </c>
      <c r="K68" s="15">
        <v>0</v>
      </c>
      <c r="L68" s="15">
        <v>0</v>
      </c>
      <c r="M68" s="15">
        <v>0</v>
      </c>
      <c r="N68" s="162"/>
      <c r="O68" s="67">
        <f t="shared" si="7"/>
        <v>0</v>
      </c>
    </row>
    <row r="69" spans="2:15" x14ac:dyDescent="0.15">
      <c r="B69" s="103">
        <v>0.15</v>
      </c>
      <c r="C69" s="67"/>
      <c r="D69" s="569">
        <f t="shared" si="8"/>
        <v>0</v>
      </c>
      <c r="E69" s="15">
        <v>0</v>
      </c>
      <c r="F69" s="15">
        <v>0</v>
      </c>
      <c r="G69" s="15">
        <v>0</v>
      </c>
      <c r="H69" s="15">
        <v>0</v>
      </c>
      <c r="I69" s="15">
        <v>0</v>
      </c>
      <c r="J69" s="15">
        <v>0</v>
      </c>
      <c r="K69" s="15">
        <v>0</v>
      </c>
      <c r="L69" s="15">
        <v>0</v>
      </c>
      <c r="M69" s="15">
        <v>0</v>
      </c>
      <c r="N69" s="162"/>
      <c r="O69" s="67">
        <f t="shared" si="7"/>
        <v>0</v>
      </c>
    </row>
    <row r="70" spans="2:15" x14ac:dyDescent="0.15">
      <c r="B70" s="103">
        <v>0.2</v>
      </c>
      <c r="C70" s="67"/>
      <c r="D70" s="569">
        <f t="shared" si="8"/>
        <v>0</v>
      </c>
      <c r="E70" s="15">
        <v>0</v>
      </c>
      <c r="F70" s="15">
        <v>0</v>
      </c>
      <c r="G70" s="15">
        <v>0</v>
      </c>
      <c r="H70" s="15">
        <v>0</v>
      </c>
      <c r="I70" s="15">
        <v>0</v>
      </c>
      <c r="J70" s="15">
        <v>0</v>
      </c>
      <c r="K70" s="15">
        <v>0</v>
      </c>
      <c r="L70" s="15">
        <v>0</v>
      </c>
      <c r="M70" s="15">
        <v>0</v>
      </c>
      <c r="N70" s="162"/>
      <c r="O70" s="67">
        <f t="shared" si="7"/>
        <v>0</v>
      </c>
    </row>
    <row r="71" spans="2:15" x14ac:dyDescent="0.15">
      <c r="B71" s="103">
        <v>0.25</v>
      </c>
      <c r="C71" s="67"/>
      <c r="D71" s="569">
        <f t="shared" si="8"/>
        <v>0</v>
      </c>
      <c r="E71" s="15">
        <v>0</v>
      </c>
      <c r="F71" s="15">
        <v>0</v>
      </c>
      <c r="G71" s="15">
        <v>0</v>
      </c>
      <c r="H71" s="15">
        <v>0</v>
      </c>
      <c r="I71" s="15">
        <v>0</v>
      </c>
      <c r="J71" s="15">
        <v>0</v>
      </c>
      <c r="K71" s="15">
        <v>0</v>
      </c>
      <c r="L71" s="15">
        <v>0</v>
      </c>
      <c r="M71" s="15">
        <v>0</v>
      </c>
      <c r="N71" s="162"/>
      <c r="O71" s="67">
        <f t="shared" si="7"/>
        <v>0</v>
      </c>
    </row>
    <row r="72" spans="2:15" x14ac:dyDescent="0.15">
      <c r="B72" s="103" t="s">
        <v>636</v>
      </c>
      <c r="C72" s="67"/>
      <c r="D72" s="67"/>
      <c r="E72" s="67"/>
      <c r="F72" s="67"/>
      <c r="G72" s="67"/>
      <c r="H72" s="67"/>
      <c r="I72" s="67"/>
      <c r="J72" s="67"/>
      <c r="K72" s="67"/>
      <c r="L72" s="67"/>
      <c r="M72" s="67"/>
      <c r="N72" s="162"/>
      <c r="O72" s="12"/>
    </row>
    <row r="73" spans="2:15" x14ac:dyDescent="0.15">
      <c r="B73" s="103">
        <v>-0.25</v>
      </c>
      <c r="C73" s="67"/>
      <c r="D73" s="67">
        <f>D37-D49+D61</f>
        <v>46240250</v>
      </c>
      <c r="E73" s="67">
        <f t="shared" ref="E73:M77" si="9">E37-E49+E61</f>
        <v>37983942.500000022</v>
      </c>
      <c r="F73" s="67">
        <f t="shared" si="9"/>
        <v>31359042.08412499</v>
      </c>
      <c r="G73" s="67">
        <f t="shared" si="9"/>
        <v>22335846.707490433</v>
      </c>
      <c r="H73" s="67">
        <f t="shared" si="9"/>
        <v>11298041.178848946</v>
      </c>
      <c r="I73" s="67">
        <f t="shared" si="9"/>
        <v>0</v>
      </c>
      <c r="J73" s="67">
        <f t="shared" si="9"/>
        <v>0</v>
      </c>
      <c r="K73" s="67">
        <f t="shared" si="9"/>
        <v>0</v>
      </c>
      <c r="L73" s="67">
        <f t="shared" si="9"/>
        <v>0</v>
      </c>
      <c r="M73" s="67">
        <f t="shared" si="9"/>
        <v>0</v>
      </c>
      <c r="N73" s="162"/>
      <c r="O73" s="67">
        <f t="shared" ref="O73:O84" si="10">SUM(D73:M73)</f>
        <v>149217122.47046441</v>
      </c>
    </row>
    <row r="74" spans="2:15" x14ac:dyDescent="0.15">
      <c r="B74" s="103">
        <v>-0.2</v>
      </c>
      <c r="C74" s="67"/>
      <c r="D74" s="67">
        <f>D38-D50+D62</f>
        <v>46240250</v>
      </c>
      <c r="E74" s="67">
        <f t="shared" si="9"/>
        <v>37983942.500000022</v>
      </c>
      <c r="F74" s="67">
        <f t="shared" si="9"/>
        <v>31359042.08412499</v>
      </c>
      <c r="G74" s="67">
        <f t="shared" si="9"/>
        <v>22335846.707490433</v>
      </c>
      <c r="H74" s="67">
        <f t="shared" si="9"/>
        <v>11298041.178848946</v>
      </c>
      <c r="I74" s="67">
        <f t="shared" si="9"/>
        <v>0</v>
      </c>
      <c r="J74" s="67">
        <f t="shared" si="9"/>
        <v>0</v>
      </c>
      <c r="K74" s="67">
        <f t="shared" si="9"/>
        <v>0</v>
      </c>
      <c r="L74" s="67">
        <f t="shared" si="9"/>
        <v>0</v>
      </c>
      <c r="M74" s="67">
        <f t="shared" si="9"/>
        <v>0</v>
      </c>
      <c r="N74" s="162"/>
      <c r="O74" s="67">
        <f t="shared" si="10"/>
        <v>149217122.47046441</v>
      </c>
    </row>
    <row r="75" spans="2:15" x14ac:dyDescent="0.15">
      <c r="B75" s="103">
        <v>-0.15</v>
      </c>
      <c r="C75" s="67"/>
      <c r="D75" s="67">
        <f>D39-D51+D63</f>
        <v>46240250</v>
      </c>
      <c r="E75" s="67">
        <f t="shared" si="9"/>
        <v>37983942.500000022</v>
      </c>
      <c r="F75" s="67">
        <f t="shared" si="9"/>
        <v>31359042.08412499</v>
      </c>
      <c r="G75" s="67">
        <f t="shared" si="9"/>
        <v>22335846.707490433</v>
      </c>
      <c r="H75" s="67">
        <f t="shared" si="9"/>
        <v>11298041.178848946</v>
      </c>
      <c r="I75" s="67">
        <f t="shared" si="9"/>
        <v>0</v>
      </c>
      <c r="J75" s="67">
        <f t="shared" si="9"/>
        <v>0</v>
      </c>
      <c r="K75" s="67">
        <f t="shared" si="9"/>
        <v>0</v>
      </c>
      <c r="L75" s="67">
        <f t="shared" si="9"/>
        <v>0</v>
      </c>
      <c r="M75" s="67">
        <f t="shared" si="9"/>
        <v>0</v>
      </c>
      <c r="N75" s="162"/>
      <c r="O75" s="67">
        <f t="shared" si="10"/>
        <v>149217122.47046441</v>
      </c>
    </row>
    <row r="76" spans="2:15" x14ac:dyDescent="0.15">
      <c r="B76" s="103">
        <v>-0.1</v>
      </c>
      <c r="C76" s="67"/>
      <c r="D76" s="67">
        <f>D40-D52+D64</f>
        <v>46240250</v>
      </c>
      <c r="E76" s="67">
        <f t="shared" si="9"/>
        <v>37983942.500000022</v>
      </c>
      <c r="F76" s="67">
        <f t="shared" si="9"/>
        <v>31359042.08412499</v>
      </c>
      <c r="G76" s="67">
        <f t="shared" si="9"/>
        <v>22335846.707490433</v>
      </c>
      <c r="H76" s="67">
        <f t="shared" si="9"/>
        <v>11298041.178848946</v>
      </c>
      <c r="I76" s="67">
        <f t="shared" si="9"/>
        <v>0</v>
      </c>
      <c r="J76" s="67">
        <f t="shared" si="9"/>
        <v>0</v>
      </c>
      <c r="K76" s="67">
        <f t="shared" si="9"/>
        <v>0</v>
      </c>
      <c r="L76" s="67">
        <f t="shared" si="9"/>
        <v>0</v>
      </c>
      <c r="M76" s="67">
        <f t="shared" si="9"/>
        <v>0</v>
      </c>
      <c r="N76" s="162"/>
      <c r="O76" s="67">
        <f t="shared" si="10"/>
        <v>149217122.47046441</v>
      </c>
    </row>
    <row r="77" spans="2:15" x14ac:dyDescent="0.15">
      <c r="B77" s="103">
        <v>-0.05</v>
      </c>
      <c r="C77" s="12"/>
      <c r="D77" s="67">
        <f>D41-D53+D65</f>
        <v>46240250</v>
      </c>
      <c r="E77" s="67">
        <f t="shared" si="9"/>
        <v>37983942.500000022</v>
      </c>
      <c r="F77" s="67">
        <f t="shared" si="9"/>
        <v>31359042.08412499</v>
      </c>
      <c r="G77" s="67">
        <f t="shared" si="9"/>
        <v>22335846.707490433</v>
      </c>
      <c r="H77" s="67">
        <f t="shared" si="9"/>
        <v>11298041.178848946</v>
      </c>
      <c r="I77" s="67">
        <f t="shared" si="9"/>
        <v>0</v>
      </c>
      <c r="J77" s="67">
        <f t="shared" si="9"/>
        <v>0</v>
      </c>
      <c r="K77" s="67">
        <f t="shared" si="9"/>
        <v>0</v>
      </c>
      <c r="L77" s="67">
        <f t="shared" si="9"/>
        <v>0</v>
      </c>
      <c r="M77" s="67">
        <f t="shared" si="9"/>
        <v>0</v>
      </c>
      <c r="N77" s="162"/>
      <c r="O77" s="67">
        <f t="shared" si="10"/>
        <v>149217122.47046441</v>
      </c>
    </row>
    <row r="78" spans="2:15" x14ac:dyDescent="0.15">
      <c r="B78" s="103"/>
      <c r="C78" s="12"/>
      <c r="D78" s="67"/>
      <c r="E78" s="67"/>
      <c r="F78" s="67"/>
      <c r="G78" s="67"/>
      <c r="H78" s="67"/>
      <c r="I78" s="67"/>
      <c r="J78" s="67"/>
      <c r="K78" s="67"/>
      <c r="L78" s="67"/>
      <c r="M78" s="67"/>
      <c r="N78" s="162"/>
      <c r="O78" s="67"/>
    </row>
    <row r="79" spans="2:15" x14ac:dyDescent="0.15">
      <c r="B79" s="103">
        <v>0.05</v>
      </c>
      <c r="C79" s="12"/>
      <c r="D79" s="67">
        <f t="shared" ref="D79:M83" si="11">D43-D55+D67</f>
        <v>46240250</v>
      </c>
      <c r="E79" s="67">
        <f t="shared" si="11"/>
        <v>37983942.500000022</v>
      </c>
      <c r="F79" s="67">
        <f t="shared" si="11"/>
        <v>31359042.08412499</v>
      </c>
      <c r="G79" s="67">
        <f t="shared" si="11"/>
        <v>22335846.707490433</v>
      </c>
      <c r="H79" s="67">
        <f t="shared" si="11"/>
        <v>11298041.178848946</v>
      </c>
      <c r="I79" s="67">
        <f t="shared" si="11"/>
        <v>0</v>
      </c>
      <c r="J79" s="67">
        <f t="shared" si="11"/>
        <v>0</v>
      </c>
      <c r="K79" s="67">
        <f t="shared" si="11"/>
        <v>0</v>
      </c>
      <c r="L79" s="67">
        <f t="shared" si="11"/>
        <v>0</v>
      </c>
      <c r="M79" s="67">
        <f t="shared" si="11"/>
        <v>0</v>
      </c>
      <c r="N79" s="162"/>
      <c r="O79" s="67">
        <f t="shared" si="10"/>
        <v>149217122.47046441</v>
      </c>
    </row>
    <row r="80" spans="2:15" x14ac:dyDescent="0.15">
      <c r="B80" s="103">
        <v>0.1</v>
      </c>
      <c r="C80" s="104"/>
      <c r="D80" s="67">
        <f t="shared" si="11"/>
        <v>46240250</v>
      </c>
      <c r="E80" s="67">
        <f t="shared" si="11"/>
        <v>37983942.500000022</v>
      </c>
      <c r="F80" s="67">
        <f t="shared" si="11"/>
        <v>31359042.08412499</v>
      </c>
      <c r="G80" s="67">
        <f t="shared" si="11"/>
        <v>22335846.707490433</v>
      </c>
      <c r="H80" s="67">
        <f t="shared" si="11"/>
        <v>11298041.178848946</v>
      </c>
      <c r="I80" s="67">
        <f t="shared" si="11"/>
        <v>0</v>
      </c>
      <c r="J80" s="67">
        <f t="shared" si="11"/>
        <v>0</v>
      </c>
      <c r="K80" s="67">
        <f t="shared" si="11"/>
        <v>0</v>
      </c>
      <c r="L80" s="67">
        <f t="shared" si="11"/>
        <v>0</v>
      </c>
      <c r="M80" s="67">
        <f t="shared" si="11"/>
        <v>0</v>
      </c>
      <c r="N80" s="162"/>
      <c r="O80" s="67">
        <f t="shared" si="10"/>
        <v>149217122.47046441</v>
      </c>
    </row>
    <row r="81" spans="2:15" x14ac:dyDescent="0.15">
      <c r="B81" s="103">
        <v>0.15</v>
      </c>
      <c r="C81" s="104"/>
      <c r="D81" s="67">
        <f t="shared" si="11"/>
        <v>46240250</v>
      </c>
      <c r="E81" s="67">
        <f t="shared" si="11"/>
        <v>37983942.500000022</v>
      </c>
      <c r="F81" s="67">
        <f t="shared" si="11"/>
        <v>31359042.08412499</v>
      </c>
      <c r="G81" s="67">
        <f t="shared" si="11"/>
        <v>22335846.707490433</v>
      </c>
      <c r="H81" s="67">
        <f t="shared" si="11"/>
        <v>11298041.178848946</v>
      </c>
      <c r="I81" s="67">
        <f t="shared" si="11"/>
        <v>0</v>
      </c>
      <c r="J81" s="67">
        <f t="shared" si="11"/>
        <v>0</v>
      </c>
      <c r="K81" s="67">
        <f t="shared" si="11"/>
        <v>0</v>
      </c>
      <c r="L81" s="67">
        <f t="shared" si="11"/>
        <v>0</v>
      </c>
      <c r="M81" s="67">
        <f t="shared" si="11"/>
        <v>0</v>
      </c>
      <c r="N81" s="162"/>
      <c r="O81" s="67">
        <f t="shared" si="10"/>
        <v>149217122.47046441</v>
      </c>
    </row>
    <row r="82" spans="2:15" x14ac:dyDescent="0.15">
      <c r="B82" s="103">
        <v>0.2</v>
      </c>
      <c r="C82" s="104"/>
      <c r="D82" s="67">
        <f t="shared" si="11"/>
        <v>46240250</v>
      </c>
      <c r="E82" s="67">
        <f t="shared" si="11"/>
        <v>37983942.500000022</v>
      </c>
      <c r="F82" s="67">
        <f t="shared" si="11"/>
        <v>31359042.08412499</v>
      </c>
      <c r="G82" s="67">
        <f t="shared" si="11"/>
        <v>22335846.707490433</v>
      </c>
      <c r="H82" s="67">
        <f t="shared" si="11"/>
        <v>11298041.178848946</v>
      </c>
      <c r="I82" s="67">
        <f t="shared" si="11"/>
        <v>0</v>
      </c>
      <c r="J82" s="67">
        <f t="shared" si="11"/>
        <v>0</v>
      </c>
      <c r="K82" s="67">
        <f t="shared" si="11"/>
        <v>0</v>
      </c>
      <c r="L82" s="67">
        <f t="shared" si="11"/>
        <v>0</v>
      </c>
      <c r="M82" s="67">
        <f t="shared" si="11"/>
        <v>0</v>
      </c>
      <c r="N82" s="162"/>
      <c r="O82" s="67">
        <f t="shared" si="10"/>
        <v>149217122.47046441</v>
      </c>
    </row>
    <row r="83" spans="2:15" x14ac:dyDescent="0.15">
      <c r="B83" s="103">
        <v>0.25</v>
      </c>
      <c r="C83" s="104"/>
      <c r="D83" s="67">
        <f t="shared" si="11"/>
        <v>46240250</v>
      </c>
      <c r="E83" s="67">
        <f t="shared" si="11"/>
        <v>37983942.500000022</v>
      </c>
      <c r="F83" s="67">
        <f t="shared" si="11"/>
        <v>31359042.08412499</v>
      </c>
      <c r="G83" s="67">
        <f t="shared" si="11"/>
        <v>22335846.707490433</v>
      </c>
      <c r="H83" s="67">
        <f t="shared" si="11"/>
        <v>11298041.178848946</v>
      </c>
      <c r="I83" s="67">
        <f t="shared" si="11"/>
        <v>0</v>
      </c>
      <c r="J83" s="67">
        <f t="shared" si="11"/>
        <v>0</v>
      </c>
      <c r="K83" s="67">
        <f t="shared" si="11"/>
        <v>0</v>
      </c>
      <c r="L83" s="67">
        <f t="shared" si="11"/>
        <v>0</v>
      </c>
      <c r="M83" s="67">
        <f t="shared" si="11"/>
        <v>0</v>
      </c>
      <c r="N83" s="162"/>
      <c r="O83" s="67">
        <f t="shared" si="10"/>
        <v>149217122.47046441</v>
      </c>
    </row>
    <row r="84" spans="2:15" x14ac:dyDescent="0.15">
      <c r="B84" s="103" t="s">
        <v>292</v>
      </c>
      <c r="C84" s="104"/>
      <c r="D84" s="92">
        <f>D22</f>
        <v>3772500</v>
      </c>
      <c r="E84" s="92">
        <f t="shared" ref="E84:M84" si="12">E22</f>
        <v>6218850</v>
      </c>
      <c r="F84" s="92">
        <f t="shared" si="12"/>
        <v>4083150</v>
      </c>
      <c r="G84" s="92">
        <f t="shared" si="12"/>
        <v>2775510</v>
      </c>
      <c r="H84" s="92">
        <f t="shared" si="12"/>
        <v>1352955</v>
      </c>
      <c r="I84" s="92">
        <f t="shared" si="12"/>
        <v>0</v>
      </c>
      <c r="J84" s="92">
        <f t="shared" si="12"/>
        <v>0</v>
      </c>
      <c r="K84" s="92">
        <f t="shared" si="12"/>
        <v>0</v>
      </c>
      <c r="L84" s="92">
        <f t="shared" si="12"/>
        <v>0</v>
      </c>
      <c r="M84" s="92">
        <f t="shared" si="12"/>
        <v>0</v>
      </c>
      <c r="N84" s="162"/>
      <c r="O84" s="67">
        <f t="shared" si="10"/>
        <v>18202965</v>
      </c>
    </row>
    <row r="85" spans="2:15" ht="14" x14ac:dyDescent="0.15">
      <c r="B85" s="113" t="s">
        <v>650</v>
      </c>
      <c r="C85" s="104"/>
      <c r="D85" s="12"/>
      <c r="E85" s="103"/>
      <c r="F85" s="67"/>
      <c r="G85" s="12"/>
      <c r="H85" s="12"/>
      <c r="I85" s="12"/>
      <c r="J85" s="12"/>
      <c r="K85" s="12"/>
      <c r="L85" s="12"/>
      <c r="M85" s="12"/>
      <c r="N85" s="162"/>
      <c r="O85" s="12"/>
    </row>
    <row r="86" spans="2:15" x14ac:dyDescent="0.15">
      <c r="B86" s="103">
        <v>-0.25</v>
      </c>
      <c r="C86" s="104"/>
      <c r="D86" s="67">
        <f>D73+D$84</f>
        <v>50012750</v>
      </c>
      <c r="E86" s="67">
        <f t="shared" ref="E86:M90" si="13">E73+E$84</f>
        <v>44202792.500000022</v>
      </c>
      <c r="F86" s="67">
        <f t="shared" si="13"/>
        <v>35442192.08412499</v>
      </c>
      <c r="G86" s="67">
        <f t="shared" si="13"/>
        <v>25111356.707490433</v>
      </c>
      <c r="H86" s="67">
        <f t="shared" si="13"/>
        <v>12650996.178848946</v>
      </c>
      <c r="I86" s="67">
        <f t="shared" si="13"/>
        <v>0</v>
      </c>
      <c r="J86" s="67">
        <f t="shared" si="13"/>
        <v>0</v>
      </c>
      <c r="K86" s="67">
        <f t="shared" si="13"/>
        <v>0</v>
      </c>
      <c r="L86" s="67">
        <f t="shared" si="13"/>
        <v>0</v>
      </c>
      <c r="M86" s="67">
        <f t="shared" si="13"/>
        <v>0</v>
      </c>
      <c r="N86" s="162"/>
      <c r="O86" s="67">
        <f t="shared" ref="O86:O96" si="14">SUM(D86:M86)</f>
        <v>167420087.47046441</v>
      </c>
    </row>
    <row r="87" spans="2:15" x14ac:dyDescent="0.15">
      <c r="B87" s="103">
        <v>-0.2</v>
      </c>
      <c r="C87" s="104"/>
      <c r="D87" s="67">
        <f>D74+D$84</f>
        <v>50012750</v>
      </c>
      <c r="E87" s="67">
        <f t="shared" si="13"/>
        <v>44202792.500000022</v>
      </c>
      <c r="F87" s="67">
        <f t="shared" si="13"/>
        <v>35442192.08412499</v>
      </c>
      <c r="G87" s="67">
        <f t="shared" si="13"/>
        <v>25111356.707490433</v>
      </c>
      <c r="H87" s="67">
        <f t="shared" si="13"/>
        <v>12650996.178848946</v>
      </c>
      <c r="I87" s="67">
        <f t="shared" si="13"/>
        <v>0</v>
      </c>
      <c r="J87" s="67">
        <f t="shared" si="13"/>
        <v>0</v>
      </c>
      <c r="K87" s="67">
        <f t="shared" si="13"/>
        <v>0</v>
      </c>
      <c r="L87" s="67">
        <f t="shared" si="13"/>
        <v>0</v>
      </c>
      <c r="M87" s="67">
        <f t="shared" si="13"/>
        <v>0</v>
      </c>
      <c r="N87" s="162"/>
      <c r="O87" s="67">
        <f t="shared" si="14"/>
        <v>167420087.47046441</v>
      </c>
    </row>
    <row r="88" spans="2:15" x14ac:dyDescent="0.15">
      <c r="B88" s="103">
        <v>-0.15</v>
      </c>
      <c r="C88" s="104"/>
      <c r="D88" s="67">
        <f>D75+D$84</f>
        <v>50012750</v>
      </c>
      <c r="E88" s="67">
        <f t="shared" si="13"/>
        <v>44202792.500000022</v>
      </c>
      <c r="F88" s="67">
        <f t="shared" si="13"/>
        <v>35442192.08412499</v>
      </c>
      <c r="G88" s="67">
        <f t="shared" si="13"/>
        <v>25111356.707490433</v>
      </c>
      <c r="H88" s="67">
        <f t="shared" si="13"/>
        <v>12650996.178848946</v>
      </c>
      <c r="I88" s="67">
        <f t="shared" si="13"/>
        <v>0</v>
      </c>
      <c r="J88" s="67">
        <f t="shared" si="13"/>
        <v>0</v>
      </c>
      <c r="K88" s="67">
        <f t="shared" si="13"/>
        <v>0</v>
      </c>
      <c r="L88" s="67">
        <f t="shared" si="13"/>
        <v>0</v>
      </c>
      <c r="M88" s="67">
        <f t="shared" si="13"/>
        <v>0</v>
      </c>
      <c r="N88" s="162"/>
      <c r="O88" s="67">
        <f t="shared" si="14"/>
        <v>167420087.47046441</v>
      </c>
    </row>
    <row r="89" spans="2:15" x14ac:dyDescent="0.15">
      <c r="B89" s="103">
        <v>-0.1</v>
      </c>
      <c r="C89" s="104"/>
      <c r="D89" s="67">
        <f>D76+D$84</f>
        <v>50012750</v>
      </c>
      <c r="E89" s="67">
        <f t="shared" si="13"/>
        <v>44202792.500000022</v>
      </c>
      <c r="F89" s="67">
        <f t="shared" si="13"/>
        <v>35442192.08412499</v>
      </c>
      <c r="G89" s="67">
        <f t="shared" si="13"/>
        <v>25111356.707490433</v>
      </c>
      <c r="H89" s="67">
        <f t="shared" si="13"/>
        <v>12650996.178848946</v>
      </c>
      <c r="I89" s="67">
        <f t="shared" si="13"/>
        <v>0</v>
      </c>
      <c r="J89" s="67">
        <f t="shared" si="13"/>
        <v>0</v>
      </c>
      <c r="K89" s="67">
        <f t="shared" si="13"/>
        <v>0</v>
      </c>
      <c r="L89" s="67">
        <f t="shared" si="13"/>
        <v>0</v>
      </c>
      <c r="M89" s="67">
        <f t="shared" si="13"/>
        <v>0</v>
      </c>
      <c r="N89" s="162"/>
      <c r="O89" s="67">
        <f t="shared" si="14"/>
        <v>167420087.47046441</v>
      </c>
    </row>
    <row r="90" spans="2:15" x14ac:dyDescent="0.15">
      <c r="B90" s="103">
        <v>-0.05</v>
      </c>
      <c r="C90" s="12"/>
      <c r="D90" s="67">
        <f>D77+D$84</f>
        <v>50012750</v>
      </c>
      <c r="E90" s="67">
        <f t="shared" si="13"/>
        <v>44202792.500000022</v>
      </c>
      <c r="F90" s="67">
        <f t="shared" si="13"/>
        <v>35442192.08412499</v>
      </c>
      <c r="G90" s="67">
        <f t="shared" si="13"/>
        <v>25111356.707490433</v>
      </c>
      <c r="H90" s="67">
        <f t="shared" si="13"/>
        <v>12650996.178848946</v>
      </c>
      <c r="I90" s="67">
        <f t="shared" si="13"/>
        <v>0</v>
      </c>
      <c r="J90" s="67">
        <f t="shared" si="13"/>
        <v>0</v>
      </c>
      <c r="K90" s="67">
        <f t="shared" si="13"/>
        <v>0</v>
      </c>
      <c r="L90" s="67">
        <f t="shared" si="13"/>
        <v>0</v>
      </c>
      <c r="M90" s="67">
        <f t="shared" si="13"/>
        <v>0</v>
      </c>
      <c r="N90" s="162"/>
      <c r="O90" s="67">
        <f t="shared" si="14"/>
        <v>167420087.47046441</v>
      </c>
    </row>
    <row r="91" spans="2:15" x14ac:dyDescent="0.15">
      <c r="B91" s="103"/>
      <c r="C91" s="12"/>
      <c r="D91" s="67"/>
      <c r="E91" s="67"/>
      <c r="F91" s="67"/>
      <c r="G91" s="67"/>
      <c r="H91" s="67"/>
      <c r="I91" s="67"/>
      <c r="J91" s="67"/>
      <c r="K91" s="67"/>
      <c r="L91" s="67"/>
      <c r="M91" s="67"/>
      <c r="N91" s="162"/>
      <c r="O91" s="67"/>
    </row>
    <row r="92" spans="2:15" x14ac:dyDescent="0.15">
      <c r="B92" s="103">
        <v>0.05</v>
      </c>
      <c r="C92" s="12"/>
      <c r="D92" s="67">
        <f t="shared" ref="D92:M96" si="15">D79+D$84</f>
        <v>50012750</v>
      </c>
      <c r="E92" s="67">
        <f t="shared" si="15"/>
        <v>44202792.500000022</v>
      </c>
      <c r="F92" s="67">
        <f t="shared" si="15"/>
        <v>35442192.08412499</v>
      </c>
      <c r="G92" s="67">
        <f t="shared" si="15"/>
        <v>25111356.707490433</v>
      </c>
      <c r="H92" s="67">
        <f t="shared" si="15"/>
        <v>12650996.178848946</v>
      </c>
      <c r="I92" s="67">
        <f t="shared" si="15"/>
        <v>0</v>
      </c>
      <c r="J92" s="67">
        <f t="shared" si="15"/>
        <v>0</v>
      </c>
      <c r="K92" s="67">
        <f t="shared" si="15"/>
        <v>0</v>
      </c>
      <c r="L92" s="67">
        <f t="shared" si="15"/>
        <v>0</v>
      </c>
      <c r="M92" s="67">
        <f t="shared" si="15"/>
        <v>0</v>
      </c>
      <c r="N92" s="162"/>
      <c r="O92" s="67">
        <f t="shared" si="14"/>
        <v>167420087.47046441</v>
      </c>
    </row>
    <row r="93" spans="2:15" x14ac:dyDescent="0.15">
      <c r="B93" s="103">
        <v>0.1</v>
      </c>
      <c r="C93" s="12"/>
      <c r="D93" s="67">
        <f t="shared" si="15"/>
        <v>50012750</v>
      </c>
      <c r="E93" s="67">
        <f t="shared" si="15"/>
        <v>44202792.500000022</v>
      </c>
      <c r="F93" s="67">
        <f t="shared" si="15"/>
        <v>35442192.08412499</v>
      </c>
      <c r="G93" s="67">
        <f t="shared" si="15"/>
        <v>25111356.707490433</v>
      </c>
      <c r="H93" s="67">
        <f t="shared" si="15"/>
        <v>12650996.178848946</v>
      </c>
      <c r="I93" s="67">
        <f t="shared" si="15"/>
        <v>0</v>
      </c>
      <c r="J93" s="67">
        <f t="shared" si="15"/>
        <v>0</v>
      </c>
      <c r="K93" s="67">
        <f t="shared" si="15"/>
        <v>0</v>
      </c>
      <c r="L93" s="67">
        <f t="shared" si="15"/>
        <v>0</v>
      </c>
      <c r="M93" s="67">
        <f t="shared" si="15"/>
        <v>0</v>
      </c>
      <c r="N93" s="162"/>
      <c r="O93" s="67">
        <f t="shared" si="14"/>
        <v>167420087.47046441</v>
      </c>
    </row>
    <row r="94" spans="2:15" x14ac:dyDescent="0.15">
      <c r="B94" s="103">
        <v>0.15</v>
      </c>
      <c r="C94" s="12"/>
      <c r="D94" s="67">
        <f t="shared" si="15"/>
        <v>50012750</v>
      </c>
      <c r="E94" s="67">
        <f t="shared" si="15"/>
        <v>44202792.500000022</v>
      </c>
      <c r="F94" s="67">
        <f t="shared" si="15"/>
        <v>35442192.08412499</v>
      </c>
      <c r="G94" s="67">
        <f t="shared" si="15"/>
        <v>25111356.707490433</v>
      </c>
      <c r="H94" s="67">
        <f t="shared" si="15"/>
        <v>12650996.178848946</v>
      </c>
      <c r="I94" s="67">
        <f t="shared" si="15"/>
        <v>0</v>
      </c>
      <c r="J94" s="67">
        <f t="shared" si="15"/>
        <v>0</v>
      </c>
      <c r="K94" s="67">
        <f t="shared" si="15"/>
        <v>0</v>
      </c>
      <c r="L94" s="67">
        <f t="shared" si="15"/>
        <v>0</v>
      </c>
      <c r="M94" s="67">
        <f t="shared" si="15"/>
        <v>0</v>
      </c>
      <c r="N94" s="162"/>
      <c r="O94" s="67">
        <f t="shared" si="14"/>
        <v>167420087.47046441</v>
      </c>
    </row>
    <row r="95" spans="2:15" x14ac:dyDescent="0.15">
      <c r="B95" s="103">
        <v>0.2</v>
      </c>
      <c r="C95" s="12"/>
      <c r="D95" s="67">
        <f t="shared" si="15"/>
        <v>50012750</v>
      </c>
      <c r="E95" s="67">
        <f t="shared" si="15"/>
        <v>44202792.500000022</v>
      </c>
      <c r="F95" s="67">
        <f t="shared" si="15"/>
        <v>35442192.08412499</v>
      </c>
      <c r="G95" s="67">
        <f t="shared" si="15"/>
        <v>25111356.707490433</v>
      </c>
      <c r="H95" s="67">
        <f t="shared" si="15"/>
        <v>12650996.178848946</v>
      </c>
      <c r="I95" s="67">
        <f t="shared" si="15"/>
        <v>0</v>
      </c>
      <c r="J95" s="67">
        <f t="shared" si="15"/>
        <v>0</v>
      </c>
      <c r="K95" s="67">
        <f t="shared" si="15"/>
        <v>0</v>
      </c>
      <c r="L95" s="67">
        <f t="shared" si="15"/>
        <v>0</v>
      </c>
      <c r="M95" s="67">
        <f t="shared" si="15"/>
        <v>0</v>
      </c>
      <c r="N95" s="162"/>
      <c r="O95" s="67">
        <f t="shared" si="14"/>
        <v>167420087.47046441</v>
      </c>
    </row>
    <row r="96" spans="2:15" ht="14" thickBot="1" x14ac:dyDescent="0.2">
      <c r="B96" s="103">
        <v>0.25</v>
      </c>
      <c r="C96" s="94"/>
      <c r="D96" s="95">
        <f t="shared" si="15"/>
        <v>50012750</v>
      </c>
      <c r="E96" s="95">
        <f t="shared" si="15"/>
        <v>44202792.500000022</v>
      </c>
      <c r="F96" s="95">
        <f t="shared" si="15"/>
        <v>35442192.08412499</v>
      </c>
      <c r="G96" s="95">
        <f t="shared" si="15"/>
        <v>25111356.707490433</v>
      </c>
      <c r="H96" s="95">
        <f t="shared" si="15"/>
        <v>12650996.178848946</v>
      </c>
      <c r="I96" s="95">
        <f t="shared" si="15"/>
        <v>0</v>
      </c>
      <c r="J96" s="95">
        <f t="shared" si="15"/>
        <v>0</v>
      </c>
      <c r="K96" s="95">
        <f t="shared" si="15"/>
        <v>0</v>
      </c>
      <c r="L96" s="95">
        <f t="shared" si="15"/>
        <v>0</v>
      </c>
      <c r="M96" s="95">
        <f t="shared" si="15"/>
        <v>0</v>
      </c>
      <c r="N96" s="163"/>
      <c r="O96" s="95">
        <f t="shared" si="14"/>
        <v>167420087.47046441</v>
      </c>
    </row>
    <row r="97" spans="2:15" ht="14" thickTop="1" x14ac:dyDescent="0.15">
      <c r="B97" s="96" t="s">
        <v>638</v>
      </c>
      <c r="C97" s="96" t="s">
        <v>656</v>
      </c>
      <c r="D97" s="96"/>
      <c r="E97" s="96"/>
      <c r="F97" s="96"/>
      <c r="G97" s="96"/>
      <c r="H97" s="96"/>
      <c r="I97" s="96"/>
      <c r="J97" s="96"/>
      <c r="K97" s="96"/>
      <c r="L97" s="96"/>
      <c r="M97" s="96"/>
      <c r="N97" s="96"/>
      <c r="O97" s="96"/>
    </row>
    <row r="98" spans="2:15" x14ac:dyDescent="0.15">
      <c r="B98" s="103">
        <v>-0.25</v>
      </c>
      <c r="C98" s="12"/>
      <c r="D98" s="92">
        <f>'Level Prin Paymt Fin Sens Calc'!D36</f>
        <v>0</v>
      </c>
      <c r="E98" s="92">
        <f>'Level Prin Paymt Fin Sens Calc'!E36</f>
        <v>0</v>
      </c>
      <c r="F98" s="92">
        <f>'Level Prin Paymt Fin Sens Calc'!F36</f>
        <v>0</v>
      </c>
      <c r="G98" s="92">
        <f>'Level Prin Paymt Fin Sens Calc'!G36</f>
        <v>0</v>
      </c>
      <c r="H98" s="92">
        <f>'Level Prin Paymt Fin Sens Calc'!H36</f>
        <v>0</v>
      </c>
      <c r="I98" s="92">
        <f>'Level Prin Paymt Fin Sens Calc'!I36</f>
        <v>0</v>
      </c>
      <c r="J98" s="92">
        <f>'Level Prin Paymt Fin Sens Calc'!J36</f>
        <v>0</v>
      </c>
      <c r="K98" s="92">
        <f>'Level Prin Paymt Fin Sens Calc'!K36</f>
        <v>0</v>
      </c>
      <c r="L98" s="92">
        <f>'Level Prin Paymt Fin Sens Calc'!L36</f>
        <v>0</v>
      </c>
      <c r="M98" s="92">
        <f>'Level Prin Paymt Fin Sens Calc'!M36</f>
        <v>0</v>
      </c>
      <c r="N98" s="57"/>
      <c r="O98" s="67">
        <f t="shared" ref="O98:O108" si="16">SUM(D98:M98)</f>
        <v>0</v>
      </c>
    </row>
    <row r="99" spans="2:15" x14ac:dyDescent="0.15">
      <c r="B99" s="103">
        <v>-0.2</v>
      </c>
      <c r="C99" s="12"/>
      <c r="D99" s="92">
        <f>'Level Prin Paymt Fin Sens Calc'!D57</f>
        <v>0</v>
      </c>
      <c r="E99" s="92">
        <f>'Level Prin Paymt Fin Sens Calc'!E57</f>
        <v>0</v>
      </c>
      <c r="F99" s="92">
        <f>'Level Prin Paymt Fin Sens Calc'!F57</f>
        <v>0</v>
      </c>
      <c r="G99" s="92">
        <f>'Level Prin Paymt Fin Sens Calc'!G57</f>
        <v>0</v>
      </c>
      <c r="H99" s="92">
        <f>'Level Prin Paymt Fin Sens Calc'!H57</f>
        <v>0</v>
      </c>
      <c r="I99" s="92">
        <f>'Level Prin Paymt Fin Sens Calc'!I57</f>
        <v>0</v>
      </c>
      <c r="J99" s="92">
        <f>'Level Prin Paymt Fin Sens Calc'!J57</f>
        <v>0</v>
      </c>
      <c r="K99" s="92">
        <f>'Level Prin Paymt Fin Sens Calc'!K57</f>
        <v>0</v>
      </c>
      <c r="L99" s="92">
        <f>'Level Prin Paymt Fin Sens Calc'!L57</f>
        <v>0</v>
      </c>
      <c r="M99" s="92">
        <f>'Level Prin Paymt Fin Sens Calc'!M57</f>
        <v>0</v>
      </c>
      <c r="N99" s="57"/>
      <c r="O99" s="67">
        <f t="shared" si="16"/>
        <v>0</v>
      </c>
    </row>
    <row r="100" spans="2:15" x14ac:dyDescent="0.15">
      <c r="B100" s="103">
        <v>-0.15</v>
      </c>
      <c r="C100" s="12"/>
      <c r="D100" s="92">
        <f>'Level Prin Paymt Fin Sens Calc'!D78</f>
        <v>0</v>
      </c>
      <c r="E100" s="92">
        <f>'Level Prin Paymt Fin Sens Calc'!E78</f>
        <v>0</v>
      </c>
      <c r="F100" s="92">
        <f>'Level Prin Paymt Fin Sens Calc'!F78</f>
        <v>0</v>
      </c>
      <c r="G100" s="92">
        <f>'Level Prin Paymt Fin Sens Calc'!G78</f>
        <v>0</v>
      </c>
      <c r="H100" s="92">
        <f>'Level Prin Paymt Fin Sens Calc'!H78</f>
        <v>0</v>
      </c>
      <c r="I100" s="92">
        <f>'Level Prin Paymt Fin Sens Calc'!I78</f>
        <v>0</v>
      </c>
      <c r="J100" s="92">
        <f>'Level Prin Paymt Fin Sens Calc'!J78</f>
        <v>0</v>
      </c>
      <c r="K100" s="92">
        <f>'Level Prin Paymt Fin Sens Calc'!K78</f>
        <v>0</v>
      </c>
      <c r="L100" s="92">
        <f>'Level Prin Paymt Fin Sens Calc'!L78</f>
        <v>0</v>
      </c>
      <c r="M100" s="92">
        <f>'Level Prin Paymt Fin Sens Calc'!M78</f>
        <v>0</v>
      </c>
      <c r="N100" s="57"/>
      <c r="O100" s="67">
        <f t="shared" si="16"/>
        <v>0</v>
      </c>
    </row>
    <row r="101" spans="2:15" x14ac:dyDescent="0.15">
      <c r="B101" s="103">
        <v>-0.1</v>
      </c>
      <c r="C101" s="12"/>
      <c r="D101" s="92">
        <f>'Level Prin Paymt Fin Sens Calc'!D99</f>
        <v>0</v>
      </c>
      <c r="E101" s="92">
        <f>'Level Prin Paymt Fin Sens Calc'!E99</f>
        <v>0</v>
      </c>
      <c r="F101" s="92">
        <f>'Level Prin Paymt Fin Sens Calc'!F99</f>
        <v>0</v>
      </c>
      <c r="G101" s="92">
        <f>'Level Prin Paymt Fin Sens Calc'!G99</f>
        <v>0</v>
      </c>
      <c r="H101" s="92">
        <f>'Level Prin Paymt Fin Sens Calc'!H99</f>
        <v>0</v>
      </c>
      <c r="I101" s="92">
        <f>'Level Prin Paymt Fin Sens Calc'!I99</f>
        <v>0</v>
      </c>
      <c r="J101" s="92">
        <f>'Level Prin Paymt Fin Sens Calc'!J99</f>
        <v>0</v>
      </c>
      <c r="K101" s="92">
        <f>'Level Prin Paymt Fin Sens Calc'!K99</f>
        <v>0</v>
      </c>
      <c r="L101" s="92">
        <f>'Level Prin Paymt Fin Sens Calc'!L99</f>
        <v>0</v>
      </c>
      <c r="M101" s="92">
        <f>'Level Prin Paymt Fin Sens Calc'!M99</f>
        <v>0</v>
      </c>
      <c r="N101" s="57"/>
      <c r="O101" s="67">
        <f t="shared" si="16"/>
        <v>0</v>
      </c>
    </row>
    <row r="102" spans="2:15" x14ac:dyDescent="0.15">
      <c r="B102" s="103">
        <v>-0.05</v>
      </c>
      <c r="C102" s="12"/>
      <c r="D102" s="92">
        <f>'Level Prin Paymt Fin Sens Calc'!D120</f>
        <v>0</v>
      </c>
      <c r="E102" s="92">
        <f>'Level Prin Paymt Fin Sens Calc'!E120</f>
        <v>0</v>
      </c>
      <c r="F102" s="92">
        <f>'Level Prin Paymt Fin Sens Calc'!F120</f>
        <v>0</v>
      </c>
      <c r="G102" s="92">
        <f>'Level Prin Paymt Fin Sens Calc'!G120</f>
        <v>0</v>
      </c>
      <c r="H102" s="92">
        <f>'Level Prin Paymt Fin Sens Calc'!H120</f>
        <v>0</v>
      </c>
      <c r="I102" s="92">
        <f>'Level Prin Paymt Fin Sens Calc'!I120</f>
        <v>0</v>
      </c>
      <c r="J102" s="92">
        <f>'Level Prin Paymt Fin Sens Calc'!J120</f>
        <v>0</v>
      </c>
      <c r="K102" s="92">
        <f>'Level Prin Paymt Fin Sens Calc'!K120</f>
        <v>0</v>
      </c>
      <c r="L102" s="92">
        <f>'Level Prin Paymt Fin Sens Calc'!L120</f>
        <v>0</v>
      </c>
      <c r="M102" s="92">
        <f>'Level Prin Paymt Fin Sens Calc'!M120</f>
        <v>0</v>
      </c>
      <c r="N102" s="57"/>
      <c r="O102" s="67">
        <f t="shared" si="16"/>
        <v>0</v>
      </c>
    </row>
    <row r="103" spans="2:15" x14ac:dyDescent="0.15">
      <c r="B103" s="563" t="s">
        <v>417</v>
      </c>
      <c r="C103" s="12"/>
      <c r="D103" s="92">
        <f>'Level Prin Paymt Fin Sens Calc'!D141</f>
        <v>0</v>
      </c>
      <c r="E103" s="92">
        <f>'Level Prin Paymt Fin Sens Calc'!E141</f>
        <v>0</v>
      </c>
      <c r="F103" s="92">
        <f>'Level Prin Paymt Fin Sens Calc'!F141</f>
        <v>0</v>
      </c>
      <c r="G103" s="92">
        <f>'Level Prin Paymt Fin Sens Calc'!G141</f>
        <v>0</v>
      </c>
      <c r="H103" s="92">
        <f>'Level Prin Paymt Fin Sens Calc'!H141</f>
        <v>0</v>
      </c>
      <c r="I103" s="92">
        <f>'Level Prin Paymt Fin Sens Calc'!I141</f>
        <v>0</v>
      </c>
      <c r="J103" s="92">
        <f>'Level Prin Paymt Fin Sens Calc'!J141</f>
        <v>0</v>
      </c>
      <c r="K103" s="92">
        <f>'Level Prin Paymt Fin Sens Calc'!K141</f>
        <v>0</v>
      </c>
      <c r="L103" s="92">
        <f>'Level Prin Paymt Fin Sens Calc'!L141</f>
        <v>0</v>
      </c>
      <c r="M103" s="92">
        <f>'Level Prin Paymt Fin Sens Calc'!M141</f>
        <v>0</v>
      </c>
      <c r="N103" s="57"/>
      <c r="O103" s="67">
        <f t="shared" si="16"/>
        <v>0</v>
      </c>
    </row>
    <row r="104" spans="2:15" x14ac:dyDescent="0.15">
      <c r="B104" s="103">
        <v>0.05</v>
      </c>
      <c r="C104" s="12"/>
      <c r="D104" s="92">
        <f>'Level Prin Paymt Fin Sens Calc'!D162</f>
        <v>0</v>
      </c>
      <c r="E104" s="92">
        <f>'Level Prin Paymt Fin Sens Calc'!E162</f>
        <v>0</v>
      </c>
      <c r="F104" s="92">
        <f>'Level Prin Paymt Fin Sens Calc'!F162</f>
        <v>0</v>
      </c>
      <c r="G104" s="92">
        <f>'Level Prin Paymt Fin Sens Calc'!G162</f>
        <v>0</v>
      </c>
      <c r="H104" s="92">
        <f>'Level Prin Paymt Fin Sens Calc'!H162</f>
        <v>0</v>
      </c>
      <c r="I104" s="92">
        <f>'Level Prin Paymt Fin Sens Calc'!I162</f>
        <v>0</v>
      </c>
      <c r="J104" s="92">
        <f>'Level Prin Paymt Fin Sens Calc'!J162</f>
        <v>0</v>
      </c>
      <c r="K104" s="92">
        <f>'Level Prin Paymt Fin Sens Calc'!K162</f>
        <v>0</v>
      </c>
      <c r="L104" s="92">
        <f>'Level Prin Paymt Fin Sens Calc'!L162</f>
        <v>0</v>
      </c>
      <c r="M104" s="92">
        <f>'Level Prin Paymt Fin Sens Calc'!M162</f>
        <v>0</v>
      </c>
      <c r="N104" s="57"/>
      <c r="O104" s="67">
        <f t="shared" si="16"/>
        <v>0</v>
      </c>
    </row>
    <row r="105" spans="2:15" x14ac:dyDescent="0.15">
      <c r="B105" s="103">
        <v>0.1</v>
      </c>
      <c r="C105" s="12"/>
      <c r="D105" s="92">
        <f>'Level Prin Paymt Fin Sens Calc'!D183</f>
        <v>0</v>
      </c>
      <c r="E105" s="92">
        <f>'Level Prin Paymt Fin Sens Calc'!E183</f>
        <v>0</v>
      </c>
      <c r="F105" s="92">
        <f>'Level Prin Paymt Fin Sens Calc'!F183</f>
        <v>0</v>
      </c>
      <c r="G105" s="92">
        <f>'Level Prin Paymt Fin Sens Calc'!G183</f>
        <v>0</v>
      </c>
      <c r="H105" s="92">
        <f>'Level Prin Paymt Fin Sens Calc'!H183</f>
        <v>0</v>
      </c>
      <c r="I105" s="92">
        <f>'Level Prin Paymt Fin Sens Calc'!I183</f>
        <v>0</v>
      </c>
      <c r="J105" s="92">
        <f>'Level Prin Paymt Fin Sens Calc'!J183</f>
        <v>0</v>
      </c>
      <c r="K105" s="92">
        <f>'Level Prin Paymt Fin Sens Calc'!K183</f>
        <v>0</v>
      </c>
      <c r="L105" s="92">
        <f>'Level Prin Paymt Fin Sens Calc'!L183</f>
        <v>0</v>
      </c>
      <c r="M105" s="92">
        <f>'Level Prin Paymt Fin Sens Calc'!M183</f>
        <v>0</v>
      </c>
      <c r="N105" s="57"/>
      <c r="O105" s="67">
        <f t="shared" si="16"/>
        <v>0</v>
      </c>
    </row>
    <row r="106" spans="2:15" x14ac:dyDescent="0.15">
      <c r="B106" s="103">
        <v>0.15</v>
      </c>
      <c r="C106" s="12"/>
      <c r="D106" s="92">
        <f>'Level Prin Paymt Fin Sens Calc'!D204</f>
        <v>0</v>
      </c>
      <c r="E106" s="92">
        <f>'Level Prin Paymt Fin Sens Calc'!E204</f>
        <v>0</v>
      </c>
      <c r="F106" s="92">
        <f>'Level Prin Paymt Fin Sens Calc'!F204</f>
        <v>0</v>
      </c>
      <c r="G106" s="92">
        <f>'Level Prin Paymt Fin Sens Calc'!G204</f>
        <v>0</v>
      </c>
      <c r="H106" s="92">
        <f>'Level Prin Paymt Fin Sens Calc'!H204</f>
        <v>0</v>
      </c>
      <c r="I106" s="92">
        <f>'Level Prin Paymt Fin Sens Calc'!I204</f>
        <v>0</v>
      </c>
      <c r="J106" s="92">
        <f>'Level Prin Paymt Fin Sens Calc'!J204</f>
        <v>0</v>
      </c>
      <c r="K106" s="92">
        <f>'Level Prin Paymt Fin Sens Calc'!K204</f>
        <v>0</v>
      </c>
      <c r="L106" s="92">
        <f>'Level Prin Paymt Fin Sens Calc'!L204</f>
        <v>0</v>
      </c>
      <c r="M106" s="92">
        <f>'Level Prin Paymt Fin Sens Calc'!M204</f>
        <v>0</v>
      </c>
      <c r="N106" s="57"/>
      <c r="O106" s="67">
        <f t="shared" si="16"/>
        <v>0</v>
      </c>
    </row>
    <row r="107" spans="2:15" x14ac:dyDescent="0.15">
      <c r="B107" s="103">
        <v>0.2</v>
      </c>
      <c r="C107" s="12"/>
      <c r="D107" s="92">
        <f>'Level Prin Paymt Fin Sens Calc'!D225</f>
        <v>0</v>
      </c>
      <c r="E107" s="92">
        <f>'Level Prin Paymt Fin Sens Calc'!E225</f>
        <v>0</v>
      </c>
      <c r="F107" s="92">
        <f>'Level Prin Paymt Fin Sens Calc'!F225</f>
        <v>0</v>
      </c>
      <c r="G107" s="92">
        <f>'Level Prin Paymt Fin Sens Calc'!G225</f>
        <v>0</v>
      </c>
      <c r="H107" s="92">
        <f>'Level Prin Paymt Fin Sens Calc'!H225</f>
        <v>0</v>
      </c>
      <c r="I107" s="92">
        <f>'Level Prin Paymt Fin Sens Calc'!I225</f>
        <v>0</v>
      </c>
      <c r="J107" s="92">
        <f>'Level Prin Paymt Fin Sens Calc'!J225</f>
        <v>0</v>
      </c>
      <c r="K107" s="92">
        <f>'Level Prin Paymt Fin Sens Calc'!K225</f>
        <v>0</v>
      </c>
      <c r="L107" s="92">
        <f>'Level Prin Paymt Fin Sens Calc'!L225</f>
        <v>0</v>
      </c>
      <c r="M107" s="92">
        <f>'Level Prin Paymt Fin Sens Calc'!M225</f>
        <v>0</v>
      </c>
      <c r="N107" s="57"/>
      <c r="O107" s="67">
        <f t="shared" si="16"/>
        <v>0</v>
      </c>
    </row>
    <row r="108" spans="2:15" x14ac:dyDescent="0.15">
      <c r="B108" s="103">
        <v>0.25</v>
      </c>
      <c r="C108" s="12"/>
      <c r="D108" s="92">
        <f>'Level Prin Paymt Fin Sens Calc'!D246</f>
        <v>0</v>
      </c>
      <c r="E108" s="92">
        <f>'Level Prin Paymt Fin Sens Calc'!E246</f>
        <v>0</v>
      </c>
      <c r="F108" s="92">
        <f>'Level Prin Paymt Fin Sens Calc'!F246</f>
        <v>0</v>
      </c>
      <c r="G108" s="92">
        <f>'Level Prin Paymt Fin Sens Calc'!G246</f>
        <v>0</v>
      </c>
      <c r="H108" s="92">
        <f>'Level Prin Paymt Fin Sens Calc'!H246</f>
        <v>0</v>
      </c>
      <c r="I108" s="92">
        <f>'Level Prin Paymt Fin Sens Calc'!I246</f>
        <v>0</v>
      </c>
      <c r="J108" s="92">
        <f>'Level Prin Paymt Fin Sens Calc'!J246</f>
        <v>0</v>
      </c>
      <c r="K108" s="92">
        <f>'Level Prin Paymt Fin Sens Calc'!K246</f>
        <v>0</v>
      </c>
      <c r="L108" s="92">
        <f>'Level Prin Paymt Fin Sens Calc'!L246</f>
        <v>0</v>
      </c>
      <c r="M108" s="92">
        <f>'Level Prin Paymt Fin Sens Calc'!M246</f>
        <v>0</v>
      </c>
      <c r="N108" s="57"/>
      <c r="O108" s="67">
        <f t="shared" si="16"/>
        <v>0</v>
      </c>
    </row>
    <row r="109" spans="2:15" x14ac:dyDescent="0.15">
      <c r="B109" s="12" t="s">
        <v>639</v>
      </c>
      <c r="C109" s="12"/>
      <c r="D109" s="12"/>
      <c r="E109" s="12"/>
      <c r="F109" s="12"/>
      <c r="G109" s="12"/>
      <c r="H109" s="12"/>
      <c r="I109" s="12"/>
      <c r="J109" s="12"/>
      <c r="K109" s="12"/>
      <c r="L109" s="12"/>
      <c r="M109" s="12"/>
      <c r="N109" s="12"/>
      <c r="O109" s="12"/>
    </row>
    <row r="110" spans="2:15" x14ac:dyDescent="0.15">
      <c r="B110" s="103">
        <v>-0.25</v>
      </c>
      <c r="C110" s="67">
        <f>C$121+C$122+C124</f>
        <v>-32550000</v>
      </c>
      <c r="D110" s="15"/>
      <c r="E110" s="15"/>
      <c r="F110" s="15"/>
      <c r="G110" s="15"/>
      <c r="H110" s="15"/>
      <c r="I110" s="15"/>
      <c r="J110" s="15"/>
      <c r="K110" s="15"/>
      <c r="L110" s="15"/>
      <c r="M110" s="15"/>
      <c r="N110" s="12"/>
      <c r="O110" s="67">
        <f t="shared" ref="O110:O120" si="17">SUM(C110:M110)</f>
        <v>-32550000</v>
      </c>
    </row>
    <row r="111" spans="2:15" x14ac:dyDescent="0.15">
      <c r="B111" s="103">
        <v>-0.2</v>
      </c>
      <c r="C111" s="67">
        <f>C$121+C$122+C125</f>
        <v>-32550000</v>
      </c>
      <c r="D111" s="15"/>
      <c r="E111" s="15"/>
      <c r="F111" s="15"/>
      <c r="G111" s="15"/>
      <c r="H111" s="15"/>
      <c r="I111" s="15"/>
      <c r="J111" s="15"/>
      <c r="K111" s="15"/>
      <c r="L111" s="15"/>
      <c r="M111" s="15"/>
      <c r="N111" s="12"/>
      <c r="O111" s="67">
        <f t="shared" si="17"/>
        <v>-32550000</v>
      </c>
    </row>
    <row r="112" spans="2:15" x14ac:dyDescent="0.15">
      <c r="B112" s="103">
        <v>-0.15</v>
      </c>
      <c r="C112" s="67">
        <f>C$121+C$122+C126</f>
        <v>-32550000</v>
      </c>
      <c r="D112" s="15"/>
      <c r="E112" s="15"/>
      <c r="F112" s="15"/>
      <c r="G112" s="15"/>
      <c r="H112" s="15"/>
      <c r="I112" s="15"/>
      <c r="J112" s="15"/>
      <c r="K112" s="15"/>
      <c r="L112" s="15"/>
      <c r="M112" s="15"/>
      <c r="N112" s="12"/>
      <c r="O112" s="67">
        <f t="shared" si="17"/>
        <v>-32550000</v>
      </c>
    </row>
    <row r="113" spans="2:15" x14ac:dyDescent="0.15">
      <c r="B113" s="103">
        <v>-0.1</v>
      </c>
      <c r="C113" s="67">
        <f>C$121+C$122+C127</f>
        <v>-32550000</v>
      </c>
      <c r="D113" s="15"/>
      <c r="E113" s="15"/>
      <c r="F113" s="15"/>
      <c r="G113" s="15"/>
      <c r="H113" s="15"/>
      <c r="I113" s="15"/>
      <c r="J113" s="15"/>
      <c r="K113" s="15"/>
      <c r="L113" s="15"/>
      <c r="M113" s="15"/>
      <c r="N113" s="12"/>
      <c r="O113" s="67">
        <f t="shared" si="17"/>
        <v>-32550000</v>
      </c>
    </row>
    <row r="114" spans="2:15" x14ac:dyDescent="0.15">
      <c r="B114" s="103">
        <v>-0.05</v>
      </c>
      <c r="C114" s="67">
        <f>C$121+C$122+C128</f>
        <v>-32550000</v>
      </c>
      <c r="D114" s="15"/>
      <c r="E114" s="15"/>
      <c r="F114" s="15"/>
      <c r="G114" s="15"/>
      <c r="H114" s="15"/>
      <c r="I114" s="15"/>
      <c r="J114" s="15"/>
      <c r="K114" s="15"/>
      <c r="L114" s="15"/>
      <c r="M114" s="15"/>
      <c r="N114" s="12"/>
      <c r="O114" s="67">
        <f t="shared" si="17"/>
        <v>-32550000</v>
      </c>
    </row>
    <row r="115" spans="2:15" x14ac:dyDescent="0.15">
      <c r="B115" s="103"/>
      <c r="C115" s="67"/>
      <c r="D115" s="15"/>
      <c r="E115" s="15"/>
      <c r="F115" s="15"/>
      <c r="G115" s="15"/>
      <c r="H115" s="15"/>
      <c r="I115" s="15"/>
      <c r="J115" s="15"/>
      <c r="K115" s="15"/>
      <c r="L115" s="15"/>
      <c r="M115" s="15"/>
      <c r="N115" s="12"/>
      <c r="O115" s="67"/>
    </row>
    <row r="116" spans="2:15" x14ac:dyDescent="0.15">
      <c r="B116" s="103">
        <v>0.05</v>
      </c>
      <c r="C116" s="67">
        <f>C$121+C$122+C130</f>
        <v>-32550000</v>
      </c>
      <c r="D116" s="15"/>
      <c r="E116" s="15"/>
      <c r="F116" s="15"/>
      <c r="G116" s="15"/>
      <c r="H116" s="15"/>
      <c r="I116" s="15"/>
      <c r="J116" s="15"/>
      <c r="K116" s="15"/>
      <c r="L116" s="15"/>
      <c r="M116" s="15"/>
      <c r="N116" s="12"/>
      <c r="O116" s="67">
        <f t="shared" si="17"/>
        <v>-32550000</v>
      </c>
    </row>
    <row r="117" spans="2:15" x14ac:dyDescent="0.15">
      <c r="B117" s="103">
        <v>0.1</v>
      </c>
      <c r="C117" s="67">
        <f>C$121+C$122+C131</f>
        <v>-32550000</v>
      </c>
      <c r="D117" s="15"/>
      <c r="E117" s="15"/>
      <c r="F117" s="15"/>
      <c r="G117" s="15"/>
      <c r="H117" s="15"/>
      <c r="I117" s="15"/>
      <c r="J117" s="15"/>
      <c r="K117" s="15"/>
      <c r="L117" s="15"/>
      <c r="M117" s="15"/>
      <c r="N117" s="12"/>
      <c r="O117" s="67">
        <f t="shared" si="17"/>
        <v>-32550000</v>
      </c>
    </row>
    <row r="118" spans="2:15" x14ac:dyDescent="0.15">
      <c r="B118" s="103">
        <v>0.15</v>
      </c>
      <c r="C118" s="67">
        <f>C$121+C$122+C132</f>
        <v>-32550000</v>
      </c>
      <c r="D118" s="15"/>
      <c r="E118" s="15"/>
      <c r="F118" s="15"/>
      <c r="G118" s="15"/>
      <c r="H118" s="15"/>
      <c r="I118" s="15"/>
      <c r="J118" s="15"/>
      <c r="K118" s="15"/>
      <c r="L118" s="15"/>
      <c r="M118" s="15"/>
      <c r="N118" s="12"/>
      <c r="O118" s="67">
        <f t="shared" si="17"/>
        <v>-32550000</v>
      </c>
    </row>
    <row r="119" spans="2:15" x14ac:dyDescent="0.15">
      <c r="B119" s="103">
        <v>0.2</v>
      </c>
      <c r="C119" s="67">
        <f>C$121+C$122+C133</f>
        <v>-32550000</v>
      </c>
      <c r="D119" s="15"/>
      <c r="E119" s="15"/>
      <c r="F119" s="15"/>
      <c r="G119" s="15"/>
      <c r="H119" s="15"/>
      <c r="I119" s="15"/>
      <c r="J119" s="15"/>
      <c r="K119" s="15"/>
      <c r="L119" s="15"/>
      <c r="M119" s="15"/>
      <c r="N119" s="12"/>
      <c r="O119" s="67">
        <f t="shared" si="17"/>
        <v>-32550000</v>
      </c>
    </row>
    <row r="120" spans="2:15" x14ac:dyDescent="0.15">
      <c r="B120" s="103">
        <v>0.25</v>
      </c>
      <c r="C120" s="67">
        <f>C$121+C$122+C134</f>
        <v>-32550000</v>
      </c>
      <c r="D120" s="15"/>
      <c r="E120" s="15"/>
      <c r="F120" s="15"/>
      <c r="G120" s="15"/>
      <c r="H120" s="15"/>
      <c r="I120" s="15"/>
      <c r="J120" s="15"/>
      <c r="K120" s="15"/>
      <c r="L120" s="15"/>
      <c r="M120" s="15"/>
      <c r="N120" s="12"/>
      <c r="O120" s="67">
        <f t="shared" si="17"/>
        <v>-32550000</v>
      </c>
    </row>
    <row r="121" spans="2:15" x14ac:dyDescent="0.15">
      <c r="B121" s="99" t="s">
        <v>207</v>
      </c>
      <c r="C121" s="92">
        <f>'After Tax Analysis'!D22</f>
        <v>-31050000</v>
      </c>
      <c r="D121" s="110">
        <f>'After Tax Analysis'!E22</f>
        <v>0</v>
      </c>
      <c r="E121" s="110">
        <f>'After Tax Analysis'!F22</f>
        <v>0</v>
      </c>
      <c r="F121" s="110">
        <f>'After Tax Analysis'!G22</f>
        <v>0</v>
      </c>
      <c r="G121" s="110">
        <f>'After Tax Analysis'!H22</f>
        <v>0</v>
      </c>
      <c r="H121" s="110">
        <f>'After Tax Analysis'!I22</f>
        <v>12847035</v>
      </c>
      <c r="I121" s="110">
        <f>'After Tax Analysis'!J22</f>
        <v>0</v>
      </c>
      <c r="J121" s="110">
        <f>'After Tax Analysis'!K22</f>
        <v>0</v>
      </c>
      <c r="K121" s="110">
        <f>'After Tax Analysis'!L22</f>
        <v>0</v>
      </c>
      <c r="L121" s="110">
        <f>'After Tax Analysis'!M22</f>
        <v>0</v>
      </c>
      <c r="M121" s="110">
        <f>'After Tax Analysis'!N22</f>
        <v>0</v>
      </c>
      <c r="N121" s="110">
        <f>'After Tax Analysis'!O22</f>
        <v>0</v>
      </c>
      <c r="O121" s="67">
        <f>SUM(C121:N121)</f>
        <v>-18202965</v>
      </c>
    </row>
    <row r="122" spans="2:15" x14ac:dyDescent="0.15">
      <c r="B122" s="99" t="s">
        <v>640</v>
      </c>
      <c r="C122" s="92">
        <f>'After Tax Analysis'!D23</f>
        <v>-1500000</v>
      </c>
      <c r="D122" s="110">
        <f>'After Tax Analysis'!E23</f>
        <v>0</v>
      </c>
      <c r="E122" s="110">
        <f>'After Tax Analysis'!F23</f>
        <v>0</v>
      </c>
      <c r="F122" s="110">
        <f>'After Tax Analysis'!G23</f>
        <v>0</v>
      </c>
      <c r="G122" s="110">
        <f>'After Tax Analysis'!H23</f>
        <v>0</v>
      </c>
      <c r="H122" s="110">
        <f>'After Tax Analysis'!I23</f>
        <v>1500000</v>
      </c>
      <c r="I122" s="110">
        <f>'After Tax Analysis'!J23</f>
        <v>0</v>
      </c>
      <c r="J122" s="110">
        <f>'After Tax Analysis'!K23</f>
        <v>0</v>
      </c>
      <c r="K122" s="110">
        <f>'After Tax Analysis'!L23</f>
        <v>0</v>
      </c>
      <c r="L122" s="110">
        <f>'After Tax Analysis'!M23</f>
        <v>0</v>
      </c>
      <c r="M122" s="110">
        <f>'After Tax Analysis'!N23</f>
        <v>0</v>
      </c>
      <c r="N122" s="110">
        <f>'After Tax Analysis'!O23</f>
        <v>0</v>
      </c>
      <c r="O122" s="62">
        <f>SUM(C122:N122)</f>
        <v>0</v>
      </c>
    </row>
    <row r="123" spans="2:15" x14ac:dyDescent="0.15">
      <c r="B123" s="99" t="s">
        <v>309</v>
      </c>
      <c r="C123" s="12"/>
      <c r="D123" s="12"/>
      <c r="E123" s="12"/>
      <c r="F123" s="12"/>
      <c r="G123" s="12"/>
      <c r="H123" s="12"/>
      <c r="I123" s="12"/>
      <c r="J123" s="12"/>
      <c r="K123" s="12"/>
      <c r="L123" s="12"/>
      <c r="M123" s="12"/>
      <c r="N123" s="12"/>
      <c r="O123" s="12"/>
    </row>
    <row r="124" spans="2:15" x14ac:dyDescent="0.15">
      <c r="B124" s="103">
        <v>-0.25</v>
      </c>
      <c r="C124" s="63">
        <f>D5</f>
        <v>0</v>
      </c>
      <c r="D124" s="15"/>
      <c r="E124" s="15"/>
      <c r="F124" s="15"/>
      <c r="G124" s="15"/>
      <c r="H124" s="15"/>
      <c r="I124" s="15"/>
      <c r="J124" s="15"/>
      <c r="K124" s="15"/>
      <c r="L124" s="15"/>
      <c r="M124" s="15"/>
      <c r="N124" s="15"/>
      <c r="O124" s="63">
        <f t="shared" ref="O124:O134" si="18">SUM(C124:M124)</f>
        <v>0</v>
      </c>
    </row>
    <row r="125" spans="2:15" x14ac:dyDescent="0.15">
      <c r="B125" s="103">
        <v>-0.2</v>
      </c>
      <c r="C125" s="63">
        <f>D6</f>
        <v>0</v>
      </c>
      <c r="D125" s="15"/>
      <c r="E125" s="15"/>
      <c r="F125" s="15"/>
      <c r="G125" s="15"/>
      <c r="H125" s="15"/>
      <c r="I125" s="15"/>
      <c r="J125" s="15"/>
      <c r="K125" s="15"/>
      <c r="L125" s="15"/>
      <c r="M125" s="15"/>
      <c r="N125" s="15"/>
      <c r="O125" s="63">
        <f t="shared" si="18"/>
        <v>0</v>
      </c>
    </row>
    <row r="126" spans="2:15" x14ac:dyDescent="0.15">
      <c r="B126" s="103">
        <v>-0.15</v>
      </c>
      <c r="C126" s="63">
        <f>D7</f>
        <v>0</v>
      </c>
      <c r="D126" s="15"/>
      <c r="E126" s="15"/>
      <c r="F126" s="15"/>
      <c r="G126" s="15"/>
      <c r="H126" s="15"/>
      <c r="I126" s="15"/>
      <c r="J126" s="15"/>
      <c r="K126" s="15"/>
      <c r="L126" s="15"/>
      <c r="M126" s="15"/>
      <c r="N126" s="15"/>
      <c r="O126" s="63">
        <f t="shared" si="18"/>
        <v>0</v>
      </c>
    </row>
    <row r="127" spans="2:15" x14ac:dyDescent="0.15">
      <c r="B127" s="103">
        <v>-0.1</v>
      </c>
      <c r="C127" s="63">
        <f>D8</f>
        <v>0</v>
      </c>
      <c r="D127" s="15"/>
      <c r="E127" s="15"/>
      <c r="F127" s="15"/>
      <c r="G127" s="15"/>
      <c r="H127" s="15"/>
      <c r="I127" s="15"/>
      <c r="J127" s="15"/>
      <c r="K127" s="15"/>
      <c r="L127" s="15"/>
      <c r="M127" s="15"/>
      <c r="N127" s="15"/>
      <c r="O127" s="63">
        <f t="shared" si="18"/>
        <v>0</v>
      </c>
    </row>
    <row r="128" spans="2:15" x14ac:dyDescent="0.15">
      <c r="B128" s="103">
        <v>-0.05</v>
      </c>
      <c r="C128" s="63">
        <f>D9</f>
        <v>0</v>
      </c>
      <c r="D128" s="15"/>
      <c r="E128" s="15"/>
      <c r="F128" s="15"/>
      <c r="G128" s="15"/>
      <c r="H128" s="15"/>
      <c r="I128" s="15"/>
      <c r="J128" s="15"/>
      <c r="K128" s="15"/>
      <c r="L128" s="15"/>
      <c r="M128" s="15"/>
      <c r="N128" s="15"/>
      <c r="O128" s="63">
        <f t="shared" si="18"/>
        <v>0</v>
      </c>
    </row>
    <row r="129" spans="2:15" x14ac:dyDescent="0.15">
      <c r="B129" s="103"/>
      <c r="C129" s="63"/>
      <c r="D129" s="15"/>
      <c r="E129" s="15"/>
      <c r="F129" s="15"/>
      <c r="G129" s="15"/>
      <c r="H129" s="15"/>
      <c r="I129" s="15"/>
      <c r="J129" s="15"/>
      <c r="K129" s="15"/>
      <c r="L129" s="15"/>
      <c r="M129" s="15"/>
      <c r="N129" s="15"/>
      <c r="O129" s="63"/>
    </row>
    <row r="130" spans="2:15" x14ac:dyDescent="0.15">
      <c r="B130" s="103">
        <v>0.05</v>
      </c>
      <c r="C130" s="63">
        <f>D11</f>
        <v>0</v>
      </c>
      <c r="D130" s="15"/>
      <c r="E130" s="15"/>
      <c r="F130" s="15"/>
      <c r="G130" s="15"/>
      <c r="H130" s="15"/>
      <c r="I130" s="15"/>
      <c r="J130" s="15"/>
      <c r="K130" s="15"/>
      <c r="L130" s="15"/>
      <c r="M130" s="15"/>
      <c r="N130" s="15"/>
      <c r="O130" s="63">
        <f t="shared" si="18"/>
        <v>0</v>
      </c>
    </row>
    <row r="131" spans="2:15" x14ac:dyDescent="0.15">
      <c r="B131" s="103">
        <v>0.1</v>
      </c>
      <c r="C131" s="63">
        <f>D12</f>
        <v>0</v>
      </c>
      <c r="D131" s="15"/>
      <c r="E131" s="15"/>
      <c r="F131" s="15"/>
      <c r="G131" s="15"/>
      <c r="H131" s="15"/>
      <c r="I131" s="15"/>
      <c r="J131" s="15"/>
      <c r="K131" s="15"/>
      <c r="L131" s="15"/>
      <c r="M131" s="15"/>
      <c r="N131" s="15"/>
      <c r="O131" s="63">
        <f t="shared" si="18"/>
        <v>0</v>
      </c>
    </row>
    <row r="132" spans="2:15" x14ac:dyDescent="0.15">
      <c r="B132" s="103">
        <v>0.15</v>
      </c>
      <c r="C132" s="63">
        <f>D13</f>
        <v>0</v>
      </c>
      <c r="D132" s="15"/>
      <c r="E132" s="15"/>
      <c r="F132" s="15"/>
      <c r="G132" s="15"/>
      <c r="H132" s="15"/>
      <c r="I132" s="15"/>
      <c r="J132" s="15"/>
      <c r="K132" s="15"/>
      <c r="L132" s="15"/>
      <c r="M132" s="15"/>
      <c r="N132" s="15"/>
      <c r="O132" s="63">
        <f t="shared" si="18"/>
        <v>0</v>
      </c>
    </row>
    <row r="133" spans="2:15" x14ac:dyDescent="0.15">
      <c r="B133" s="103">
        <v>0.2</v>
      </c>
      <c r="C133" s="63">
        <f>D14</f>
        <v>0</v>
      </c>
      <c r="D133" s="15"/>
      <c r="E133" s="15"/>
      <c r="F133" s="15"/>
      <c r="G133" s="15"/>
      <c r="H133" s="15"/>
      <c r="I133" s="15"/>
      <c r="J133" s="15"/>
      <c r="K133" s="15"/>
      <c r="L133" s="15"/>
      <c r="M133" s="15"/>
      <c r="N133" s="15"/>
      <c r="O133" s="63">
        <f t="shared" si="18"/>
        <v>0</v>
      </c>
    </row>
    <row r="134" spans="2:15" x14ac:dyDescent="0.15">
      <c r="B134" s="103">
        <v>0.25</v>
      </c>
      <c r="C134" s="63">
        <f>D15</f>
        <v>0</v>
      </c>
      <c r="D134" s="15"/>
      <c r="E134" s="15"/>
      <c r="F134" s="15"/>
      <c r="G134" s="15"/>
      <c r="H134" s="15"/>
      <c r="I134" s="15"/>
      <c r="J134" s="15"/>
      <c r="K134" s="15"/>
      <c r="L134" s="15"/>
      <c r="M134" s="15"/>
      <c r="N134" s="15"/>
      <c r="O134" s="63">
        <f t="shared" si="18"/>
        <v>0</v>
      </c>
    </row>
    <row r="135" spans="2:15" x14ac:dyDescent="0.15">
      <c r="B135" s="12" t="s">
        <v>311</v>
      </c>
      <c r="C135" s="229"/>
      <c r="D135" s="110">
        <f>'After Tax Analysis'!E25</f>
        <v>0</v>
      </c>
      <c r="E135" s="110">
        <f>'After Tax Analysis'!F25</f>
        <v>0</v>
      </c>
      <c r="F135" s="110">
        <f>'After Tax Analysis'!G25</f>
        <v>0</v>
      </c>
      <c r="G135" s="110">
        <f>'After Tax Analysis'!H25</f>
        <v>0</v>
      </c>
      <c r="H135" s="110">
        <f>'After Tax Analysis'!I25</f>
        <v>-2596968.7000000002</v>
      </c>
      <c r="I135" s="110">
        <f>'After Tax Analysis'!J25</f>
        <v>0</v>
      </c>
      <c r="J135" s="110">
        <f>'After Tax Analysis'!K25</f>
        <v>0</v>
      </c>
      <c r="K135" s="110">
        <f>'After Tax Analysis'!L25</f>
        <v>0</v>
      </c>
      <c r="L135" s="110">
        <f>'After Tax Analysis'!M25</f>
        <v>0</v>
      </c>
      <c r="M135" s="110">
        <f>'After Tax Analysis'!N25</f>
        <v>0</v>
      </c>
      <c r="N135" s="110">
        <f>'After Tax Analysis'!O25</f>
        <v>0</v>
      </c>
      <c r="O135" s="68">
        <f>SUM(C135:N135)</f>
        <v>-2596968.7000000002</v>
      </c>
    </row>
    <row r="136" spans="2:15" x14ac:dyDescent="0.15">
      <c r="B136" s="12" t="s">
        <v>115</v>
      </c>
      <c r="C136" s="110">
        <f>'After Tax Analysis'!D26</f>
        <v>-60000000</v>
      </c>
      <c r="D136" s="110">
        <f>'After Tax Analysis'!E26</f>
        <v>0</v>
      </c>
      <c r="E136" s="110">
        <f>'After Tax Analysis'!F26</f>
        <v>0</v>
      </c>
      <c r="F136" s="110">
        <f>'After Tax Analysis'!G26</f>
        <v>0</v>
      </c>
      <c r="G136" s="110">
        <f>'After Tax Analysis'!H26</f>
        <v>0</v>
      </c>
      <c r="H136" s="110">
        <f>'After Tax Analysis'!I26</f>
        <v>60000000</v>
      </c>
      <c r="I136" s="110">
        <f>'After Tax Analysis'!J26</f>
        <v>0</v>
      </c>
      <c r="J136" s="110">
        <f>'After Tax Analysis'!K26</f>
        <v>0</v>
      </c>
      <c r="K136" s="110">
        <f>'After Tax Analysis'!L26</f>
        <v>0</v>
      </c>
      <c r="L136" s="110">
        <f>'After Tax Analysis'!M26</f>
        <v>0</v>
      </c>
      <c r="M136" s="110">
        <f>'After Tax Analysis'!N26</f>
        <v>0</v>
      </c>
      <c r="N136" s="110">
        <f>'After Tax Analysis'!O26</f>
        <v>0</v>
      </c>
      <c r="O136" s="68">
        <f>SUM(C136:N136)</f>
        <v>0</v>
      </c>
    </row>
    <row r="137" spans="2:15" x14ac:dyDescent="0.15">
      <c r="B137" s="12" t="s">
        <v>641</v>
      </c>
      <c r="C137" s="12"/>
      <c r="D137" s="12"/>
      <c r="E137" s="12"/>
      <c r="F137" s="12"/>
      <c r="G137" s="12"/>
      <c r="H137" s="12"/>
      <c r="I137" s="12"/>
      <c r="J137" s="12"/>
      <c r="K137" s="12"/>
      <c r="L137" s="12"/>
      <c r="M137" s="12"/>
      <c r="N137" s="12"/>
      <c r="O137" s="12"/>
    </row>
    <row r="138" spans="2:15" x14ac:dyDescent="0.15">
      <c r="B138" s="103">
        <v>-0.25</v>
      </c>
      <c r="C138" s="67">
        <f>C98+C$121+C$122+C124+C$135+C$136</f>
        <v>-92550000</v>
      </c>
      <c r="D138" s="67">
        <f t="shared" ref="D138:N142" si="19">D98+D$121+D$122+D124+D$135+D$136</f>
        <v>0</v>
      </c>
      <c r="E138" s="67">
        <f t="shared" si="19"/>
        <v>0</v>
      </c>
      <c r="F138" s="67">
        <f t="shared" si="19"/>
        <v>0</v>
      </c>
      <c r="G138" s="67">
        <f t="shared" si="19"/>
        <v>0</v>
      </c>
      <c r="H138" s="67">
        <f t="shared" si="19"/>
        <v>71750066.299999997</v>
      </c>
      <c r="I138" s="67">
        <f t="shared" si="19"/>
        <v>0</v>
      </c>
      <c r="J138" s="67">
        <f t="shared" si="19"/>
        <v>0</v>
      </c>
      <c r="K138" s="67">
        <f t="shared" si="19"/>
        <v>0</v>
      </c>
      <c r="L138" s="67">
        <f t="shared" si="19"/>
        <v>0</v>
      </c>
      <c r="M138" s="67">
        <f t="shared" si="19"/>
        <v>0</v>
      </c>
      <c r="N138" s="67">
        <f t="shared" si="19"/>
        <v>0</v>
      </c>
      <c r="O138" s="67">
        <f t="shared" ref="O138:O148" si="20">SUM(C138:N138)</f>
        <v>-20799933.700000003</v>
      </c>
    </row>
    <row r="139" spans="2:15" x14ac:dyDescent="0.15">
      <c r="B139" s="103">
        <v>-0.2</v>
      </c>
      <c r="C139" s="67">
        <f>C99+C$121+C$122+C125+C$135+C$136</f>
        <v>-92550000</v>
      </c>
      <c r="D139" s="67">
        <f t="shared" si="19"/>
        <v>0</v>
      </c>
      <c r="E139" s="67">
        <f t="shared" si="19"/>
        <v>0</v>
      </c>
      <c r="F139" s="67">
        <f t="shared" si="19"/>
        <v>0</v>
      </c>
      <c r="G139" s="67">
        <f t="shared" si="19"/>
        <v>0</v>
      </c>
      <c r="H139" s="67">
        <f t="shared" si="19"/>
        <v>71750066.299999997</v>
      </c>
      <c r="I139" s="67">
        <f t="shared" si="19"/>
        <v>0</v>
      </c>
      <c r="J139" s="67">
        <f t="shared" si="19"/>
        <v>0</v>
      </c>
      <c r="K139" s="67">
        <f t="shared" si="19"/>
        <v>0</v>
      </c>
      <c r="L139" s="67">
        <f t="shared" si="19"/>
        <v>0</v>
      </c>
      <c r="M139" s="67">
        <f t="shared" si="19"/>
        <v>0</v>
      </c>
      <c r="N139" s="67">
        <f t="shared" si="19"/>
        <v>0</v>
      </c>
      <c r="O139" s="67">
        <f t="shared" si="20"/>
        <v>-20799933.700000003</v>
      </c>
    </row>
    <row r="140" spans="2:15" x14ac:dyDescent="0.15">
      <c r="B140" s="103">
        <v>-0.15</v>
      </c>
      <c r="C140" s="67">
        <f>C100+C$121+C$122+C126+C$135+C$136</f>
        <v>-92550000</v>
      </c>
      <c r="D140" s="67">
        <f t="shared" si="19"/>
        <v>0</v>
      </c>
      <c r="E140" s="67">
        <f t="shared" si="19"/>
        <v>0</v>
      </c>
      <c r="F140" s="67">
        <f t="shared" si="19"/>
        <v>0</v>
      </c>
      <c r="G140" s="67">
        <f t="shared" si="19"/>
        <v>0</v>
      </c>
      <c r="H140" s="67">
        <f t="shared" si="19"/>
        <v>71750066.299999997</v>
      </c>
      <c r="I140" s="67">
        <f t="shared" si="19"/>
        <v>0</v>
      </c>
      <c r="J140" s="67">
        <f t="shared" si="19"/>
        <v>0</v>
      </c>
      <c r="K140" s="67">
        <f t="shared" si="19"/>
        <v>0</v>
      </c>
      <c r="L140" s="67">
        <f t="shared" si="19"/>
        <v>0</v>
      </c>
      <c r="M140" s="67">
        <f t="shared" si="19"/>
        <v>0</v>
      </c>
      <c r="N140" s="67">
        <f t="shared" si="19"/>
        <v>0</v>
      </c>
      <c r="O140" s="67">
        <f t="shared" si="20"/>
        <v>-20799933.700000003</v>
      </c>
    </row>
    <row r="141" spans="2:15" x14ac:dyDescent="0.15">
      <c r="B141" s="103">
        <v>-0.1</v>
      </c>
      <c r="C141" s="67">
        <f>C101+C$121+C$122+C127+C$135+C$136</f>
        <v>-92550000</v>
      </c>
      <c r="D141" s="67">
        <f t="shared" si="19"/>
        <v>0</v>
      </c>
      <c r="E141" s="67">
        <f t="shared" si="19"/>
        <v>0</v>
      </c>
      <c r="F141" s="67">
        <f t="shared" si="19"/>
        <v>0</v>
      </c>
      <c r="G141" s="67">
        <f t="shared" si="19"/>
        <v>0</v>
      </c>
      <c r="H141" s="67">
        <f t="shared" si="19"/>
        <v>71750066.299999997</v>
      </c>
      <c r="I141" s="67">
        <f t="shared" si="19"/>
        <v>0</v>
      </c>
      <c r="J141" s="67">
        <f t="shared" si="19"/>
        <v>0</v>
      </c>
      <c r="K141" s="67">
        <f t="shared" si="19"/>
        <v>0</v>
      </c>
      <c r="L141" s="67">
        <f t="shared" si="19"/>
        <v>0</v>
      </c>
      <c r="M141" s="67">
        <f t="shared" si="19"/>
        <v>0</v>
      </c>
      <c r="N141" s="67">
        <f t="shared" si="19"/>
        <v>0</v>
      </c>
      <c r="O141" s="67">
        <f t="shared" si="20"/>
        <v>-20799933.700000003</v>
      </c>
    </row>
    <row r="142" spans="2:15" x14ac:dyDescent="0.15">
      <c r="B142" s="103">
        <v>-0.05</v>
      </c>
      <c r="C142" s="67">
        <f>C102+C$121+C$122+C128+C$135+C$136</f>
        <v>-92550000</v>
      </c>
      <c r="D142" s="67">
        <f t="shared" si="19"/>
        <v>0</v>
      </c>
      <c r="E142" s="67">
        <f t="shared" si="19"/>
        <v>0</v>
      </c>
      <c r="F142" s="67">
        <f t="shared" si="19"/>
        <v>0</v>
      </c>
      <c r="G142" s="67">
        <f t="shared" si="19"/>
        <v>0</v>
      </c>
      <c r="H142" s="67">
        <f t="shared" si="19"/>
        <v>71750066.299999997</v>
      </c>
      <c r="I142" s="67">
        <f t="shared" si="19"/>
        <v>0</v>
      </c>
      <c r="J142" s="67">
        <f t="shared" si="19"/>
        <v>0</v>
      </c>
      <c r="K142" s="67">
        <f t="shared" si="19"/>
        <v>0</v>
      </c>
      <c r="L142" s="67">
        <f t="shared" si="19"/>
        <v>0</v>
      </c>
      <c r="M142" s="67">
        <f t="shared" si="19"/>
        <v>0</v>
      </c>
      <c r="N142" s="67">
        <f t="shared" si="19"/>
        <v>0</v>
      </c>
      <c r="O142" s="67">
        <f t="shared" si="20"/>
        <v>-20799933.700000003</v>
      </c>
    </row>
    <row r="143" spans="2:15" x14ac:dyDescent="0.15">
      <c r="B143" s="103"/>
      <c r="C143" s="67"/>
      <c r="D143" s="67"/>
      <c r="E143" s="67"/>
      <c r="F143" s="67"/>
      <c r="G143" s="67"/>
      <c r="H143" s="67"/>
      <c r="I143" s="67"/>
      <c r="J143" s="67"/>
      <c r="K143" s="67"/>
      <c r="L143" s="67"/>
      <c r="M143" s="67"/>
      <c r="N143" s="67"/>
      <c r="O143" s="67"/>
    </row>
    <row r="144" spans="2:15" x14ac:dyDescent="0.15">
      <c r="B144" s="103">
        <v>0.05</v>
      </c>
      <c r="C144" s="67">
        <f t="shared" ref="C144:N148" si="21">C104+C$121+C$122+C130+C$135+C$136</f>
        <v>-92550000</v>
      </c>
      <c r="D144" s="67">
        <f t="shared" si="21"/>
        <v>0</v>
      </c>
      <c r="E144" s="67">
        <f t="shared" si="21"/>
        <v>0</v>
      </c>
      <c r="F144" s="67">
        <f t="shared" si="21"/>
        <v>0</v>
      </c>
      <c r="G144" s="67">
        <f t="shared" si="21"/>
        <v>0</v>
      </c>
      <c r="H144" s="67">
        <f t="shared" si="21"/>
        <v>71750066.299999997</v>
      </c>
      <c r="I144" s="67">
        <f t="shared" si="21"/>
        <v>0</v>
      </c>
      <c r="J144" s="67">
        <f t="shared" si="21"/>
        <v>0</v>
      </c>
      <c r="K144" s="67">
        <f t="shared" si="21"/>
        <v>0</v>
      </c>
      <c r="L144" s="67">
        <f t="shared" si="21"/>
        <v>0</v>
      </c>
      <c r="M144" s="67">
        <f t="shared" si="21"/>
        <v>0</v>
      </c>
      <c r="N144" s="67">
        <f t="shared" si="21"/>
        <v>0</v>
      </c>
      <c r="O144" s="67">
        <f t="shared" si="20"/>
        <v>-20799933.700000003</v>
      </c>
    </row>
    <row r="145" spans="2:15" x14ac:dyDescent="0.15">
      <c r="B145" s="103">
        <v>0.1</v>
      </c>
      <c r="C145" s="67">
        <f t="shared" si="21"/>
        <v>-92550000</v>
      </c>
      <c r="D145" s="67">
        <f t="shared" si="21"/>
        <v>0</v>
      </c>
      <c r="E145" s="67">
        <f t="shared" si="21"/>
        <v>0</v>
      </c>
      <c r="F145" s="67">
        <f t="shared" si="21"/>
        <v>0</v>
      </c>
      <c r="G145" s="67">
        <f t="shared" si="21"/>
        <v>0</v>
      </c>
      <c r="H145" s="67">
        <f t="shared" si="21"/>
        <v>71750066.299999997</v>
      </c>
      <c r="I145" s="67">
        <f t="shared" si="21"/>
        <v>0</v>
      </c>
      <c r="J145" s="67">
        <f t="shared" si="21"/>
        <v>0</v>
      </c>
      <c r="K145" s="67">
        <f t="shared" si="21"/>
        <v>0</v>
      </c>
      <c r="L145" s="67">
        <f t="shared" si="21"/>
        <v>0</v>
      </c>
      <c r="M145" s="67">
        <f t="shared" si="21"/>
        <v>0</v>
      </c>
      <c r="N145" s="67">
        <f t="shared" si="21"/>
        <v>0</v>
      </c>
      <c r="O145" s="67">
        <f t="shared" si="20"/>
        <v>-20799933.700000003</v>
      </c>
    </row>
    <row r="146" spans="2:15" x14ac:dyDescent="0.15">
      <c r="B146" s="103">
        <v>0.15</v>
      </c>
      <c r="C146" s="67">
        <f t="shared" si="21"/>
        <v>-92550000</v>
      </c>
      <c r="D146" s="67">
        <f t="shared" si="21"/>
        <v>0</v>
      </c>
      <c r="E146" s="67">
        <f t="shared" si="21"/>
        <v>0</v>
      </c>
      <c r="F146" s="67">
        <f t="shared" si="21"/>
        <v>0</v>
      </c>
      <c r="G146" s="67">
        <f t="shared" si="21"/>
        <v>0</v>
      </c>
      <c r="H146" s="67">
        <f t="shared" si="21"/>
        <v>71750066.299999997</v>
      </c>
      <c r="I146" s="67">
        <f t="shared" si="21"/>
        <v>0</v>
      </c>
      <c r="J146" s="67">
        <f t="shared" si="21"/>
        <v>0</v>
      </c>
      <c r="K146" s="67">
        <f t="shared" si="21"/>
        <v>0</v>
      </c>
      <c r="L146" s="67">
        <f t="shared" si="21"/>
        <v>0</v>
      </c>
      <c r="M146" s="67">
        <f t="shared" si="21"/>
        <v>0</v>
      </c>
      <c r="N146" s="67">
        <f t="shared" si="21"/>
        <v>0</v>
      </c>
      <c r="O146" s="67">
        <f t="shared" si="20"/>
        <v>-20799933.700000003</v>
      </c>
    </row>
    <row r="147" spans="2:15" x14ac:dyDescent="0.15">
      <c r="B147" s="103">
        <v>0.2</v>
      </c>
      <c r="C147" s="67">
        <f t="shared" si="21"/>
        <v>-92550000</v>
      </c>
      <c r="D147" s="67">
        <f t="shared" si="21"/>
        <v>0</v>
      </c>
      <c r="E147" s="67">
        <f t="shared" si="21"/>
        <v>0</v>
      </c>
      <c r="F147" s="67">
        <f t="shared" si="21"/>
        <v>0</v>
      </c>
      <c r="G147" s="67">
        <f t="shared" si="21"/>
        <v>0</v>
      </c>
      <c r="H147" s="67">
        <f t="shared" si="21"/>
        <v>71750066.299999997</v>
      </c>
      <c r="I147" s="67">
        <f t="shared" si="21"/>
        <v>0</v>
      </c>
      <c r="J147" s="67">
        <f t="shared" si="21"/>
        <v>0</v>
      </c>
      <c r="K147" s="67">
        <f t="shared" si="21"/>
        <v>0</v>
      </c>
      <c r="L147" s="67">
        <f t="shared" si="21"/>
        <v>0</v>
      </c>
      <c r="M147" s="67">
        <f t="shared" si="21"/>
        <v>0</v>
      </c>
      <c r="N147" s="67">
        <f t="shared" si="21"/>
        <v>0</v>
      </c>
      <c r="O147" s="67">
        <f t="shared" si="20"/>
        <v>-20799933.700000003</v>
      </c>
    </row>
    <row r="148" spans="2:15" ht="14" thickBot="1" x14ac:dyDescent="0.2">
      <c r="B148" s="103">
        <v>0.25</v>
      </c>
      <c r="C148" s="67">
        <f t="shared" si="21"/>
        <v>-92550000</v>
      </c>
      <c r="D148" s="67">
        <f t="shared" si="21"/>
        <v>0</v>
      </c>
      <c r="E148" s="67">
        <f t="shared" si="21"/>
        <v>0</v>
      </c>
      <c r="F148" s="67">
        <f t="shared" si="21"/>
        <v>0</v>
      </c>
      <c r="G148" s="67">
        <f t="shared" si="21"/>
        <v>0</v>
      </c>
      <c r="H148" s="67">
        <f t="shared" si="21"/>
        <v>71750066.299999997</v>
      </c>
      <c r="I148" s="67">
        <f t="shared" si="21"/>
        <v>0</v>
      </c>
      <c r="J148" s="67">
        <f t="shared" si="21"/>
        <v>0</v>
      </c>
      <c r="K148" s="67">
        <f t="shared" si="21"/>
        <v>0</v>
      </c>
      <c r="L148" s="67">
        <f t="shared" si="21"/>
        <v>0</v>
      </c>
      <c r="M148" s="67">
        <f t="shared" si="21"/>
        <v>0</v>
      </c>
      <c r="N148" s="95">
        <f t="shared" si="21"/>
        <v>0</v>
      </c>
      <c r="O148" s="95">
        <f t="shared" si="20"/>
        <v>-20799933.700000003</v>
      </c>
    </row>
    <row r="149" spans="2:15" ht="14" thickTop="1" x14ac:dyDescent="0.15">
      <c r="B149" s="96" t="s">
        <v>642</v>
      </c>
      <c r="C149" s="96"/>
      <c r="D149" s="96"/>
      <c r="E149" s="96"/>
      <c r="F149" s="96"/>
      <c r="G149" s="96"/>
      <c r="H149" s="96"/>
      <c r="I149" s="96"/>
      <c r="J149" s="96"/>
      <c r="K149" s="96"/>
      <c r="L149" s="96"/>
      <c r="M149" s="96"/>
      <c r="O149" s="96"/>
    </row>
    <row r="150" spans="2:15" x14ac:dyDescent="0.15">
      <c r="B150" s="103">
        <v>-0.25</v>
      </c>
      <c r="C150" s="68">
        <f>C86+C138</f>
        <v>-92550000</v>
      </c>
      <c r="D150" s="68">
        <f t="shared" ref="D150:L154" si="22">D86+D138</f>
        <v>50012750</v>
      </c>
      <c r="E150" s="68">
        <f t="shared" si="22"/>
        <v>44202792.500000022</v>
      </c>
      <c r="F150" s="68">
        <f t="shared" si="22"/>
        <v>35442192.08412499</v>
      </c>
      <c r="G150" s="68">
        <f t="shared" si="22"/>
        <v>25111356.707490433</v>
      </c>
      <c r="H150" s="68">
        <f t="shared" si="22"/>
        <v>84401062.478848949</v>
      </c>
      <c r="I150" s="68">
        <f t="shared" si="22"/>
        <v>0</v>
      </c>
      <c r="J150" s="68">
        <f t="shared" si="22"/>
        <v>0</v>
      </c>
      <c r="K150" s="68">
        <f t="shared" si="22"/>
        <v>0</v>
      </c>
      <c r="L150" s="68">
        <f t="shared" si="22"/>
        <v>0</v>
      </c>
      <c r="M150" s="68">
        <f>M86+M138+N138</f>
        <v>0</v>
      </c>
      <c r="N150" s="164"/>
      <c r="O150" s="67">
        <f>SUM(C150:N150)</f>
        <v>146620153.77046439</v>
      </c>
    </row>
    <row r="151" spans="2:15" x14ac:dyDescent="0.15">
      <c r="B151" s="103">
        <v>-0.2</v>
      </c>
      <c r="C151" s="68">
        <f>C87+C139</f>
        <v>-92550000</v>
      </c>
      <c r="D151" s="68">
        <f t="shared" si="22"/>
        <v>50012750</v>
      </c>
      <c r="E151" s="68">
        <f t="shared" si="22"/>
        <v>44202792.500000022</v>
      </c>
      <c r="F151" s="68">
        <f t="shared" si="22"/>
        <v>35442192.08412499</v>
      </c>
      <c r="G151" s="68">
        <f t="shared" si="22"/>
        <v>25111356.707490433</v>
      </c>
      <c r="H151" s="68">
        <f t="shared" si="22"/>
        <v>84401062.478848949</v>
      </c>
      <c r="I151" s="68">
        <f t="shared" si="22"/>
        <v>0</v>
      </c>
      <c r="J151" s="68">
        <f t="shared" si="22"/>
        <v>0</v>
      </c>
      <c r="K151" s="68">
        <f t="shared" si="22"/>
        <v>0</v>
      </c>
      <c r="L151" s="68">
        <f t="shared" si="22"/>
        <v>0</v>
      </c>
      <c r="M151" s="68">
        <f>M87+M139+N139</f>
        <v>0</v>
      </c>
      <c r="N151" s="164"/>
      <c r="O151" s="67">
        <f t="shared" ref="O151:O160" si="23">SUM(C151:N151)</f>
        <v>146620153.77046439</v>
      </c>
    </row>
    <row r="152" spans="2:15" x14ac:dyDescent="0.15">
      <c r="B152" s="103">
        <v>-0.15</v>
      </c>
      <c r="C152" s="68">
        <f>C88+C140</f>
        <v>-92550000</v>
      </c>
      <c r="D152" s="68">
        <f t="shared" si="22"/>
        <v>50012750</v>
      </c>
      <c r="E152" s="68">
        <f t="shared" si="22"/>
        <v>44202792.500000022</v>
      </c>
      <c r="F152" s="68">
        <f t="shared" si="22"/>
        <v>35442192.08412499</v>
      </c>
      <c r="G152" s="68">
        <f t="shared" si="22"/>
        <v>25111356.707490433</v>
      </c>
      <c r="H152" s="68">
        <f t="shared" si="22"/>
        <v>84401062.478848949</v>
      </c>
      <c r="I152" s="68">
        <f t="shared" si="22"/>
        <v>0</v>
      </c>
      <c r="J152" s="68">
        <f t="shared" si="22"/>
        <v>0</v>
      </c>
      <c r="K152" s="68">
        <f t="shared" si="22"/>
        <v>0</v>
      </c>
      <c r="L152" s="68">
        <f t="shared" si="22"/>
        <v>0</v>
      </c>
      <c r="M152" s="68">
        <f>M88+M140+N140</f>
        <v>0</v>
      </c>
      <c r="N152" s="164"/>
      <c r="O152" s="67">
        <f t="shared" si="23"/>
        <v>146620153.77046439</v>
      </c>
    </row>
    <row r="153" spans="2:15" x14ac:dyDescent="0.15">
      <c r="B153" s="103">
        <v>-0.1</v>
      </c>
      <c r="C153" s="68">
        <f>C89+C141</f>
        <v>-92550000</v>
      </c>
      <c r="D153" s="68">
        <f t="shared" si="22"/>
        <v>50012750</v>
      </c>
      <c r="E153" s="68">
        <f t="shared" si="22"/>
        <v>44202792.500000022</v>
      </c>
      <c r="F153" s="68">
        <f t="shared" si="22"/>
        <v>35442192.08412499</v>
      </c>
      <c r="G153" s="68">
        <f t="shared" si="22"/>
        <v>25111356.707490433</v>
      </c>
      <c r="H153" s="68">
        <f t="shared" si="22"/>
        <v>84401062.478848949</v>
      </c>
      <c r="I153" s="68">
        <f t="shared" si="22"/>
        <v>0</v>
      </c>
      <c r="J153" s="68">
        <f t="shared" si="22"/>
        <v>0</v>
      </c>
      <c r="K153" s="68">
        <f t="shared" si="22"/>
        <v>0</v>
      </c>
      <c r="L153" s="68">
        <f t="shared" si="22"/>
        <v>0</v>
      </c>
      <c r="M153" s="68">
        <f>M89+M141+N141</f>
        <v>0</v>
      </c>
      <c r="N153" s="164"/>
      <c r="O153" s="67">
        <f t="shared" si="23"/>
        <v>146620153.77046439</v>
      </c>
    </row>
    <row r="154" spans="2:15" x14ac:dyDescent="0.15">
      <c r="B154" s="103">
        <v>-0.05</v>
      </c>
      <c r="C154" s="68">
        <f>C90+C142</f>
        <v>-92550000</v>
      </c>
      <c r="D154" s="68">
        <f t="shared" si="22"/>
        <v>50012750</v>
      </c>
      <c r="E154" s="68">
        <f t="shared" si="22"/>
        <v>44202792.500000022</v>
      </c>
      <c r="F154" s="68">
        <f t="shared" si="22"/>
        <v>35442192.08412499</v>
      </c>
      <c r="G154" s="68">
        <f t="shared" si="22"/>
        <v>25111356.707490433</v>
      </c>
      <c r="H154" s="68">
        <f t="shared" si="22"/>
        <v>84401062.478848949</v>
      </c>
      <c r="I154" s="68">
        <f t="shared" si="22"/>
        <v>0</v>
      </c>
      <c r="J154" s="68">
        <f t="shared" si="22"/>
        <v>0</v>
      </c>
      <c r="K154" s="68">
        <f t="shared" si="22"/>
        <v>0</v>
      </c>
      <c r="L154" s="68">
        <f t="shared" si="22"/>
        <v>0</v>
      </c>
      <c r="M154" s="68">
        <f>M90+M142+N142</f>
        <v>0</v>
      </c>
      <c r="N154" s="164"/>
      <c r="O154" s="67">
        <f t="shared" si="23"/>
        <v>146620153.77046439</v>
      </c>
    </row>
    <row r="155" spans="2:15" x14ac:dyDescent="0.15">
      <c r="B155" s="103">
        <v>0</v>
      </c>
      <c r="C155" s="68">
        <f>'After Tax Analysis'!D28</f>
        <v>-92550000</v>
      </c>
      <c r="D155" s="68">
        <f>'After Tax Analysis'!E28</f>
        <v>50012750</v>
      </c>
      <c r="E155" s="68">
        <f>'After Tax Analysis'!F28</f>
        <v>44202792.500000022</v>
      </c>
      <c r="F155" s="68">
        <f>'After Tax Analysis'!G28</f>
        <v>35442192.08412499</v>
      </c>
      <c r="G155" s="68">
        <f>'After Tax Analysis'!H28</f>
        <v>25111356.707490433</v>
      </c>
      <c r="H155" s="68">
        <f>'After Tax Analysis'!I28</f>
        <v>84401062.478848949</v>
      </c>
      <c r="I155" s="68">
        <f>'After Tax Analysis'!J28</f>
        <v>0</v>
      </c>
      <c r="J155" s="68">
        <f>'After Tax Analysis'!K28</f>
        <v>0</v>
      </c>
      <c r="K155" s="68">
        <f>'After Tax Analysis'!L28</f>
        <v>0</v>
      </c>
      <c r="L155" s="68">
        <f>'After Tax Analysis'!M28</f>
        <v>0</v>
      </c>
      <c r="M155" s="68">
        <f>'After Tax Analysis'!N28</f>
        <v>0</v>
      </c>
      <c r="N155" s="164"/>
      <c r="O155" s="67">
        <f t="shared" si="23"/>
        <v>146620153.77046439</v>
      </c>
    </row>
    <row r="156" spans="2:15" x14ac:dyDescent="0.15">
      <c r="B156" s="103">
        <v>0.05</v>
      </c>
      <c r="C156" s="68">
        <f t="shared" ref="C156:L160" si="24">C92+C144</f>
        <v>-92550000</v>
      </c>
      <c r="D156" s="68">
        <f t="shared" si="24"/>
        <v>50012750</v>
      </c>
      <c r="E156" s="68">
        <f t="shared" si="24"/>
        <v>44202792.500000022</v>
      </c>
      <c r="F156" s="68">
        <f t="shared" si="24"/>
        <v>35442192.08412499</v>
      </c>
      <c r="G156" s="68">
        <f t="shared" si="24"/>
        <v>25111356.707490433</v>
      </c>
      <c r="H156" s="68">
        <f t="shared" si="24"/>
        <v>84401062.478848949</v>
      </c>
      <c r="I156" s="68">
        <f t="shared" si="24"/>
        <v>0</v>
      </c>
      <c r="J156" s="68">
        <f t="shared" si="24"/>
        <v>0</v>
      </c>
      <c r="K156" s="68">
        <f t="shared" si="24"/>
        <v>0</v>
      </c>
      <c r="L156" s="68">
        <f t="shared" si="24"/>
        <v>0</v>
      </c>
      <c r="M156" s="68">
        <f>M92+M144+N144</f>
        <v>0</v>
      </c>
      <c r="N156" s="164"/>
      <c r="O156" s="67">
        <f t="shared" si="23"/>
        <v>146620153.77046439</v>
      </c>
    </row>
    <row r="157" spans="2:15" x14ac:dyDescent="0.15">
      <c r="B157" s="103">
        <v>0.1</v>
      </c>
      <c r="C157" s="68">
        <f t="shared" si="24"/>
        <v>-92550000</v>
      </c>
      <c r="D157" s="68">
        <f t="shared" si="24"/>
        <v>50012750</v>
      </c>
      <c r="E157" s="68">
        <f t="shared" si="24"/>
        <v>44202792.500000022</v>
      </c>
      <c r="F157" s="68">
        <f t="shared" si="24"/>
        <v>35442192.08412499</v>
      </c>
      <c r="G157" s="68">
        <f t="shared" si="24"/>
        <v>25111356.707490433</v>
      </c>
      <c r="H157" s="68">
        <f t="shared" si="24"/>
        <v>84401062.478848949</v>
      </c>
      <c r="I157" s="68">
        <f t="shared" si="24"/>
        <v>0</v>
      </c>
      <c r="J157" s="68">
        <f t="shared" si="24"/>
        <v>0</v>
      </c>
      <c r="K157" s="68">
        <f t="shared" si="24"/>
        <v>0</v>
      </c>
      <c r="L157" s="68">
        <f t="shared" si="24"/>
        <v>0</v>
      </c>
      <c r="M157" s="68">
        <f>M93+M145+N145</f>
        <v>0</v>
      </c>
      <c r="N157" s="164"/>
      <c r="O157" s="67">
        <f t="shared" si="23"/>
        <v>146620153.77046439</v>
      </c>
    </row>
    <row r="158" spans="2:15" x14ac:dyDescent="0.15">
      <c r="B158" s="103">
        <v>0.15</v>
      </c>
      <c r="C158" s="68">
        <f t="shared" si="24"/>
        <v>-92550000</v>
      </c>
      <c r="D158" s="68">
        <f t="shared" si="24"/>
        <v>50012750</v>
      </c>
      <c r="E158" s="68">
        <f t="shared" si="24"/>
        <v>44202792.500000022</v>
      </c>
      <c r="F158" s="68">
        <f t="shared" si="24"/>
        <v>35442192.08412499</v>
      </c>
      <c r="G158" s="68">
        <f t="shared" si="24"/>
        <v>25111356.707490433</v>
      </c>
      <c r="H158" s="68">
        <f t="shared" si="24"/>
        <v>84401062.478848949</v>
      </c>
      <c r="I158" s="68">
        <f t="shared" si="24"/>
        <v>0</v>
      </c>
      <c r="J158" s="68">
        <f t="shared" si="24"/>
        <v>0</v>
      </c>
      <c r="K158" s="68">
        <f t="shared" si="24"/>
        <v>0</v>
      </c>
      <c r="L158" s="68">
        <f t="shared" si="24"/>
        <v>0</v>
      </c>
      <c r="M158" s="68">
        <f>M94+M146+N146</f>
        <v>0</v>
      </c>
      <c r="N158" s="164"/>
      <c r="O158" s="67">
        <f t="shared" si="23"/>
        <v>146620153.77046439</v>
      </c>
    </row>
    <row r="159" spans="2:15" x14ac:dyDescent="0.15">
      <c r="B159" s="103">
        <v>0.2</v>
      </c>
      <c r="C159" s="68">
        <f t="shared" si="24"/>
        <v>-92550000</v>
      </c>
      <c r="D159" s="68">
        <f t="shared" si="24"/>
        <v>50012750</v>
      </c>
      <c r="E159" s="68">
        <f t="shared" si="24"/>
        <v>44202792.500000022</v>
      </c>
      <c r="F159" s="68">
        <f t="shared" si="24"/>
        <v>35442192.08412499</v>
      </c>
      <c r="G159" s="68">
        <f t="shared" si="24"/>
        <v>25111356.707490433</v>
      </c>
      <c r="H159" s="68">
        <f t="shared" si="24"/>
        <v>84401062.478848949</v>
      </c>
      <c r="I159" s="68">
        <f t="shared" si="24"/>
        <v>0</v>
      </c>
      <c r="J159" s="68">
        <f t="shared" si="24"/>
        <v>0</v>
      </c>
      <c r="K159" s="68">
        <f t="shared" si="24"/>
        <v>0</v>
      </c>
      <c r="L159" s="68">
        <f t="shared" si="24"/>
        <v>0</v>
      </c>
      <c r="M159" s="68">
        <f>M95+M147+N147</f>
        <v>0</v>
      </c>
      <c r="N159" s="164"/>
      <c r="O159" s="67">
        <f t="shared" si="23"/>
        <v>146620153.77046439</v>
      </c>
    </row>
    <row r="160" spans="2:15" x14ac:dyDescent="0.15">
      <c r="B160" s="103">
        <v>0.25</v>
      </c>
      <c r="C160" s="68">
        <f t="shared" si="24"/>
        <v>-92550000</v>
      </c>
      <c r="D160" s="68">
        <f t="shared" si="24"/>
        <v>50012750</v>
      </c>
      <c r="E160" s="68">
        <f t="shared" si="24"/>
        <v>44202792.500000022</v>
      </c>
      <c r="F160" s="68">
        <f t="shared" si="24"/>
        <v>35442192.08412499</v>
      </c>
      <c r="G160" s="68">
        <f t="shared" si="24"/>
        <v>25111356.707490433</v>
      </c>
      <c r="H160" s="68">
        <f t="shared" si="24"/>
        <v>84401062.478848949</v>
      </c>
      <c r="I160" s="68">
        <f t="shared" si="24"/>
        <v>0</v>
      </c>
      <c r="J160" s="68">
        <f t="shared" si="24"/>
        <v>0</v>
      </c>
      <c r="K160" s="68">
        <f t="shared" si="24"/>
        <v>0</v>
      </c>
      <c r="L160" s="68">
        <f t="shared" si="24"/>
        <v>0</v>
      </c>
      <c r="M160" s="68">
        <f>M96+M148+N148</f>
        <v>0</v>
      </c>
      <c r="N160" s="164"/>
      <c r="O160" s="67">
        <f t="shared" si="23"/>
        <v>146620153.77046439</v>
      </c>
    </row>
    <row r="161" spans="2:15" x14ac:dyDescent="0.15">
      <c r="B161" s="12" t="s">
        <v>340</v>
      </c>
      <c r="C161" s="101">
        <f>'After Tax Analysis'!D30</f>
        <v>1</v>
      </c>
      <c r="D161" s="101">
        <f>'After Tax Analysis'!E30</f>
        <v>0.86206896551724144</v>
      </c>
      <c r="E161" s="101">
        <f>'After Tax Analysis'!F30</f>
        <v>0.74316290130796681</v>
      </c>
      <c r="F161" s="101">
        <f>'After Tax Analysis'!G30</f>
        <v>0.64065767354135073</v>
      </c>
      <c r="G161" s="101">
        <f>'After Tax Analysis'!H30</f>
        <v>0.5522910978804747</v>
      </c>
      <c r="H161" s="101">
        <f>'After Tax Analysis'!I30</f>
        <v>0.47611301541420237</v>
      </c>
      <c r="I161" s="101">
        <f>'After Tax Analysis'!J30</f>
        <v>0.41044225466741585</v>
      </c>
      <c r="J161" s="101">
        <f>'After Tax Analysis'!K30</f>
        <v>0.35382952988570338</v>
      </c>
      <c r="K161" s="101">
        <f>'After Tax Analysis'!L30</f>
        <v>0.30502545679802012</v>
      </c>
      <c r="L161" s="101">
        <f>'After Tax Analysis'!M30</f>
        <v>0.26295297999829326</v>
      </c>
      <c r="M161" s="101">
        <f>'After Tax Analysis'!N30</f>
        <v>0.22668360344680452</v>
      </c>
      <c r="N161" s="164"/>
      <c r="O161" s="102">
        <v>0</v>
      </c>
    </row>
    <row r="162" spans="2:15" x14ac:dyDescent="0.15">
      <c r="B162" s="12" t="s">
        <v>643</v>
      </c>
      <c r="C162" s="12"/>
      <c r="D162" s="12"/>
      <c r="E162" s="12"/>
      <c r="F162" s="12"/>
      <c r="G162" s="12"/>
      <c r="H162" s="12"/>
      <c r="I162" s="12"/>
      <c r="J162" s="12"/>
      <c r="K162" s="12"/>
      <c r="L162" s="12"/>
      <c r="M162" s="12"/>
      <c r="N162" s="164"/>
      <c r="O162" s="12"/>
    </row>
    <row r="163" spans="2:15" x14ac:dyDescent="0.15">
      <c r="B163" s="103">
        <v>-0.25</v>
      </c>
      <c r="C163" s="67">
        <f>C150*C$161</f>
        <v>-92550000</v>
      </c>
      <c r="D163" s="67">
        <f t="shared" ref="D163:M167" si="25">D150*D$161</f>
        <v>43114439.655172415</v>
      </c>
      <c r="E163" s="67">
        <f t="shared" si="25"/>
        <v>32849875.520214051</v>
      </c>
      <c r="F163" s="67">
        <f t="shared" si="25"/>
        <v>22706312.325821191</v>
      </c>
      <c r="G163" s="67">
        <f t="shared" si="25"/>
        <v>13868778.765248114</v>
      </c>
      <c r="H163" s="67">
        <f t="shared" si="25"/>
        <v>40184444.360967264</v>
      </c>
      <c r="I163" s="67">
        <f t="shared" si="25"/>
        <v>0</v>
      </c>
      <c r="J163" s="67">
        <f t="shared" si="25"/>
        <v>0</v>
      </c>
      <c r="K163" s="67">
        <f t="shared" si="25"/>
        <v>0</v>
      </c>
      <c r="L163" s="67">
        <f t="shared" si="25"/>
        <v>0</v>
      </c>
      <c r="M163" s="67">
        <f t="shared" si="25"/>
        <v>0</v>
      </c>
      <c r="N163" s="164"/>
      <c r="O163" s="67">
        <f t="shared" ref="O163:O173" si="26">SUM(C163:M163)</f>
        <v>60173850.627423033</v>
      </c>
    </row>
    <row r="164" spans="2:15" x14ac:dyDescent="0.15">
      <c r="B164" s="103">
        <v>-0.2</v>
      </c>
      <c r="C164" s="67">
        <f>C151*C$161</f>
        <v>-92550000</v>
      </c>
      <c r="D164" s="67">
        <f t="shared" si="25"/>
        <v>43114439.655172415</v>
      </c>
      <c r="E164" s="67">
        <f t="shared" si="25"/>
        <v>32849875.520214051</v>
      </c>
      <c r="F164" s="67">
        <f t="shared" si="25"/>
        <v>22706312.325821191</v>
      </c>
      <c r="G164" s="67">
        <f t="shared" si="25"/>
        <v>13868778.765248114</v>
      </c>
      <c r="H164" s="67">
        <f t="shared" si="25"/>
        <v>40184444.360967264</v>
      </c>
      <c r="I164" s="67">
        <f t="shared" si="25"/>
        <v>0</v>
      </c>
      <c r="J164" s="67">
        <f t="shared" si="25"/>
        <v>0</v>
      </c>
      <c r="K164" s="67">
        <f t="shared" si="25"/>
        <v>0</v>
      </c>
      <c r="L164" s="67">
        <f t="shared" si="25"/>
        <v>0</v>
      </c>
      <c r="M164" s="67">
        <f t="shared" si="25"/>
        <v>0</v>
      </c>
      <c r="N164" s="164"/>
      <c r="O164" s="67">
        <f t="shared" si="26"/>
        <v>60173850.627423033</v>
      </c>
    </row>
    <row r="165" spans="2:15" x14ac:dyDescent="0.15">
      <c r="B165" s="103">
        <v>-0.15</v>
      </c>
      <c r="C165" s="67">
        <f>C152*C$161</f>
        <v>-92550000</v>
      </c>
      <c r="D165" s="67">
        <f t="shared" si="25"/>
        <v>43114439.655172415</v>
      </c>
      <c r="E165" s="67">
        <f t="shared" si="25"/>
        <v>32849875.520214051</v>
      </c>
      <c r="F165" s="67">
        <f t="shared" si="25"/>
        <v>22706312.325821191</v>
      </c>
      <c r="G165" s="67">
        <f t="shared" si="25"/>
        <v>13868778.765248114</v>
      </c>
      <c r="H165" s="67">
        <f t="shared" si="25"/>
        <v>40184444.360967264</v>
      </c>
      <c r="I165" s="67">
        <f t="shared" si="25"/>
        <v>0</v>
      </c>
      <c r="J165" s="67">
        <f t="shared" si="25"/>
        <v>0</v>
      </c>
      <c r="K165" s="67">
        <f t="shared" si="25"/>
        <v>0</v>
      </c>
      <c r="L165" s="67">
        <f t="shared" si="25"/>
        <v>0</v>
      </c>
      <c r="M165" s="67">
        <f t="shared" si="25"/>
        <v>0</v>
      </c>
      <c r="N165" s="164"/>
      <c r="O165" s="67">
        <f t="shared" si="26"/>
        <v>60173850.627423033</v>
      </c>
    </row>
    <row r="166" spans="2:15" x14ac:dyDescent="0.15">
      <c r="B166" s="103">
        <v>-0.1</v>
      </c>
      <c r="C166" s="67">
        <f>C153*C$161</f>
        <v>-92550000</v>
      </c>
      <c r="D166" s="67">
        <f t="shared" si="25"/>
        <v>43114439.655172415</v>
      </c>
      <c r="E166" s="67">
        <f t="shared" si="25"/>
        <v>32849875.520214051</v>
      </c>
      <c r="F166" s="67">
        <f t="shared" si="25"/>
        <v>22706312.325821191</v>
      </c>
      <c r="G166" s="67">
        <f t="shared" si="25"/>
        <v>13868778.765248114</v>
      </c>
      <c r="H166" s="67">
        <f t="shared" si="25"/>
        <v>40184444.360967264</v>
      </c>
      <c r="I166" s="67">
        <f t="shared" si="25"/>
        <v>0</v>
      </c>
      <c r="J166" s="67">
        <f t="shared" si="25"/>
        <v>0</v>
      </c>
      <c r="K166" s="67">
        <f t="shared" si="25"/>
        <v>0</v>
      </c>
      <c r="L166" s="67">
        <f t="shared" si="25"/>
        <v>0</v>
      </c>
      <c r="M166" s="67">
        <f t="shared" si="25"/>
        <v>0</v>
      </c>
      <c r="N166" s="164"/>
      <c r="O166" s="67">
        <f t="shared" si="26"/>
        <v>60173850.627423033</v>
      </c>
    </row>
    <row r="167" spans="2:15" x14ac:dyDescent="0.15">
      <c r="B167" s="103">
        <v>-0.05</v>
      </c>
      <c r="C167" s="67">
        <f>C154*C$161</f>
        <v>-92550000</v>
      </c>
      <c r="D167" s="67">
        <f t="shared" si="25"/>
        <v>43114439.655172415</v>
      </c>
      <c r="E167" s="67">
        <f t="shared" si="25"/>
        <v>32849875.520214051</v>
      </c>
      <c r="F167" s="67">
        <f t="shared" si="25"/>
        <v>22706312.325821191</v>
      </c>
      <c r="G167" s="67">
        <f t="shared" si="25"/>
        <v>13868778.765248114</v>
      </c>
      <c r="H167" s="67">
        <f t="shared" si="25"/>
        <v>40184444.360967264</v>
      </c>
      <c r="I167" s="67">
        <f t="shared" si="25"/>
        <v>0</v>
      </c>
      <c r="J167" s="67">
        <f t="shared" si="25"/>
        <v>0</v>
      </c>
      <c r="K167" s="67">
        <f t="shared" si="25"/>
        <v>0</v>
      </c>
      <c r="L167" s="67">
        <f t="shared" si="25"/>
        <v>0</v>
      </c>
      <c r="M167" s="67">
        <f t="shared" si="25"/>
        <v>0</v>
      </c>
      <c r="N167" s="164"/>
      <c r="O167" s="67">
        <f t="shared" si="26"/>
        <v>60173850.627423033</v>
      </c>
    </row>
    <row r="168" spans="2:15" x14ac:dyDescent="0.15">
      <c r="B168" s="103"/>
      <c r="C168" s="67"/>
      <c r="D168" s="67"/>
      <c r="E168" s="67"/>
      <c r="F168" s="67"/>
      <c r="G168" s="67"/>
      <c r="H168" s="67"/>
      <c r="I168" s="67"/>
      <c r="J168" s="67"/>
      <c r="K168" s="67"/>
      <c r="L168" s="67"/>
      <c r="M168" s="67"/>
      <c r="N168" s="164"/>
      <c r="O168" s="67"/>
    </row>
    <row r="169" spans="2:15" x14ac:dyDescent="0.15">
      <c r="B169" s="103">
        <v>0.05</v>
      </c>
      <c r="C169" s="67">
        <f t="shared" ref="C169:M173" si="27">C156*C$161</f>
        <v>-92550000</v>
      </c>
      <c r="D169" s="67">
        <f t="shared" si="27"/>
        <v>43114439.655172415</v>
      </c>
      <c r="E169" s="67">
        <f t="shared" si="27"/>
        <v>32849875.520214051</v>
      </c>
      <c r="F169" s="67">
        <f t="shared" si="27"/>
        <v>22706312.325821191</v>
      </c>
      <c r="G169" s="67">
        <f t="shared" si="27"/>
        <v>13868778.765248114</v>
      </c>
      <c r="H169" s="67">
        <f t="shared" si="27"/>
        <v>40184444.360967264</v>
      </c>
      <c r="I169" s="67">
        <f t="shared" si="27"/>
        <v>0</v>
      </c>
      <c r="J169" s="67">
        <f t="shared" si="27"/>
        <v>0</v>
      </c>
      <c r="K169" s="67">
        <f t="shared" si="27"/>
        <v>0</v>
      </c>
      <c r="L169" s="67">
        <f t="shared" si="27"/>
        <v>0</v>
      </c>
      <c r="M169" s="67">
        <f t="shared" si="27"/>
        <v>0</v>
      </c>
      <c r="N169" s="164"/>
      <c r="O169" s="67">
        <f t="shared" si="26"/>
        <v>60173850.627423033</v>
      </c>
    </row>
    <row r="170" spans="2:15" x14ac:dyDescent="0.15">
      <c r="B170" s="103">
        <v>0.1</v>
      </c>
      <c r="C170" s="67">
        <f t="shared" si="27"/>
        <v>-92550000</v>
      </c>
      <c r="D170" s="67">
        <f t="shared" si="27"/>
        <v>43114439.655172415</v>
      </c>
      <c r="E170" s="67">
        <f t="shared" si="27"/>
        <v>32849875.520214051</v>
      </c>
      <c r="F170" s="67">
        <f t="shared" si="27"/>
        <v>22706312.325821191</v>
      </c>
      <c r="G170" s="67">
        <f t="shared" si="27"/>
        <v>13868778.765248114</v>
      </c>
      <c r="H170" s="67">
        <f t="shared" si="27"/>
        <v>40184444.360967264</v>
      </c>
      <c r="I170" s="67">
        <f t="shared" si="27"/>
        <v>0</v>
      </c>
      <c r="J170" s="67">
        <f t="shared" si="27"/>
        <v>0</v>
      </c>
      <c r="K170" s="67">
        <f t="shared" si="27"/>
        <v>0</v>
      </c>
      <c r="L170" s="67">
        <f t="shared" si="27"/>
        <v>0</v>
      </c>
      <c r="M170" s="67">
        <f t="shared" si="27"/>
        <v>0</v>
      </c>
      <c r="N170" s="164"/>
      <c r="O170" s="67">
        <f t="shared" si="26"/>
        <v>60173850.627423033</v>
      </c>
    </row>
    <row r="171" spans="2:15" x14ac:dyDescent="0.15">
      <c r="B171" s="103">
        <v>0.15</v>
      </c>
      <c r="C171" s="67">
        <f t="shared" si="27"/>
        <v>-92550000</v>
      </c>
      <c r="D171" s="67">
        <f t="shared" si="27"/>
        <v>43114439.655172415</v>
      </c>
      <c r="E171" s="67">
        <f t="shared" si="27"/>
        <v>32849875.520214051</v>
      </c>
      <c r="F171" s="67">
        <f t="shared" si="27"/>
        <v>22706312.325821191</v>
      </c>
      <c r="G171" s="67">
        <f t="shared" si="27"/>
        <v>13868778.765248114</v>
      </c>
      <c r="H171" s="67">
        <f t="shared" si="27"/>
        <v>40184444.360967264</v>
      </c>
      <c r="I171" s="67">
        <f t="shared" si="27"/>
        <v>0</v>
      </c>
      <c r="J171" s="67">
        <f t="shared" si="27"/>
        <v>0</v>
      </c>
      <c r="K171" s="67">
        <f t="shared" si="27"/>
        <v>0</v>
      </c>
      <c r="L171" s="67">
        <f t="shared" si="27"/>
        <v>0</v>
      </c>
      <c r="M171" s="67">
        <f t="shared" si="27"/>
        <v>0</v>
      </c>
      <c r="N171" s="164"/>
      <c r="O171" s="67">
        <f t="shared" si="26"/>
        <v>60173850.627423033</v>
      </c>
    </row>
    <row r="172" spans="2:15" x14ac:dyDescent="0.15">
      <c r="B172" s="103">
        <v>0.2</v>
      </c>
      <c r="C172" s="67">
        <f t="shared" si="27"/>
        <v>-92550000</v>
      </c>
      <c r="D172" s="67">
        <f t="shared" si="27"/>
        <v>43114439.655172415</v>
      </c>
      <c r="E172" s="67">
        <f t="shared" si="27"/>
        <v>32849875.520214051</v>
      </c>
      <c r="F172" s="67">
        <f t="shared" si="27"/>
        <v>22706312.325821191</v>
      </c>
      <c r="G172" s="67">
        <f t="shared" si="27"/>
        <v>13868778.765248114</v>
      </c>
      <c r="H172" s="67">
        <f t="shared" si="27"/>
        <v>40184444.360967264</v>
      </c>
      <c r="I172" s="67">
        <f t="shared" si="27"/>
        <v>0</v>
      </c>
      <c r="J172" s="67">
        <f t="shared" si="27"/>
        <v>0</v>
      </c>
      <c r="K172" s="67">
        <f t="shared" si="27"/>
        <v>0</v>
      </c>
      <c r="L172" s="67">
        <f t="shared" si="27"/>
        <v>0</v>
      </c>
      <c r="M172" s="67">
        <f t="shared" si="27"/>
        <v>0</v>
      </c>
      <c r="N172" s="164"/>
      <c r="O172" s="67">
        <f t="shared" si="26"/>
        <v>60173850.627423033</v>
      </c>
    </row>
    <row r="173" spans="2:15" x14ac:dyDescent="0.15">
      <c r="B173" s="103">
        <v>0.25</v>
      </c>
      <c r="C173" s="67">
        <f t="shared" si="27"/>
        <v>-92550000</v>
      </c>
      <c r="D173" s="67">
        <f t="shared" si="27"/>
        <v>43114439.655172415</v>
      </c>
      <c r="E173" s="67">
        <f t="shared" si="27"/>
        <v>32849875.520214051</v>
      </c>
      <c r="F173" s="67">
        <f t="shared" si="27"/>
        <v>22706312.325821191</v>
      </c>
      <c r="G173" s="67">
        <f t="shared" si="27"/>
        <v>13868778.765248114</v>
      </c>
      <c r="H173" s="67">
        <f t="shared" si="27"/>
        <v>40184444.360967264</v>
      </c>
      <c r="I173" s="67">
        <f t="shared" si="27"/>
        <v>0</v>
      </c>
      <c r="J173" s="67">
        <f t="shared" si="27"/>
        <v>0</v>
      </c>
      <c r="K173" s="67">
        <f t="shared" si="27"/>
        <v>0</v>
      </c>
      <c r="L173" s="67">
        <f t="shared" si="27"/>
        <v>0</v>
      </c>
      <c r="M173" s="67">
        <f t="shared" si="27"/>
        <v>0</v>
      </c>
      <c r="N173" s="164"/>
      <c r="O173" s="67">
        <f t="shared" si="26"/>
        <v>60173850.627423033</v>
      </c>
    </row>
    <row r="174" spans="2:15" x14ac:dyDescent="0.15">
      <c r="B174" s="12" t="s">
        <v>317</v>
      </c>
      <c r="C174" s="12"/>
      <c r="D174" s="12"/>
      <c r="E174" s="12"/>
      <c r="F174" s="12"/>
      <c r="G174" s="12"/>
      <c r="H174" s="12"/>
      <c r="I174" s="12"/>
      <c r="J174" s="12"/>
      <c r="K174" s="12"/>
      <c r="L174" s="12"/>
      <c r="M174" s="12"/>
      <c r="N174" s="164"/>
      <c r="O174" s="12"/>
    </row>
    <row r="175" spans="2:15" x14ac:dyDescent="0.15">
      <c r="B175" s="103">
        <v>-0.25</v>
      </c>
      <c r="C175" s="67">
        <f>C163</f>
        <v>-92550000</v>
      </c>
      <c r="D175" s="67">
        <f>C175+D163</f>
        <v>-49435560.344827585</v>
      </c>
      <c r="E175" s="67">
        <f t="shared" ref="E175:M179" si="28">D175+E163</f>
        <v>-16585684.824613534</v>
      </c>
      <c r="F175" s="67">
        <f t="shared" si="28"/>
        <v>6120627.5012076572</v>
      </c>
      <c r="G175" s="67">
        <f t="shared" si="28"/>
        <v>19989406.26645577</v>
      </c>
      <c r="H175" s="67">
        <f t="shared" si="28"/>
        <v>60173850.627423033</v>
      </c>
      <c r="I175" s="67">
        <f t="shared" si="28"/>
        <v>60173850.627423033</v>
      </c>
      <c r="J175" s="67">
        <f t="shared" si="28"/>
        <v>60173850.627423033</v>
      </c>
      <c r="K175" s="67">
        <f t="shared" si="28"/>
        <v>60173850.627423033</v>
      </c>
      <c r="L175" s="67">
        <f t="shared" si="28"/>
        <v>60173850.627423033</v>
      </c>
      <c r="M175" s="67">
        <f t="shared" si="28"/>
        <v>60173850.627423033</v>
      </c>
      <c r="N175" s="164"/>
      <c r="O175" s="12"/>
    </row>
    <row r="176" spans="2:15" x14ac:dyDescent="0.15">
      <c r="B176" s="103">
        <v>-0.2</v>
      </c>
      <c r="C176" s="67">
        <f>C164</f>
        <v>-92550000</v>
      </c>
      <c r="D176" s="67">
        <f>C176+D164</f>
        <v>-49435560.344827585</v>
      </c>
      <c r="E176" s="67">
        <f t="shared" si="28"/>
        <v>-16585684.824613534</v>
      </c>
      <c r="F176" s="67">
        <f t="shared" si="28"/>
        <v>6120627.5012076572</v>
      </c>
      <c r="G176" s="67">
        <f t="shared" si="28"/>
        <v>19989406.26645577</v>
      </c>
      <c r="H176" s="67">
        <f t="shared" si="28"/>
        <v>60173850.627423033</v>
      </c>
      <c r="I176" s="67">
        <f t="shared" si="28"/>
        <v>60173850.627423033</v>
      </c>
      <c r="J176" s="67">
        <f t="shared" si="28"/>
        <v>60173850.627423033</v>
      </c>
      <c r="K176" s="67">
        <f t="shared" si="28"/>
        <v>60173850.627423033</v>
      </c>
      <c r="L176" s="67">
        <f t="shared" si="28"/>
        <v>60173850.627423033</v>
      </c>
      <c r="M176" s="67">
        <f t="shared" si="28"/>
        <v>60173850.627423033</v>
      </c>
      <c r="N176" s="164"/>
      <c r="O176" s="12"/>
    </row>
    <row r="177" spans="2:15" x14ac:dyDescent="0.15">
      <c r="B177" s="103">
        <v>-0.15</v>
      </c>
      <c r="C177" s="67">
        <f>C165</f>
        <v>-92550000</v>
      </c>
      <c r="D177" s="67">
        <f>C177+D165</f>
        <v>-49435560.344827585</v>
      </c>
      <c r="E177" s="67">
        <f t="shared" si="28"/>
        <v>-16585684.824613534</v>
      </c>
      <c r="F177" s="67">
        <f t="shared" si="28"/>
        <v>6120627.5012076572</v>
      </c>
      <c r="G177" s="67">
        <f t="shared" si="28"/>
        <v>19989406.26645577</v>
      </c>
      <c r="H177" s="67">
        <f t="shared" si="28"/>
        <v>60173850.627423033</v>
      </c>
      <c r="I177" s="67">
        <f t="shared" si="28"/>
        <v>60173850.627423033</v>
      </c>
      <c r="J177" s="67">
        <f t="shared" si="28"/>
        <v>60173850.627423033</v>
      </c>
      <c r="K177" s="67">
        <f t="shared" si="28"/>
        <v>60173850.627423033</v>
      </c>
      <c r="L177" s="67">
        <f t="shared" si="28"/>
        <v>60173850.627423033</v>
      </c>
      <c r="M177" s="67">
        <f t="shared" si="28"/>
        <v>60173850.627423033</v>
      </c>
      <c r="N177" s="164"/>
      <c r="O177" s="12"/>
    </row>
    <row r="178" spans="2:15" x14ac:dyDescent="0.15">
      <c r="B178" s="103">
        <v>-0.1</v>
      </c>
      <c r="C178" s="67">
        <f>C166</f>
        <v>-92550000</v>
      </c>
      <c r="D178" s="67">
        <f>C178+D166</f>
        <v>-49435560.344827585</v>
      </c>
      <c r="E178" s="67">
        <f t="shared" si="28"/>
        <v>-16585684.824613534</v>
      </c>
      <c r="F178" s="67">
        <f t="shared" si="28"/>
        <v>6120627.5012076572</v>
      </c>
      <c r="G178" s="67">
        <f t="shared" si="28"/>
        <v>19989406.26645577</v>
      </c>
      <c r="H178" s="67">
        <f t="shared" si="28"/>
        <v>60173850.627423033</v>
      </c>
      <c r="I178" s="67">
        <f t="shared" si="28"/>
        <v>60173850.627423033</v>
      </c>
      <c r="J178" s="67">
        <f t="shared" si="28"/>
        <v>60173850.627423033</v>
      </c>
      <c r="K178" s="67">
        <f t="shared" si="28"/>
        <v>60173850.627423033</v>
      </c>
      <c r="L178" s="67">
        <f t="shared" si="28"/>
        <v>60173850.627423033</v>
      </c>
      <c r="M178" s="67">
        <f t="shared" si="28"/>
        <v>60173850.627423033</v>
      </c>
      <c r="N178" s="164"/>
      <c r="O178" s="12"/>
    </row>
    <row r="179" spans="2:15" x14ac:dyDescent="0.15">
      <c r="B179" s="103">
        <v>-0.05</v>
      </c>
      <c r="C179" s="67">
        <f>C167</f>
        <v>-92550000</v>
      </c>
      <c r="D179" s="67">
        <f>C179+D167</f>
        <v>-49435560.344827585</v>
      </c>
      <c r="E179" s="67">
        <f t="shared" si="28"/>
        <v>-16585684.824613534</v>
      </c>
      <c r="F179" s="67">
        <f t="shared" si="28"/>
        <v>6120627.5012076572</v>
      </c>
      <c r="G179" s="67">
        <f t="shared" si="28"/>
        <v>19989406.26645577</v>
      </c>
      <c r="H179" s="67">
        <f t="shared" si="28"/>
        <v>60173850.627423033</v>
      </c>
      <c r="I179" s="67">
        <f t="shared" si="28"/>
        <v>60173850.627423033</v>
      </c>
      <c r="J179" s="67">
        <f t="shared" si="28"/>
        <v>60173850.627423033</v>
      </c>
      <c r="K179" s="67">
        <f t="shared" si="28"/>
        <v>60173850.627423033</v>
      </c>
      <c r="L179" s="67">
        <f t="shared" si="28"/>
        <v>60173850.627423033</v>
      </c>
      <c r="M179" s="67">
        <f t="shared" si="28"/>
        <v>60173850.627423033</v>
      </c>
      <c r="N179" s="164"/>
      <c r="O179" s="12"/>
    </row>
    <row r="180" spans="2:15" x14ac:dyDescent="0.15">
      <c r="B180" s="103"/>
      <c r="C180" s="67"/>
      <c r="D180" s="67"/>
      <c r="E180" s="67"/>
      <c r="F180" s="67"/>
      <c r="G180" s="67"/>
      <c r="H180" s="67"/>
      <c r="I180" s="67"/>
      <c r="J180" s="67"/>
      <c r="K180" s="67"/>
      <c r="L180" s="67"/>
      <c r="M180" s="67"/>
      <c r="N180" s="164"/>
      <c r="O180" s="12"/>
    </row>
    <row r="181" spans="2:15" x14ac:dyDescent="0.15">
      <c r="B181" s="103">
        <v>0.05</v>
      </c>
      <c r="C181" s="67">
        <f>C169</f>
        <v>-92550000</v>
      </c>
      <c r="D181" s="67">
        <f t="shared" ref="D181:M185" si="29">C181+D169</f>
        <v>-49435560.344827585</v>
      </c>
      <c r="E181" s="67">
        <f t="shared" si="29"/>
        <v>-16585684.824613534</v>
      </c>
      <c r="F181" s="67">
        <f t="shared" si="29"/>
        <v>6120627.5012076572</v>
      </c>
      <c r="G181" s="67">
        <f t="shared" si="29"/>
        <v>19989406.26645577</v>
      </c>
      <c r="H181" s="67">
        <f t="shared" si="29"/>
        <v>60173850.627423033</v>
      </c>
      <c r="I181" s="67">
        <f t="shared" si="29"/>
        <v>60173850.627423033</v>
      </c>
      <c r="J181" s="67">
        <f t="shared" si="29"/>
        <v>60173850.627423033</v>
      </c>
      <c r="K181" s="67">
        <f t="shared" si="29"/>
        <v>60173850.627423033</v>
      </c>
      <c r="L181" s="67">
        <f t="shared" si="29"/>
        <v>60173850.627423033</v>
      </c>
      <c r="M181" s="67">
        <f t="shared" si="29"/>
        <v>60173850.627423033</v>
      </c>
      <c r="N181" s="164"/>
      <c r="O181" s="12"/>
    </row>
    <row r="182" spans="2:15" x14ac:dyDescent="0.15">
      <c r="B182" s="103">
        <v>0.1</v>
      </c>
      <c r="C182" s="67">
        <f>C170</f>
        <v>-92550000</v>
      </c>
      <c r="D182" s="67">
        <f t="shared" si="29"/>
        <v>-49435560.344827585</v>
      </c>
      <c r="E182" s="67">
        <f t="shared" si="29"/>
        <v>-16585684.824613534</v>
      </c>
      <c r="F182" s="67">
        <f t="shared" si="29"/>
        <v>6120627.5012076572</v>
      </c>
      <c r="G182" s="67">
        <f t="shared" si="29"/>
        <v>19989406.26645577</v>
      </c>
      <c r="H182" s="67">
        <f t="shared" si="29"/>
        <v>60173850.627423033</v>
      </c>
      <c r="I182" s="67">
        <f t="shared" si="29"/>
        <v>60173850.627423033</v>
      </c>
      <c r="J182" s="67">
        <f t="shared" si="29"/>
        <v>60173850.627423033</v>
      </c>
      <c r="K182" s="67">
        <f t="shared" si="29"/>
        <v>60173850.627423033</v>
      </c>
      <c r="L182" s="67">
        <f t="shared" si="29"/>
        <v>60173850.627423033</v>
      </c>
      <c r="M182" s="67">
        <f t="shared" si="29"/>
        <v>60173850.627423033</v>
      </c>
      <c r="N182" s="164"/>
      <c r="O182" s="12"/>
    </row>
    <row r="183" spans="2:15" x14ac:dyDescent="0.15">
      <c r="B183" s="103">
        <v>0.15</v>
      </c>
      <c r="C183" s="67">
        <f>C171</f>
        <v>-92550000</v>
      </c>
      <c r="D183" s="67">
        <f t="shared" si="29"/>
        <v>-49435560.344827585</v>
      </c>
      <c r="E183" s="67">
        <f t="shared" si="29"/>
        <v>-16585684.824613534</v>
      </c>
      <c r="F183" s="67">
        <f t="shared" si="29"/>
        <v>6120627.5012076572</v>
      </c>
      <c r="G183" s="67">
        <f t="shared" si="29"/>
        <v>19989406.26645577</v>
      </c>
      <c r="H183" s="67">
        <f t="shared" si="29"/>
        <v>60173850.627423033</v>
      </c>
      <c r="I183" s="67">
        <f t="shared" si="29"/>
        <v>60173850.627423033</v>
      </c>
      <c r="J183" s="67">
        <f t="shared" si="29"/>
        <v>60173850.627423033</v>
      </c>
      <c r="K183" s="67">
        <f t="shared" si="29"/>
        <v>60173850.627423033</v>
      </c>
      <c r="L183" s="67">
        <f t="shared" si="29"/>
        <v>60173850.627423033</v>
      </c>
      <c r="M183" s="67">
        <f t="shared" si="29"/>
        <v>60173850.627423033</v>
      </c>
      <c r="N183" s="164"/>
      <c r="O183" s="12"/>
    </row>
    <row r="184" spans="2:15" x14ac:dyDescent="0.15">
      <c r="B184" s="103">
        <v>0.2</v>
      </c>
      <c r="C184" s="67">
        <f>C172</f>
        <v>-92550000</v>
      </c>
      <c r="D184" s="67">
        <f t="shared" si="29"/>
        <v>-49435560.344827585</v>
      </c>
      <c r="E184" s="67">
        <f t="shared" si="29"/>
        <v>-16585684.824613534</v>
      </c>
      <c r="F184" s="67">
        <f t="shared" si="29"/>
        <v>6120627.5012076572</v>
      </c>
      <c r="G184" s="67">
        <f t="shared" si="29"/>
        <v>19989406.26645577</v>
      </c>
      <c r="H184" s="67">
        <f t="shared" si="29"/>
        <v>60173850.627423033</v>
      </c>
      <c r="I184" s="67">
        <f t="shared" si="29"/>
        <v>60173850.627423033</v>
      </c>
      <c r="J184" s="67">
        <f t="shared" si="29"/>
        <v>60173850.627423033</v>
      </c>
      <c r="K184" s="67">
        <f t="shared" si="29"/>
        <v>60173850.627423033</v>
      </c>
      <c r="L184" s="67">
        <f t="shared" si="29"/>
        <v>60173850.627423033</v>
      </c>
      <c r="M184" s="67">
        <f t="shared" si="29"/>
        <v>60173850.627423033</v>
      </c>
      <c r="N184" s="164"/>
      <c r="O184" s="12"/>
    </row>
    <row r="185" spans="2:15" ht="14" thickBot="1" x14ac:dyDescent="0.2">
      <c r="B185" s="103">
        <v>0.25</v>
      </c>
      <c r="C185" s="95">
        <f>C173</f>
        <v>-92550000</v>
      </c>
      <c r="D185" s="95">
        <f t="shared" si="29"/>
        <v>-49435560.344827585</v>
      </c>
      <c r="E185" s="95">
        <f t="shared" si="29"/>
        <v>-16585684.824613534</v>
      </c>
      <c r="F185" s="95">
        <f t="shared" si="29"/>
        <v>6120627.5012076572</v>
      </c>
      <c r="G185" s="95">
        <f t="shared" si="29"/>
        <v>19989406.26645577</v>
      </c>
      <c r="H185" s="95">
        <f t="shared" si="29"/>
        <v>60173850.627423033</v>
      </c>
      <c r="I185" s="95">
        <f t="shared" si="29"/>
        <v>60173850.627423033</v>
      </c>
      <c r="J185" s="95">
        <f t="shared" si="29"/>
        <v>60173850.627423033</v>
      </c>
      <c r="K185" s="95">
        <f t="shared" si="29"/>
        <v>60173850.627423033</v>
      </c>
      <c r="L185" s="95">
        <f t="shared" si="29"/>
        <v>60173850.627423033</v>
      </c>
      <c r="M185" s="95">
        <f t="shared" si="29"/>
        <v>60173850.627423033</v>
      </c>
      <c r="N185" s="154"/>
      <c r="O185" s="94"/>
    </row>
    <row r="186" spans="2:15" ht="15" thickTop="1" thickBot="1" x14ac:dyDescent="0.2"/>
    <row r="187" spans="2:15" x14ac:dyDescent="0.15">
      <c r="B187" s="526" t="s">
        <v>436</v>
      </c>
      <c r="C187" s="527"/>
      <c r="D187" s="528" t="s">
        <v>652</v>
      </c>
      <c r="E187" s="526" t="s">
        <v>341</v>
      </c>
      <c r="F187" s="527"/>
      <c r="G187" s="529" t="s">
        <v>652</v>
      </c>
    </row>
    <row r="188" spans="2:15" x14ac:dyDescent="0.15">
      <c r="B188" s="530">
        <v>-0.25</v>
      </c>
      <c r="C188" s="531">
        <f>IF(ISNUMBER(IRR(C150:M150)),IRR(C150:M150),"NMF")</f>
        <v>0.40549033935008683</v>
      </c>
      <c r="D188" s="532">
        <f>IF(C188="NMF","NMF",(C188-$C$193)/$C$193)</f>
        <v>0</v>
      </c>
      <c r="E188" s="530">
        <v>-0.25</v>
      </c>
      <c r="F188" s="533">
        <f>O163</f>
        <v>60173850.627423033</v>
      </c>
      <c r="G188" s="534">
        <f>(F188-$F$193)/$F$193</f>
        <v>0</v>
      </c>
    </row>
    <row r="189" spans="2:15" x14ac:dyDescent="0.15">
      <c r="B189" s="530">
        <v>-0.2</v>
      </c>
      <c r="C189" s="531">
        <f t="shared" ref="C189:C198" si="30">IF(ISNUMBER(IRR(C151:M151)),IRR(C151:M151),"NMF")</f>
        <v>0.40549033935008683</v>
      </c>
      <c r="D189" s="532">
        <f t="shared" ref="D189:D198" si="31">IF(C189="NMF","NMF",(C189-$C$193)/$C$193)</f>
        <v>0</v>
      </c>
      <c r="E189" s="530">
        <v>-0.2</v>
      </c>
      <c r="F189" s="533">
        <f>O164</f>
        <v>60173850.627423033</v>
      </c>
      <c r="G189" s="534">
        <f t="shared" ref="G189:G198" si="32">(F189-$F$193)/$F$193</f>
        <v>0</v>
      </c>
    </row>
    <row r="190" spans="2:15" x14ac:dyDescent="0.15">
      <c r="B190" s="530">
        <v>-0.15</v>
      </c>
      <c r="C190" s="531">
        <f t="shared" si="30"/>
        <v>0.40549033935008683</v>
      </c>
      <c r="D190" s="532">
        <f t="shared" si="31"/>
        <v>0</v>
      </c>
      <c r="E190" s="530">
        <v>-0.15</v>
      </c>
      <c r="F190" s="533">
        <f>O165</f>
        <v>60173850.627423033</v>
      </c>
      <c r="G190" s="534">
        <f t="shared" si="32"/>
        <v>0</v>
      </c>
    </row>
    <row r="191" spans="2:15" x14ac:dyDescent="0.15">
      <c r="B191" s="530">
        <v>-0.1</v>
      </c>
      <c r="C191" s="531">
        <f t="shared" si="30"/>
        <v>0.40549033935008683</v>
      </c>
      <c r="D191" s="532">
        <f t="shared" si="31"/>
        <v>0</v>
      </c>
      <c r="E191" s="530">
        <v>-0.1</v>
      </c>
      <c r="F191" s="533">
        <f>O166</f>
        <v>60173850.627423033</v>
      </c>
      <c r="G191" s="534">
        <f t="shared" si="32"/>
        <v>0</v>
      </c>
    </row>
    <row r="192" spans="2:15" x14ac:dyDescent="0.15">
      <c r="B192" s="530">
        <v>-0.05</v>
      </c>
      <c r="C192" s="531">
        <f t="shared" si="30"/>
        <v>0.40549033935008683</v>
      </c>
      <c r="D192" s="532">
        <f t="shared" si="31"/>
        <v>0</v>
      </c>
      <c r="E192" s="530">
        <v>-0.05</v>
      </c>
      <c r="F192" s="533">
        <f>O167</f>
        <v>60173850.627423033</v>
      </c>
      <c r="G192" s="534">
        <f t="shared" si="32"/>
        <v>0</v>
      </c>
    </row>
    <row r="193" spans="2:7" x14ac:dyDescent="0.15">
      <c r="B193" s="535" t="s">
        <v>653</v>
      </c>
      <c r="C193" s="531">
        <f t="shared" si="30"/>
        <v>0.40549033935008683</v>
      </c>
      <c r="D193" s="532">
        <f t="shared" si="31"/>
        <v>0</v>
      </c>
      <c r="E193" s="535" t="s">
        <v>653</v>
      </c>
      <c r="F193" s="533">
        <f>'After Tax Analysis'!D38</f>
        <v>60173850.627423033</v>
      </c>
      <c r="G193" s="534">
        <f t="shared" si="32"/>
        <v>0</v>
      </c>
    </row>
    <row r="194" spans="2:7" x14ac:dyDescent="0.15">
      <c r="B194" s="530">
        <v>0.05</v>
      </c>
      <c r="C194" s="531">
        <f t="shared" si="30"/>
        <v>0.40549033935008683</v>
      </c>
      <c r="D194" s="532">
        <f t="shared" si="31"/>
        <v>0</v>
      </c>
      <c r="E194" s="530">
        <v>0.05</v>
      </c>
      <c r="F194" s="533">
        <f>O169</f>
        <v>60173850.627423033</v>
      </c>
      <c r="G194" s="534">
        <f t="shared" si="32"/>
        <v>0</v>
      </c>
    </row>
    <row r="195" spans="2:7" x14ac:dyDescent="0.15">
      <c r="B195" s="530">
        <v>0.1</v>
      </c>
      <c r="C195" s="531">
        <f t="shared" si="30"/>
        <v>0.40549033935008683</v>
      </c>
      <c r="D195" s="532">
        <f t="shared" si="31"/>
        <v>0</v>
      </c>
      <c r="E195" s="530">
        <v>0.1</v>
      </c>
      <c r="F195" s="533">
        <f>O170</f>
        <v>60173850.627423033</v>
      </c>
      <c r="G195" s="534">
        <f t="shared" si="32"/>
        <v>0</v>
      </c>
    </row>
    <row r="196" spans="2:7" x14ac:dyDescent="0.15">
      <c r="B196" s="530">
        <v>0.15</v>
      </c>
      <c r="C196" s="531">
        <f t="shared" si="30"/>
        <v>0.40549033935008683</v>
      </c>
      <c r="D196" s="532">
        <f t="shared" si="31"/>
        <v>0</v>
      </c>
      <c r="E196" s="530">
        <v>0.15</v>
      </c>
      <c r="F196" s="533">
        <f>O171</f>
        <v>60173850.627423033</v>
      </c>
      <c r="G196" s="534">
        <f t="shared" si="32"/>
        <v>0</v>
      </c>
    </row>
    <row r="197" spans="2:7" x14ac:dyDescent="0.15">
      <c r="B197" s="530">
        <v>0.2</v>
      </c>
      <c r="C197" s="531">
        <f t="shared" si="30"/>
        <v>0.40549033935008683</v>
      </c>
      <c r="D197" s="532">
        <f t="shared" si="31"/>
        <v>0</v>
      </c>
      <c r="E197" s="530">
        <v>0.2</v>
      </c>
      <c r="F197" s="533">
        <f>O172</f>
        <v>60173850.627423033</v>
      </c>
      <c r="G197" s="534">
        <f t="shared" si="32"/>
        <v>0</v>
      </c>
    </row>
    <row r="198" spans="2:7" ht="14" thickBot="1" x14ac:dyDescent="0.2">
      <c r="B198" s="536">
        <v>0.25</v>
      </c>
      <c r="C198" s="531">
        <f t="shared" si="30"/>
        <v>0.40549033935008683</v>
      </c>
      <c r="D198" s="532">
        <f t="shared" si="31"/>
        <v>0</v>
      </c>
      <c r="E198" s="536">
        <v>0.25</v>
      </c>
      <c r="F198" s="537">
        <f>O173</f>
        <v>60173850.627423033</v>
      </c>
      <c r="G198" s="538">
        <f t="shared" si="32"/>
        <v>0</v>
      </c>
    </row>
  </sheetData>
  <sheetProtection password="AA36" sheet="1" objects="1" scenarios="1"/>
  <phoneticPr fontId="0" type="noConversion"/>
  <pageMargins left="0.75" right="0.75" top="1" bottom="1" header="0.5" footer="0.5"/>
  <pageSetup orientation="portrait" horizontalDpi="0" verticalDpi="0"/>
  <headerFooter alignWithMargins="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247"/>
  <sheetViews>
    <sheetView workbookViewId="0">
      <selection activeCell="I12" sqref="I12"/>
    </sheetView>
  </sheetViews>
  <sheetFormatPr baseColWidth="10" defaultColWidth="8.83203125" defaultRowHeight="13" x14ac:dyDescent="0.15"/>
  <cols>
    <col min="2" max="2" width="16.83203125" customWidth="1"/>
    <col min="3" max="3" width="14.83203125" customWidth="1"/>
    <col min="4" max="5" width="12.6640625" customWidth="1"/>
    <col min="6" max="6" width="15" customWidth="1"/>
    <col min="7" max="7" width="12.6640625" customWidth="1"/>
    <col min="8" max="8" width="15" customWidth="1"/>
    <col min="9" max="26" width="12.6640625" customWidth="1"/>
  </cols>
  <sheetData>
    <row r="1" spans="1:10" ht="18" x14ac:dyDescent="0.2">
      <c r="A1" s="549" t="s">
        <v>657</v>
      </c>
    </row>
    <row r="2" spans="1:10" ht="18" x14ac:dyDescent="0.2">
      <c r="A2" s="525"/>
      <c r="B2" s="39" t="s">
        <v>658</v>
      </c>
    </row>
    <row r="3" spans="1:10" ht="14" thickBot="1" x14ac:dyDescent="0.2"/>
    <row r="4" spans="1:10" x14ac:dyDescent="0.15">
      <c r="B4" s="417" t="str">
        <f>'Level Payment Fin Sens Wksht'!C4</f>
        <v>Base Case Loan Proceeds</v>
      </c>
      <c r="C4" s="475">
        <f>'Level Payment Fin Sens Wksht'!D4</f>
        <v>0</v>
      </c>
      <c r="D4" s="290" t="str">
        <f>'Level Payment Fin Sens Wksht'!E4</f>
        <v>Debt Ratio</v>
      </c>
      <c r="E4" s="484" t="s">
        <v>119</v>
      </c>
      <c r="F4" s="550"/>
      <c r="G4" s="485"/>
      <c r="H4" s="486">
        <f>'Initial Inputs'!C35</f>
        <v>0</v>
      </c>
      <c r="I4" s="181"/>
    </row>
    <row r="5" spans="1:10" x14ac:dyDescent="0.15">
      <c r="B5" s="476">
        <f>'Level Payment Fin Sens Wksht'!C5</f>
        <v>-0.25</v>
      </c>
      <c r="C5" s="62">
        <f>'Level Payment Fin Sens Wksht'!D5</f>
        <v>0</v>
      </c>
      <c r="D5" s="418">
        <f>'Level Payment Fin Sens Wksht'!E5</f>
        <v>0</v>
      </c>
      <c r="E5" s="487"/>
      <c r="F5" s="551"/>
      <c r="G5" s="12"/>
      <c r="H5" s="488"/>
    </row>
    <row r="6" spans="1:10" x14ac:dyDescent="0.15">
      <c r="B6" s="476">
        <f>'Level Payment Fin Sens Wksht'!C6</f>
        <v>-0.2</v>
      </c>
      <c r="C6" s="62">
        <f>'Level Payment Fin Sens Wksht'!D6</f>
        <v>0</v>
      </c>
      <c r="D6" s="418">
        <f>'Level Payment Fin Sens Wksht'!E6</f>
        <v>0</v>
      </c>
      <c r="E6" s="487" t="s">
        <v>121</v>
      </c>
      <c r="F6" s="551"/>
      <c r="G6" s="12"/>
      <c r="H6" s="489">
        <f>'Initial Inputs'!C37</f>
        <v>0.08</v>
      </c>
      <c r="I6" s="8"/>
    </row>
    <row r="7" spans="1:10" x14ac:dyDescent="0.15">
      <c r="B7" s="476">
        <f>'Level Payment Fin Sens Wksht'!C7</f>
        <v>-0.15</v>
      </c>
      <c r="C7" s="62">
        <f>'Level Payment Fin Sens Wksht'!D7</f>
        <v>0</v>
      </c>
      <c r="D7" s="418">
        <f>'Level Payment Fin Sens Wksht'!E7</f>
        <v>0</v>
      </c>
      <c r="E7" s="487"/>
      <c r="F7" s="551"/>
      <c r="G7" s="12"/>
      <c r="H7" s="488"/>
    </row>
    <row r="8" spans="1:10" x14ac:dyDescent="0.15">
      <c r="B8" s="476">
        <f>'Level Payment Fin Sens Wksht'!C8</f>
        <v>-0.1</v>
      </c>
      <c r="C8" s="62">
        <f>'Level Payment Fin Sens Wksht'!D8</f>
        <v>0</v>
      </c>
      <c r="D8" s="418">
        <f>'Level Payment Fin Sens Wksht'!E8</f>
        <v>0</v>
      </c>
      <c r="E8" s="487" t="str">
        <f>'Initial Inputs'!B7</f>
        <v>Project Life in years (10 Max) =</v>
      </c>
      <c r="H8" s="487">
        <f>'Initial Inputs'!C7</f>
        <v>5</v>
      </c>
    </row>
    <row r="9" spans="1:10" x14ac:dyDescent="0.15">
      <c r="B9" s="476">
        <f>'Level Payment Fin Sens Wksht'!C9</f>
        <v>-0.05</v>
      </c>
      <c r="C9" s="62">
        <f>'Level Payment Fin Sens Wksht'!D9</f>
        <v>0</v>
      </c>
      <c r="D9" s="418">
        <f>'Level Payment Fin Sens Wksht'!E9</f>
        <v>0</v>
      </c>
      <c r="E9" s="487"/>
      <c r="F9" s="551"/>
      <c r="G9" s="12"/>
      <c r="H9" s="488"/>
    </row>
    <row r="10" spans="1:10" x14ac:dyDescent="0.15">
      <c r="B10" s="476">
        <v>0</v>
      </c>
      <c r="C10" s="62">
        <f>'Level Payment Fin Sens Wksht'!D10</f>
        <v>0</v>
      </c>
      <c r="D10" s="418">
        <f>'Level Payment Fin Sens Wksht'!E10</f>
        <v>0</v>
      </c>
      <c r="E10" s="517"/>
      <c r="F10" s="586"/>
      <c r="G10" s="518"/>
      <c r="H10" s="519"/>
    </row>
    <row r="11" spans="1:10" ht="14" thickBot="1" x14ac:dyDescent="0.2">
      <c r="B11" s="476">
        <f>'Level Payment Fin Sens Wksht'!C11</f>
        <v>0.05</v>
      </c>
      <c r="C11" s="62">
        <f>'Level Payment Fin Sens Wksht'!D11</f>
        <v>0</v>
      </c>
      <c r="D11" s="418">
        <f>'Level Payment Fin Sens Wksht'!E11</f>
        <v>0</v>
      </c>
      <c r="E11" s="490" t="s">
        <v>659</v>
      </c>
      <c r="F11" s="552"/>
      <c r="G11" s="201"/>
      <c r="H11" s="491">
        <f>IF(H13=1,MIN(H8,H15),H15)</f>
        <v>5</v>
      </c>
    </row>
    <row r="12" spans="1:10" ht="14" thickBot="1" x14ac:dyDescent="0.2">
      <c r="B12" s="476">
        <f>'Level Payment Fin Sens Wksht'!C12</f>
        <v>0.1</v>
      </c>
      <c r="C12" s="62">
        <f>'Level Payment Fin Sens Wksht'!D12</f>
        <v>0</v>
      </c>
      <c r="D12" s="418">
        <f>'Level Payment Fin Sens Wksht'!E12</f>
        <v>0</v>
      </c>
    </row>
    <row r="13" spans="1:10" ht="14" thickBot="1" x14ac:dyDescent="0.2">
      <c r="B13" s="476">
        <f>'Level Payment Fin Sens Wksht'!C13</f>
        <v>0.15</v>
      </c>
      <c r="C13" s="62">
        <f>'Level Payment Fin Sens Wksht'!D13</f>
        <v>0</v>
      </c>
      <c r="D13" s="418">
        <f>'Level Payment Fin Sens Wksht'!E13</f>
        <v>0</v>
      </c>
      <c r="E13" s="492" t="str">
        <f>'Initial Inputs'!E37</f>
        <v>Liquidate Loan Balance at end of Project Life?</v>
      </c>
      <c r="F13" s="493"/>
      <c r="G13" s="493"/>
      <c r="H13" s="334">
        <f>'Initial Inputs'!E39</f>
        <v>1</v>
      </c>
      <c r="J13" t="str">
        <f>'Initial Inputs'!E38</f>
        <v>(Enter "1" for YES, or "0" for NO)</v>
      </c>
    </row>
    <row r="14" spans="1:10" ht="14" thickBot="1" x14ac:dyDescent="0.2">
      <c r="B14" s="476">
        <f>'Level Payment Fin Sens Wksht'!C14</f>
        <v>0.2</v>
      </c>
      <c r="C14" s="62">
        <f>'Level Payment Fin Sens Wksht'!D14</f>
        <v>0</v>
      </c>
      <c r="D14" s="418">
        <f>'Level Payment Fin Sens Wksht'!E14</f>
        <v>0</v>
      </c>
    </row>
    <row r="15" spans="1:10" ht="14" thickBot="1" x14ac:dyDescent="0.2">
      <c r="B15" s="477">
        <f>'Level Payment Fin Sens Wksht'!C15</f>
        <v>0.25</v>
      </c>
      <c r="C15" s="465">
        <f>'Level Payment Fin Sens Wksht'!D15</f>
        <v>0</v>
      </c>
      <c r="D15" s="419">
        <f>'Level Payment Fin Sens Wksht'!E15</f>
        <v>0</v>
      </c>
      <c r="E15" s="492" t="str">
        <f>'Initial Inputs'!B39</f>
        <v>Loan Length (Yrs)</v>
      </c>
      <c r="F15" s="493"/>
      <c r="G15" s="494"/>
      <c r="H15" s="334">
        <f>'Initial Inputs'!C39</f>
        <v>5</v>
      </c>
    </row>
    <row r="16" spans="1:10" x14ac:dyDescent="0.15">
      <c r="C16" s="250"/>
    </row>
    <row r="17" spans="2:26" x14ac:dyDescent="0.15">
      <c r="C17" s="250"/>
    </row>
    <row r="18" spans="2:26" ht="14" thickBot="1" x14ac:dyDescent="0.2"/>
    <row r="19" spans="2:26" ht="14" thickBot="1" x14ac:dyDescent="0.2">
      <c r="B19" s="481" t="s">
        <v>412</v>
      </c>
      <c r="C19" s="496"/>
      <c r="D19" s="545" t="s">
        <v>133</v>
      </c>
      <c r="E19" s="555"/>
      <c r="F19" s="545" t="s">
        <v>133</v>
      </c>
      <c r="G19" s="555"/>
      <c r="H19" s="545" t="s">
        <v>133</v>
      </c>
      <c r="I19" s="555"/>
      <c r="J19" s="545" t="s">
        <v>133</v>
      </c>
      <c r="K19" s="555"/>
      <c r="L19" s="545" t="s">
        <v>133</v>
      </c>
      <c r="M19" s="555"/>
      <c r="N19" s="545" t="s">
        <v>133</v>
      </c>
      <c r="O19" s="555"/>
      <c r="P19" s="545" t="s">
        <v>133</v>
      </c>
      <c r="Q19" s="555"/>
      <c r="R19" s="545" t="s">
        <v>133</v>
      </c>
      <c r="S19" s="555"/>
      <c r="T19" s="545" t="s">
        <v>133</v>
      </c>
      <c r="U19" s="555"/>
      <c r="V19" s="545" t="s">
        <v>133</v>
      </c>
      <c r="W19" s="555"/>
      <c r="X19" s="479"/>
      <c r="Y19" s="272"/>
      <c r="Z19" s="498" t="str">
        <f>B19</f>
        <v>-25%</v>
      </c>
    </row>
    <row r="20" spans="2:26" ht="14" thickBot="1" x14ac:dyDescent="0.2">
      <c r="B20" s="426"/>
      <c r="C20" s="426" t="s">
        <v>660</v>
      </c>
      <c r="D20" s="520">
        <v>1</v>
      </c>
      <c r="E20" s="556"/>
      <c r="F20" s="520">
        <f>D20+1</f>
        <v>2</v>
      </c>
      <c r="G20" s="556"/>
      <c r="H20" s="520">
        <f>F20+1</f>
        <v>3</v>
      </c>
      <c r="I20" s="556"/>
      <c r="J20" s="520">
        <f>H20+1</f>
        <v>4</v>
      </c>
      <c r="K20" s="556"/>
      <c r="L20" s="520">
        <f>J20+1</f>
        <v>5</v>
      </c>
      <c r="M20" s="556"/>
      <c r="N20" s="520">
        <f>L20+1</f>
        <v>6</v>
      </c>
      <c r="O20" s="556"/>
      <c r="P20" s="520">
        <f>N20+1</f>
        <v>7</v>
      </c>
      <c r="Q20" s="556"/>
      <c r="R20" s="520">
        <f>P20+1</f>
        <v>8</v>
      </c>
      <c r="S20" s="556"/>
      <c r="T20" s="520">
        <f>R20+1</f>
        <v>9</v>
      </c>
      <c r="U20" s="556"/>
      <c r="V20" s="520">
        <f>T20+1</f>
        <v>10</v>
      </c>
      <c r="W20" s="556"/>
      <c r="X20" s="557" t="s">
        <v>285</v>
      </c>
      <c r="Y20" s="556"/>
      <c r="Z20" s="180"/>
    </row>
    <row r="21" spans="2:26" x14ac:dyDescent="0.15">
      <c r="B21" s="202" t="s">
        <v>661</v>
      </c>
      <c r="C21" s="426">
        <v>1</v>
      </c>
      <c r="D21" s="2">
        <f>IF(D$20&lt;($H$11+1),$B$25-((((D$20-1))+$C21)*$B$26),0)</f>
        <v>0</v>
      </c>
      <c r="E21" s="2">
        <f>IF(D21&gt;0,-(D21+$B$26)*($H$6/'Loan Amortization'!$D$8),0)</f>
        <v>0</v>
      </c>
      <c r="F21" s="2">
        <f t="shared" ref="F21:F32" si="0">IF(F$20&lt;($H$11+1),$B$25-((((F$20-1)*12)+$C21)*$B$26),0)</f>
        <v>0</v>
      </c>
      <c r="G21" s="2">
        <f>IF(F21&gt;0,-(F21+$B$26)*($H$6/'Loan Amortization'!$D$8),0)</f>
        <v>0</v>
      </c>
      <c r="H21" s="2">
        <f t="shared" ref="H21:H32" si="1">IF(H$20&lt;($H$11+1),$B$25-((((H$20-1)*12)+$C21)*$B$26),0)</f>
        <v>0</v>
      </c>
      <c r="I21" s="2">
        <f>IF(H21&gt;0,-(H21+$B$26)*($H$6/'Loan Amortization'!$D$8),0)</f>
        <v>0</v>
      </c>
      <c r="J21" s="2">
        <f t="shared" ref="J21:J32" si="2">IF(J$20&lt;($H$11+1),$B$25-((((J$20-1)*12)+$C21)*$B$26),0)</f>
        <v>0</v>
      </c>
      <c r="K21" s="2">
        <f>IF(J21&gt;0,-(J21+$B$26)*($H$6/'Loan Amortization'!$D$8),0)</f>
        <v>0</v>
      </c>
      <c r="L21" s="2">
        <f t="shared" ref="L21:L32" si="3">IF(L$20&lt;($H$11+1),$B$25-((((L$20-1)*12)+$C21)*$B$26),0)</f>
        <v>0</v>
      </c>
      <c r="M21" s="2">
        <f>IF(L21&gt;0,-(L21+$B$26)*($H$6/'Loan Amortization'!$D$8),0)</f>
        <v>0</v>
      </c>
      <c r="N21" s="2">
        <f t="shared" ref="N21:N32" si="4">IF(N$20&lt;($H$11+1),$B$25-((((N$20-1)*12)+$C21)*$B$26),0)</f>
        <v>0</v>
      </c>
      <c r="O21" s="2">
        <f>IF(N21&gt;0,-(N21+$B$26)*($H$6/'Loan Amortization'!$D$8),0)</f>
        <v>0</v>
      </c>
      <c r="P21" s="2">
        <f t="shared" ref="P21:P32" si="5">IF(P$20&lt;($H$11+1),$B$25-((((P$20-1)*12)+$C21)*$B$26),0)</f>
        <v>0</v>
      </c>
      <c r="Q21" s="2">
        <f>IF(P21&gt;0,-(P21+$B$26)*($H$6/'Loan Amortization'!$D$8),0)</f>
        <v>0</v>
      </c>
      <c r="R21" s="2">
        <f t="shared" ref="R21:R32" si="6">IF(R$20&lt;($H$11+1),$B$25-((((R$20-1)*12)+$C21)*$B$26),0)</f>
        <v>0</v>
      </c>
      <c r="S21" s="2">
        <f>IF(R21&gt;0,-(R21+$B$26)*($H$6/'Loan Amortization'!$D$8),0)</f>
        <v>0</v>
      </c>
      <c r="T21" s="2">
        <f t="shared" ref="T21:T32" si="7">IF(T$20&lt;($H$11+1),$B$25-((((T$20-1)*12)+$C21)*$B$26),0)</f>
        <v>0</v>
      </c>
      <c r="U21" s="2">
        <f>IF(T21&gt;0,-(T21+$B$26)*($H$6/'Loan Amortization'!$D$8),0)</f>
        <v>0</v>
      </c>
      <c r="V21" s="2">
        <f t="shared" ref="V21:V32" si="8">IF(V$20&lt;($H$11+1),$B$25-((((V$20-1)*12)+$C21)*$B$26),0)</f>
        <v>0</v>
      </c>
      <c r="W21" s="2">
        <f>IF(V21&gt;0,-(V21+$B$26)*($H$6/'Loan Amortization'!$D$8),0)</f>
        <v>0</v>
      </c>
      <c r="X21" s="501">
        <f>SUM(C21:V21)</f>
        <v>1</v>
      </c>
      <c r="Y21" s="501"/>
      <c r="Z21" s="180"/>
    </row>
    <row r="22" spans="2:26" x14ac:dyDescent="0.15">
      <c r="B22" s="511">
        <f>-PMT($H$6,$H$11,C5)</f>
        <v>0</v>
      </c>
      <c r="C22" s="426">
        <v>2</v>
      </c>
      <c r="D22" s="2">
        <f t="shared" ref="D22:D32" si="9">IF(D$20&lt;($H$11+1),$B$25-((((D$20-1)*12)+$C22)*$B$26),0)</f>
        <v>0</v>
      </c>
      <c r="E22" s="2">
        <f>IF(D22&gt;0,-(D22+$B$26)*($H$6/'Loan Amortization'!$D$8),0)</f>
        <v>0</v>
      </c>
      <c r="F22" s="2">
        <f t="shared" si="0"/>
        <v>0</v>
      </c>
      <c r="G22" s="2">
        <f>IF(F22&gt;0,-(F22+$B$26)*($H$6/'Loan Amortization'!$D$8),0)</f>
        <v>0</v>
      </c>
      <c r="H22" s="2">
        <f t="shared" si="1"/>
        <v>0</v>
      </c>
      <c r="I22" s="2">
        <f>IF(H22&gt;0,-(H22+$B$26)*($H$6/'Loan Amortization'!$D$8),0)</f>
        <v>0</v>
      </c>
      <c r="J22" s="2">
        <f t="shared" si="2"/>
        <v>0</v>
      </c>
      <c r="K22" s="2">
        <f>IF(J22&gt;0,-(J22+$B$26)*($H$6/'Loan Amortization'!$D$8),0)</f>
        <v>0</v>
      </c>
      <c r="L22" s="2">
        <f t="shared" si="3"/>
        <v>0</v>
      </c>
      <c r="M22" s="2">
        <f>IF(L22&gt;0,-(L22+$B$26)*($H$6/'Loan Amortization'!$D$8),0)</f>
        <v>0</v>
      </c>
      <c r="N22" s="2">
        <f t="shared" si="4"/>
        <v>0</v>
      </c>
      <c r="O22" s="2">
        <f>IF(N22&gt;0,-(N22+$B$26)*($H$6/'Loan Amortization'!$D$8),0)</f>
        <v>0</v>
      </c>
      <c r="P22" s="2">
        <f t="shared" si="5"/>
        <v>0</v>
      </c>
      <c r="Q22" s="2">
        <f>IF(P22&gt;0,-(P22+$B$26)*($H$6/'Loan Amortization'!$D$8),0)</f>
        <v>0</v>
      </c>
      <c r="R22" s="2">
        <f t="shared" si="6"/>
        <v>0</v>
      </c>
      <c r="S22" s="2">
        <f>IF(R22&gt;0,-(R22+$B$26)*($H$6/'Loan Amortization'!$D$8),0)</f>
        <v>0</v>
      </c>
      <c r="T22" s="2">
        <f t="shared" si="7"/>
        <v>0</v>
      </c>
      <c r="U22" s="2">
        <f>IF(T22&gt;0,-(T22+$B$26)*($H$6/'Loan Amortization'!$D$8),0)</f>
        <v>0</v>
      </c>
      <c r="V22" s="2">
        <f t="shared" si="8"/>
        <v>0</v>
      </c>
      <c r="W22" s="2">
        <f>IF(V22&gt;0,-(V22+$B$26)*($H$6/'Loan Amortization'!$D$8),0)</f>
        <v>0</v>
      </c>
      <c r="X22" s="501">
        <f t="shared" ref="X22:X34" si="10">SUM(C22:V22)</f>
        <v>2</v>
      </c>
      <c r="Y22" s="501"/>
      <c r="Z22" s="180"/>
    </row>
    <row r="23" spans="2:26" x14ac:dyDescent="0.15">
      <c r="B23" s="540">
        <f>B22*1</f>
        <v>0</v>
      </c>
      <c r="C23" s="426">
        <v>3</v>
      </c>
      <c r="D23" s="2">
        <f t="shared" si="9"/>
        <v>0</v>
      </c>
      <c r="E23" s="2">
        <f>IF(D23&gt;0,-(D23+$B$26)*($H$6/'Loan Amortization'!$D$8),0)</f>
        <v>0</v>
      </c>
      <c r="F23" s="2">
        <f t="shared" si="0"/>
        <v>0</v>
      </c>
      <c r="G23" s="2">
        <f>IF(F23&gt;0,-(F23+$B$26)*($H$6/'Loan Amortization'!$D$8),0)</f>
        <v>0</v>
      </c>
      <c r="H23" s="2">
        <f t="shared" si="1"/>
        <v>0</v>
      </c>
      <c r="I23" s="2">
        <f>IF(H23&gt;0,-(H23+$B$26)*($H$6/'Loan Amortization'!$D$8),0)</f>
        <v>0</v>
      </c>
      <c r="J23" s="2">
        <f t="shared" si="2"/>
        <v>0</v>
      </c>
      <c r="K23" s="2">
        <f>IF(J23&gt;0,-(J23+$B$26)*($H$6/'Loan Amortization'!$D$8),0)</f>
        <v>0</v>
      </c>
      <c r="L23" s="2">
        <f t="shared" si="3"/>
        <v>0</v>
      </c>
      <c r="M23" s="2">
        <f>IF(L23&gt;0,-(L23+$B$26)*($H$6/'Loan Amortization'!$D$8),0)</f>
        <v>0</v>
      </c>
      <c r="N23" s="2">
        <f t="shared" si="4"/>
        <v>0</v>
      </c>
      <c r="O23" s="2">
        <f>IF(N23&gt;0,-(N23+$B$26)*($H$6/'Loan Amortization'!$D$8),0)</f>
        <v>0</v>
      </c>
      <c r="P23" s="2">
        <f t="shared" si="5"/>
        <v>0</v>
      </c>
      <c r="Q23" s="2">
        <f>IF(P23&gt;0,-(P23+$B$26)*($H$6/'Loan Amortization'!$D$8),0)</f>
        <v>0</v>
      </c>
      <c r="R23" s="2">
        <f t="shared" si="6"/>
        <v>0</v>
      </c>
      <c r="S23" s="2">
        <f>IF(R23&gt;0,-(R23+$B$26)*($H$6/'Loan Amortization'!$D$8),0)</f>
        <v>0</v>
      </c>
      <c r="T23" s="2">
        <f t="shared" si="7"/>
        <v>0</v>
      </c>
      <c r="U23" s="2">
        <f>IF(T23&gt;0,-(T23+$B$26)*($H$6/'Loan Amortization'!$D$8),0)</f>
        <v>0</v>
      </c>
      <c r="V23" s="2">
        <f t="shared" si="8"/>
        <v>0</v>
      </c>
      <c r="W23" s="2">
        <f>IF(V23&gt;0,-(V23+$B$26)*($H$6/'Loan Amortization'!$D$8),0)</f>
        <v>0</v>
      </c>
      <c r="X23" s="501">
        <f t="shared" si="10"/>
        <v>3</v>
      </c>
      <c r="Y23" s="501"/>
      <c r="Z23" s="180"/>
    </row>
    <row r="24" spans="2:26" x14ac:dyDescent="0.15">
      <c r="B24" s="202" t="s">
        <v>662</v>
      </c>
      <c r="C24" s="426">
        <v>4</v>
      </c>
      <c r="D24" s="2">
        <f t="shared" si="9"/>
        <v>0</v>
      </c>
      <c r="E24" s="2">
        <f>IF(D24&gt;0,-(D24+$B$26)*($H$6/'Loan Amortization'!$D$8),0)</f>
        <v>0</v>
      </c>
      <c r="F24" s="2">
        <f t="shared" si="0"/>
        <v>0</v>
      </c>
      <c r="G24" s="2">
        <f>IF(F24&gt;0,-(F24+$B$26)*($H$6/'Loan Amortization'!$D$8),0)</f>
        <v>0</v>
      </c>
      <c r="H24" s="2">
        <f t="shared" si="1"/>
        <v>0</v>
      </c>
      <c r="I24" s="2">
        <f>IF(H24&gt;0,-(H24+$B$26)*($H$6/'Loan Amortization'!$D$8),0)</f>
        <v>0</v>
      </c>
      <c r="J24" s="2">
        <f t="shared" si="2"/>
        <v>0</v>
      </c>
      <c r="K24" s="2">
        <f>IF(J24&gt;0,-(J24+$B$26)*($H$6/'Loan Amortization'!$D$8),0)</f>
        <v>0</v>
      </c>
      <c r="L24" s="2">
        <f t="shared" si="3"/>
        <v>0</v>
      </c>
      <c r="M24" s="2">
        <f>IF(L24&gt;0,-(L24+$B$26)*($H$6/'Loan Amortization'!$D$8),0)</f>
        <v>0</v>
      </c>
      <c r="N24" s="2">
        <f t="shared" si="4"/>
        <v>0</v>
      </c>
      <c r="O24" s="2">
        <f>IF(N24&gt;0,-(N24+$B$26)*($H$6/'Loan Amortization'!$D$8),0)</f>
        <v>0</v>
      </c>
      <c r="P24" s="2">
        <f t="shared" si="5"/>
        <v>0</v>
      </c>
      <c r="Q24" s="2">
        <f>IF(P24&gt;0,-(P24+$B$26)*($H$6/'Loan Amortization'!$D$8),0)</f>
        <v>0</v>
      </c>
      <c r="R24" s="2">
        <f t="shared" si="6"/>
        <v>0</v>
      </c>
      <c r="S24" s="2">
        <f>IF(R24&gt;0,-(R24+$B$26)*($H$6/'Loan Amortization'!$D$8),0)</f>
        <v>0</v>
      </c>
      <c r="T24" s="2">
        <f t="shared" si="7"/>
        <v>0</v>
      </c>
      <c r="U24" s="2">
        <f>IF(T24&gt;0,-(T24+$B$26)*($H$6/'Loan Amortization'!$D$8),0)</f>
        <v>0</v>
      </c>
      <c r="V24" s="2">
        <f t="shared" si="8"/>
        <v>0</v>
      </c>
      <c r="W24" s="2">
        <f>IF(V24&gt;0,-(V24+$B$26)*($H$6/'Loan Amortization'!$D$8),0)</f>
        <v>0</v>
      </c>
      <c r="X24" s="501">
        <f t="shared" si="10"/>
        <v>4</v>
      </c>
      <c r="Y24" s="501"/>
      <c r="Z24" s="180"/>
    </row>
    <row r="25" spans="2:26" x14ac:dyDescent="0.15">
      <c r="B25" s="521">
        <f>C5</f>
        <v>0</v>
      </c>
      <c r="C25" s="426">
        <v>5</v>
      </c>
      <c r="D25" s="2">
        <f t="shared" si="9"/>
        <v>0</v>
      </c>
      <c r="E25" s="2">
        <f>IF(D25&gt;0,-(D25+$B$26)*($H$6/'Loan Amortization'!$D$8),0)</f>
        <v>0</v>
      </c>
      <c r="F25" s="2">
        <f t="shared" si="0"/>
        <v>0</v>
      </c>
      <c r="G25" s="2">
        <f>IF(F25&gt;0,-(F25+$B$26)*($H$6/'Loan Amortization'!$D$8),0)</f>
        <v>0</v>
      </c>
      <c r="H25" s="2">
        <f t="shared" si="1"/>
        <v>0</v>
      </c>
      <c r="I25" s="2">
        <f>IF(H25&gt;0,-(H25+$B$26)*($H$6/'Loan Amortization'!$D$8),0)</f>
        <v>0</v>
      </c>
      <c r="J25" s="2">
        <f t="shared" si="2"/>
        <v>0</v>
      </c>
      <c r="K25" s="2">
        <f>IF(J25&gt;0,-(J25+$B$26)*($H$6/'Loan Amortization'!$D$8),0)</f>
        <v>0</v>
      </c>
      <c r="L25" s="2">
        <f t="shared" si="3"/>
        <v>0</v>
      </c>
      <c r="M25" s="2">
        <f>IF(L25&gt;0,-(L25+$B$26)*($H$6/'Loan Amortization'!$D$8),0)</f>
        <v>0</v>
      </c>
      <c r="N25" s="2">
        <f t="shared" si="4"/>
        <v>0</v>
      </c>
      <c r="O25" s="2">
        <f>IF(N25&gt;0,-(N25+$B$26)*($H$6/'Loan Amortization'!$D$8),0)</f>
        <v>0</v>
      </c>
      <c r="P25" s="2">
        <f t="shared" si="5"/>
        <v>0</v>
      </c>
      <c r="Q25" s="2">
        <f>IF(P25&gt;0,-(P25+$B$26)*($H$6/'Loan Amortization'!$D$8),0)</f>
        <v>0</v>
      </c>
      <c r="R25" s="2">
        <f t="shared" si="6"/>
        <v>0</v>
      </c>
      <c r="S25" s="2">
        <f>IF(R25&gt;0,-(R25+$B$26)*($H$6/'Loan Amortization'!$D$8),0)</f>
        <v>0</v>
      </c>
      <c r="T25" s="2">
        <f t="shared" si="7"/>
        <v>0</v>
      </c>
      <c r="U25" s="2">
        <f>IF(T25&gt;0,-(T25+$B$26)*($H$6/'Loan Amortization'!$D$8),0)</f>
        <v>0</v>
      </c>
      <c r="V25" s="2">
        <f t="shared" si="8"/>
        <v>0</v>
      </c>
      <c r="W25" s="2">
        <f>IF(V25&gt;0,-(V25+$B$26)*($H$6/'Loan Amortization'!$D$8),0)</f>
        <v>0</v>
      </c>
      <c r="X25" s="501">
        <f t="shared" si="10"/>
        <v>5</v>
      </c>
      <c r="Y25" s="501"/>
      <c r="Z25" s="180"/>
    </row>
    <row r="26" spans="2:26" x14ac:dyDescent="0.15">
      <c r="B26" s="521">
        <f>B25/($H$11)</f>
        <v>0</v>
      </c>
      <c r="C26" s="426">
        <v>6</v>
      </c>
      <c r="D26" s="2">
        <f t="shared" si="9"/>
        <v>0</v>
      </c>
      <c r="E26" s="2">
        <f>IF(D26&gt;0,-(D26+$B$26)*($H$6/'Loan Amortization'!$D$8),0)</f>
        <v>0</v>
      </c>
      <c r="F26" s="2">
        <f t="shared" si="0"/>
        <v>0</v>
      </c>
      <c r="G26" s="2">
        <f>IF(F26&gt;0,-(F26+$B$26)*($H$6/'Loan Amortization'!$D$8),0)</f>
        <v>0</v>
      </c>
      <c r="H26" s="2">
        <f t="shared" si="1"/>
        <v>0</v>
      </c>
      <c r="I26" s="2">
        <f>IF(H26&gt;0,-(H26+$B$26)*($H$6/'Loan Amortization'!$D$8),0)</f>
        <v>0</v>
      </c>
      <c r="J26" s="2">
        <f t="shared" si="2"/>
        <v>0</v>
      </c>
      <c r="K26" s="2">
        <f>IF(J26&gt;0,-(J26+$B$26)*($H$6/'Loan Amortization'!$D$8),0)</f>
        <v>0</v>
      </c>
      <c r="L26" s="2">
        <f t="shared" si="3"/>
        <v>0</v>
      </c>
      <c r="M26" s="2">
        <f>IF(L26&gt;0,-(L26+$B$26)*($H$6/'Loan Amortization'!$D$8),0)</f>
        <v>0</v>
      </c>
      <c r="N26" s="2">
        <f t="shared" si="4"/>
        <v>0</v>
      </c>
      <c r="O26" s="2">
        <f>IF(N26&gt;0,-(N26+$B$26)*($H$6/'Loan Amortization'!$D$8),0)</f>
        <v>0</v>
      </c>
      <c r="P26" s="2">
        <f t="shared" si="5"/>
        <v>0</v>
      </c>
      <c r="Q26" s="2">
        <f>IF(P26&gt;0,-(P26+$B$26)*($H$6/'Loan Amortization'!$D$8),0)</f>
        <v>0</v>
      </c>
      <c r="R26" s="2">
        <f t="shared" si="6"/>
        <v>0</v>
      </c>
      <c r="S26" s="2">
        <f>IF(R26&gt;0,-(R26+$B$26)*($H$6/'Loan Amortization'!$D$8),0)</f>
        <v>0</v>
      </c>
      <c r="T26" s="2">
        <f t="shared" si="7"/>
        <v>0</v>
      </c>
      <c r="U26" s="2">
        <f>IF(T26&gt;0,-(T26+$B$26)*($H$6/'Loan Amortization'!$D$8),0)</f>
        <v>0</v>
      </c>
      <c r="V26" s="2">
        <f t="shared" si="8"/>
        <v>0</v>
      </c>
      <c r="W26" s="2">
        <f>IF(V26&gt;0,-(V26+$B$26)*($H$6/'Loan Amortization'!$D$8),0)</f>
        <v>0</v>
      </c>
      <c r="X26" s="501">
        <f t="shared" si="10"/>
        <v>6</v>
      </c>
      <c r="Y26" s="501"/>
      <c r="Z26" s="180"/>
    </row>
    <row r="27" spans="2:26" x14ac:dyDescent="0.15">
      <c r="B27" s="202"/>
      <c r="C27" s="426">
        <v>7</v>
      </c>
      <c r="D27" s="2">
        <f t="shared" si="9"/>
        <v>0</v>
      </c>
      <c r="E27" s="2">
        <f>IF(D27&gt;0,-(D27+$B$26)*($H$6/'Loan Amortization'!$D$8),0)</f>
        <v>0</v>
      </c>
      <c r="F27" s="2">
        <f t="shared" si="0"/>
        <v>0</v>
      </c>
      <c r="G27" s="2">
        <f>IF(F27&gt;0,-(F27+$B$26)*($H$6/'Loan Amortization'!$D$8),0)</f>
        <v>0</v>
      </c>
      <c r="H27" s="2">
        <f t="shared" si="1"/>
        <v>0</v>
      </c>
      <c r="I27" s="2">
        <f>IF(H27&gt;0,-(H27+$B$26)*($H$6/'Loan Amortization'!$D$8),0)</f>
        <v>0</v>
      </c>
      <c r="J27" s="2">
        <f t="shared" si="2"/>
        <v>0</v>
      </c>
      <c r="K27" s="2">
        <f>IF(J27&gt;0,-(J27+$B$26)*($H$6/'Loan Amortization'!$D$8),0)</f>
        <v>0</v>
      </c>
      <c r="L27" s="2">
        <f t="shared" si="3"/>
        <v>0</v>
      </c>
      <c r="M27" s="2">
        <f>IF(L27&gt;0,-(L27+$B$26)*($H$6/'Loan Amortization'!$D$8),0)</f>
        <v>0</v>
      </c>
      <c r="N27" s="2">
        <f t="shared" si="4"/>
        <v>0</v>
      </c>
      <c r="O27" s="2">
        <f>IF(N27&gt;0,-(N27+$B$26)*($H$6/'Loan Amortization'!$D$8),0)</f>
        <v>0</v>
      </c>
      <c r="P27" s="2">
        <f t="shared" si="5"/>
        <v>0</v>
      </c>
      <c r="Q27" s="2">
        <f>IF(P27&gt;0,-(P27+$B$26)*($H$6/'Loan Amortization'!$D$8),0)</f>
        <v>0</v>
      </c>
      <c r="R27" s="2">
        <f t="shared" si="6"/>
        <v>0</v>
      </c>
      <c r="S27" s="2">
        <f>IF(R27&gt;0,-(R27+$B$26)*($H$6/'Loan Amortization'!$D$8),0)</f>
        <v>0</v>
      </c>
      <c r="T27" s="2">
        <f t="shared" si="7"/>
        <v>0</v>
      </c>
      <c r="U27" s="2">
        <f>IF(T27&gt;0,-(T27+$B$26)*($H$6/'Loan Amortization'!$D$8),0)</f>
        <v>0</v>
      </c>
      <c r="V27" s="2">
        <f t="shared" si="8"/>
        <v>0</v>
      </c>
      <c r="W27" s="2">
        <f>IF(V27&gt;0,-(V27+$B$26)*($H$6/'Loan Amortization'!$D$8),0)</f>
        <v>0</v>
      </c>
      <c r="X27" s="501">
        <f t="shared" si="10"/>
        <v>7</v>
      </c>
      <c r="Y27" s="501"/>
      <c r="Z27" s="180"/>
    </row>
    <row r="28" spans="2:26" x14ac:dyDescent="0.15">
      <c r="B28" s="202"/>
      <c r="C28" s="426">
        <v>8</v>
      </c>
      <c r="D28" s="2">
        <f t="shared" si="9"/>
        <v>0</v>
      </c>
      <c r="E28" s="2">
        <f>IF(D28&gt;0,-(D28+$B$26)*($H$6/'Loan Amortization'!$D$8),0)</f>
        <v>0</v>
      </c>
      <c r="F28" s="2">
        <f t="shared" si="0"/>
        <v>0</v>
      </c>
      <c r="G28" s="2">
        <f>IF(F28&gt;0,-(F28+$B$26)*($H$6/'Loan Amortization'!$D$8),0)</f>
        <v>0</v>
      </c>
      <c r="H28" s="2">
        <f t="shared" si="1"/>
        <v>0</v>
      </c>
      <c r="I28" s="2">
        <f>IF(H28&gt;0,-(H28+$B$26)*($H$6/'Loan Amortization'!$D$8),0)</f>
        <v>0</v>
      </c>
      <c r="J28" s="2">
        <f t="shared" si="2"/>
        <v>0</v>
      </c>
      <c r="K28" s="2">
        <f>IF(J28&gt;0,-(J28+$B$26)*($H$6/'Loan Amortization'!$D$8),0)</f>
        <v>0</v>
      </c>
      <c r="L28" s="2">
        <f t="shared" si="3"/>
        <v>0</v>
      </c>
      <c r="M28" s="2">
        <f>IF(L28&gt;0,-(L28+$B$26)*($H$6/'Loan Amortization'!$D$8),0)</f>
        <v>0</v>
      </c>
      <c r="N28" s="2">
        <f t="shared" si="4"/>
        <v>0</v>
      </c>
      <c r="O28" s="2">
        <f>IF(N28&gt;0,-(N28+$B$26)*($H$6/'Loan Amortization'!$D$8),0)</f>
        <v>0</v>
      </c>
      <c r="P28" s="2">
        <f t="shared" si="5"/>
        <v>0</v>
      </c>
      <c r="Q28" s="2">
        <f>IF(P28&gt;0,-(P28+$B$26)*($H$6/'Loan Amortization'!$D$8),0)</f>
        <v>0</v>
      </c>
      <c r="R28" s="2">
        <f t="shared" si="6"/>
        <v>0</v>
      </c>
      <c r="S28" s="2">
        <f>IF(R28&gt;0,-(R28+$B$26)*($H$6/'Loan Amortization'!$D$8),0)</f>
        <v>0</v>
      </c>
      <c r="T28" s="2">
        <f t="shared" si="7"/>
        <v>0</v>
      </c>
      <c r="U28" s="2">
        <f>IF(T28&gt;0,-(T28+$B$26)*($H$6/'Loan Amortization'!$D$8),0)</f>
        <v>0</v>
      </c>
      <c r="V28" s="2">
        <f t="shared" si="8"/>
        <v>0</v>
      </c>
      <c r="W28" s="2">
        <f>IF(V28&gt;0,-(V28+$B$26)*($H$6/'Loan Amortization'!$D$8),0)</f>
        <v>0</v>
      </c>
      <c r="X28" s="501">
        <f t="shared" si="10"/>
        <v>8</v>
      </c>
      <c r="Y28" s="501"/>
      <c r="Z28" s="180"/>
    </row>
    <row r="29" spans="2:26" x14ac:dyDescent="0.15">
      <c r="B29" s="202"/>
      <c r="C29" s="426">
        <v>9</v>
      </c>
      <c r="D29" s="2">
        <f t="shared" si="9"/>
        <v>0</v>
      </c>
      <c r="E29" s="2">
        <f>IF(D29&gt;0,-(D29+$B$26)*($H$6/'Loan Amortization'!$D$8),0)</f>
        <v>0</v>
      </c>
      <c r="F29" s="2">
        <f t="shared" si="0"/>
        <v>0</v>
      </c>
      <c r="G29" s="2">
        <f>IF(F29&gt;0,-(F29+$B$26)*($H$6/'Loan Amortization'!$D$8),0)</f>
        <v>0</v>
      </c>
      <c r="H29" s="2">
        <f t="shared" si="1"/>
        <v>0</v>
      </c>
      <c r="I29" s="2">
        <f>IF(H29&gt;0,-(H29+$B$26)*($H$6/'Loan Amortization'!$D$8),0)</f>
        <v>0</v>
      </c>
      <c r="J29" s="2">
        <f t="shared" si="2"/>
        <v>0</v>
      </c>
      <c r="K29" s="2">
        <f>IF(J29&gt;0,-(J29+$B$26)*($H$6/'Loan Amortization'!$D$8),0)</f>
        <v>0</v>
      </c>
      <c r="L29" s="2">
        <f t="shared" si="3"/>
        <v>0</v>
      </c>
      <c r="M29" s="2">
        <f>IF(L29&gt;0,-(L29+$B$26)*($H$6/'Loan Amortization'!$D$8),0)</f>
        <v>0</v>
      </c>
      <c r="N29" s="2">
        <f t="shared" si="4"/>
        <v>0</v>
      </c>
      <c r="O29" s="2">
        <f>IF(N29&gt;0,-(N29+$B$26)*($H$6/'Loan Amortization'!$D$8),0)</f>
        <v>0</v>
      </c>
      <c r="P29" s="2">
        <f t="shared" si="5"/>
        <v>0</v>
      </c>
      <c r="Q29" s="2">
        <f>IF(P29&gt;0,-(P29+$B$26)*($H$6/'Loan Amortization'!$D$8),0)</f>
        <v>0</v>
      </c>
      <c r="R29" s="2">
        <f t="shared" si="6"/>
        <v>0</v>
      </c>
      <c r="S29" s="2">
        <f>IF(R29&gt;0,-(R29+$B$26)*($H$6/'Loan Amortization'!$D$8),0)</f>
        <v>0</v>
      </c>
      <c r="T29" s="2">
        <f t="shared" si="7"/>
        <v>0</v>
      </c>
      <c r="U29" s="2">
        <f>IF(T29&gt;0,-(T29+$B$26)*($H$6/'Loan Amortization'!$D$8),0)</f>
        <v>0</v>
      </c>
      <c r="V29" s="2">
        <f t="shared" si="8"/>
        <v>0</v>
      </c>
      <c r="W29" s="2">
        <f>IF(V29&gt;0,-(V29+$B$26)*($H$6/'Loan Amortization'!$D$8),0)</f>
        <v>0</v>
      </c>
      <c r="X29" s="501">
        <f t="shared" si="10"/>
        <v>9</v>
      </c>
      <c r="Y29" s="501"/>
      <c r="Z29" s="180"/>
    </row>
    <row r="30" spans="2:26" x14ac:dyDescent="0.15">
      <c r="B30" s="202"/>
      <c r="C30" s="426">
        <v>10</v>
      </c>
      <c r="D30" s="2">
        <f t="shared" si="9"/>
        <v>0</v>
      </c>
      <c r="E30" s="2">
        <f>IF(D30&gt;0,-(D30+$B$26)*($H$6/'Loan Amortization'!$D$8),0)</f>
        <v>0</v>
      </c>
      <c r="F30" s="2">
        <f t="shared" si="0"/>
        <v>0</v>
      </c>
      <c r="G30" s="2">
        <f>IF(F30&gt;0,-(F30+$B$26)*($H$6/'Loan Amortization'!$D$8),0)</f>
        <v>0</v>
      </c>
      <c r="H30" s="2">
        <f t="shared" si="1"/>
        <v>0</v>
      </c>
      <c r="I30" s="2">
        <f>IF(H30&gt;0,-(H30+$B$26)*($H$6/'Loan Amortization'!$D$8),0)</f>
        <v>0</v>
      </c>
      <c r="J30" s="2">
        <f t="shared" si="2"/>
        <v>0</v>
      </c>
      <c r="K30" s="2">
        <f>IF(J30&gt;0,-(J30+$B$26)*($H$6/'Loan Amortization'!$D$8),0)</f>
        <v>0</v>
      </c>
      <c r="L30" s="2">
        <f t="shared" si="3"/>
        <v>0</v>
      </c>
      <c r="M30" s="2">
        <f>IF(L30&gt;0,-(L30+$B$26)*($H$6/'Loan Amortization'!$D$8),0)</f>
        <v>0</v>
      </c>
      <c r="N30" s="2">
        <f t="shared" si="4"/>
        <v>0</v>
      </c>
      <c r="O30" s="2">
        <f>IF(N30&gt;0,-(N30+$B$26)*($H$6/'Loan Amortization'!$D$8),0)</f>
        <v>0</v>
      </c>
      <c r="P30" s="2">
        <f t="shared" si="5"/>
        <v>0</v>
      </c>
      <c r="Q30" s="2">
        <f>IF(P30&gt;0,-(P30+$B$26)*($H$6/'Loan Amortization'!$D$8),0)</f>
        <v>0</v>
      </c>
      <c r="R30" s="2">
        <f t="shared" si="6"/>
        <v>0</v>
      </c>
      <c r="S30" s="2">
        <f>IF(R30&gt;0,-(R30+$B$26)*($H$6/'Loan Amortization'!$D$8),0)</f>
        <v>0</v>
      </c>
      <c r="T30" s="2">
        <f t="shared" si="7"/>
        <v>0</v>
      </c>
      <c r="U30" s="2">
        <f>IF(T30&gt;0,-(T30+$B$26)*($H$6/'Loan Amortization'!$D$8),0)</f>
        <v>0</v>
      </c>
      <c r="V30" s="2">
        <f t="shared" si="8"/>
        <v>0</v>
      </c>
      <c r="W30" s="2">
        <f>IF(V30&gt;0,-(V30+$B$26)*($H$6/'Loan Amortization'!$D$8),0)</f>
        <v>0</v>
      </c>
      <c r="X30" s="501">
        <f t="shared" si="10"/>
        <v>10</v>
      </c>
      <c r="Y30" s="501"/>
      <c r="Z30" s="180"/>
    </row>
    <row r="31" spans="2:26" x14ac:dyDescent="0.15">
      <c r="B31" s="202"/>
      <c r="C31" s="426">
        <v>11</v>
      </c>
      <c r="D31" s="2">
        <f t="shared" si="9"/>
        <v>0</v>
      </c>
      <c r="E31" s="2">
        <f>IF(D31&gt;0,-(D31+$B$26)*($H$6/'Loan Amortization'!$D$8),0)</f>
        <v>0</v>
      </c>
      <c r="F31" s="2">
        <f t="shared" si="0"/>
        <v>0</v>
      </c>
      <c r="G31" s="2">
        <f>IF(F31&gt;0,-(F31+$B$26)*($H$6/'Loan Amortization'!$D$8),0)</f>
        <v>0</v>
      </c>
      <c r="H31" s="2">
        <f t="shared" si="1"/>
        <v>0</v>
      </c>
      <c r="I31" s="2">
        <f>IF(H31&gt;0,-(H31+$B$26)*($H$6/'Loan Amortization'!$D$8),0)</f>
        <v>0</v>
      </c>
      <c r="J31" s="2">
        <f t="shared" si="2"/>
        <v>0</v>
      </c>
      <c r="K31" s="2">
        <f>IF(J31&gt;0,-(J31+$B$26)*($H$6/'Loan Amortization'!$D$8),0)</f>
        <v>0</v>
      </c>
      <c r="L31" s="2">
        <f t="shared" si="3"/>
        <v>0</v>
      </c>
      <c r="M31" s="2">
        <f>IF(L31&gt;0,-(L31+$B$26)*($H$6/'Loan Amortization'!$D$8),0)</f>
        <v>0</v>
      </c>
      <c r="N31" s="2">
        <f t="shared" si="4"/>
        <v>0</v>
      </c>
      <c r="O31" s="2">
        <f>IF(N31&gt;0,-(N31+$B$26)*($H$6/'Loan Amortization'!$D$8),0)</f>
        <v>0</v>
      </c>
      <c r="P31" s="2">
        <f t="shared" si="5"/>
        <v>0</v>
      </c>
      <c r="Q31" s="2">
        <f>IF(P31&gt;0,-(P31+$B$26)*($H$6/'Loan Amortization'!$D$8),0)</f>
        <v>0</v>
      </c>
      <c r="R31" s="2">
        <f t="shared" si="6"/>
        <v>0</v>
      </c>
      <c r="S31" s="2">
        <f>IF(R31&gt;0,-(R31+$B$26)*($H$6/'Loan Amortization'!$D$8),0)</f>
        <v>0</v>
      </c>
      <c r="T31" s="2">
        <f t="shared" si="7"/>
        <v>0</v>
      </c>
      <c r="U31" s="2">
        <f>IF(T31&gt;0,-(T31+$B$26)*($H$6/'Loan Amortization'!$D$8),0)</f>
        <v>0</v>
      </c>
      <c r="V31" s="2">
        <f t="shared" si="8"/>
        <v>0</v>
      </c>
      <c r="W31" s="2">
        <f>IF(V31&gt;0,-(V31+$B$26)*($H$6/'Loan Amortization'!$D$8),0)</f>
        <v>0</v>
      </c>
      <c r="X31" s="501">
        <f t="shared" si="10"/>
        <v>11</v>
      </c>
      <c r="Y31" s="501"/>
      <c r="Z31" s="180"/>
    </row>
    <row r="32" spans="2:26" ht="14" thickBot="1" x14ac:dyDescent="0.2">
      <c r="B32" s="202"/>
      <c r="C32" s="426">
        <v>12</v>
      </c>
      <c r="D32" s="2">
        <f t="shared" si="9"/>
        <v>0</v>
      </c>
      <c r="E32" s="2">
        <f>IF(D32&gt;0,-(D32+$B$26)*($H$6/'Loan Amortization'!$D$8),0)</f>
        <v>0</v>
      </c>
      <c r="F32" s="2">
        <f t="shared" si="0"/>
        <v>0</v>
      </c>
      <c r="G32" s="2">
        <f>IF(F32&gt;0,-(F32+$B$26)*($H$6/'Loan Amortization'!$D$8),0)</f>
        <v>0</v>
      </c>
      <c r="H32" s="2">
        <f t="shared" si="1"/>
        <v>0</v>
      </c>
      <c r="I32" s="2">
        <f>IF(H32&gt;0,-(H32+$B$26)*($H$6/'Loan Amortization'!$D$8),0)</f>
        <v>0</v>
      </c>
      <c r="J32" s="2">
        <f t="shared" si="2"/>
        <v>0</v>
      </c>
      <c r="K32" s="2">
        <f>IF(J32&gt;0,-(J32+$B$26)*($H$6/'Loan Amortization'!$D$8),0)</f>
        <v>0</v>
      </c>
      <c r="L32" s="2">
        <f t="shared" si="3"/>
        <v>0</v>
      </c>
      <c r="M32" s="2">
        <f>IF(L32&gt;0,-(L32+$B$26)*($H$6/'Loan Amortization'!$D$8),0)</f>
        <v>0</v>
      </c>
      <c r="N32" s="2">
        <f t="shared" si="4"/>
        <v>0</v>
      </c>
      <c r="O32" s="2">
        <f>IF(N32&gt;0,-(N32+$B$26)*($H$6/'Loan Amortization'!$D$8),0)</f>
        <v>0</v>
      </c>
      <c r="P32" s="2">
        <f t="shared" si="5"/>
        <v>0</v>
      </c>
      <c r="Q32" s="2">
        <f>IF(P32&gt;0,-(P32+$B$26)*($H$6/'Loan Amortization'!$D$8),0)</f>
        <v>0</v>
      </c>
      <c r="R32" s="2">
        <f t="shared" si="6"/>
        <v>0</v>
      </c>
      <c r="S32" s="2">
        <f>IF(R32&gt;0,-(R32+$B$26)*($H$6/'Loan Amortization'!$D$8),0)</f>
        <v>0</v>
      </c>
      <c r="T32" s="2">
        <f t="shared" si="7"/>
        <v>0</v>
      </c>
      <c r="U32" s="2">
        <f>IF(T32&gt;0,-(T32+$B$26)*($H$6/'Loan Amortization'!$D$8),0)</f>
        <v>0</v>
      </c>
      <c r="V32" s="2">
        <f t="shared" si="8"/>
        <v>0</v>
      </c>
      <c r="W32" s="2">
        <f>IF(V32&gt;0,-(V32+$B$26)*($H$6/'Loan Amortization'!$D$8),0)</f>
        <v>0</v>
      </c>
      <c r="X32" s="501">
        <f t="shared" si="10"/>
        <v>12</v>
      </c>
      <c r="Y32" s="501"/>
      <c r="Z32" s="180"/>
    </row>
    <row r="33" spans="2:26" ht="14" thickBot="1" x14ac:dyDescent="0.2">
      <c r="B33" s="541" t="s">
        <v>45</v>
      </c>
      <c r="C33" s="502" t="s">
        <v>663</v>
      </c>
      <c r="D33" s="503">
        <f>IF(D$20&lt;($H$11+1),-$B$26,0)</f>
        <v>0</v>
      </c>
      <c r="E33" s="503"/>
      <c r="F33" s="503">
        <f>IF(F$20&lt;($H$11+1),-$B$26,0)</f>
        <v>0</v>
      </c>
      <c r="G33" s="503"/>
      <c r="H33" s="503">
        <f>IF(H$20&lt;($H$11+1),-$B$26,0)</f>
        <v>0</v>
      </c>
      <c r="I33" s="503"/>
      <c r="J33" s="503">
        <f>IF(J$20&lt;($H$11+1),-$B$26,0)</f>
        <v>0</v>
      </c>
      <c r="K33" s="503"/>
      <c r="L33" s="503">
        <f>IF(L$20&lt;($H$11+1),-$B$26,0)</f>
        <v>0</v>
      </c>
      <c r="M33" s="503"/>
      <c r="N33" s="503">
        <f>IF(N$20&lt;($H$11+1),-$B$26,0)</f>
        <v>0</v>
      </c>
      <c r="O33" s="503"/>
      <c r="P33" s="503">
        <f>IF(P$20&lt;($H$11+1),-$B$26,0)</f>
        <v>0</v>
      </c>
      <c r="Q33" s="503"/>
      <c r="R33" s="503">
        <f>IF(R$20&lt;($H$11+1),-$B$26,0)</f>
        <v>0</v>
      </c>
      <c r="S33" s="503"/>
      <c r="T33" s="503">
        <f>IF(T$20&lt;($H$11+1),-$B$26,0)</f>
        <v>0</v>
      </c>
      <c r="U33" s="503"/>
      <c r="V33" s="503">
        <f>IF(V$20&lt;($H$11+1),-$B$26,0)</f>
        <v>0</v>
      </c>
      <c r="W33" s="503"/>
      <c r="X33" s="504">
        <f t="shared" si="10"/>
        <v>0</v>
      </c>
      <c r="Y33" s="501"/>
      <c r="Z33" s="180"/>
    </row>
    <row r="34" spans="2:26" ht="14" thickBot="1" x14ac:dyDescent="0.2">
      <c r="B34" s="478"/>
      <c r="C34" s="520" t="s">
        <v>273</v>
      </c>
      <c r="D34" s="522"/>
      <c r="E34" s="522">
        <f>IF((D$20)&gt;$H$11,0,IPMT($H$6,D20,$H$11,$B$25))</f>
        <v>0</v>
      </c>
      <c r="F34" s="522"/>
      <c r="G34" s="522">
        <f>IF((F$20)&gt;$H$11,0,IPMT($H$6,F20,$H$11,$B$25))</f>
        <v>0</v>
      </c>
      <c r="H34" s="522"/>
      <c r="I34" s="522">
        <f>IF((H$20)&gt;$H$11,0,IPMT($H$6,H20,$H$11,$B$25))</f>
        <v>0</v>
      </c>
      <c r="J34" s="522"/>
      <c r="K34" s="522">
        <f>IF((J$20)&gt;$H$11,0,IPMT($H$6,J20,$H$11,$B$25))</f>
        <v>0</v>
      </c>
      <c r="L34" s="522"/>
      <c r="M34" s="522">
        <f>IF((L$20)&gt;$H$11,0,IPMT($H$6,L20,$H$11,$B$25))</f>
        <v>0</v>
      </c>
      <c r="N34" s="522"/>
      <c r="O34" s="522">
        <f>IF((N$20)&gt;$H$11,0,IPMT($H$6,N20,$H$11,$B$25))</f>
        <v>0</v>
      </c>
      <c r="P34" s="522"/>
      <c r="Q34" s="522">
        <f>IF((P$20)&gt;$H$11,0,IPMT($H$6,P20,$H$11,$B$25))</f>
        <v>0</v>
      </c>
      <c r="R34" s="522"/>
      <c r="S34" s="522">
        <f>IF((R$20)&gt;$H$11,0,IPMT($H$6,R20,$H$11,$B$25))</f>
        <v>0</v>
      </c>
      <c r="T34" s="522"/>
      <c r="U34" s="522">
        <f>IF((T$20)&gt;$H$11,0,IPMT($H$6,T20,$H$11,$B$25))</f>
        <v>0</v>
      </c>
      <c r="V34" s="522"/>
      <c r="W34" s="522">
        <f>IF((V$20)&gt;$H$11,0,IPMT($H$6,V20,$H$11,$B$25))</f>
        <v>0</v>
      </c>
      <c r="X34" s="504">
        <f t="shared" si="10"/>
        <v>0</v>
      </c>
      <c r="Y34" s="548"/>
      <c r="Z34" s="273"/>
    </row>
    <row r="35" spans="2:26" ht="14" thickBot="1" x14ac:dyDescent="0.2">
      <c r="B35" s="8"/>
      <c r="C35" s="502" t="s">
        <v>664</v>
      </c>
      <c r="D35" s="558">
        <f>D20</f>
        <v>1</v>
      </c>
      <c r="E35" s="559">
        <f>F20</f>
        <v>2</v>
      </c>
      <c r="F35" s="559">
        <f>H20</f>
        <v>3</v>
      </c>
      <c r="G35" s="559">
        <f>J20</f>
        <v>4</v>
      </c>
      <c r="H35" s="559">
        <f>L20</f>
        <v>5</v>
      </c>
      <c r="I35" s="559">
        <f>N20</f>
        <v>6</v>
      </c>
      <c r="J35" s="559">
        <f>P20</f>
        <v>7</v>
      </c>
      <c r="K35" s="559">
        <f>R20</f>
        <v>8</v>
      </c>
      <c r="L35" s="559">
        <f>T20</f>
        <v>9</v>
      </c>
      <c r="M35" s="559">
        <f>V20</f>
        <v>10</v>
      </c>
      <c r="N35" s="560" t="str">
        <f>X20</f>
        <v>TOTAL</v>
      </c>
      <c r="O35" s="2"/>
      <c r="P35" s="2"/>
      <c r="Q35" s="2"/>
      <c r="R35" s="2"/>
      <c r="S35" s="2"/>
      <c r="T35" s="2"/>
      <c r="U35" s="2"/>
      <c r="V35" s="2"/>
      <c r="W35" s="2"/>
      <c r="X35" s="2"/>
      <c r="Y35" s="2"/>
    </row>
    <row r="36" spans="2:26" ht="14" thickBot="1" x14ac:dyDescent="0.2">
      <c r="B36" s="8"/>
      <c r="C36" s="502" t="s">
        <v>663</v>
      </c>
      <c r="D36" s="561">
        <f>D33</f>
        <v>0</v>
      </c>
      <c r="E36" s="2">
        <f>F33</f>
        <v>0</v>
      </c>
      <c r="F36" s="2">
        <f>H33</f>
        <v>0</v>
      </c>
      <c r="G36" s="2">
        <f>J33</f>
        <v>0</v>
      </c>
      <c r="H36" s="2">
        <f>L33</f>
        <v>0</v>
      </c>
      <c r="I36" s="2">
        <f>N33</f>
        <v>0</v>
      </c>
      <c r="J36" s="2">
        <f>P33</f>
        <v>0</v>
      </c>
      <c r="K36" s="2">
        <f>R33</f>
        <v>0</v>
      </c>
      <c r="L36" s="2">
        <f>T33</f>
        <v>0</v>
      </c>
      <c r="M36" s="2">
        <f>V33</f>
        <v>0</v>
      </c>
      <c r="N36" s="501">
        <f>X33</f>
        <v>0</v>
      </c>
      <c r="O36" s="2"/>
      <c r="P36" s="2"/>
      <c r="Q36" s="2"/>
      <c r="R36" s="2"/>
      <c r="S36" s="2"/>
      <c r="T36" s="2"/>
      <c r="U36" s="2"/>
      <c r="V36" s="2"/>
      <c r="W36" s="2"/>
      <c r="X36" s="2"/>
      <c r="Y36" s="2"/>
    </row>
    <row r="37" spans="2:26" ht="14" thickBot="1" x14ac:dyDescent="0.2">
      <c r="B37" s="8"/>
      <c r="C37" s="520" t="s">
        <v>273</v>
      </c>
      <c r="D37" s="562">
        <f>E34</f>
        <v>0</v>
      </c>
      <c r="E37" s="522">
        <f>G34</f>
        <v>0</v>
      </c>
      <c r="F37" s="522">
        <f>I34</f>
        <v>0</v>
      </c>
      <c r="G37" s="522">
        <f>K34</f>
        <v>0</v>
      </c>
      <c r="H37" s="522">
        <f>M34</f>
        <v>0</v>
      </c>
      <c r="I37" s="522">
        <f>O34</f>
        <v>0</v>
      </c>
      <c r="J37" s="522">
        <f>Q34</f>
        <v>0</v>
      </c>
      <c r="K37" s="522">
        <f>S34</f>
        <v>0</v>
      </c>
      <c r="L37" s="522">
        <f>U34</f>
        <v>0</v>
      </c>
      <c r="M37" s="522">
        <f>W34</f>
        <v>0</v>
      </c>
      <c r="N37" s="548">
        <f>X34</f>
        <v>0</v>
      </c>
      <c r="O37" s="2"/>
      <c r="P37" s="2"/>
      <c r="Q37" s="2"/>
      <c r="R37" s="2"/>
      <c r="S37" s="2"/>
      <c r="T37" s="2"/>
      <c r="U37" s="2"/>
      <c r="V37" s="2"/>
      <c r="W37" s="2"/>
      <c r="X37" s="2"/>
      <c r="Y37" s="2"/>
    </row>
    <row r="39" spans="2:26" ht="14" thickBot="1" x14ac:dyDescent="0.2"/>
    <row r="40" spans="2:26" ht="14" thickBot="1" x14ac:dyDescent="0.2">
      <c r="B40" s="481" t="s">
        <v>413</v>
      </c>
      <c r="C40" s="496"/>
      <c r="D40" s="483" t="s">
        <v>133</v>
      </c>
      <c r="E40" s="483"/>
      <c r="F40" s="483" t="s">
        <v>133</v>
      </c>
      <c r="G40" s="483"/>
      <c r="H40" s="483" t="s">
        <v>133</v>
      </c>
      <c r="I40" s="483"/>
      <c r="J40" s="483" t="s">
        <v>133</v>
      </c>
      <c r="K40" s="483"/>
      <c r="L40" s="483" t="s">
        <v>133</v>
      </c>
      <c r="M40" s="483"/>
      <c r="N40" s="483" t="s">
        <v>133</v>
      </c>
      <c r="O40" s="483"/>
      <c r="P40" s="483" t="s">
        <v>133</v>
      </c>
      <c r="Q40" s="483"/>
      <c r="R40" s="483" t="s">
        <v>133</v>
      </c>
      <c r="S40" s="483"/>
      <c r="T40" s="483" t="s">
        <v>133</v>
      </c>
      <c r="U40" s="483"/>
      <c r="V40" s="483" t="s">
        <v>133</v>
      </c>
      <c r="W40" s="483"/>
      <c r="X40" s="272"/>
      <c r="Y40" s="272"/>
      <c r="Z40" s="497" t="str">
        <f>B40</f>
        <v>-20%</v>
      </c>
    </row>
    <row r="41" spans="2:26" x14ac:dyDescent="0.15">
      <c r="B41" s="426"/>
      <c r="C41" s="426" t="s">
        <v>660</v>
      </c>
      <c r="D41" s="4">
        <v>1</v>
      </c>
      <c r="E41" s="4"/>
      <c r="F41" s="4">
        <f>D41+1</f>
        <v>2</v>
      </c>
      <c r="G41" s="4"/>
      <c r="H41" s="4">
        <f>F41+1</f>
        <v>3</v>
      </c>
      <c r="I41" s="4"/>
      <c r="J41" s="4">
        <f>H41+1</f>
        <v>4</v>
      </c>
      <c r="K41" s="4"/>
      <c r="L41" s="4">
        <f>J41+1</f>
        <v>5</v>
      </c>
      <c r="M41" s="4"/>
      <c r="N41" s="4">
        <f>L41+1</f>
        <v>6</v>
      </c>
      <c r="O41" s="4"/>
      <c r="P41" s="4">
        <f>N41+1</f>
        <v>7</v>
      </c>
      <c r="Q41" s="4"/>
      <c r="R41" s="4">
        <f>P41+1</f>
        <v>8</v>
      </c>
      <c r="S41" s="4"/>
      <c r="T41" s="4">
        <f>R41+1</f>
        <v>9</v>
      </c>
      <c r="U41" s="4"/>
      <c r="V41" s="4">
        <f>T41+1</f>
        <v>10</v>
      </c>
      <c r="W41" s="4"/>
      <c r="X41" s="500" t="s">
        <v>285</v>
      </c>
      <c r="Y41" s="500"/>
      <c r="Z41" s="480"/>
    </row>
    <row r="42" spans="2:26" x14ac:dyDescent="0.15">
      <c r="B42" s="202" t="s">
        <v>661</v>
      </c>
      <c r="C42" s="426">
        <v>1</v>
      </c>
      <c r="D42" s="2">
        <f t="shared" ref="D42:D53" si="11">IF(D$20&lt;($H$11+1),$B$46-((((D$20-1)*12)+$C42)*$B$47),0)</f>
        <v>0</v>
      </c>
      <c r="E42" s="2">
        <f>IF(D42&gt;0,-(D42+$B$47)*($H$6/'Loan Amortization'!$D$8),0)</f>
        <v>0</v>
      </c>
      <c r="F42" s="2">
        <f t="shared" ref="F42:F53" si="12">IF(F$20&lt;($H$11+1),$B$46-((((F$20-1)*12)+$C42)*$B$47),0)</f>
        <v>0</v>
      </c>
      <c r="G42" s="2">
        <f>IF(F42&gt;0,-(F42+$B$47)*($H$6/'Loan Amortization'!$D$8),0)</f>
        <v>0</v>
      </c>
      <c r="H42" s="2">
        <f t="shared" ref="H42:H53" si="13">IF(H$20&lt;($H$11+1),$B$46-((((H$20-1)*12)+$C42)*$B$47),0)</f>
        <v>0</v>
      </c>
      <c r="I42" s="2">
        <f>IF(H42&gt;0,-(H42+$B$47)*($H$6/'Loan Amortization'!$D$8),0)</f>
        <v>0</v>
      </c>
      <c r="J42" s="2">
        <f t="shared" ref="J42:J53" si="14">IF(J$20&lt;($H$11+1),$B$46-((((J$20-1)*12)+$C42)*$B$47),0)</f>
        <v>0</v>
      </c>
      <c r="K42" s="2">
        <f>IF(J42&gt;0,-(J42+$B$47)*($H$6/'Loan Amortization'!$D$8),0)</f>
        <v>0</v>
      </c>
      <c r="L42" s="2">
        <f t="shared" ref="L42:L53" si="15">IF(L$20&lt;($H$11+1),$B$46-((((L$20-1)*12)+$C42)*$B$47),0)</f>
        <v>0</v>
      </c>
      <c r="M42" s="2">
        <f>IF(L42&gt;0,-(L42+$B$47)*($H$6/'Loan Amortization'!$D$8),0)</f>
        <v>0</v>
      </c>
      <c r="N42" s="2">
        <f t="shared" ref="N42:N53" si="16">IF(N$20&lt;($H$11+1),$B$46-((((N$20-1)*12)+$C42)*$B$47),0)</f>
        <v>0</v>
      </c>
      <c r="O42" s="2">
        <f>IF(N42&gt;0,-(N42+$B$47)*($H$6/'Loan Amortization'!$D$8),0)</f>
        <v>0</v>
      </c>
      <c r="P42" s="2">
        <f t="shared" ref="P42:P53" si="17">IF(P$20&lt;($H$11+1),$B$46-((((P$20-1)*12)+$C42)*$B$47),0)</f>
        <v>0</v>
      </c>
      <c r="Q42" s="2">
        <f>IF(P42&gt;0,-(P42+$B$47)*($H$6/'Loan Amortization'!$D$8),0)</f>
        <v>0</v>
      </c>
      <c r="R42" s="2">
        <f t="shared" ref="R42:R53" si="18">IF(R$20&lt;($H$11+1),$B$46-((((R$20-1)*12)+$C42)*$B$47),0)</f>
        <v>0</v>
      </c>
      <c r="S42" s="2">
        <f>IF(R42&gt;0,-(R42+$B$47)*($H$6/'Loan Amortization'!$D$8),0)</f>
        <v>0</v>
      </c>
      <c r="T42" s="2">
        <f t="shared" ref="T42:T53" si="19">IF(T$20&lt;($H$11+1),$B$46-((((T$20-1)*12)+$C42)*$B$47),0)</f>
        <v>0</v>
      </c>
      <c r="U42" s="2">
        <f>IF(T42&gt;0,-(T42+$B$47)*($H$6/'Loan Amortization'!$D$8),0)</f>
        <v>0</v>
      </c>
      <c r="V42" s="2">
        <f t="shared" ref="V42:V53" si="20">IF(V$20&lt;($H$11+1),$B$46-((((V$20-1)*12)+$C42)*$B$47),0)</f>
        <v>0</v>
      </c>
      <c r="W42" s="2">
        <f>IF(V42&gt;0,-(V42+$B$47)*($H$6/'Loan Amortization'!$D$8),0)</f>
        <v>0</v>
      </c>
      <c r="X42" s="501">
        <f>SUM(C42:V42)</f>
        <v>1</v>
      </c>
      <c r="Y42" s="501"/>
      <c r="Z42" s="480"/>
    </row>
    <row r="43" spans="2:26" x14ac:dyDescent="0.15">
      <c r="B43" s="511">
        <f>-PMT($H$6/12,$H$11,C6)</f>
        <v>0</v>
      </c>
      <c r="C43" s="426">
        <v>2</v>
      </c>
      <c r="D43" s="2">
        <f t="shared" si="11"/>
        <v>0</v>
      </c>
      <c r="E43" s="2">
        <f>IF(D43&gt;0,-(D43+$B$47)*($H$6/'Loan Amortization'!$D$8),0)</f>
        <v>0</v>
      </c>
      <c r="F43" s="2">
        <f t="shared" si="12"/>
        <v>0</v>
      </c>
      <c r="G43" s="2">
        <f>IF(F43&gt;0,-(F43+$B$47)*($H$6/'Loan Amortization'!$D$8),0)</f>
        <v>0</v>
      </c>
      <c r="H43" s="2">
        <f t="shared" si="13"/>
        <v>0</v>
      </c>
      <c r="I43" s="2">
        <f>IF(H43&gt;0,-(H43+$B$47)*($H$6/'Loan Amortization'!$D$8),0)</f>
        <v>0</v>
      </c>
      <c r="J43" s="2">
        <f t="shared" si="14"/>
        <v>0</v>
      </c>
      <c r="K43" s="2">
        <f>IF(J43&gt;0,-(J43+$B$47)*($H$6/'Loan Amortization'!$D$8),0)</f>
        <v>0</v>
      </c>
      <c r="L43" s="2">
        <f t="shared" si="15"/>
        <v>0</v>
      </c>
      <c r="M43" s="2">
        <f>IF(L43&gt;0,-(L43+$B$47)*($H$6/'Loan Amortization'!$D$8),0)</f>
        <v>0</v>
      </c>
      <c r="N43" s="2">
        <f t="shared" si="16"/>
        <v>0</v>
      </c>
      <c r="O43" s="2">
        <f>IF(N43&gt;0,-(N43+$B$47)*($H$6/'Loan Amortization'!$D$8),0)</f>
        <v>0</v>
      </c>
      <c r="P43" s="2">
        <f t="shared" si="17"/>
        <v>0</v>
      </c>
      <c r="Q43" s="2">
        <f>IF(P43&gt;0,-(P43+$B$47)*($H$6/'Loan Amortization'!$D$8),0)</f>
        <v>0</v>
      </c>
      <c r="R43" s="2">
        <f t="shared" si="18"/>
        <v>0</v>
      </c>
      <c r="S43" s="2">
        <f>IF(R43&gt;0,-(R43+$B$47)*($H$6/'Loan Amortization'!$D$8),0)</f>
        <v>0</v>
      </c>
      <c r="T43" s="2">
        <f t="shared" si="19"/>
        <v>0</v>
      </c>
      <c r="U43" s="2">
        <f>IF(T43&gt;0,-(T43+$B$47)*($H$6/'Loan Amortization'!$D$8),0)</f>
        <v>0</v>
      </c>
      <c r="V43" s="2">
        <f t="shared" si="20"/>
        <v>0</v>
      </c>
      <c r="W43" s="2">
        <f>IF(V43&gt;0,-(V43+$B$47)*($H$6/'Loan Amortization'!$D$8),0)</f>
        <v>0</v>
      </c>
      <c r="X43" s="501">
        <f t="shared" ref="X43:X55" si="21">SUM(C43:V43)</f>
        <v>2</v>
      </c>
      <c r="Y43" s="501"/>
      <c r="Z43" s="480"/>
    </row>
    <row r="44" spans="2:26" x14ac:dyDescent="0.15">
      <c r="B44" s="540">
        <f>B43*1</f>
        <v>0</v>
      </c>
      <c r="C44" s="426">
        <v>3</v>
      </c>
      <c r="D44" s="2">
        <f t="shared" si="11"/>
        <v>0</v>
      </c>
      <c r="E44" s="2">
        <f>IF(D44&gt;0,-(D44+$B$47)*($H$6/'Loan Amortization'!$D$8),0)</f>
        <v>0</v>
      </c>
      <c r="F44" s="2">
        <f t="shared" si="12"/>
        <v>0</v>
      </c>
      <c r="G44" s="2">
        <f>IF(F44&gt;0,-(F44+$B$47)*($H$6/'Loan Amortization'!$D$8),0)</f>
        <v>0</v>
      </c>
      <c r="H44" s="2">
        <f t="shared" si="13"/>
        <v>0</v>
      </c>
      <c r="I44" s="2">
        <f>IF(H44&gt;0,-(H44+$B$47)*($H$6/'Loan Amortization'!$D$8),0)</f>
        <v>0</v>
      </c>
      <c r="J44" s="2">
        <f t="shared" si="14"/>
        <v>0</v>
      </c>
      <c r="K44" s="2">
        <f>IF(J44&gt;0,-(J44+$B$47)*($H$6/'Loan Amortization'!$D$8),0)</f>
        <v>0</v>
      </c>
      <c r="L44" s="2">
        <f t="shared" si="15"/>
        <v>0</v>
      </c>
      <c r="M44" s="2">
        <f>IF(L44&gt;0,-(L44+$B$47)*($H$6/'Loan Amortization'!$D$8),0)</f>
        <v>0</v>
      </c>
      <c r="N44" s="2">
        <f t="shared" si="16"/>
        <v>0</v>
      </c>
      <c r="O44" s="2">
        <f>IF(N44&gt;0,-(N44+$B$47)*($H$6/'Loan Amortization'!$D$8),0)</f>
        <v>0</v>
      </c>
      <c r="P44" s="2">
        <f t="shared" si="17"/>
        <v>0</v>
      </c>
      <c r="Q44" s="2">
        <f>IF(P44&gt;0,-(P44+$B$47)*($H$6/'Loan Amortization'!$D$8),0)</f>
        <v>0</v>
      </c>
      <c r="R44" s="2">
        <f t="shared" si="18"/>
        <v>0</v>
      </c>
      <c r="S44" s="2">
        <f>IF(R44&gt;0,-(R44+$B$47)*($H$6/'Loan Amortization'!$D$8),0)</f>
        <v>0</v>
      </c>
      <c r="T44" s="2">
        <f t="shared" si="19"/>
        <v>0</v>
      </c>
      <c r="U44" s="2">
        <f>IF(T44&gt;0,-(T44+$B$47)*($H$6/'Loan Amortization'!$D$8),0)</f>
        <v>0</v>
      </c>
      <c r="V44" s="2">
        <f t="shared" si="20"/>
        <v>0</v>
      </c>
      <c r="W44" s="2">
        <f>IF(V44&gt;0,-(V44+$B$47)*($H$6/'Loan Amortization'!$D$8),0)</f>
        <v>0</v>
      </c>
      <c r="X44" s="501">
        <f t="shared" si="21"/>
        <v>3</v>
      </c>
      <c r="Y44" s="501"/>
      <c r="Z44" s="480"/>
    </row>
    <row r="45" spans="2:26" x14ac:dyDescent="0.15">
      <c r="B45" s="202" t="s">
        <v>662</v>
      </c>
      <c r="C45" s="426">
        <v>4</v>
      </c>
      <c r="D45" s="2">
        <f t="shared" si="11"/>
        <v>0</v>
      </c>
      <c r="E45" s="2">
        <f>IF(D45&gt;0,-(D45+$B$47)*($H$6/'Loan Amortization'!$D$8),0)</f>
        <v>0</v>
      </c>
      <c r="F45" s="2">
        <f t="shared" si="12"/>
        <v>0</v>
      </c>
      <c r="G45" s="2">
        <f>IF(F45&gt;0,-(F45+$B$47)*($H$6/'Loan Amortization'!$D$8),0)</f>
        <v>0</v>
      </c>
      <c r="H45" s="2">
        <f t="shared" si="13"/>
        <v>0</v>
      </c>
      <c r="I45" s="2">
        <f>IF(H45&gt;0,-(H45+$B$47)*($H$6/'Loan Amortization'!$D$8),0)</f>
        <v>0</v>
      </c>
      <c r="J45" s="2">
        <f t="shared" si="14"/>
        <v>0</v>
      </c>
      <c r="K45" s="2">
        <f>IF(J45&gt;0,-(J45+$B$47)*($H$6/'Loan Amortization'!$D$8),0)</f>
        <v>0</v>
      </c>
      <c r="L45" s="2">
        <f t="shared" si="15"/>
        <v>0</v>
      </c>
      <c r="M45" s="2">
        <f>IF(L45&gt;0,-(L45+$B$47)*($H$6/'Loan Amortization'!$D$8),0)</f>
        <v>0</v>
      </c>
      <c r="N45" s="2">
        <f t="shared" si="16"/>
        <v>0</v>
      </c>
      <c r="O45" s="2">
        <f>IF(N45&gt;0,-(N45+$B$47)*($H$6/'Loan Amortization'!$D$8),0)</f>
        <v>0</v>
      </c>
      <c r="P45" s="2">
        <f t="shared" si="17"/>
        <v>0</v>
      </c>
      <c r="Q45" s="2">
        <f>IF(P45&gt;0,-(P45+$B$47)*($H$6/'Loan Amortization'!$D$8),0)</f>
        <v>0</v>
      </c>
      <c r="R45" s="2">
        <f t="shared" si="18"/>
        <v>0</v>
      </c>
      <c r="S45" s="2">
        <f>IF(R45&gt;0,-(R45+$B$47)*($H$6/'Loan Amortization'!$D$8),0)</f>
        <v>0</v>
      </c>
      <c r="T45" s="2">
        <f t="shared" si="19"/>
        <v>0</v>
      </c>
      <c r="U45" s="2">
        <f>IF(T45&gt;0,-(T45+$B$47)*($H$6/'Loan Amortization'!$D$8),0)</f>
        <v>0</v>
      </c>
      <c r="V45" s="2">
        <f t="shared" si="20"/>
        <v>0</v>
      </c>
      <c r="W45" s="2">
        <f>IF(V45&gt;0,-(V45+$B$47)*($H$6/'Loan Amortization'!$D$8),0)</f>
        <v>0</v>
      </c>
      <c r="X45" s="501">
        <f t="shared" si="21"/>
        <v>4</v>
      </c>
      <c r="Y45" s="501"/>
      <c r="Z45" s="480"/>
    </row>
    <row r="46" spans="2:26" x14ac:dyDescent="0.15">
      <c r="B46" s="521">
        <f>C6</f>
        <v>0</v>
      </c>
      <c r="C46" s="426">
        <v>5</v>
      </c>
      <c r="D46" s="2">
        <f t="shared" si="11"/>
        <v>0</v>
      </c>
      <c r="E46" s="2">
        <f>IF(D46&gt;0,-(D46+$B$47)*($H$6/'Loan Amortization'!$D$8),0)</f>
        <v>0</v>
      </c>
      <c r="F46" s="2">
        <f t="shared" si="12"/>
        <v>0</v>
      </c>
      <c r="G46" s="2">
        <f>IF(F46&gt;0,-(F46+$B$47)*($H$6/'Loan Amortization'!$D$8),0)</f>
        <v>0</v>
      </c>
      <c r="H46" s="2">
        <f t="shared" si="13"/>
        <v>0</v>
      </c>
      <c r="I46" s="2">
        <f>IF(H46&gt;0,-(H46+$B$47)*($H$6/'Loan Amortization'!$D$8),0)</f>
        <v>0</v>
      </c>
      <c r="J46" s="2">
        <f t="shared" si="14"/>
        <v>0</v>
      </c>
      <c r="K46" s="2">
        <f>IF(J46&gt;0,-(J46+$B$47)*($H$6/'Loan Amortization'!$D$8),0)</f>
        <v>0</v>
      </c>
      <c r="L46" s="2">
        <f t="shared" si="15"/>
        <v>0</v>
      </c>
      <c r="M46" s="2">
        <f>IF(L46&gt;0,-(L46+$B$47)*($H$6/'Loan Amortization'!$D$8),0)</f>
        <v>0</v>
      </c>
      <c r="N46" s="2">
        <f t="shared" si="16"/>
        <v>0</v>
      </c>
      <c r="O46" s="2">
        <f>IF(N46&gt;0,-(N46+$B$47)*($H$6/'Loan Amortization'!$D$8),0)</f>
        <v>0</v>
      </c>
      <c r="P46" s="2">
        <f t="shared" si="17"/>
        <v>0</v>
      </c>
      <c r="Q46" s="2">
        <f>IF(P46&gt;0,-(P46+$B$47)*($H$6/'Loan Amortization'!$D$8),0)</f>
        <v>0</v>
      </c>
      <c r="R46" s="2">
        <f t="shared" si="18"/>
        <v>0</v>
      </c>
      <c r="S46" s="2">
        <f>IF(R46&gt;0,-(R46+$B$47)*($H$6/'Loan Amortization'!$D$8),0)</f>
        <v>0</v>
      </c>
      <c r="T46" s="2">
        <f t="shared" si="19"/>
        <v>0</v>
      </c>
      <c r="U46" s="2">
        <f>IF(T46&gt;0,-(T46+$B$47)*($H$6/'Loan Amortization'!$D$8),0)</f>
        <v>0</v>
      </c>
      <c r="V46" s="2">
        <f t="shared" si="20"/>
        <v>0</v>
      </c>
      <c r="W46" s="2">
        <f>IF(V46&gt;0,-(V46+$B$47)*($H$6/'Loan Amortization'!$D$8),0)</f>
        <v>0</v>
      </c>
      <c r="X46" s="501">
        <f t="shared" si="21"/>
        <v>5</v>
      </c>
      <c r="Y46" s="501"/>
      <c r="Z46" s="480"/>
    </row>
    <row r="47" spans="2:26" x14ac:dyDescent="0.15">
      <c r="B47" s="521">
        <f>B46/($H$11)</f>
        <v>0</v>
      </c>
      <c r="C47" s="426">
        <v>6</v>
      </c>
      <c r="D47" s="2">
        <f t="shared" si="11"/>
        <v>0</v>
      </c>
      <c r="E47" s="2">
        <f>IF(D47&gt;0,-(D47+$B$47)*($H$6/'Loan Amortization'!$D$8),0)</f>
        <v>0</v>
      </c>
      <c r="F47" s="2">
        <f t="shared" si="12"/>
        <v>0</v>
      </c>
      <c r="G47" s="2">
        <f>IF(F47&gt;0,-(F47+$B$47)*($H$6/'Loan Amortization'!$D$8),0)</f>
        <v>0</v>
      </c>
      <c r="H47" s="2">
        <f t="shared" si="13"/>
        <v>0</v>
      </c>
      <c r="I47" s="2">
        <f>IF(H47&gt;0,-(H47+$B$47)*($H$6/'Loan Amortization'!$D$8),0)</f>
        <v>0</v>
      </c>
      <c r="J47" s="2">
        <f t="shared" si="14"/>
        <v>0</v>
      </c>
      <c r="K47" s="2">
        <f>IF(J47&gt;0,-(J47+$B$47)*($H$6/'Loan Amortization'!$D$8),0)</f>
        <v>0</v>
      </c>
      <c r="L47" s="2">
        <f t="shared" si="15"/>
        <v>0</v>
      </c>
      <c r="M47" s="2">
        <f>IF(L47&gt;0,-(L47+$B$47)*($H$6/'Loan Amortization'!$D$8),0)</f>
        <v>0</v>
      </c>
      <c r="N47" s="2">
        <f t="shared" si="16"/>
        <v>0</v>
      </c>
      <c r="O47" s="2">
        <f>IF(N47&gt;0,-(N47+$B$47)*($H$6/'Loan Amortization'!$D$8),0)</f>
        <v>0</v>
      </c>
      <c r="P47" s="2">
        <f t="shared" si="17"/>
        <v>0</v>
      </c>
      <c r="Q47" s="2">
        <f>IF(P47&gt;0,-(P47+$B$47)*($H$6/'Loan Amortization'!$D$8),0)</f>
        <v>0</v>
      </c>
      <c r="R47" s="2">
        <f t="shared" si="18"/>
        <v>0</v>
      </c>
      <c r="S47" s="2">
        <f>IF(R47&gt;0,-(R47+$B$47)*($H$6/'Loan Amortization'!$D$8),0)</f>
        <v>0</v>
      </c>
      <c r="T47" s="2">
        <f t="shared" si="19"/>
        <v>0</v>
      </c>
      <c r="U47" s="2">
        <f>IF(T47&gt;0,-(T47+$B$47)*($H$6/'Loan Amortization'!$D$8),0)</f>
        <v>0</v>
      </c>
      <c r="V47" s="2">
        <f t="shared" si="20"/>
        <v>0</v>
      </c>
      <c r="W47" s="2">
        <f>IF(V47&gt;0,-(V47+$B$47)*($H$6/'Loan Amortization'!$D$8),0)</f>
        <v>0</v>
      </c>
      <c r="X47" s="501">
        <f t="shared" si="21"/>
        <v>6</v>
      </c>
      <c r="Y47" s="501"/>
      <c r="Z47" s="480"/>
    </row>
    <row r="48" spans="2:26" x14ac:dyDescent="0.15">
      <c r="B48" s="202"/>
      <c r="C48" s="426">
        <v>7</v>
      </c>
      <c r="D48" s="2">
        <f t="shared" si="11"/>
        <v>0</v>
      </c>
      <c r="E48" s="2">
        <f>IF(D48&gt;0,-(D48+$B$47)*($H$6/'Loan Amortization'!$D$8),0)</f>
        <v>0</v>
      </c>
      <c r="F48" s="2">
        <f t="shared" si="12"/>
        <v>0</v>
      </c>
      <c r="G48" s="2">
        <f>IF(F48&gt;0,-(F48+$B$47)*($H$6/'Loan Amortization'!$D$8),0)</f>
        <v>0</v>
      </c>
      <c r="H48" s="2">
        <f t="shared" si="13"/>
        <v>0</v>
      </c>
      <c r="I48" s="2">
        <f>IF(H48&gt;0,-(H48+$B$47)*($H$6/'Loan Amortization'!$D$8),0)</f>
        <v>0</v>
      </c>
      <c r="J48" s="2">
        <f t="shared" si="14"/>
        <v>0</v>
      </c>
      <c r="K48" s="2">
        <f>IF(J48&gt;0,-(J48+$B$47)*($H$6/'Loan Amortization'!$D$8),0)</f>
        <v>0</v>
      </c>
      <c r="L48" s="2">
        <f t="shared" si="15"/>
        <v>0</v>
      </c>
      <c r="M48" s="2">
        <f>IF(L48&gt;0,-(L48+$B$47)*($H$6/'Loan Amortization'!$D$8),0)</f>
        <v>0</v>
      </c>
      <c r="N48" s="2">
        <f t="shared" si="16"/>
        <v>0</v>
      </c>
      <c r="O48" s="2">
        <f>IF(N48&gt;0,-(N48+$B$47)*($H$6/'Loan Amortization'!$D$8),0)</f>
        <v>0</v>
      </c>
      <c r="P48" s="2">
        <f t="shared" si="17"/>
        <v>0</v>
      </c>
      <c r="Q48" s="2">
        <f>IF(P48&gt;0,-(P48+$B$47)*($H$6/'Loan Amortization'!$D$8),0)</f>
        <v>0</v>
      </c>
      <c r="R48" s="2">
        <f t="shared" si="18"/>
        <v>0</v>
      </c>
      <c r="S48" s="2">
        <f>IF(R48&gt;0,-(R48+$B$47)*($H$6/'Loan Amortization'!$D$8),0)</f>
        <v>0</v>
      </c>
      <c r="T48" s="2">
        <f t="shared" si="19"/>
        <v>0</v>
      </c>
      <c r="U48" s="2">
        <f>IF(T48&gt;0,-(T48+$B$47)*($H$6/'Loan Amortization'!$D$8),0)</f>
        <v>0</v>
      </c>
      <c r="V48" s="2">
        <f t="shared" si="20"/>
        <v>0</v>
      </c>
      <c r="W48" s="2">
        <f>IF(V48&gt;0,-(V48+$B$47)*($H$6/'Loan Amortization'!$D$8),0)</f>
        <v>0</v>
      </c>
      <c r="X48" s="501">
        <f t="shared" si="21"/>
        <v>7</v>
      </c>
      <c r="Y48" s="501"/>
      <c r="Z48" s="480"/>
    </row>
    <row r="49" spans="2:26" x14ac:dyDescent="0.15">
      <c r="B49" s="202"/>
      <c r="C49" s="426">
        <v>8</v>
      </c>
      <c r="D49" s="2">
        <f t="shared" si="11"/>
        <v>0</v>
      </c>
      <c r="E49" s="2">
        <f>IF(D49&gt;0,-(D49+$B$47)*($H$6/'Loan Amortization'!$D$8),0)</f>
        <v>0</v>
      </c>
      <c r="F49" s="2">
        <f t="shared" si="12"/>
        <v>0</v>
      </c>
      <c r="G49" s="2">
        <f>IF(F49&gt;0,-(F49+$B$47)*($H$6/'Loan Amortization'!$D$8),0)</f>
        <v>0</v>
      </c>
      <c r="H49" s="2">
        <f t="shared" si="13"/>
        <v>0</v>
      </c>
      <c r="I49" s="2">
        <f>IF(H49&gt;0,-(H49+$B$47)*($H$6/'Loan Amortization'!$D$8),0)</f>
        <v>0</v>
      </c>
      <c r="J49" s="2">
        <f t="shared" si="14"/>
        <v>0</v>
      </c>
      <c r="K49" s="2">
        <f>IF(J49&gt;0,-(J49+$B$47)*($H$6/'Loan Amortization'!$D$8),0)</f>
        <v>0</v>
      </c>
      <c r="L49" s="2">
        <f t="shared" si="15"/>
        <v>0</v>
      </c>
      <c r="M49" s="2">
        <f>IF(L49&gt;0,-(L49+$B$47)*($H$6/'Loan Amortization'!$D$8),0)</f>
        <v>0</v>
      </c>
      <c r="N49" s="2">
        <f t="shared" si="16"/>
        <v>0</v>
      </c>
      <c r="O49" s="2">
        <f>IF(N49&gt;0,-(N49+$B$47)*($H$6/'Loan Amortization'!$D$8),0)</f>
        <v>0</v>
      </c>
      <c r="P49" s="2">
        <f t="shared" si="17"/>
        <v>0</v>
      </c>
      <c r="Q49" s="2">
        <f>IF(P49&gt;0,-(P49+$B$47)*($H$6/'Loan Amortization'!$D$8),0)</f>
        <v>0</v>
      </c>
      <c r="R49" s="2">
        <f t="shared" si="18"/>
        <v>0</v>
      </c>
      <c r="S49" s="2">
        <f>IF(R49&gt;0,-(R49+$B$47)*($H$6/'Loan Amortization'!$D$8),0)</f>
        <v>0</v>
      </c>
      <c r="T49" s="2">
        <f t="shared" si="19"/>
        <v>0</v>
      </c>
      <c r="U49" s="2">
        <f>IF(T49&gt;0,-(T49+$B$47)*($H$6/'Loan Amortization'!$D$8),0)</f>
        <v>0</v>
      </c>
      <c r="V49" s="2">
        <f t="shared" si="20"/>
        <v>0</v>
      </c>
      <c r="W49" s="2">
        <f>IF(V49&gt;0,-(V49+$B$47)*($H$6/'Loan Amortization'!$D$8),0)</f>
        <v>0</v>
      </c>
      <c r="X49" s="501">
        <f t="shared" si="21"/>
        <v>8</v>
      </c>
      <c r="Y49" s="501"/>
      <c r="Z49" s="480"/>
    </row>
    <row r="50" spans="2:26" x14ac:dyDescent="0.15">
      <c r="B50" s="202"/>
      <c r="C50" s="426">
        <v>9</v>
      </c>
      <c r="D50" s="2">
        <f t="shared" si="11"/>
        <v>0</v>
      </c>
      <c r="E50" s="2">
        <f>IF(D50&gt;0,-(D50+$B$47)*($H$6/'Loan Amortization'!$D$8),0)</f>
        <v>0</v>
      </c>
      <c r="F50" s="2">
        <f t="shared" si="12"/>
        <v>0</v>
      </c>
      <c r="G50" s="2">
        <f>IF(F50&gt;0,-(F50+$B$47)*($H$6/'Loan Amortization'!$D$8),0)</f>
        <v>0</v>
      </c>
      <c r="H50" s="2">
        <f t="shared" si="13"/>
        <v>0</v>
      </c>
      <c r="I50" s="2">
        <f>IF(H50&gt;0,-(H50+$B$47)*($H$6/'Loan Amortization'!$D$8),0)</f>
        <v>0</v>
      </c>
      <c r="J50" s="2">
        <f t="shared" si="14"/>
        <v>0</v>
      </c>
      <c r="K50" s="2">
        <f>IF(J50&gt;0,-(J50+$B$47)*($H$6/'Loan Amortization'!$D$8),0)</f>
        <v>0</v>
      </c>
      <c r="L50" s="2">
        <f t="shared" si="15"/>
        <v>0</v>
      </c>
      <c r="M50" s="2">
        <f>IF(L50&gt;0,-(L50+$B$47)*($H$6/'Loan Amortization'!$D$8),0)</f>
        <v>0</v>
      </c>
      <c r="N50" s="2">
        <f t="shared" si="16"/>
        <v>0</v>
      </c>
      <c r="O50" s="2">
        <f>IF(N50&gt;0,-(N50+$B$47)*($H$6/'Loan Amortization'!$D$8),0)</f>
        <v>0</v>
      </c>
      <c r="P50" s="2">
        <f t="shared" si="17"/>
        <v>0</v>
      </c>
      <c r="Q50" s="2">
        <f>IF(P50&gt;0,-(P50+$B$47)*($H$6/'Loan Amortization'!$D$8),0)</f>
        <v>0</v>
      </c>
      <c r="R50" s="2">
        <f t="shared" si="18"/>
        <v>0</v>
      </c>
      <c r="S50" s="2">
        <f>IF(R50&gt;0,-(R50+$B$47)*($H$6/'Loan Amortization'!$D$8),0)</f>
        <v>0</v>
      </c>
      <c r="T50" s="2">
        <f t="shared" si="19"/>
        <v>0</v>
      </c>
      <c r="U50" s="2">
        <f>IF(T50&gt;0,-(T50+$B$47)*($H$6/'Loan Amortization'!$D$8),0)</f>
        <v>0</v>
      </c>
      <c r="V50" s="2">
        <f t="shared" si="20"/>
        <v>0</v>
      </c>
      <c r="W50" s="2">
        <f>IF(V50&gt;0,-(V50+$B$47)*($H$6/'Loan Amortization'!$D$8),0)</f>
        <v>0</v>
      </c>
      <c r="X50" s="501">
        <f t="shared" si="21"/>
        <v>9</v>
      </c>
      <c r="Y50" s="501"/>
      <c r="Z50" s="480"/>
    </row>
    <row r="51" spans="2:26" x14ac:dyDescent="0.15">
      <c r="B51" s="202"/>
      <c r="C51" s="426">
        <v>10</v>
      </c>
      <c r="D51" s="2">
        <f t="shared" si="11"/>
        <v>0</v>
      </c>
      <c r="E51" s="2">
        <f>IF(D51&gt;0,-(D51+$B$47)*($H$6/'Loan Amortization'!$D$8),0)</f>
        <v>0</v>
      </c>
      <c r="F51" s="2">
        <f t="shared" si="12"/>
        <v>0</v>
      </c>
      <c r="G51" s="2">
        <f>IF(F51&gt;0,-(F51+$B$47)*($H$6/'Loan Amortization'!$D$8),0)</f>
        <v>0</v>
      </c>
      <c r="H51" s="2">
        <f t="shared" si="13"/>
        <v>0</v>
      </c>
      <c r="I51" s="2">
        <f>IF(H51&gt;0,-(H51+$B$47)*($H$6/'Loan Amortization'!$D$8),0)</f>
        <v>0</v>
      </c>
      <c r="J51" s="2">
        <f t="shared" si="14"/>
        <v>0</v>
      </c>
      <c r="K51" s="2">
        <f>IF(J51&gt;0,-(J51+$B$47)*($H$6/'Loan Amortization'!$D$8),0)</f>
        <v>0</v>
      </c>
      <c r="L51" s="2">
        <f t="shared" si="15"/>
        <v>0</v>
      </c>
      <c r="M51" s="2">
        <f>IF(L51&gt;0,-(L51+$B$47)*($H$6/'Loan Amortization'!$D$8),0)</f>
        <v>0</v>
      </c>
      <c r="N51" s="2">
        <f t="shared" si="16"/>
        <v>0</v>
      </c>
      <c r="O51" s="2">
        <f>IF(N51&gt;0,-(N51+$B$47)*($H$6/'Loan Amortization'!$D$8),0)</f>
        <v>0</v>
      </c>
      <c r="P51" s="2">
        <f t="shared" si="17"/>
        <v>0</v>
      </c>
      <c r="Q51" s="2">
        <f>IF(P51&gt;0,-(P51+$B$47)*($H$6/'Loan Amortization'!$D$8),0)</f>
        <v>0</v>
      </c>
      <c r="R51" s="2">
        <f t="shared" si="18"/>
        <v>0</v>
      </c>
      <c r="S51" s="2">
        <f>IF(R51&gt;0,-(R51+$B$47)*($H$6/'Loan Amortization'!$D$8),0)</f>
        <v>0</v>
      </c>
      <c r="T51" s="2">
        <f t="shared" si="19"/>
        <v>0</v>
      </c>
      <c r="U51" s="2">
        <f>IF(T51&gt;0,-(T51+$B$47)*($H$6/'Loan Amortization'!$D$8),0)</f>
        <v>0</v>
      </c>
      <c r="V51" s="2">
        <f t="shared" si="20"/>
        <v>0</v>
      </c>
      <c r="W51" s="2">
        <f>IF(V51&gt;0,-(V51+$B$47)*($H$6/'Loan Amortization'!$D$8),0)</f>
        <v>0</v>
      </c>
      <c r="X51" s="501">
        <f t="shared" si="21"/>
        <v>10</v>
      </c>
      <c r="Y51" s="501"/>
      <c r="Z51" s="480"/>
    </row>
    <row r="52" spans="2:26" x14ac:dyDescent="0.15">
      <c r="B52" s="202"/>
      <c r="C52" s="426">
        <v>11</v>
      </c>
      <c r="D52" s="2">
        <f t="shared" si="11"/>
        <v>0</v>
      </c>
      <c r="E52" s="2">
        <f>IF(D52&gt;0,-(D52+$B$47)*($H$6/'Loan Amortization'!$D$8),0)</f>
        <v>0</v>
      </c>
      <c r="F52" s="2">
        <f t="shared" si="12"/>
        <v>0</v>
      </c>
      <c r="G52" s="2">
        <f>IF(F52&gt;0,-(F52+$B$47)*($H$6/'Loan Amortization'!$D$8),0)</f>
        <v>0</v>
      </c>
      <c r="H52" s="2">
        <f t="shared" si="13"/>
        <v>0</v>
      </c>
      <c r="I52" s="2">
        <f>IF(H52&gt;0,-(H52+$B$47)*($H$6/'Loan Amortization'!$D$8),0)</f>
        <v>0</v>
      </c>
      <c r="J52" s="2">
        <f t="shared" si="14"/>
        <v>0</v>
      </c>
      <c r="K52" s="2">
        <f>IF(J52&gt;0,-(J52+$B$47)*($H$6/'Loan Amortization'!$D$8),0)</f>
        <v>0</v>
      </c>
      <c r="L52" s="2">
        <f t="shared" si="15"/>
        <v>0</v>
      </c>
      <c r="M52" s="2">
        <f>IF(L52&gt;0,-(L52+$B$47)*($H$6/'Loan Amortization'!$D$8),0)</f>
        <v>0</v>
      </c>
      <c r="N52" s="2">
        <f t="shared" si="16"/>
        <v>0</v>
      </c>
      <c r="O52" s="2">
        <f>IF(N52&gt;0,-(N52+$B$47)*($H$6/'Loan Amortization'!$D$8),0)</f>
        <v>0</v>
      </c>
      <c r="P52" s="2">
        <f t="shared" si="17"/>
        <v>0</v>
      </c>
      <c r="Q52" s="2">
        <f>IF(P52&gt;0,-(P52+$B$47)*($H$6/'Loan Amortization'!$D$8),0)</f>
        <v>0</v>
      </c>
      <c r="R52" s="2">
        <f t="shared" si="18"/>
        <v>0</v>
      </c>
      <c r="S52" s="2">
        <f>IF(R52&gt;0,-(R52+$B$47)*($H$6/'Loan Amortization'!$D$8),0)</f>
        <v>0</v>
      </c>
      <c r="T52" s="2">
        <f t="shared" si="19"/>
        <v>0</v>
      </c>
      <c r="U52" s="2">
        <f>IF(T52&gt;0,-(T52+$B$47)*($H$6/'Loan Amortization'!$D$8),0)</f>
        <v>0</v>
      </c>
      <c r="V52" s="2">
        <f t="shared" si="20"/>
        <v>0</v>
      </c>
      <c r="W52" s="2">
        <f>IF(V52&gt;0,-(V52+$B$47)*($H$6/'Loan Amortization'!$D$8),0)</f>
        <v>0</v>
      </c>
      <c r="X52" s="501">
        <f t="shared" si="21"/>
        <v>11</v>
      </c>
      <c r="Y52" s="501"/>
      <c r="Z52" s="480"/>
    </row>
    <row r="53" spans="2:26" ht="14" thickBot="1" x14ac:dyDescent="0.2">
      <c r="B53" s="202"/>
      <c r="C53" s="426">
        <v>12</v>
      </c>
      <c r="D53" s="2">
        <f t="shared" si="11"/>
        <v>0</v>
      </c>
      <c r="E53" s="2">
        <f>IF(D53&gt;0,-(D53+$B$47)*($H$6/'Loan Amortization'!$D$8),0)</f>
        <v>0</v>
      </c>
      <c r="F53" s="2">
        <f t="shared" si="12"/>
        <v>0</v>
      </c>
      <c r="G53" s="2">
        <f>IF(F53&gt;0,-(F53+$B$47)*($H$6/'Loan Amortization'!$D$8),0)</f>
        <v>0</v>
      </c>
      <c r="H53" s="2">
        <f t="shared" si="13"/>
        <v>0</v>
      </c>
      <c r="I53" s="2">
        <f>IF(H53&gt;0,-(H53+$B$47)*($H$6/'Loan Amortization'!$D$8),0)</f>
        <v>0</v>
      </c>
      <c r="J53" s="2">
        <f t="shared" si="14"/>
        <v>0</v>
      </c>
      <c r="K53" s="2">
        <f>IF(J53&gt;0,-(J53+$B$47)*($H$6/'Loan Amortization'!$D$8),0)</f>
        <v>0</v>
      </c>
      <c r="L53" s="2">
        <f t="shared" si="15"/>
        <v>0</v>
      </c>
      <c r="M53" s="2">
        <f>IF(L53&gt;0,-(L53+$B$47)*($H$6/'Loan Amortization'!$D$8),0)</f>
        <v>0</v>
      </c>
      <c r="N53" s="2">
        <f t="shared" si="16"/>
        <v>0</v>
      </c>
      <c r="O53" s="2">
        <f>IF(N53&gt;0,-(N53+$B$47)*($H$6/'Loan Amortization'!$D$8),0)</f>
        <v>0</v>
      </c>
      <c r="P53" s="2">
        <f t="shared" si="17"/>
        <v>0</v>
      </c>
      <c r="Q53" s="2">
        <f>IF(P53&gt;0,-(P53+$B$47)*($H$6/'Loan Amortization'!$D$8),0)</f>
        <v>0</v>
      </c>
      <c r="R53" s="2">
        <f t="shared" si="18"/>
        <v>0</v>
      </c>
      <c r="S53" s="2">
        <f>IF(R53&gt;0,-(R53+$B$47)*($H$6/'Loan Amortization'!$D$8),0)</f>
        <v>0</v>
      </c>
      <c r="T53" s="2">
        <f t="shared" si="19"/>
        <v>0</v>
      </c>
      <c r="U53" s="2">
        <f>IF(T53&gt;0,-(T53+$B$47)*($H$6/'Loan Amortization'!$D$8),0)</f>
        <v>0</v>
      </c>
      <c r="V53" s="2">
        <f t="shared" si="20"/>
        <v>0</v>
      </c>
      <c r="W53" s="2">
        <f>IF(V53&gt;0,-(V53+$B$47)*($H$6/'Loan Amortization'!$D$8),0)</f>
        <v>0</v>
      </c>
      <c r="X53" s="501">
        <f t="shared" si="21"/>
        <v>12</v>
      </c>
      <c r="Y53" s="501"/>
      <c r="Z53" s="480"/>
    </row>
    <row r="54" spans="2:26" ht="14" thickBot="1" x14ac:dyDescent="0.2">
      <c r="B54" s="541" t="s">
        <v>45</v>
      </c>
      <c r="C54" s="502" t="s">
        <v>663</v>
      </c>
      <c r="D54" s="503">
        <f>IF(D$20&lt;($H$11+1),-$B$47,0)</f>
        <v>0</v>
      </c>
      <c r="E54" s="503"/>
      <c r="F54" s="503">
        <f>IF(F$20&lt;($H$11+1),-$B$47,0)</f>
        <v>0</v>
      </c>
      <c r="G54" s="503"/>
      <c r="H54" s="503">
        <f>IF(H$20&lt;($H$11+1),-$B$47,0)</f>
        <v>0</v>
      </c>
      <c r="I54" s="503"/>
      <c r="J54" s="503">
        <f>IF(J$20&lt;($H$11+1),-$B$47,0)</f>
        <v>0</v>
      </c>
      <c r="K54" s="503"/>
      <c r="L54" s="503">
        <f>IF(L$20&lt;($H$11+1),-$B$47,0)</f>
        <v>0</v>
      </c>
      <c r="M54" s="503"/>
      <c r="N54" s="503">
        <f>IF(N$20&lt;($H$11+1),-$B$47,0)</f>
        <v>0</v>
      </c>
      <c r="O54" s="503"/>
      <c r="P54" s="503">
        <f>IF(P$20&lt;($H$11+1),-$B$47,0)</f>
        <v>0</v>
      </c>
      <c r="Q54" s="503"/>
      <c r="R54" s="503">
        <f>IF(R$20&lt;($H$11+1),-$B$47,0)</f>
        <v>0</v>
      </c>
      <c r="S54" s="503"/>
      <c r="T54" s="503">
        <f>IF(T$20&lt;($H$11+1),-$B$47,0)</f>
        <v>0</v>
      </c>
      <c r="U54" s="503"/>
      <c r="V54" s="503">
        <f>IF(V$20&lt;($H$11+1),-$B$47,0)</f>
        <v>0</v>
      </c>
      <c r="W54" s="503"/>
      <c r="X54" s="504">
        <f t="shared" si="21"/>
        <v>0</v>
      </c>
      <c r="Y54" s="501"/>
      <c r="Z54" s="480"/>
    </row>
    <row r="55" spans="2:26" ht="14" thickBot="1" x14ac:dyDescent="0.2">
      <c r="B55" s="478"/>
      <c r="C55" s="520" t="s">
        <v>273</v>
      </c>
      <c r="D55" s="522"/>
      <c r="E55" s="522">
        <f>IF((D$20)&gt;$H$11,0,IPMT($H$6,D41,$H$11,$B$46))</f>
        <v>0</v>
      </c>
      <c r="F55" s="522"/>
      <c r="G55" s="522">
        <f>IF((F$20)&gt;$H$11,0,IPMT($H$6,F41,$H$11,$B$46))</f>
        <v>0</v>
      </c>
      <c r="H55" s="522"/>
      <c r="I55" s="522">
        <f>IF((H$20)&gt;$H$11,0,IPMT($H$6,H41,$H$11,$B$46))</f>
        <v>0</v>
      </c>
      <c r="J55" s="522"/>
      <c r="K55" s="522">
        <f>IF((J$20)&gt;$H$11,0,IPMT($H$6,J41,$H$11,$B$46))</f>
        <v>0</v>
      </c>
      <c r="L55" s="522"/>
      <c r="M55" s="522">
        <f>IF((L$20)&gt;$H$11,0,IPMT($H$6,L41,$H$11,$B$46))</f>
        <v>0</v>
      </c>
      <c r="N55" s="522"/>
      <c r="O55" s="522">
        <f>IF((N$20)&gt;$H$11,0,IPMT($H$6,N41,$H$11,$B$46))</f>
        <v>0</v>
      </c>
      <c r="P55" s="522"/>
      <c r="Q55" s="522">
        <f>IF((P$20)&gt;$H$11,0,IPMT($H$6,P41,$H$11,$B$46))</f>
        <v>0</v>
      </c>
      <c r="R55" s="522"/>
      <c r="S55" s="522">
        <f>IF((R$20)&gt;$H$11,0,IPMT($H$6,R41,$H$11,$B$46))</f>
        <v>0</v>
      </c>
      <c r="T55" s="522"/>
      <c r="U55" s="522">
        <f>IF((T$20)&gt;$H$11,0,IPMT($H$6,T41,$H$11,$B$46))</f>
        <v>0</v>
      </c>
      <c r="V55" s="522"/>
      <c r="W55" s="522">
        <f>IF((V$20)&gt;$H$11,0,IPMT($H$6,V41,$H$11,$B$46))</f>
        <v>0</v>
      </c>
      <c r="X55" s="504">
        <f t="shared" si="21"/>
        <v>0</v>
      </c>
      <c r="Y55" s="548"/>
      <c r="Z55" s="482"/>
    </row>
    <row r="56" spans="2:26" ht="14" thickBot="1" x14ac:dyDescent="0.2">
      <c r="B56" s="8"/>
      <c r="C56" s="502" t="s">
        <v>664</v>
      </c>
      <c r="D56" s="558">
        <f>D41</f>
        <v>1</v>
      </c>
      <c r="E56" s="559">
        <f>F41</f>
        <v>2</v>
      </c>
      <c r="F56" s="559">
        <f>H41</f>
        <v>3</v>
      </c>
      <c r="G56" s="559">
        <f>J41</f>
        <v>4</v>
      </c>
      <c r="H56" s="559">
        <f>L41</f>
        <v>5</v>
      </c>
      <c r="I56" s="559">
        <f>N41</f>
        <v>6</v>
      </c>
      <c r="J56" s="559">
        <f>P41</f>
        <v>7</v>
      </c>
      <c r="K56" s="559">
        <f>R41</f>
        <v>8</v>
      </c>
      <c r="L56" s="559">
        <f>T41</f>
        <v>9</v>
      </c>
      <c r="M56" s="559">
        <f>V41</f>
        <v>10</v>
      </c>
      <c r="N56" s="560" t="str">
        <f>X41</f>
        <v>TOTAL</v>
      </c>
      <c r="O56" s="2"/>
      <c r="P56" s="2"/>
      <c r="Q56" s="2"/>
      <c r="R56" s="2"/>
      <c r="S56" s="2"/>
      <c r="T56" s="2"/>
      <c r="U56" s="2"/>
      <c r="V56" s="2"/>
      <c r="W56" s="2"/>
      <c r="X56" s="2"/>
      <c r="Y56" s="2"/>
    </row>
    <row r="57" spans="2:26" ht="14" thickBot="1" x14ac:dyDescent="0.2">
      <c r="B57" s="8"/>
      <c r="C57" s="502" t="s">
        <v>663</v>
      </c>
      <c r="D57" s="561">
        <f>D54</f>
        <v>0</v>
      </c>
      <c r="E57" s="2">
        <f>F54</f>
        <v>0</v>
      </c>
      <c r="F57" s="2">
        <f>H54</f>
        <v>0</v>
      </c>
      <c r="G57" s="2">
        <f>J54</f>
        <v>0</v>
      </c>
      <c r="H57" s="2">
        <f>L54</f>
        <v>0</v>
      </c>
      <c r="I57" s="2">
        <f>N54</f>
        <v>0</v>
      </c>
      <c r="J57" s="2">
        <f>P54</f>
        <v>0</v>
      </c>
      <c r="K57" s="2">
        <f>R54</f>
        <v>0</v>
      </c>
      <c r="L57" s="2">
        <f>T54</f>
        <v>0</v>
      </c>
      <c r="M57" s="2">
        <f>V54</f>
        <v>0</v>
      </c>
      <c r="N57" s="501">
        <f>X54</f>
        <v>0</v>
      </c>
      <c r="O57" s="2"/>
      <c r="P57" s="2"/>
      <c r="Q57" s="2"/>
      <c r="R57" s="2"/>
      <c r="S57" s="2"/>
      <c r="T57" s="2"/>
      <c r="U57" s="2"/>
      <c r="V57" s="2"/>
      <c r="W57" s="2"/>
      <c r="X57" s="2"/>
      <c r="Y57" s="2"/>
    </row>
    <row r="58" spans="2:26" ht="14" thickBot="1" x14ac:dyDescent="0.2">
      <c r="B58" s="8"/>
      <c r="C58" s="520" t="s">
        <v>273</v>
      </c>
      <c r="D58" s="562">
        <f>E55</f>
        <v>0</v>
      </c>
      <c r="E58" s="522">
        <f>G55</f>
        <v>0</v>
      </c>
      <c r="F58" s="522">
        <f>I55</f>
        <v>0</v>
      </c>
      <c r="G58" s="522">
        <f>K55</f>
        <v>0</v>
      </c>
      <c r="H58" s="522">
        <f>M55</f>
        <v>0</v>
      </c>
      <c r="I58" s="522">
        <f>O55</f>
        <v>0</v>
      </c>
      <c r="J58" s="522">
        <f>Q55</f>
        <v>0</v>
      </c>
      <c r="K58" s="522">
        <f>S55</f>
        <v>0</v>
      </c>
      <c r="L58" s="522">
        <f>U55</f>
        <v>0</v>
      </c>
      <c r="M58" s="522">
        <f>W55</f>
        <v>0</v>
      </c>
      <c r="N58" s="548">
        <f>X55</f>
        <v>0</v>
      </c>
      <c r="O58" s="2"/>
      <c r="P58" s="2"/>
      <c r="Q58" s="2"/>
      <c r="R58" s="2"/>
      <c r="S58" s="2"/>
      <c r="T58" s="2"/>
      <c r="U58" s="2"/>
      <c r="V58" s="2"/>
      <c r="W58" s="2"/>
      <c r="X58" s="2"/>
      <c r="Y58" s="2"/>
    </row>
    <row r="59" spans="2:26" x14ac:dyDescent="0.15">
      <c r="D59" s="66"/>
    </row>
    <row r="60" spans="2:26" ht="14" thickBot="1" x14ac:dyDescent="0.2"/>
    <row r="61" spans="2:26" ht="14" thickBot="1" x14ac:dyDescent="0.2">
      <c r="B61" s="495" t="s">
        <v>414</v>
      </c>
      <c r="C61" s="178"/>
      <c r="D61" s="483" t="s">
        <v>133</v>
      </c>
      <c r="E61" s="483"/>
      <c r="F61" s="483" t="s">
        <v>133</v>
      </c>
      <c r="G61" s="483"/>
      <c r="H61" s="483" t="s">
        <v>133</v>
      </c>
      <c r="I61" s="483"/>
      <c r="J61" s="483" t="s">
        <v>133</v>
      </c>
      <c r="K61" s="483"/>
      <c r="L61" s="483" t="s">
        <v>133</v>
      </c>
      <c r="M61" s="483"/>
      <c r="N61" s="483" t="s">
        <v>133</v>
      </c>
      <c r="O61" s="483"/>
      <c r="P61" s="483" t="s">
        <v>133</v>
      </c>
      <c r="Q61" s="483"/>
      <c r="R61" s="483" t="s">
        <v>133</v>
      </c>
      <c r="S61" s="483"/>
      <c r="T61" s="483" t="s">
        <v>133</v>
      </c>
      <c r="U61" s="483"/>
      <c r="V61" s="483" t="s">
        <v>133</v>
      </c>
      <c r="W61" s="483"/>
      <c r="X61" s="178"/>
      <c r="Y61" s="178"/>
      <c r="Z61" s="497" t="str">
        <f>B61</f>
        <v>-15%</v>
      </c>
    </row>
    <row r="62" spans="2:26" x14ac:dyDescent="0.15">
      <c r="B62" s="426"/>
      <c r="C62" s="4" t="s">
        <v>660</v>
      </c>
      <c r="D62" s="4">
        <v>1</v>
      </c>
      <c r="E62" s="4"/>
      <c r="F62" s="4">
        <f>D62+1</f>
        <v>2</v>
      </c>
      <c r="G62" s="4"/>
      <c r="H62" s="4">
        <f>F62+1</f>
        <v>3</v>
      </c>
      <c r="I62" s="4"/>
      <c r="J62" s="4">
        <f>H62+1</f>
        <v>4</v>
      </c>
      <c r="K62" s="4"/>
      <c r="L62" s="4">
        <f>J62+1</f>
        <v>5</v>
      </c>
      <c r="M62" s="4"/>
      <c r="N62" s="4">
        <f>L62+1</f>
        <v>6</v>
      </c>
      <c r="O62" s="4"/>
      <c r="P62" s="4">
        <f>N62+1</f>
        <v>7</v>
      </c>
      <c r="Q62" s="4"/>
      <c r="R62" s="4">
        <f>P62+1</f>
        <v>8</v>
      </c>
      <c r="S62" s="4"/>
      <c r="T62" s="4">
        <f>R62+1</f>
        <v>9</v>
      </c>
      <c r="U62" s="4"/>
      <c r="V62" s="4">
        <f>T62+1</f>
        <v>10</v>
      </c>
      <c r="W62" s="4"/>
      <c r="X62" s="4" t="s">
        <v>285</v>
      </c>
      <c r="Y62" s="4"/>
      <c r="Z62" s="479"/>
    </row>
    <row r="63" spans="2:26" x14ac:dyDescent="0.15">
      <c r="B63" s="202" t="s">
        <v>661</v>
      </c>
      <c r="C63" s="4">
        <v>1</v>
      </c>
      <c r="D63" s="2">
        <f t="shared" ref="D63:D74" si="22">IF(D$20&lt;($H$11+1),$B$67-((((D$20-1)*12)+$C63)*$B$68),0)</f>
        <v>0</v>
      </c>
      <c r="E63" s="2">
        <f>IF(D63&gt;0,-(D63+$B$68)*($H$6/'Loan Amortization'!$D$8),0)</f>
        <v>0</v>
      </c>
      <c r="F63" s="2">
        <f t="shared" ref="F63:F74" si="23">IF(F$20&lt;($H$11+1),$B$67-((((F$20-1)*12)+$C63)*$B$68),0)</f>
        <v>0</v>
      </c>
      <c r="G63" s="2">
        <f>IF(F63&gt;0,-(F63+$B$68)*($H$6/'Loan Amortization'!$D$8),0)</f>
        <v>0</v>
      </c>
      <c r="H63" s="2">
        <f t="shared" ref="H63:H74" si="24">IF(H$20&lt;($H$11+1),$B$67-((((H$20-1)*12)+$C63)*$B$68),0)</f>
        <v>0</v>
      </c>
      <c r="I63" s="2">
        <f>IF(H63&gt;0,-(H63+$B$68)*($H$6/'Loan Amortization'!$D$8),0)</f>
        <v>0</v>
      </c>
      <c r="J63" s="2">
        <f t="shared" ref="J63:J74" si="25">IF(J$20&lt;($H$11+1),$B$67-((((J$20-1)*12)+$C63)*$B$68),0)</f>
        <v>0</v>
      </c>
      <c r="K63" s="2">
        <f>IF(J63&gt;0,-(J63+$B$68)*($H$6/'Loan Amortization'!$D$8),0)</f>
        <v>0</v>
      </c>
      <c r="L63" s="2">
        <f t="shared" ref="L63:L74" si="26">IF(L$20&lt;($H$11+1),$B$67-((((L$20-1)*12)+$C63)*$B$68),0)</f>
        <v>0</v>
      </c>
      <c r="M63" s="2">
        <f>IF(L63&gt;0,-(L63+$B$68)*($H$6/'Loan Amortization'!$D$8),0)</f>
        <v>0</v>
      </c>
      <c r="N63" s="2">
        <f t="shared" ref="N63:N74" si="27">IF(N$20&lt;($H$11+1),$B$67-((((N$20-1)*12)+$C63)*$B$68),0)</f>
        <v>0</v>
      </c>
      <c r="O63" s="2">
        <f>IF(N63&gt;0,-(N63+$B$68)*($H$6/'Loan Amortization'!$D$8),0)</f>
        <v>0</v>
      </c>
      <c r="P63" s="2">
        <f t="shared" ref="P63:P74" si="28">IF(P$20&lt;($H$11+1),$B$67-((((P$20-1)*12)+$C63)*$B$68),0)</f>
        <v>0</v>
      </c>
      <c r="Q63" s="2">
        <f>IF(P63&gt;0,-(P63+$B$68)*($H$6/'Loan Amortization'!$D$8),0)</f>
        <v>0</v>
      </c>
      <c r="R63" s="2">
        <f t="shared" ref="R63:R74" si="29">IF(R$20&lt;($H$11+1),$B$67-((((R$20-1)*12)+$C63)*$B$68),0)</f>
        <v>0</v>
      </c>
      <c r="S63" s="2">
        <f>IF(R63&gt;0,-(R63+$B$68)*($H$6/'Loan Amortization'!$D$8),0)</f>
        <v>0</v>
      </c>
      <c r="T63" s="2">
        <f t="shared" ref="T63:T74" si="30">IF(T$20&lt;($H$11+1),$B$67-((((T$20-1)*12)+$C63)*$B$68),0)</f>
        <v>0</v>
      </c>
      <c r="U63" s="2">
        <f>IF(T63&gt;0,-(T63+$B$68)*($H$6/'Loan Amortization'!$D$8),0)</f>
        <v>0</v>
      </c>
      <c r="V63" s="2">
        <f t="shared" ref="V63:V74" si="31">IF(V$20&lt;($H$11+1),$B$67-((((V$20-1)*12)+$C63)*$B$68),0)</f>
        <v>0</v>
      </c>
      <c r="W63" s="2">
        <f>IF(V63&gt;0,-(V63+$B$68)*($H$6/'Loan Amortization'!$D$8),0)</f>
        <v>0</v>
      </c>
      <c r="X63" s="2">
        <f>SUM(C63:V63)</f>
        <v>1</v>
      </c>
      <c r="Y63" s="2"/>
      <c r="Z63" s="480"/>
    </row>
    <row r="64" spans="2:26" x14ac:dyDescent="0.15">
      <c r="B64" s="511">
        <f>-PMT($H$6/12,$H$11,C7)</f>
        <v>0</v>
      </c>
      <c r="C64" s="4">
        <v>2</v>
      </c>
      <c r="D64" s="2">
        <f t="shared" si="22"/>
        <v>0</v>
      </c>
      <c r="E64" s="2">
        <f>IF(D64&gt;0,-(D64+$B$68)*($H$6/'Loan Amortization'!$D$8),0)</f>
        <v>0</v>
      </c>
      <c r="F64" s="2">
        <f t="shared" si="23"/>
        <v>0</v>
      </c>
      <c r="G64" s="2">
        <f>IF(F64&gt;0,-(F64+$B$68)*($H$6/'Loan Amortization'!$D$8),0)</f>
        <v>0</v>
      </c>
      <c r="H64" s="2">
        <f t="shared" si="24"/>
        <v>0</v>
      </c>
      <c r="I64" s="2">
        <f>IF(H64&gt;0,-(H64+$B$68)*($H$6/'Loan Amortization'!$D$8),0)</f>
        <v>0</v>
      </c>
      <c r="J64" s="2">
        <f t="shared" si="25"/>
        <v>0</v>
      </c>
      <c r="K64" s="2">
        <f>IF(J64&gt;0,-(J64+$B$68)*($H$6/'Loan Amortization'!$D$8),0)</f>
        <v>0</v>
      </c>
      <c r="L64" s="2">
        <f t="shared" si="26"/>
        <v>0</v>
      </c>
      <c r="M64" s="2">
        <f>IF(L64&gt;0,-(L64+$B$68)*($H$6/'Loan Amortization'!$D$8),0)</f>
        <v>0</v>
      </c>
      <c r="N64" s="2">
        <f t="shared" si="27"/>
        <v>0</v>
      </c>
      <c r="O64" s="2">
        <f>IF(N64&gt;0,-(N64+$B$68)*($H$6/'Loan Amortization'!$D$8),0)</f>
        <v>0</v>
      </c>
      <c r="P64" s="2">
        <f t="shared" si="28"/>
        <v>0</v>
      </c>
      <c r="Q64" s="2">
        <f>IF(P64&gt;0,-(P64+$B$68)*($H$6/'Loan Amortization'!$D$8),0)</f>
        <v>0</v>
      </c>
      <c r="R64" s="2">
        <f t="shared" si="29"/>
        <v>0</v>
      </c>
      <c r="S64" s="2">
        <f>IF(R64&gt;0,-(R64+$B$68)*($H$6/'Loan Amortization'!$D$8),0)</f>
        <v>0</v>
      </c>
      <c r="T64" s="2">
        <f t="shared" si="30"/>
        <v>0</v>
      </c>
      <c r="U64" s="2">
        <f>IF(T64&gt;0,-(T64+$B$68)*($H$6/'Loan Amortization'!$D$8),0)</f>
        <v>0</v>
      </c>
      <c r="V64" s="2">
        <f t="shared" si="31"/>
        <v>0</v>
      </c>
      <c r="W64" s="2">
        <f>IF(V64&gt;0,-(V64+$B$68)*($H$6/'Loan Amortization'!$D$8),0)</f>
        <v>0</v>
      </c>
      <c r="X64" s="2">
        <f t="shared" ref="X64:X76" si="32">SUM(C64:V64)</f>
        <v>2</v>
      </c>
      <c r="Y64" s="2"/>
      <c r="Z64" s="480"/>
    </row>
    <row r="65" spans="2:26" x14ac:dyDescent="0.15">
      <c r="B65" s="540">
        <f>B64*1</f>
        <v>0</v>
      </c>
      <c r="C65" s="4">
        <v>3</v>
      </c>
      <c r="D65" s="2">
        <f t="shared" si="22"/>
        <v>0</v>
      </c>
      <c r="E65" s="2">
        <f>IF(D65&gt;0,-(D65+$B$68)*($H$6/'Loan Amortization'!$D$8),0)</f>
        <v>0</v>
      </c>
      <c r="F65" s="2">
        <f t="shared" si="23"/>
        <v>0</v>
      </c>
      <c r="G65" s="2">
        <f>IF(F65&gt;0,-(F65+$B$68)*($H$6/'Loan Amortization'!$D$8),0)</f>
        <v>0</v>
      </c>
      <c r="H65" s="2">
        <f t="shared" si="24"/>
        <v>0</v>
      </c>
      <c r="I65" s="2">
        <f>IF(H65&gt;0,-(H65+$B$68)*($H$6/'Loan Amortization'!$D$8),0)</f>
        <v>0</v>
      </c>
      <c r="J65" s="2">
        <f t="shared" si="25"/>
        <v>0</v>
      </c>
      <c r="K65" s="2">
        <f>IF(J65&gt;0,-(J65+$B$68)*($H$6/'Loan Amortization'!$D$8),0)</f>
        <v>0</v>
      </c>
      <c r="L65" s="2">
        <f t="shared" si="26"/>
        <v>0</v>
      </c>
      <c r="M65" s="2">
        <f>IF(L65&gt;0,-(L65+$B$68)*($H$6/'Loan Amortization'!$D$8),0)</f>
        <v>0</v>
      </c>
      <c r="N65" s="2">
        <f t="shared" si="27"/>
        <v>0</v>
      </c>
      <c r="O65" s="2">
        <f>IF(N65&gt;0,-(N65+$B$68)*($H$6/'Loan Amortization'!$D$8),0)</f>
        <v>0</v>
      </c>
      <c r="P65" s="2">
        <f t="shared" si="28"/>
        <v>0</v>
      </c>
      <c r="Q65" s="2">
        <f>IF(P65&gt;0,-(P65+$B$68)*($H$6/'Loan Amortization'!$D$8),0)</f>
        <v>0</v>
      </c>
      <c r="R65" s="2">
        <f t="shared" si="29"/>
        <v>0</v>
      </c>
      <c r="S65" s="2">
        <f>IF(R65&gt;0,-(R65+$B$68)*($H$6/'Loan Amortization'!$D$8),0)</f>
        <v>0</v>
      </c>
      <c r="T65" s="2">
        <f t="shared" si="30"/>
        <v>0</v>
      </c>
      <c r="U65" s="2">
        <f>IF(T65&gt;0,-(T65+$B$68)*($H$6/'Loan Amortization'!$D$8),0)</f>
        <v>0</v>
      </c>
      <c r="V65" s="2">
        <f t="shared" si="31"/>
        <v>0</v>
      </c>
      <c r="W65" s="2">
        <f>IF(V65&gt;0,-(V65+$B$68)*($H$6/'Loan Amortization'!$D$8),0)</f>
        <v>0</v>
      </c>
      <c r="X65" s="2">
        <f t="shared" si="32"/>
        <v>3</v>
      </c>
      <c r="Y65" s="2"/>
      <c r="Z65" s="480"/>
    </row>
    <row r="66" spans="2:26" x14ac:dyDescent="0.15">
      <c r="B66" s="202" t="s">
        <v>662</v>
      </c>
      <c r="C66" s="4">
        <v>4</v>
      </c>
      <c r="D66" s="2">
        <f t="shared" si="22"/>
        <v>0</v>
      </c>
      <c r="E66" s="2">
        <f>IF(D66&gt;0,-(D66+$B$68)*($H$6/'Loan Amortization'!$D$8),0)</f>
        <v>0</v>
      </c>
      <c r="F66" s="2">
        <f t="shared" si="23"/>
        <v>0</v>
      </c>
      <c r="G66" s="2">
        <f>IF(F66&gt;0,-(F66+$B$68)*($H$6/'Loan Amortization'!$D$8),0)</f>
        <v>0</v>
      </c>
      <c r="H66" s="2">
        <f t="shared" si="24"/>
        <v>0</v>
      </c>
      <c r="I66" s="2">
        <f>IF(H66&gt;0,-(H66+$B$68)*($H$6/'Loan Amortization'!$D$8),0)</f>
        <v>0</v>
      </c>
      <c r="J66" s="2">
        <f t="shared" si="25"/>
        <v>0</v>
      </c>
      <c r="K66" s="2">
        <f>IF(J66&gt;0,-(J66+$B$68)*($H$6/'Loan Amortization'!$D$8),0)</f>
        <v>0</v>
      </c>
      <c r="L66" s="2">
        <f t="shared" si="26"/>
        <v>0</v>
      </c>
      <c r="M66" s="2">
        <f>IF(L66&gt;0,-(L66+$B$68)*($H$6/'Loan Amortization'!$D$8),0)</f>
        <v>0</v>
      </c>
      <c r="N66" s="2">
        <f t="shared" si="27"/>
        <v>0</v>
      </c>
      <c r="O66" s="2">
        <f>IF(N66&gt;0,-(N66+$B$68)*($H$6/'Loan Amortization'!$D$8),0)</f>
        <v>0</v>
      </c>
      <c r="P66" s="2">
        <f t="shared" si="28"/>
        <v>0</v>
      </c>
      <c r="Q66" s="2">
        <f>IF(P66&gt;0,-(P66+$B$68)*($H$6/'Loan Amortization'!$D$8),0)</f>
        <v>0</v>
      </c>
      <c r="R66" s="2">
        <f t="shared" si="29"/>
        <v>0</v>
      </c>
      <c r="S66" s="2">
        <f>IF(R66&gt;0,-(R66+$B$68)*($H$6/'Loan Amortization'!$D$8),0)</f>
        <v>0</v>
      </c>
      <c r="T66" s="2">
        <f t="shared" si="30"/>
        <v>0</v>
      </c>
      <c r="U66" s="2">
        <f>IF(T66&gt;0,-(T66+$B$68)*($H$6/'Loan Amortization'!$D$8),0)</f>
        <v>0</v>
      </c>
      <c r="V66" s="2">
        <f t="shared" si="31"/>
        <v>0</v>
      </c>
      <c r="W66" s="2">
        <f>IF(V66&gt;0,-(V66+$B$68)*($H$6/'Loan Amortization'!$D$8),0)</f>
        <v>0</v>
      </c>
      <c r="X66" s="2">
        <f t="shared" si="32"/>
        <v>4</v>
      </c>
      <c r="Y66" s="2"/>
      <c r="Z66" s="480"/>
    </row>
    <row r="67" spans="2:26" x14ac:dyDescent="0.15">
      <c r="B67" s="521">
        <f>C7</f>
        <v>0</v>
      </c>
      <c r="C67" s="4">
        <v>5</v>
      </c>
      <c r="D67" s="2">
        <f t="shared" si="22"/>
        <v>0</v>
      </c>
      <c r="E67" s="2">
        <f>IF(D67&gt;0,-(D67+$B$68)*($H$6/'Loan Amortization'!$D$8),0)</f>
        <v>0</v>
      </c>
      <c r="F67" s="2">
        <f t="shared" si="23"/>
        <v>0</v>
      </c>
      <c r="G67" s="2">
        <f>IF(F67&gt;0,-(F67+$B$68)*($H$6/'Loan Amortization'!$D$8),0)</f>
        <v>0</v>
      </c>
      <c r="H67" s="2">
        <f t="shared" si="24"/>
        <v>0</v>
      </c>
      <c r="I67" s="2">
        <f>IF(H67&gt;0,-(H67+$B$68)*($H$6/'Loan Amortization'!$D$8),0)</f>
        <v>0</v>
      </c>
      <c r="J67" s="2">
        <f t="shared" si="25"/>
        <v>0</v>
      </c>
      <c r="K67" s="2">
        <f>IF(J67&gt;0,-(J67+$B$68)*($H$6/'Loan Amortization'!$D$8),0)</f>
        <v>0</v>
      </c>
      <c r="L67" s="2">
        <f t="shared" si="26"/>
        <v>0</v>
      </c>
      <c r="M67" s="2">
        <f>IF(L67&gt;0,-(L67+$B$68)*($H$6/'Loan Amortization'!$D$8),0)</f>
        <v>0</v>
      </c>
      <c r="N67" s="2">
        <f t="shared" si="27"/>
        <v>0</v>
      </c>
      <c r="O67" s="2">
        <f>IF(N67&gt;0,-(N67+$B$68)*($H$6/'Loan Amortization'!$D$8),0)</f>
        <v>0</v>
      </c>
      <c r="P67" s="2">
        <f t="shared" si="28"/>
        <v>0</v>
      </c>
      <c r="Q67" s="2">
        <f>IF(P67&gt;0,-(P67+$B$68)*($H$6/'Loan Amortization'!$D$8),0)</f>
        <v>0</v>
      </c>
      <c r="R67" s="2">
        <f t="shared" si="29"/>
        <v>0</v>
      </c>
      <c r="S67" s="2">
        <f>IF(R67&gt;0,-(R67+$B$68)*($H$6/'Loan Amortization'!$D$8),0)</f>
        <v>0</v>
      </c>
      <c r="T67" s="2">
        <f t="shared" si="30"/>
        <v>0</v>
      </c>
      <c r="U67" s="2">
        <f>IF(T67&gt;0,-(T67+$B$68)*($H$6/'Loan Amortization'!$D$8),0)</f>
        <v>0</v>
      </c>
      <c r="V67" s="2">
        <f t="shared" si="31"/>
        <v>0</v>
      </c>
      <c r="W67" s="2">
        <f>IF(V67&gt;0,-(V67+$B$68)*($H$6/'Loan Amortization'!$D$8),0)</f>
        <v>0</v>
      </c>
      <c r="X67" s="2">
        <f t="shared" si="32"/>
        <v>5</v>
      </c>
      <c r="Y67" s="2"/>
      <c r="Z67" s="480"/>
    </row>
    <row r="68" spans="2:26" x14ac:dyDescent="0.15">
      <c r="B68" s="521">
        <f>B67/($H$11)</f>
        <v>0</v>
      </c>
      <c r="C68" s="4">
        <v>6</v>
      </c>
      <c r="D68" s="2">
        <f t="shared" si="22"/>
        <v>0</v>
      </c>
      <c r="E68" s="2">
        <f>IF(D68&gt;0,-(D68+$B$68)*($H$6/'Loan Amortization'!$D$8),0)</f>
        <v>0</v>
      </c>
      <c r="F68" s="2">
        <f t="shared" si="23"/>
        <v>0</v>
      </c>
      <c r="G68" s="2">
        <f>IF(F68&gt;0,-(F68+$B$68)*($H$6/'Loan Amortization'!$D$8),0)</f>
        <v>0</v>
      </c>
      <c r="H68" s="2">
        <f t="shared" si="24"/>
        <v>0</v>
      </c>
      <c r="I68" s="2">
        <f>IF(H68&gt;0,-(H68+$B$68)*($H$6/'Loan Amortization'!$D$8),0)</f>
        <v>0</v>
      </c>
      <c r="J68" s="2">
        <f t="shared" si="25"/>
        <v>0</v>
      </c>
      <c r="K68" s="2">
        <f>IF(J68&gt;0,-(J68+$B$68)*($H$6/'Loan Amortization'!$D$8),0)</f>
        <v>0</v>
      </c>
      <c r="L68" s="2">
        <f t="shared" si="26"/>
        <v>0</v>
      </c>
      <c r="M68" s="2">
        <f>IF(L68&gt;0,-(L68+$B$68)*($H$6/'Loan Amortization'!$D$8),0)</f>
        <v>0</v>
      </c>
      <c r="N68" s="2">
        <f t="shared" si="27"/>
        <v>0</v>
      </c>
      <c r="O68" s="2">
        <f>IF(N68&gt;0,-(N68+$B$68)*($H$6/'Loan Amortization'!$D$8),0)</f>
        <v>0</v>
      </c>
      <c r="P68" s="2">
        <f t="shared" si="28"/>
        <v>0</v>
      </c>
      <c r="Q68" s="2">
        <f>IF(P68&gt;0,-(P68+$B$68)*($H$6/'Loan Amortization'!$D$8),0)</f>
        <v>0</v>
      </c>
      <c r="R68" s="2">
        <f t="shared" si="29"/>
        <v>0</v>
      </c>
      <c r="S68" s="2">
        <f>IF(R68&gt;0,-(R68+$B$68)*($H$6/'Loan Amortization'!$D$8),0)</f>
        <v>0</v>
      </c>
      <c r="T68" s="2">
        <f t="shared" si="30"/>
        <v>0</v>
      </c>
      <c r="U68" s="2">
        <f>IF(T68&gt;0,-(T68+$B$68)*($H$6/'Loan Amortization'!$D$8),0)</f>
        <v>0</v>
      </c>
      <c r="V68" s="2">
        <f t="shared" si="31"/>
        <v>0</v>
      </c>
      <c r="W68" s="2">
        <f>IF(V68&gt;0,-(V68+$B$68)*($H$6/'Loan Amortization'!$D$8),0)</f>
        <v>0</v>
      </c>
      <c r="X68" s="2">
        <f t="shared" si="32"/>
        <v>6</v>
      </c>
      <c r="Y68" s="2"/>
      <c r="Z68" s="480"/>
    </row>
    <row r="69" spans="2:26" x14ac:dyDescent="0.15">
      <c r="B69" s="202"/>
      <c r="C69" s="4">
        <v>7</v>
      </c>
      <c r="D69" s="2">
        <f t="shared" si="22"/>
        <v>0</v>
      </c>
      <c r="E69" s="2">
        <f>IF(D69&gt;0,-(D69+$B$68)*($H$6/'Loan Amortization'!$D$8),0)</f>
        <v>0</v>
      </c>
      <c r="F69" s="2">
        <f t="shared" si="23"/>
        <v>0</v>
      </c>
      <c r="G69" s="2">
        <f>IF(F69&gt;0,-(F69+$B$68)*($H$6/'Loan Amortization'!$D$8),0)</f>
        <v>0</v>
      </c>
      <c r="H69" s="2">
        <f t="shared" si="24"/>
        <v>0</v>
      </c>
      <c r="I69" s="2">
        <f>IF(H69&gt;0,-(H69+$B$68)*($H$6/'Loan Amortization'!$D$8),0)</f>
        <v>0</v>
      </c>
      <c r="J69" s="2">
        <f t="shared" si="25"/>
        <v>0</v>
      </c>
      <c r="K69" s="2">
        <f>IF(J69&gt;0,-(J69+$B$68)*($H$6/'Loan Amortization'!$D$8),0)</f>
        <v>0</v>
      </c>
      <c r="L69" s="2">
        <f t="shared" si="26"/>
        <v>0</v>
      </c>
      <c r="M69" s="2">
        <f>IF(L69&gt;0,-(L69+$B$68)*($H$6/'Loan Amortization'!$D$8),0)</f>
        <v>0</v>
      </c>
      <c r="N69" s="2">
        <f t="shared" si="27"/>
        <v>0</v>
      </c>
      <c r="O69" s="2">
        <f>IF(N69&gt;0,-(N69+$B$68)*($H$6/'Loan Amortization'!$D$8),0)</f>
        <v>0</v>
      </c>
      <c r="P69" s="2">
        <f t="shared" si="28"/>
        <v>0</v>
      </c>
      <c r="Q69" s="2">
        <f>IF(P69&gt;0,-(P69+$B$68)*($H$6/'Loan Amortization'!$D$8),0)</f>
        <v>0</v>
      </c>
      <c r="R69" s="2">
        <f t="shared" si="29"/>
        <v>0</v>
      </c>
      <c r="S69" s="2">
        <f>IF(R69&gt;0,-(R69+$B$68)*($H$6/'Loan Amortization'!$D$8),0)</f>
        <v>0</v>
      </c>
      <c r="T69" s="2">
        <f t="shared" si="30"/>
        <v>0</v>
      </c>
      <c r="U69" s="2">
        <f>IF(T69&gt;0,-(T69+$B$68)*($H$6/'Loan Amortization'!$D$8),0)</f>
        <v>0</v>
      </c>
      <c r="V69" s="2">
        <f t="shared" si="31"/>
        <v>0</v>
      </c>
      <c r="W69" s="2">
        <f>IF(V69&gt;0,-(V69+$B$68)*($H$6/'Loan Amortization'!$D$8),0)</f>
        <v>0</v>
      </c>
      <c r="X69" s="2">
        <f t="shared" si="32"/>
        <v>7</v>
      </c>
      <c r="Y69" s="2"/>
      <c r="Z69" s="480"/>
    </row>
    <row r="70" spans="2:26" x14ac:dyDescent="0.15">
      <c r="B70" s="202"/>
      <c r="C70" s="4">
        <v>8</v>
      </c>
      <c r="D70" s="2">
        <f t="shared" si="22"/>
        <v>0</v>
      </c>
      <c r="E70" s="2">
        <f>IF(D70&gt;0,-(D70+$B$68)*($H$6/'Loan Amortization'!$D$8),0)</f>
        <v>0</v>
      </c>
      <c r="F70" s="2">
        <f t="shared" si="23"/>
        <v>0</v>
      </c>
      <c r="G70" s="2">
        <f>IF(F70&gt;0,-(F70+$B$68)*($H$6/'Loan Amortization'!$D$8),0)</f>
        <v>0</v>
      </c>
      <c r="H70" s="2">
        <f t="shared" si="24"/>
        <v>0</v>
      </c>
      <c r="I70" s="2">
        <f>IF(H70&gt;0,-(H70+$B$68)*($H$6/'Loan Amortization'!$D$8),0)</f>
        <v>0</v>
      </c>
      <c r="J70" s="2">
        <f t="shared" si="25"/>
        <v>0</v>
      </c>
      <c r="K70" s="2">
        <f>IF(J70&gt;0,-(J70+$B$68)*($H$6/'Loan Amortization'!$D$8),0)</f>
        <v>0</v>
      </c>
      <c r="L70" s="2">
        <f t="shared" si="26"/>
        <v>0</v>
      </c>
      <c r="M70" s="2">
        <f>IF(L70&gt;0,-(L70+$B$68)*($H$6/'Loan Amortization'!$D$8),0)</f>
        <v>0</v>
      </c>
      <c r="N70" s="2">
        <f t="shared" si="27"/>
        <v>0</v>
      </c>
      <c r="O70" s="2">
        <f>IF(N70&gt;0,-(N70+$B$68)*($H$6/'Loan Amortization'!$D$8),0)</f>
        <v>0</v>
      </c>
      <c r="P70" s="2">
        <f t="shared" si="28"/>
        <v>0</v>
      </c>
      <c r="Q70" s="2">
        <f>IF(P70&gt;0,-(P70+$B$68)*($H$6/'Loan Amortization'!$D$8),0)</f>
        <v>0</v>
      </c>
      <c r="R70" s="2">
        <f t="shared" si="29"/>
        <v>0</v>
      </c>
      <c r="S70" s="2">
        <f>IF(R70&gt;0,-(R70+$B$68)*($H$6/'Loan Amortization'!$D$8),0)</f>
        <v>0</v>
      </c>
      <c r="T70" s="2">
        <f t="shared" si="30"/>
        <v>0</v>
      </c>
      <c r="U70" s="2">
        <f>IF(T70&gt;0,-(T70+$B$68)*($H$6/'Loan Amortization'!$D$8),0)</f>
        <v>0</v>
      </c>
      <c r="V70" s="2">
        <f t="shared" si="31"/>
        <v>0</v>
      </c>
      <c r="W70" s="2">
        <f>IF(V70&gt;0,-(V70+$B$68)*($H$6/'Loan Amortization'!$D$8),0)</f>
        <v>0</v>
      </c>
      <c r="X70" s="2">
        <f t="shared" si="32"/>
        <v>8</v>
      </c>
      <c r="Y70" s="2"/>
      <c r="Z70" s="480"/>
    </row>
    <row r="71" spans="2:26" x14ac:dyDescent="0.15">
      <c r="B71" s="202"/>
      <c r="C71" s="4">
        <v>9</v>
      </c>
      <c r="D71" s="2">
        <f t="shared" si="22"/>
        <v>0</v>
      </c>
      <c r="E71" s="2">
        <f>IF(D71&gt;0,-(D71+$B$68)*($H$6/'Loan Amortization'!$D$8),0)</f>
        <v>0</v>
      </c>
      <c r="F71" s="2">
        <f t="shared" si="23"/>
        <v>0</v>
      </c>
      <c r="G71" s="2">
        <f>IF(F71&gt;0,-(F71+$B$68)*($H$6/'Loan Amortization'!$D$8),0)</f>
        <v>0</v>
      </c>
      <c r="H71" s="2">
        <f t="shared" si="24"/>
        <v>0</v>
      </c>
      <c r="I71" s="2">
        <f>IF(H71&gt;0,-(H71+$B$68)*($H$6/'Loan Amortization'!$D$8),0)</f>
        <v>0</v>
      </c>
      <c r="J71" s="2">
        <f t="shared" si="25"/>
        <v>0</v>
      </c>
      <c r="K71" s="2">
        <f>IF(J71&gt;0,-(J71+$B$68)*($H$6/'Loan Amortization'!$D$8),0)</f>
        <v>0</v>
      </c>
      <c r="L71" s="2">
        <f t="shared" si="26"/>
        <v>0</v>
      </c>
      <c r="M71" s="2">
        <f>IF(L71&gt;0,-(L71+$B$68)*($H$6/'Loan Amortization'!$D$8),0)</f>
        <v>0</v>
      </c>
      <c r="N71" s="2">
        <f t="shared" si="27"/>
        <v>0</v>
      </c>
      <c r="O71" s="2">
        <f>IF(N71&gt;0,-(N71+$B$68)*($H$6/'Loan Amortization'!$D$8),0)</f>
        <v>0</v>
      </c>
      <c r="P71" s="2">
        <f t="shared" si="28"/>
        <v>0</v>
      </c>
      <c r="Q71" s="2">
        <f>IF(P71&gt;0,-(P71+$B$68)*($H$6/'Loan Amortization'!$D$8),0)</f>
        <v>0</v>
      </c>
      <c r="R71" s="2">
        <f t="shared" si="29"/>
        <v>0</v>
      </c>
      <c r="S71" s="2">
        <f>IF(R71&gt;0,-(R71+$B$68)*($H$6/'Loan Amortization'!$D$8),0)</f>
        <v>0</v>
      </c>
      <c r="T71" s="2">
        <f t="shared" si="30"/>
        <v>0</v>
      </c>
      <c r="U71" s="2">
        <f>IF(T71&gt;0,-(T71+$B$68)*($H$6/'Loan Amortization'!$D$8),0)</f>
        <v>0</v>
      </c>
      <c r="V71" s="2">
        <f t="shared" si="31"/>
        <v>0</v>
      </c>
      <c r="W71" s="2">
        <f>IF(V71&gt;0,-(V71+$B$68)*($H$6/'Loan Amortization'!$D$8),0)</f>
        <v>0</v>
      </c>
      <c r="X71" s="2">
        <f t="shared" si="32"/>
        <v>9</v>
      </c>
      <c r="Y71" s="2"/>
      <c r="Z71" s="480"/>
    </row>
    <row r="72" spans="2:26" x14ac:dyDescent="0.15">
      <c r="B72" s="202"/>
      <c r="C72" s="4">
        <v>10</v>
      </c>
      <c r="D72" s="2">
        <f t="shared" si="22"/>
        <v>0</v>
      </c>
      <c r="E72" s="2">
        <f>IF(D72&gt;0,-(D72+$B$68)*($H$6/'Loan Amortization'!$D$8),0)</f>
        <v>0</v>
      </c>
      <c r="F72" s="2">
        <f t="shared" si="23"/>
        <v>0</v>
      </c>
      <c r="G72" s="2">
        <f>IF(F72&gt;0,-(F72+$B$68)*($H$6/'Loan Amortization'!$D$8),0)</f>
        <v>0</v>
      </c>
      <c r="H72" s="2">
        <f t="shared" si="24"/>
        <v>0</v>
      </c>
      <c r="I72" s="2">
        <f>IF(H72&gt;0,-(H72+$B$68)*($H$6/'Loan Amortization'!$D$8),0)</f>
        <v>0</v>
      </c>
      <c r="J72" s="2">
        <f t="shared" si="25"/>
        <v>0</v>
      </c>
      <c r="K72" s="2">
        <f>IF(J72&gt;0,-(J72+$B$68)*($H$6/'Loan Amortization'!$D$8),0)</f>
        <v>0</v>
      </c>
      <c r="L72" s="2">
        <f t="shared" si="26"/>
        <v>0</v>
      </c>
      <c r="M72" s="2">
        <f>IF(L72&gt;0,-(L72+$B$68)*($H$6/'Loan Amortization'!$D$8),0)</f>
        <v>0</v>
      </c>
      <c r="N72" s="2">
        <f t="shared" si="27"/>
        <v>0</v>
      </c>
      <c r="O72" s="2">
        <f>IF(N72&gt;0,-(N72+$B$68)*($H$6/'Loan Amortization'!$D$8),0)</f>
        <v>0</v>
      </c>
      <c r="P72" s="2">
        <f t="shared" si="28"/>
        <v>0</v>
      </c>
      <c r="Q72" s="2">
        <f>IF(P72&gt;0,-(P72+$B$68)*($H$6/'Loan Amortization'!$D$8),0)</f>
        <v>0</v>
      </c>
      <c r="R72" s="2">
        <f t="shared" si="29"/>
        <v>0</v>
      </c>
      <c r="S72" s="2">
        <f>IF(R72&gt;0,-(R72+$B$68)*($H$6/'Loan Amortization'!$D$8),0)</f>
        <v>0</v>
      </c>
      <c r="T72" s="2">
        <f t="shared" si="30"/>
        <v>0</v>
      </c>
      <c r="U72" s="2">
        <f>IF(T72&gt;0,-(T72+$B$68)*($H$6/'Loan Amortization'!$D$8),0)</f>
        <v>0</v>
      </c>
      <c r="V72" s="2">
        <f t="shared" si="31"/>
        <v>0</v>
      </c>
      <c r="W72" s="2">
        <f>IF(V72&gt;0,-(V72+$B$68)*($H$6/'Loan Amortization'!$D$8),0)</f>
        <v>0</v>
      </c>
      <c r="X72" s="2">
        <f t="shared" si="32"/>
        <v>10</v>
      </c>
      <c r="Y72" s="2"/>
      <c r="Z72" s="480"/>
    </row>
    <row r="73" spans="2:26" x14ac:dyDescent="0.15">
      <c r="B73" s="202"/>
      <c r="C73" s="4">
        <v>11</v>
      </c>
      <c r="D73" s="2">
        <f t="shared" si="22"/>
        <v>0</v>
      </c>
      <c r="E73" s="2">
        <f>IF(D73&gt;0,-(D73+$B$68)*($H$6/'Loan Amortization'!$D$8),0)</f>
        <v>0</v>
      </c>
      <c r="F73" s="2">
        <f t="shared" si="23"/>
        <v>0</v>
      </c>
      <c r="G73" s="2">
        <f>IF(F73&gt;0,-(F73+$B$68)*($H$6/'Loan Amortization'!$D$8),0)</f>
        <v>0</v>
      </c>
      <c r="H73" s="2">
        <f t="shared" si="24"/>
        <v>0</v>
      </c>
      <c r="I73" s="2">
        <f>IF(H73&gt;0,-(H73+$B$68)*($H$6/'Loan Amortization'!$D$8),0)</f>
        <v>0</v>
      </c>
      <c r="J73" s="2">
        <f t="shared" si="25"/>
        <v>0</v>
      </c>
      <c r="K73" s="2">
        <f>IF(J73&gt;0,-(J73+$B$68)*($H$6/'Loan Amortization'!$D$8),0)</f>
        <v>0</v>
      </c>
      <c r="L73" s="2">
        <f t="shared" si="26"/>
        <v>0</v>
      </c>
      <c r="M73" s="2">
        <f>IF(L73&gt;0,-(L73+$B$68)*($H$6/'Loan Amortization'!$D$8),0)</f>
        <v>0</v>
      </c>
      <c r="N73" s="2">
        <f t="shared" si="27"/>
        <v>0</v>
      </c>
      <c r="O73" s="2">
        <f>IF(N73&gt;0,-(N73+$B$68)*($H$6/'Loan Amortization'!$D$8),0)</f>
        <v>0</v>
      </c>
      <c r="P73" s="2">
        <f t="shared" si="28"/>
        <v>0</v>
      </c>
      <c r="Q73" s="2">
        <f>IF(P73&gt;0,-(P73+$B$68)*($H$6/'Loan Amortization'!$D$8),0)</f>
        <v>0</v>
      </c>
      <c r="R73" s="2">
        <f t="shared" si="29"/>
        <v>0</v>
      </c>
      <c r="S73" s="2">
        <f>IF(R73&gt;0,-(R73+$B$68)*($H$6/'Loan Amortization'!$D$8),0)</f>
        <v>0</v>
      </c>
      <c r="T73" s="2">
        <f t="shared" si="30"/>
        <v>0</v>
      </c>
      <c r="U73" s="2">
        <f>IF(T73&gt;0,-(T73+$B$68)*($H$6/'Loan Amortization'!$D$8),0)</f>
        <v>0</v>
      </c>
      <c r="V73" s="2">
        <f t="shared" si="31"/>
        <v>0</v>
      </c>
      <c r="W73" s="2">
        <f>IF(V73&gt;0,-(V73+$B$68)*($H$6/'Loan Amortization'!$D$8),0)</f>
        <v>0</v>
      </c>
      <c r="X73" s="2">
        <f t="shared" si="32"/>
        <v>11</v>
      </c>
      <c r="Y73" s="2"/>
      <c r="Z73" s="480"/>
    </row>
    <row r="74" spans="2:26" ht="14" thickBot="1" x14ac:dyDescent="0.2">
      <c r="B74" s="202"/>
      <c r="C74" s="4">
        <v>12</v>
      </c>
      <c r="D74" s="2">
        <f t="shared" si="22"/>
        <v>0</v>
      </c>
      <c r="E74" s="2">
        <f>IF(D74&gt;0,-(D74+$B$68)*($H$6/'Loan Amortization'!$D$8),0)</f>
        <v>0</v>
      </c>
      <c r="F74" s="2">
        <f t="shared" si="23"/>
        <v>0</v>
      </c>
      <c r="G74" s="2">
        <f>IF(F74&gt;0,-(F74+$B$68)*($H$6/'Loan Amortization'!$D$8),0)</f>
        <v>0</v>
      </c>
      <c r="H74" s="2">
        <f t="shared" si="24"/>
        <v>0</v>
      </c>
      <c r="I74" s="2">
        <f>IF(H74&gt;0,-(H74+$B$68)*($H$6/'Loan Amortization'!$D$8),0)</f>
        <v>0</v>
      </c>
      <c r="J74" s="2">
        <f t="shared" si="25"/>
        <v>0</v>
      </c>
      <c r="K74" s="2">
        <f>IF(J74&gt;0,-(J74+$B$68)*($H$6/'Loan Amortization'!$D$8),0)</f>
        <v>0</v>
      </c>
      <c r="L74" s="2">
        <f t="shared" si="26"/>
        <v>0</v>
      </c>
      <c r="M74" s="2">
        <f>IF(L74&gt;0,-(L74+$B$68)*($H$6/'Loan Amortization'!$D$8),0)</f>
        <v>0</v>
      </c>
      <c r="N74" s="2">
        <f t="shared" si="27"/>
        <v>0</v>
      </c>
      <c r="O74" s="2">
        <f>IF(N74&gt;0,-(N74+$B$68)*($H$6/'Loan Amortization'!$D$8),0)</f>
        <v>0</v>
      </c>
      <c r="P74" s="2">
        <f t="shared" si="28"/>
        <v>0</v>
      </c>
      <c r="Q74" s="2">
        <f>IF(P74&gt;0,-(P74+$B$68)*($H$6/'Loan Amortization'!$D$8),0)</f>
        <v>0</v>
      </c>
      <c r="R74" s="2">
        <f t="shared" si="29"/>
        <v>0</v>
      </c>
      <c r="S74" s="2">
        <f>IF(R74&gt;0,-(R74+$B$68)*($H$6/'Loan Amortization'!$D$8),0)</f>
        <v>0</v>
      </c>
      <c r="T74" s="2">
        <f t="shared" si="30"/>
        <v>0</v>
      </c>
      <c r="U74" s="2">
        <f>IF(T74&gt;0,-(T74+$B$68)*($H$6/'Loan Amortization'!$D$8),0)</f>
        <v>0</v>
      </c>
      <c r="V74" s="2">
        <f t="shared" si="31"/>
        <v>0</v>
      </c>
      <c r="W74" s="2">
        <f>IF(V74&gt;0,-(V74+$B$68)*($H$6/'Loan Amortization'!$D$8),0)</f>
        <v>0</v>
      </c>
      <c r="X74" s="2">
        <f t="shared" si="32"/>
        <v>12</v>
      </c>
      <c r="Y74" s="2"/>
      <c r="Z74" s="480"/>
    </row>
    <row r="75" spans="2:26" ht="14" thickBot="1" x14ac:dyDescent="0.2">
      <c r="B75" s="541" t="s">
        <v>45</v>
      </c>
      <c r="C75" s="502" t="s">
        <v>663</v>
      </c>
      <c r="D75" s="503">
        <f>IF(D$20&lt;($H$11+1),-$B$68,0)</f>
        <v>0</v>
      </c>
      <c r="E75" s="503"/>
      <c r="F75" s="503">
        <f>IF(F$20&lt;($H$11+1),-$B$68,0)</f>
        <v>0</v>
      </c>
      <c r="G75" s="503"/>
      <c r="H75" s="503">
        <f>IF(H$20&lt;($H$11+1),-$B$68,0)</f>
        <v>0</v>
      </c>
      <c r="I75" s="503"/>
      <c r="J75" s="503">
        <f>IF(J$20&lt;($H$11+1),-$B$68,0)</f>
        <v>0</v>
      </c>
      <c r="K75" s="503"/>
      <c r="L75" s="503">
        <f>IF(L$20&lt;($H$11+1),-$B$68,0)</f>
        <v>0</v>
      </c>
      <c r="M75" s="503"/>
      <c r="N75" s="503">
        <f>IF(N$20&lt;($H$11+1),-$B$68,0)</f>
        <v>0</v>
      </c>
      <c r="O75" s="503"/>
      <c r="P75" s="503">
        <f>IF(P$20&lt;($H$11+1),-$B$68,0)</f>
        <v>0</v>
      </c>
      <c r="Q75" s="503"/>
      <c r="R75" s="503">
        <f>IF(R$20&lt;($H$11+1),-$B$68,0)</f>
        <v>0</v>
      </c>
      <c r="S75" s="503"/>
      <c r="T75" s="503">
        <f>IF(T$20&lt;($H$11+1),-$B$68,0)</f>
        <v>0</v>
      </c>
      <c r="U75" s="503"/>
      <c r="V75" s="503">
        <f>IF(V$20&lt;($H$11+1),-$B$68,0)</f>
        <v>0</v>
      </c>
      <c r="W75" s="503"/>
      <c r="X75" s="504">
        <f t="shared" si="32"/>
        <v>0</v>
      </c>
      <c r="Y75" s="501"/>
      <c r="Z75" s="480"/>
    </row>
    <row r="76" spans="2:26" ht="14" thickBot="1" x14ac:dyDescent="0.2">
      <c r="B76" s="478"/>
      <c r="C76" s="520" t="s">
        <v>273</v>
      </c>
      <c r="D76" s="522"/>
      <c r="E76" s="522">
        <f>IF((D$20)&gt;$H$11,0,IPMT($H$6,D62,$H$11,$B$67))</f>
        <v>0</v>
      </c>
      <c r="F76" s="522"/>
      <c r="G76" s="522">
        <f>IF((F$20)&gt;$H$11,0,IPMT($H$6,F62,$H$11,$B$67))</f>
        <v>0</v>
      </c>
      <c r="H76" s="522"/>
      <c r="I76" s="522">
        <f>IF((H$20)&gt;$H$11,0,IPMT($H$6,H62,$H$11,$B$67))</f>
        <v>0</v>
      </c>
      <c r="J76" s="522"/>
      <c r="K76" s="522">
        <f>IF((J$20)&gt;$H$11,0,IPMT($H$6,J62,$H$11,$B$67))</f>
        <v>0</v>
      </c>
      <c r="L76" s="522"/>
      <c r="M76" s="522">
        <f>IF((L$20)&gt;$H$11,0,IPMT($H$6,L62,$H$11,$B$67))</f>
        <v>0</v>
      </c>
      <c r="N76" s="522"/>
      <c r="O76" s="522">
        <f>IF((N$20)&gt;$H$11,0,IPMT($H$6,N62,$H$11,$B$67))</f>
        <v>0</v>
      </c>
      <c r="P76" s="522"/>
      <c r="Q76" s="522">
        <f>IF((P$20)&gt;$H$11,0,IPMT($H$6,P62,$H$11,$B$67))</f>
        <v>0</v>
      </c>
      <c r="R76" s="522"/>
      <c r="S76" s="522">
        <f>IF((R$20)&gt;$H$11,0,IPMT($H$6,R62,$H$11,$B$67))</f>
        <v>0</v>
      </c>
      <c r="T76" s="522"/>
      <c r="U76" s="522">
        <f>IF((T$20)&gt;$H$11,0,IPMT($H$6,T62,$H$11,$B$67))</f>
        <v>0</v>
      </c>
      <c r="V76" s="522"/>
      <c r="W76" s="522">
        <f>IF((V$20)&gt;$H$11,0,IPMT($H$6,V62,$H$11,$B$67))</f>
        <v>0</v>
      </c>
      <c r="X76" s="504">
        <f t="shared" si="32"/>
        <v>0</v>
      </c>
      <c r="Y76" s="548"/>
      <c r="Z76" s="482"/>
    </row>
    <row r="77" spans="2:26" ht="14" thickBot="1" x14ac:dyDescent="0.2">
      <c r="B77" s="8"/>
      <c r="C77" s="502" t="s">
        <v>664</v>
      </c>
      <c r="D77" s="558">
        <f>D62</f>
        <v>1</v>
      </c>
      <c r="E77" s="559">
        <f>F62</f>
        <v>2</v>
      </c>
      <c r="F77" s="559">
        <f>H62</f>
        <v>3</v>
      </c>
      <c r="G77" s="559">
        <f>J62</f>
        <v>4</v>
      </c>
      <c r="H77" s="559">
        <f>L62</f>
        <v>5</v>
      </c>
      <c r="I77" s="559">
        <f>N62</f>
        <v>6</v>
      </c>
      <c r="J77" s="559">
        <f>P62</f>
        <v>7</v>
      </c>
      <c r="K77" s="559">
        <f>R62</f>
        <v>8</v>
      </c>
      <c r="L77" s="559">
        <f>T62</f>
        <v>9</v>
      </c>
      <c r="M77" s="559">
        <f>V62</f>
        <v>10</v>
      </c>
      <c r="N77" s="560" t="str">
        <f>X62</f>
        <v>TOTAL</v>
      </c>
      <c r="O77" s="2"/>
      <c r="P77" s="2"/>
      <c r="Q77" s="2"/>
      <c r="R77" s="2"/>
      <c r="S77" s="2"/>
      <c r="T77" s="2"/>
      <c r="U77" s="2"/>
      <c r="V77" s="2"/>
      <c r="W77" s="2"/>
      <c r="X77" s="2"/>
      <c r="Y77" s="2"/>
    </row>
    <row r="78" spans="2:26" ht="14" thickBot="1" x14ac:dyDescent="0.2">
      <c r="B78" s="8"/>
      <c r="C78" s="502" t="s">
        <v>663</v>
      </c>
      <c r="D78" s="561">
        <f>D75</f>
        <v>0</v>
      </c>
      <c r="E78" s="2">
        <f>F75</f>
        <v>0</v>
      </c>
      <c r="F78" s="2">
        <f>H75</f>
        <v>0</v>
      </c>
      <c r="G78" s="2">
        <f>J75</f>
        <v>0</v>
      </c>
      <c r="H78" s="2">
        <f>L75</f>
        <v>0</v>
      </c>
      <c r="I78" s="2">
        <f>N75</f>
        <v>0</v>
      </c>
      <c r="J78" s="2">
        <f>P75</f>
        <v>0</v>
      </c>
      <c r="K78" s="2">
        <f>R75</f>
        <v>0</v>
      </c>
      <c r="L78" s="2">
        <f>T75</f>
        <v>0</v>
      </c>
      <c r="M78" s="2">
        <f>V75</f>
        <v>0</v>
      </c>
      <c r="N78" s="501">
        <f>X75</f>
        <v>0</v>
      </c>
      <c r="O78" s="2"/>
      <c r="P78" s="2"/>
      <c r="Q78" s="2"/>
      <c r="R78" s="2"/>
      <c r="S78" s="2"/>
      <c r="T78" s="2"/>
      <c r="U78" s="2"/>
      <c r="V78" s="2"/>
      <c r="W78" s="2"/>
      <c r="X78" s="2"/>
      <c r="Y78" s="2"/>
    </row>
    <row r="79" spans="2:26" ht="14" thickBot="1" x14ac:dyDescent="0.2">
      <c r="B79" s="8"/>
      <c r="C79" s="520" t="s">
        <v>273</v>
      </c>
      <c r="D79" s="562">
        <f>E76</f>
        <v>0</v>
      </c>
      <c r="E79" s="522">
        <f>G76</f>
        <v>0</v>
      </c>
      <c r="F79" s="522">
        <f>I76</f>
        <v>0</v>
      </c>
      <c r="G79" s="522">
        <f>K76</f>
        <v>0</v>
      </c>
      <c r="H79" s="522">
        <f>M76</f>
        <v>0</v>
      </c>
      <c r="I79" s="522">
        <f>O76</f>
        <v>0</v>
      </c>
      <c r="J79" s="522">
        <f>Q76</f>
        <v>0</v>
      </c>
      <c r="K79" s="522">
        <f>S76</f>
        <v>0</v>
      </c>
      <c r="L79" s="522">
        <f>U76</f>
        <v>0</v>
      </c>
      <c r="M79" s="522">
        <f>W76</f>
        <v>0</v>
      </c>
      <c r="N79" s="548">
        <f>X76</f>
        <v>0</v>
      </c>
      <c r="O79" s="2"/>
      <c r="P79" s="2"/>
      <c r="Q79" s="2"/>
      <c r="R79" s="2"/>
      <c r="S79" s="2"/>
      <c r="T79" s="2"/>
      <c r="U79" s="2"/>
      <c r="V79" s="2"/>
      <c r="W79" s="2"/>
      <c r="X79" s="2"/>
      <c r="Y79" s="2"/>
    </row>
    <row r="81" spans="2:26" ht="14" thickBot="1" x14ac:dyDescent="0.2"/>
    <row r="82" spans="2:26" ht="14" thickBot="1" x14ac:dyDescent="0.2">
      <c r="B82" s="495" t="s">
        <v>415</v>
      </c>
      <c r="C82" s="178"/>
      <c r="D82" s="483" t="s">
        <v>133</v>
      </c>
      <c r="E82" s="483"/>
      <c r="F82" s="483" t="s">
        <v>133</v>
      </c>
      <c r="G82" s="483"/>
      <c r="H82" s="483" t="s">
        <v>133</v>
      </c>
      <c r="I82" s="483"/>
      <c r="J82" s="483" t="s">
        <v>133</v>
      </c>
      <c r="K82" s="483"/>
      <c r="L82" s="483" t="s">
        <v>133</v>
      </c>
      <c r="M82" s="483"/>
      <c r="N82" s="483" t="s">
        <v>133</v>
      </c>
      <c r="O82" s="483"/>
      <c r="P82" s="483" t="s">
        <v>133</v>
      </c>
      <c r="Q82" s="483"/>
      <c r="R82" s="483" t="s">
        <v>133</v>
      </c>
      <c r="S82" s="483"/>
      <c r="T82" s="483" t="s">
        <v>133</v>
      </c>
      <c r="U82" s="483"/>
      <c r="V82" s="483" t="s">
        <v>133</v>
      </c>
      <c r="W82" s="483"/>
      <c r="X82" s="178"/>
      <c r="Y82" s="178"/>
      <c r="Z82" s="499" t="str">
        <f>B82</f>
        <v>-10%</v>
      </c>
    </row>
    <row r="83" spans="2:26" x14ac:dyDescent="0.15">
      <c r="B83" s="426"/>
      <c r="C83" s="4" t="s">
        <v>660</v>
      </c>
      <c r="D83" s="4">
        <v>1</v>
      </c>
      <c r="E83" s="4"/>
      <c r="F83" s="4">
        <f>D83+1</f>
        <v>2</v>
      </c>
      <c r="G83" s="4"/>
      <c r="H83" s="4">
        <f>F83+1</f>
        <v>3</v>
      </c>
      <c r="I83" s="4"/>
      <c r="J83" s="4">
        <f>H83+1</f>
        <v>4</v>
      </c>
      <c r="K83" s="4"/>
      <c r="L83" s="4">
        <f>J83+1</f>
        <v>5</v>
      </c>
      <c r="M83" s="4"/>
      <c r="N83" s="4">
        <f>L83+1</f>
        <v>6</v>
      </c>
      <c r="O83" s="4"/>
      <c r="P83" s="4">
        <f>N83+1</f>
        <v>7</v>
      </c>
      <c r="Q83" s="4"/>
      <c r="R83" s="4">
        <f>P83+1</f>
        <v>8</v>
      </c>
      <c r="S83" s="4"/>
      <c r="T83" s="4">
        <f>R83+1</f>
        <v>9</v>
      </c>
      <c r="U83" s="4"/>
      <c r="V83" s="4">
        <f>T83+1</f>
        <v>10</v>
      </c>
      <c r="W83" s="4"/>
      <c r="X83" s="4" t="s">
        <v>285</v>
      </c>
      <c r="Y83" s="4"/>
      <c r="Z83" s="480"/>
    </row>
    <row r="84" spans="2:26" x14ac:dyDescent="0.15">
      <c r="B84" s="202" t="s">
        <v>661</v>
      </c>
      <c r="C84" s="4">
        <v>1</v>
      </c>
      <c r="D84" s="2">
        <f t="shared" ref="D84:D95" si="33">IF(D$20&lt;($H$11+1),$B$88-((((D$20-1)*12)+$C84)*$B$89),0)</f>
        <v>0</v>
      </c>
      <c r="E84" s="2">
        <f>IF(D84&gt;0,-(D84+$B$89)*($H$6/'Loan Amortization'!$D$8),0)</f>
        <v>0</v>
      </c>
      <c r="F84" s="2">
        <f t="shared" ref="F84:F95" si="34">IF(F$20&lt;($H$11+1),$B$88-((((F$20-1)*12)+$C84)*$B$89),0)</f>
        <v>0</v>
      </c>
      <c r="G84" s="2">
        <f>IF(F84&gt;0,-(F84+$B$89)*($H$6/'Loan Amortization'!$D$8),0)</f>
        <v>0</v>
      </c>
      <c r="H84" s="2">
        <f t="shared" ref="H84:H95" si="35">IF(H$20&lt;($H$11+1),$B$88-((((H$20-1)*12)+$C84)*$B$89),0)</f>
        <v>0</v>
      </c>
      <c r="I84" s="2">
        <f>IF(H84&gt;0,-(H84+$B$89)*($H$6/'Loan Amortization'!$D$8),0)</f>
        <v>0</v>
      </c>
      <c r="J84" s="2">
        <f t="shared" ref="J84:J95" si="36">IF(J$20&lt;($H$11+1),$B$88-((((J$20-1)*12)+$C84)*$B$89),0)</f>
        <v>0</v>
      </c>
      <c r="K84" s="2">
        <f>IF(J84&gt;0,-(J84+$B$89)*($H$6/'Loan Amortization'!$D$8),0)</f>
        <v>0</v>
      </c>
      <c r="L84" s="2">
        <f t="shared" ref="L84:L95" si="37">IF(L$20&lt;($H$11+1),$B$88-((((L$20-1)*12)+$C84)*$B$89),0)</f>
        <v>0</v>
      </c>
      <c r="M84" s="2">
        <f>IF(L84&gt;0,-(L84+$B$89)*($H$6/'Loan Amortization'!$D$8),0)</f>
        <v>0</v>
      </c>
      <c r="N84" s="2">
        <f t="shared" ref="N84:N95" si="38">IF(N$20&lt;($H$11+1),$B$88-((((N$20-1)*12)+$C84)*$B$89),0)</f>
        <v>0</v>
      </c>
      <c r="O84" s="2">
        <f>IF(N84&gt;0,-(N84+$B$89)*($H$6/'Loan Amortization'!$D$8),0)</f>
        <v>0</v>
      </c>
      <c r="P84" s="2">
        <f t="shared" ref="P84:P95" si="39">IF(P$20&lt;($H$11+1),$B$88-((((P$20-1)*12)+$C84)*$B$89),0)</f>
        <v>0</v>
      </c>
      <c r="Q84" s="2">
        <f>IF(P84&gt;0,-(P84+$B$89)*($H$6/'Loan Amortization'!$D$8),0)</f>
        <v>0</v>
      </c>
      <c r="R84" s="2">
        <f t="shared" ref="R84:R95" si="40">IF(R$20&lt;($H$11+1),$B$88-((((R$20-1)*12)+$C84)*$B$89),0)</f>
        <v>0</v>
      </c>
      <c r="S84" s="2">
        <f>IF(R84&gt;0,-(R84+$B$89)*($H$6/'Loan Amortization'!$D$8),0)</f>
        <v>0</v>
      </c>
      <c r="T84" s="2">
        <f t="shared" ref="T84:T95" si="41">IF(T$20&lt;($H$11+1),$B$88-((((T$20-1)*12)+$C84)*$B$89),0)</f>
        <v>0</v>
      </c>
      <c r="U84" s="2">
        <f>IF(T84&gt;0,-(T84+$B$89)*($H$6/'Loan Amortization'!$D$8),0)</f>
        <v>0</v>
      </c>
      <c r="V84" s="2">
        <f t="shared" ref="V84:V95" si="42">IF(V$20&lt;($H$11+1),$B$88-((((V$20-1)*12)+$C84)*$B$89),0)</f>
        <v>0</v>
      </c>
      <c r="W84" s="2">
        <f>IF(V84&gt;0,-(V84+$B$89)*($H$6/'Loan Amortization'!$D$8),0)</f>
        <v>0</v>
      </c>
      <c r="X84" s="2">
        <f>SUM(C84:V84)</f>
        <v>1</v>
      </c>
      <c r="Y84" s="2"/>
      <c r="Z84" s="480"/>
    </row>
    <row r="85" spans="2:26" x14ac:dyDescent="0.15">
      <c r="B85" s="511">
        <f>-PMT($H$6/12,$H$11*12,C8)</f>
        <v>0</v>
      </c>
      <c r="C85" s="4">
        <v>2</v>
      </c>
      <c r="D85" s="2">
        <f t="shared" si="33"/>
        <v>0</v>
      </c>
      <c r="E85" s="2">
        <f>IF(D85&gt;0,-(D85+$B$89)*($H$6/'Loan Amortization'!$D$8),0)</f>
        <v>0</v>
      </c>
      <c r="F85" s="2">
        <f t="shared" si="34"/>
        <v>0</v>
      </c>
      <c r="G85" s="2">
        <f>IF(F85&gt;0,-(F85+$B$89)*($H$6/'Loan Amortization'!$D$8),0)</f>
        <v>0</v>
      </c>
      <c r="H85" s="2">
        <f t="shared" si="35"/>
        <v>0</v>
      </c>
      <c r="I85" s="2">
        <f>IF(H85&gt;0,-(H85+$B$89)*($H$6/'Loan Amortization'!$D$8),0)</f>
        <v>0</v>
      </c>
      <c r="J85" s="2">
        <f t="shared" si="36"/>
        <v>0</v>
      </c>
      <c r="K85" s="2">
        <f>IF(J85&gt;0,-(J85+$B$89)*($H$6/'Loan Amortization'!$D$8),0)</f>
        <v>0</v>
      </c>
      <c r="L85" s="2">
        <f t="shared" si="37"/>
        <v>0</v>
      </c>
      <c r="M85" s="2">
        <f>IF(L85&gt;0,-(L85+$B$89)*($H$6/'Loan Amortization'!$D$8),0)</f>
        <v>0</v>
      </c>
      <c r="N85" s="2">
        <f t="shared" si="38"/>
        <v>0</v>
      </c>
      <c r="O85" s="2">
        <f>IF(N85&gt;0,-(N85+$B$89)*($H$6/'Loan Amortization'!$D$8),0)</f>
        <v>0</v>
      </c>
      <c r="P85" s="2">
        <f t="shared" si="39"/>
        <v>0</v>
      </c>
      <c r="Q85" s="2">
        <f>IF(P85&gt;0,-(P85+$B$89)*($H$6/'Loan Amortization'!$D$8),0)</f>
        <v>0</v>
      </c>
      <c r="R85" s="2">
        <f t="shared" si="40"/>
        <v>0</v>
      </c>
      <c r="S85" s="2">
        <f>IF(R85&gt;0,-(R85+$B$89)*($H$6/'Loan Amortization'!$D$8),0)</f>
        <v>0</v>
      </c>
      <c r="T85" s="2">
        <f t="shared" si="41"/>
        <v>0</v>
      </c>
      <c r="U85" s="2">
        <f>IF(T85&gt;0,-(T85+$B$89)*($H$6/'Loan Amortization'!$D$8),0)</f>
        <v>0</v>
      </c>
      <c r="V85" s="2">
        <f t="shared" si="42"/>
        <v>0</v>
      </c>
      <c r="W85" s="2">
        <f>IF(V85&gt;0,-(V85+$B$89)*($H$6/'Loan Amortization'!$D$8),0)</f>
        <v>0</v>
      </c>
      <c r="X85" s="2">
        <f t="shared" ref="X85:X97" si="43">SUM(C85:V85)</f>
        <v>2</v>
      </c>
      <c r="Y85" s="2"/>
      <c r="Z85" s="480"/>
    </row>
    <row r="86" spans="2:26" x14ac:dyDescent="0.15">
      <c r="B86" s="540">
        <f>B85*12</f>
        <v>0</v>
      </c>
      <c r="C86" s="4">
        <v>3</v>
      </c>
      <c r="D86" s="2">
        <f t="shared" si="33"/>
        <v>0</v>
      </c>
      <c r="E86" s="2">
        <f>IF(D86&gt;0,-(D86+$B$89)*($H$6/'Loan Amortization'!$D$8),0)</f>
        <v>0</v>
      </c>
      <c r="F86" s="2">
        <f t="shared" si="34"/>
        <v>0</v>
      </c>
      <c r="G86" s="2">
        <f>IF(F86&gt;0,-(F86+$B$89)*($H$6/'Loan Amortization'!$D$8),0)</f>
        <v>0</v>
      </c>
      <c r="H86" s="2">
        <f t="shared" si="35"/>
        <v>0</v>
      </c>
      <c r="I86" s="2">
        <f>IF(H86&gt;0,-(H86+$B$89)*($H$6/'Loan Amortization'!$D$8),0)</f>
        <v>0</v>
      </c>
      <c r="J86" s="2">
        <f t="shared" si="36"/>
        <v>0</v>
      </c>
      <c r="K86" s="2">
        <f>IF(J86&gt;0,-(J86+$B$89)*($H$6/'Loan Amortization'!$D$8),0)</f>
        <v>0</v>
      </c>
      <c r="L86" s="2">
        <f t="shared" si="37"/>
        <v>0</v>
      </c>
      <c r="M86" s="2">
        <f>IF(L86&gt;0,-(L86+$B$89)*($H$6/'Loan Amortization'!$D$8),0)</f>
        <v>0</v>
      </c>
      <c r="N86" s="2">
        <f t="shared" si="38"/>
        <v>0</v>
      </c>
      <c r="O86" s="2">
        <f>IF(N86&gt;0,-(N86+$B$89)*($H$6/'Loan Amortization'!$D$8),0)</f>
        <v>0</v>
      </c>
      <c r="P86" s="2">
        <f t="shared" si="39"/>
        <v>0</v>
      </c>
      <c r="Q86" s="2">
        <f>IF(P86&gt;0,-(P86+$B$89)*($H$6/'Loan Amortization'!$D$8),0)</f>
        <v>0</v>
      </c>
      <c r="R86" s="2">
        <f t="shared" si="40"/>
        <v>0</v>
      </c>
      <c r="S86" s="2">
        <f>IF(R86&gt;0,-(R86+$B$89)*($H$6/'Loan Amortization'!$D$8),0)</f>
        <v>0</v>
      </c>
      <c r="T86" s="2">
        <f t="shared" si="41"/>
        <v>0</v>
      </c>
      <c r="U86" s="2">
        <f>IF(T86&gt;0,-(T86+$B$89)*($H$6/'Loan Amortization'!$D$8),0)</f>
        <v>0</v>
      </c>
      <c r="V86" s="2">
        <f t="shared" si="42"/>
        <v>0</v>
      </c>
      <c r="W86" s="2">
        <f>IF(V86&gt;0,-(V86+$B$89)*($H$6/'Loan Amortization'!$D$8),0)</f>
        <v>0</v>
      </c>
      <c r="X86" s="2">
        <f t="shared" si="43"/>
        <v>3</v>
      </c>
      <c r="Y86" s="2"/>
      <c r="Z86" s="480"/>
    </row>
    <row r="87" spans="2:26" x14ac:dyDescent="0.15">
      <c r="B87" s="202" t="s">
        <v>662</v>
      </c>
      <c r="C87" s="4">
        <v>4</v>
      </c>
      <c r="D87" s="2">
        <f t="shared" si="33"/>
        <v>0</v>
      </c>
      <c r="E87" s="2">
        <f>IF(D87&gt;0,-(D87+$B$89)*($H$6/'Loan Amortization'!$D$8),0)</f>
        <v>0</v>
      </c>
      <c r="F87" s="2">
        <f t="shared" si="34"/>
        <v>0</v>
      </c>
      <c r="G87" s="2">
        <f>IF(F87&gt;0,-(F87+$B$89)*($H$6/'Loan Amortization'!$D$8),0)</f>
        <v>0</v>
      </c>
      <c r="H87" s="2">
        <f t="shared" si="35"/>
        <v>0</v>
      </c>
      <c r="I87" s="2">
        <f>IF(H87&gt;0,-(H87+$B$89)*($H$6/'Loan Amortization'!$D$8),0)</f>
        <v>0</v>
      </c>
      <c r="J87" s="2">
        <f t="shared" si="36"/>
        <v>0</v>
      </c>
      <c r="K87" s="2">
        <f>IF(J87&gt;0,-(J87+$B$89)*($H$6/'Loan Amortization'!$D$8),0)</f>
        <v>0</v>
      </c>
      <c r="L87" s="2">
        <f t="shared" si="37"/>
        <v>0</v>
      </c>
      <c r="M87" s="2">
        <f>IF(L87&gt;0,-(L87+$B$89)*($H$6/'Loan Amortization'!$D$8),0)</f>
        <v>0</v>
      </c>
      <c r="N87" s="2">
        <f t="shared" si="38"/>
        <v>0</v>
      </c>
      <c r="O87" s="2">
        <f>IF(N87&gt;0,-(N87+$B$89)*($H$6/'Loan Amortization'!$D$8),0)</f>
        <v>0</v>
      </c>
      <c r="P87" s="2">
        <f t="shared" si="39"/>
        <v>0</v>
      </c>
      <c r="Q87" s="2">
        <f>IF(P87&gt;0,-(P87+$B$89)*($H$6/'Loan Amortization'!$D$8),0)</f>
        <v>0</v>
      </c>
      <c r="R87" s="2">
        <f t="shared" si="40"/>
        <v>0</v>
      </c>
      <c r="S87" s="2">
        <f>IF(R87&gt;0,-(R87+$B$89)*($H$6/'Loan Amortization'!$D$8),0)</f>
        <v>0</v>
      </c>
      <c r="T87" s="2">
        <f t="shared" si="41"/>
        <v>0</v>
      </c>
      <c r="U87" s="2">
        <f>IF(T87&gt;0,-(T87+$B$89)*($H$6/'Loan Amortization'!$D$8),0)</f>
        <v>0</v>
      </c>
      <c r="V87" s="2">
        <f t="shared" si="42"/>
        <v>0</v>
      </c>
      <c r="W87" s="2">
        <f>IF(V87&gt;0,-(V87+$B$89)*($H$6/'Loan Amortization'!$D$8),0)</f>
        <v>0</v>
      </c>
      <c r="X87" s="2">
        <f t="shared" si="43"/>
        <v>4</v>
      </c>
      <c r="Y87" s="2"/>
      <c r="Z87" s="480"/>
    </row>
    <row r="88" spans="2:26" x14ac:dyDescent="0.15">
      <c r="B88" s="521">
        <f>C8</f>
        <v>0</v>
      </c>
      <c r="C88" s="4">
        <v>5</v>
      </c>
      <c r="D88" s="2">
        <f t="shared" si="33"/>
        <v>0</v>
      </c>
      <c r="E88" s="2">
        <f>IF(D88&gt;0,-(D88+$B$89)*($H$6/'Loan Amortization'!$D$8),0)</f>
        <v>0</v>
      </c>
      <c r="F88" s="2">
        <f t="shared" si="34"/>
        <v>0</v>
      </c>
      <c r="G88" s="2">
        <f>IF(F88&gt;0,-(F88+$B$89)*($H$6/'Loan Amortization'!$D$8),0)</f>
        <v>0</v>
      </c>
      <c r="H88" s="2">
        <f t="shared" si="35"/>
        <v>0</v>
      </c>
      <c r="I88" s="2">
        <f>IF(H88&gt;0,-(H88+$B$89)*($H$6/'Loan Amortization'!$D$8),0)</f>
        <v>0</v>
      </c>
      <c r="J88" s="2">
        <f t="shared" si="36"/>
        <v>0</v>
      </c>
      <c r="K88" s="2">
        <f>IF(J88&gt;0,-(J88+$B$89)*($H$6/'Loan Amortization'!$D$8),0)</f>
        <v>0</v>
      </c>
      <c r="L88" s="2">
        <f t="shared" si="37"/>
        <v>0</v>
      </c>
      <c r="M88" s="2">
        <f>IF(L88&gt;0,-(L88+$B$89)*($H$6/'Loan Amortization'!$D$8),0)</f>
        <v>0</v>
      </c>
      <c r="N88" s="2">
        <f t="shared" si="38"/>
        <v>0</v>
      </c>
      <c r="O88" s="2">
        <f>IF(N88&gt;0,-(N88+$B$89)*($H$6/'Loan Amortization'!$D$8),0)</f>
        <v>0</v>
      </c>
      <c r="P88" s="2">
        <f t="shared" si="39"/>
        <v>0</v>
      </c>
      <c r="Q88" s="2">
        <f>IF(P88&gt;0,-(P88+$B$89)*($H$6/'Loan Amortization'!$D$8),0)</f>
        <v>0</v>
      </c>
      <c r="R88" s="2">
        <f t="shared" si="40"/>
        <v>0</v>
      </c>
      <c r="S88" s="2">
        <f>IF(R88&gt;0,-(R88+$B$89)*($H$6/'Loan Amortization'!$D$8),0)</f>
        <v>0</v>
      </c>
      <c r="T88" s="2">
        <f t="shared" si="41"/>
        <v>0</v>
      </c>
      <c r="U88" s="2">
        <f>IF(T88&gt;0,-(T88+$B$89)*($H$6/'Loan Amortization'!$D$8),0)</f>
        <v>0</v>
      </c>
      <c r="V88" s="2">
        <f t="shared" si="42"/>
        <v>0</v>
      </c>
      <c r="W88" s="2">
        <f>IF(V88&gt;0,-(V88+$B$89)*($H$6/'Loan Amortization'!$D$8),0)</f>
        <v>0</v>
      </c>
      <c r="X88" s="2">
        <f t="shared" si="43"/>
        <v>5</v>
      </c>
      <c r="Y88" s="2"/>
      <c r="Z88" s="480"/>
    </row>
    <row r="89" spans="2:26" x14ac:dyDescent="0.15">
      <c r="B89" s="521">
        <f>B88/($H$11)</f>
        <v>0</v>
      </c>
      <c r="C89" s="4">
        <v>6</v>
      </c>
      <c r="D89" s="2">
        <f t="shared" si="33"/>
        <v>0</v>
      </c>
      <c r="E89" s="2">
        <f>IF(D89&gt;0,-(D89+$B$89)*($H$6/'Loan Amortization'!$D$8),0)</f>
        <v>0</v>
      </c>
      <c r="F89" s="2">
        <f t="shared" si="34"/>
        <v>0</v>
      </c>
      <c r="G89" s="2">
        <f>IF(F89&gt;0,-(F89+$B$89)*($H$6/'Loan Amortization'!$D$8),0)</f>
        <v>0</v>
      </c>
      <c r="H89" s="2">
        <f t="shared" si="35"/>
        <v>0</v>
      </c>
      <c r="I89" s="2">
        <f>IF(H89&gt;0,-(H89+$B$89)*($H$6/'Loan Amortization'!$D$8),0)</f>
        <v>0</v>
      </c>
      <c r="J89" s="2">
        <f t="shared" si="36"/>
        <v>0</v>
      </c>
      <c r="K89" s="2">
        <f>IF(J89&gt;0,-(J89+$B$89)*($H$6/'Loan Amortization'!$D$8),0)</f>
        <v>0</v>
      </c>
      <c r="L89" s="2">
        <f t="shared" si="37"/>
        <v>0</v>
      </c>
      <c r="M89" s="2">
        <f>IF(L89&gt;0,-(L89+$B$89)*($H$6/'Loan Amortization'!$D$8),0)</f>
        <v>0</v>
      </c>
      <c r="N89" s="2">
        <f t="shared" si="38"/>
        <v>0</v>
      </c>
      <c r="O89" s="2">
        <f>IF(N89&gt;0,-(N89+$B$89)*($H$6/'Loan Amortization'!$D$8),0)</f>
        <v>0</v>
      </c>
      <c r="P89" s="2">
        <f t="shared" si="39"/>
        <v>0</v>
      </c>
      <c r="Q89" s="2">
        <f>IF(P89&gt;0,-(P89+$B$89)*($H$6/'Loan Amortization'!$D$8),0)</f>
        <v>0</v>
      </c>
      <c r="R89" s="2">
        <f t="shared" si="40"/>
        <v>0</v>
      </c>
      <c r="S89" s="2">
        <f>IF(R89&gt;0,-(R89+$B$89)*($H$6/'Loan Amortization'!$D$8),0)</f>
        <v>0</v>
      </c>
      <c r="T89" s="2">
        <f t="shared" si="41"/>
        <v>0</v>
      </c>
      <c r="U89" s="2">
        <f>IF(T89&gt;0,-(T89+$B$89)*($H$6/'Loan Amortization'!$D$8),0)</f>
        <v>0</v>
      </c>
      <c r="V89" s="2">
        <f t="shared" si="42"/>
        <v>0</v>
      </c>
      <c r="W89" s="2">
        <f>IF(V89&gt;0,-(V89+$B$89)*($H$6/'Loan Amortization'!$D$8),0)</f>
        <v>0</v>
      </c>
      <c r="X89" s="2">
        <f t="shared" si="43"/>
        <v>6</v>
      </c>
      <c r="Y89" s="2"/>
      <c r="Z89" s="480"/>
    </row>
    <row r="90" spans="2:26" x14ac:dyDescent="0.15">
      <c r="B90" s="202"/>
      <c r="C90" s="4">
        <v>7</v>
      </c>
      <c r="D90" s="2">
        <f t="shared" si="33"/>
        <v>0</v>
      </c>
      <c r="E90" s="2">
        <f>IF(D90&gt;0,-(D90+$B$89)*($H$6/'Loan Amortization'!$D$8),0)</f>
        <v>0</v>
      </c>
      <c r="F90" s="2">
        <f t="shared" si="34"/>
        <v>0</v>
      </c>
      <c r="G90" s="2">
        <f>IF(F90&gt;0,-(F90+$B$89)*($H$6/'Loan Amortization'!$D$8),0)</f>
        <v>0</v>
      </c>
      <c r="H90" s="2">
        <f t="shared" si="35"/>
        <v>0</v>
      </c>
      <c r="I90" s="2">
        <f>IF(H90&gt;0,-(H90+$B$89)*($H$6/'Loan Amortization'!$D$8),0)</f>
        <v>0</v>
      </c>
      <c r="J90" s="2">
        <f t="shared" si="36"/>
        <v>0</v>
      </c>
      <c r="K90" s="2">
        <f>IF(J90&gt;0,-(J90+$B$89)*($H$6/'Loan Amortization'!$D$8),0)</f>
        <v>0</v>
      </c>
      <c r="L90" s="2">
        <f t="shared" si="37"/>
        <v>0</v>
      </c>
      <c r="M90" s="2">
        <f>IF(L90&gt;0,-(L90+$B$89)*($H$6/'Loan Amortization'!$D$8),0)</f>
        <v>0</v>
      </c>
      <c r="N90" s="2">
        <f t="shared" si="38"/>
        <v>0</v>
      </c>
      <c r="O90" s="2">
        <f>IF(N90&gt;0,-(N90+$B$89)*($H$6/'Loan Amortization'!$D$8),0)</f>
        <v>0</v>
      </c>
      <c r="P90" s="2">
        <f t="shared" si="39"/>
        <v>0</v>
      </c>
      <c r="Q90" s="2">
        <f>IF(P90&gt;0,-(P90+$B$89)*($H$6/'Loan Amortization'!$D$8),0)</f>
        <v>0</v>
      </c>
      <c r="R90" s="2">
        <f t="shared" si="40"/>
        <v>0</v>
      </c>
      <c r="S90" s="2">
        <f>IF(R90&gt;0,-(R90+$B$89)*($H$6/'Loan Amortization'!$D$8),0)</f>
        <v>0</v>
      </c>
      <c r="T90" s="2">
        <f t="shared" si="41"/>
        <v>0</v>
      </c>
      <c r="U90" s="2">
        <f>IF(T90&gt;0,-(T90+$B$89)*($H$6/'Loan Amortization'!$D$8),0)</f>
        <v>0</v>
      </c>
      <c r="V90" s="2">
        <f t="shared" si="42"/>
        <v>0</v>
      </c>
      <c r="W90" s="2">
        <f>IF(V90&gt;0,-(V90+$B$89)*($H$6/'Loan Amortization'!$D$8),0)</f>
        <v>0</v>
      </c>
      <c r="X90" s="2">
        <f t="shared" si="43"/>
        <v>7</v>
      </c>
      <c r="Y90" s="2"/>
      <c r="Z90" s="480"/>
    </row>
    <row r="91" spans="2:26" x14ac:dyDescent="0.15">
      <c r="B91" s="202"/>
      <c r="C91" s="4">
        <v>8</v>
      </c>
      <c r="D91" s="2">
        <f t="shared" si="33"/>
        <v>0</v>
      </c>
      <c r="E91" s="2">
        <f>IF(D91&gt;0,-(D91+$B$89)*($H$6/'Loan Amortization'!$D$8),0)</f>
        <v>0</v>
      </c>
      <c r="F91" s="2">
        <f t="shared" si="34"/>
        <v>0</v>
      </c>
      <c r="G91" s="2">
        <f>IF(F91&gt;0,-(F91+$B$89)*($H$6/'Loan Amortization'!$D$8),0)</f>
        <v>0</v>
      </c>
      <c r="H91" s="2">
        <f t="shared" si="35"/>
        <v>0</v>
      </c>
      <c r="I91" s="2">
        <f>IF(H91&gt;0,-(H91+$B$89)*($H$6/'Loan Amortization'!$D$8),0)</f>
        <v>0</v>
      </c>
      <c r="J91" s="2">
        <f t="shared" si="36"/>
        <v>0</v>
      </c>
      <c r="K91" s="2">
        <f>IF(J91&gt;0,-(J91+$B$89)*($H$6/'Loan Amortization'!$D$8),0)</f>
        <v>0</v>
      </c>
      <c r="L91" s="2">
        <f t="shared" si="37"/>
        <v>0</v>
      </c>
      <c r="M91" s="2">
        <f>IF(L91&gt;0,-(L91+$B$89)*($H$6/'Loan Amortization'!$D$8),0)</f>
        <v>0</v>
      </c>
      <c r="N91" s="2">
        <f t="shared" si="38"/>
        <v>0</v>
      </c>
      <c r="O91" s="2">
        <f>IF(N91&gt;0,-(N91+$B$89)*($H$6/'Loan Amortization'!$D$8),0)</f>
        <v>0</v>
      </c>
      <c r="P91" s="2">
        <f t="shared" si="39"/>
        <v>0</v>
      </c>
      <c r="Q91" s="2">
        <f>IF(P91&gt;0,-(P91+$B$89)*($H$6/'Loan Amortization'!$D$8),0)</f>
        <v>0</v>
      </c>
      <c r="R91" s="2">
        <f t="shared" si="40"/>
        <v>0</v>
      </c>
      <c r="S91" s="2">
        <f>IF(R91&gt;0,-(R91+$B$89)*($H$6/'Loan Amortization'!$D$8),0)</f>
        <v>0</v>
      </c>
      <c r="T91" s="2">
        <f t="shared" si="41"/>
        <v>0</v>
      </c>
      <c r="U91" s="2">
        <f>IF(T91&gt;0,-(T91+$B$89)*($H$6/'Loan Amortization'!$D$8),0)</f>
        <v>0</v>
      </c>
      <c r="V91" s="2">
        <f t="shared" si="42"/>
        <v>0</v>
      </c>
      <c r="W91" s="2">
        <f>IF(V91&gt;0,-(V91+$B$89)*($H$6/'Loan Amortization'!$D$8),0)</f>
        <v>0</v>
      </c>
      <c r="X91" s="2">
        <f t="shared" si="43"/>
        <v>8</v>
      </c>
      <c r="Y91" s="2"/>
      <c r="Z91" s="480"/>
    </row>
    <row r="92" spans="2:26" x14ac:dyDescent="0.15">
      <c r="B92" s="202"/>
      <c r="C92" s="4">
        <v>9</v>
      </c>
      <c r="D92" s="2">
        <f t="shared" si="33"/>
        <v>0</v>
      </c>
      <c r="E92" s="2">
        <f>IF(D92&gt;0,-(D92+$B$89)*($H$6/'Loan Amortization'!$D$8),0)</f>
        <v>0</v>
      </c>
      <c r="F92" s="2">
        <f t="shared" si="34"/>
        <v>0</v>
      </c>
      <c r="G92" s="2">
        <f>IF(F92&gt;0,-(F92+$B$89)*($H$6/'Loan Amortization'!$D$8),0)</f>
        <v>0</v>
      </c>
      <c r="H92" s="2">
        <f t="shared" si="35"/>
        <v>0</v>
      </c>
      <c r="I92" s="2">
        <f>IF(H92&gt;0,-(H92+$B$89)*($H$6/'Loan Amortization'!$D$8),0)</f>
        <v>0</v>
      </c>
      <c r="J92" s="2">
        <f t="shared" si="36"/>
        <v>0</v>
      </c>
      <c r="K92" s="2">
        <f>IF(J92&gt;0,-(J92+$B$89)*($H$6/'Loan Amortization'!$D$8),0)</f>
        <v>0</v>
      </c>
      <c r="L92" s="2">
        <f t="shared" si="37"/>
        <v>0</v>
      </c>
      <c r="M92" s="2">
        <f>IF(L92&gt;0,-(L92+$B$89)*($H$6/'Loan Amortization'!$D$8),0)</f>
        <v>0</v>
      </c>
      <c r="N92" s="2">
        <f t="shared" si="38"/>
        <v>0</v>
      </c>
      <c r="O92" s="2">
        <f>IF(N92&gt;0,-(N92+$B$89)*($H$6/'Loan Amortization'!$D$8),0)</f>
        <v>0</v>
      </c>
      <c r="P92" s="2">
        <f t="shared" si="39"/>
        <v>0</v>
      </c>
      <c r="Q92" s="2">
        <f>IF(P92&gt;0,-(P92+$B$89)*($H$6/'Loan Amortization'!$D$8),0)</f>
        <v>0</v>
      </c>
      <c r="R92" s="2">
        <f t="shared" si="40"/>
        <v>0</v>
      </c>
      <c r="S92" s="2">
        <f>IF(R92&gt;0,-(R92+$B$89)*($H$6/'Loan Amortization'!$D$8),0)</f>
        <v>0</v>
      </c>
      <c r="T92" s="2">
        <f t="shared" si="41"/>
        <v>0</v>
      </c>
      <c r="U92" s="2">
        <f>IF(T92&gt;0,-(T92+$B$89)*($H$6/'Loan Amortization'!$D$8),0)</f>
        <v>0</v>
      </c>
      <c r="V92" s="2">
        <f t="shared" si="42"/>
        <v>0</v>
      </c>
      <c r="W92" s="2">
        <f>IF(V92&gt;0,-(V92+$B$89)*($H$6/'Loan Amortization'!$D$8),0)</f>
        <v>0</v>
      </c>
      <c r="X92" s="2">
        <f t="shared" si="43"/>
        <v>9</v>
      </c>
      <c r="Y92" s="2"/>
      <c r="Z92" s="480"/>
    </row>
    <row r="93" spans="2:26" x14ac:dyDescent="0.15">
      <c r="B93" s="202"/>
      <c r="C93" s="4">
        <v>10</v>
      </c>
      <c r="D93" s="2">
        <f t="shared" si="33"/>
        <v>0</v>
      </c>
      <c r="E93" s="2">
        <f>IF(D93&gt;0,-(D93+$B$89)*($H$6/'Loan Amortization'!$D$8),0)</f>
        <v>0</v>
      </c>
      <c r="F93" s="2">
        <f t="shared" si="34"/>
        <v>0</v>
      </c>
      <c r="G93" s="2">
        <f>IF(F93&gt;0,-(F93+$B$89)*($H$6/'Loan Amortization'!$D$8),0)</f>
        <v>0</v>
      </c>
      <c r="H93" s="2">
        <f t="shared" si="35"/>
        <v>0</v>
      </c>
      <c r="I93" s="2">
        <f>IF(H93&gt;0,-(H93+$B$89)*($H$6/'Loan Amortization'!$D$8),0)</f>
        <v>0</v>
      </c>
      <c r="J93" s="2">
        <f t="shared" si="36"/>
        <v>0</v>
      </c>
      <c r="K93" s="2">
        <f>IF(J93&gt;0,-(J93+$B$89)*($H$6/'Loan Amortization'!$D$8),0)</f>
        <v>0</v>
      </c>
      <c r="L93" s="2">
        <f t="shared" si="37"/>
        <v>0</v>
      </c>
      <c r="M93" s="2">
        <f>IF(L93&gt;0,-(L93+$B$89)*($H$6/'Loan Amortization'!$D$8),0)</f>
        <v>0</v>
      </c>
      <c r="N93" s="2">
        <f t="shared" si="38"/>
        <v>0</v>
      </c>
      <c r="O93" s="2">
        <f>IF(N93&gt;0,-(N93+$B$89)*($H$6/'Loan Amortization'!$D$8),0)</f>
        <v>0</v>
      </c>
      <c r="P93" s="2">
        <f t="shared" si="39"/>
        <v>0</v>
      </c>
      <c r="Q93" s="2">
        <f>IF(P93&gt;0,-(P93+$B$89)*($H$6/'Loan Amortization'!$D$8),0)</f>
        <v>0</v>
      </c>
      <c r="R93" s="2">
        <f t="shared" si="40"/>
        <v>0</v>
      </c>
      <c r="S93" s="2">
        <f>IF(R93&gt;0,-(R93+$B$89)*($H$6/'Loan Amortization'!$D$8),0)</f>
        <v>0</v>
      </c>
      <c r="T93" s="2">
        <f t="shared" si="41"/>
        <v>0</v>
      </c>
      <c r="U93" s="2">
        <f>IF(T93&gt;0,-(T93+$B$89)*($H$6/'Loan Amortization'!$D$8),0)</f>
        <v>0</v>
      </c>
      <c r="V93" s="2">
        <f t="shared" si="42"/>
        <v>0</v>
      </c>
      <c r="W93" s="2">
        <f>IF(V93&gt;0,-(V93+$B$89)*($H$6/'Loan Amortization'!$D$8),0)</f>
        <v>0</v>
      </c>
      <c r="X93" s="2">
        <f t="shared" si="43"/>
        <v>10</v>
      </c>
      <c r="Y93" s="2"/>
      <c r="Z93" s="480"/>
    </row>
    <row r="94" spans="2:26" x14ac:dyDescent="0.15">
      <c r="B94" s="202"/>
      <c r="C94" s="4">
        <v>11</v>
      </c>
      <c r="D94" s="2">
        <f t="shared" si="33"/>
        <v>0</v>
      </c>
      <c r="E94" s="2">
        <f>IF(D94&gt;0,-(D94+$B$89)*($H$6/'Loan Amortization'!$D$8),0)</f>
        <v>0</v>
      </c>
      <c r="F94" s="2">
        <f t="shared" si="34"/>
        <v>0</v>
      </c>
      <c r="G94" s="2">
        <f>IF(F94&gt;0,-(F94+$B$89)*($H$6/'Loan Amortization'!$D$8),0)</f>
        <v>0</v>
      </c>
      <c r="H94" s="2">
        <f t="shared" si="35"/>
        <v>0</v>
      </c>
      <c r="I94" s="2">
        <f>IF(H94&gt;0,-(H94+$B$89)*($H$6/'Loan Amortization'!$D$8),0)</f>
        <v>0</v>
      </c>
      <c r="J94" s="2">
        <f t="shared" si="36"/>
        <v>0</v>
      </c>
      <c r="K94" s="2">
        <f>IF(J94&gt;0,-(J94+$B$89)*($H$6/'Loan Amortization'!$D$8),0)</f>
        <v>0</v>
      </c>
      <c r="L94" s="2">
        <f t="shared" si="37"/>
        <v>0</v>
      </c>
      <c r="M94" s="2">
        <f>IF(L94&gt;0,-(L94+$B$89)*($H$6/'Loan Amortization'!$D$8),0)</f>
        <v>0</v>
      </c>
      <c r="N94" s="2">
        <f t="shared" si="38"/>
        <v>0</v>
      </c>
      <c r="O94" s="2">
        <f>IF(N94&gt;0,-(N94+$B$89)*($H$6/'Loan Amortization'!$D$8),0)</f>
        <v>0</v>
      </c>
      <c r="P94" s="2">
        <f t="shared" si="39"/>
        <v>0</v>
      </c>
      <c r="Q94" s="2">
        <f>IF(P94&gt;0,-(P94+$B$89)*($H$6/'Loan Amortization'!$D$8),0)</f>
        <v>0</v>
      </c>
      <c r="R94" s="2">
        <f t="shared" si="40"/>
        <v>0</v>
      </c>
      <c r="S94" s="2">
        <f>IF(R94&gt;0,-(R94+$B$89)*($H$6/'Loan Amortization'!$D$8),0)</f>
        <v>0</v>
      </c>
      <c r="T94" s="2">
        <f t="shared" si="41"/>
        <v>0</v>
      </c>
      <c r="U94" s="2">
        <f>IF(T94&gt;0,-(T94+$B$89)*($H$6/'Loan Amortization'!$D$8),0)</f>
        <v>0</v>
      </c>
      <c r="V94" s="2">
        <f t="shared" si="42"/>
        <v>0</v>
      </c>
      <c r="W94" s="2">
        <f>IF(V94&gt;0,-(V94+$B$89)*($H$6/'Loan Amortization'!$D$8),0)</f>
        <v>0</v>
      </c>
      <c r="X94" s="2">
        <f t="shared" si="43"/>
        <v>11</v>
      </c>
      <c r="Y94" s="2"/>
      <c r="Z94" s="480"/>
    </row>
    <row r="95" spans="2:26" ht="14" thickBot="1" x14ac:dyDescent="0.2">
      <c r="B95" s="202"/>
      <c r="C95" s="4">
        <v>12</v>
      </c>
      <c r="D95" s="2">
        <f t="shared" si="33"/>
        <v>0</v>
      </c>
      <c r="E95" s="2">
        <f>IF(D95&gt;0,-(D95+$B$89)*($H$6/'Loan Amortization'!$D$8),0)</f>
        <v>0</v>
      </c>
      <c r="F95" s="2">
        <f t="shared" si="34"/>
        <v>0</v>
      </c>
      <c r="G95" s="2">
        <f>IF(F95&gt;0,-(F95+$B$89)*($H$6/'Loan Amortization'!$D$8),0)</f>
        <v>0</v>
      </c>
      <c r="H95" s="2">
        <f t="shared" si="35"/>
        <v>0</v>
      </c>
      <c r="I95" s="2">
        <f>IF(H95&gt;0,-(H95+$B$89)*($H$6/'Loan Amortization'!$D$8),0)</f>
        <v>0</v>
      </c>
      <c r="J95" s="2">
        <f t="shared" si="36"/>
        <v>0</v>
      </c>
      <c r="K95" s="2">
        <f>IF(J95&gt;0,-(J95+$B$89)*($H$6/'Loan Amortization'!$D$8),0)</f>
        <v>0</v>
      </c>
      <c r="L95" s="2">
        <f t="shared" si="37"/>
        <v>0</v>
      </c>
      <c r="M95" s="2">
        <f>IF(L95&gt;0,-(L95+$B$89)*($H$6/'Loan Amortization'!$D$8),0)</f>
        <v>0</v>
      </c>
      <c r="N95" s="2">
        <f t="shared" si="38"/>
        <v>0</v>
      </c>
      <c r="O95" s="2">
        <f>IF(N95&gt;0,-(N95+$B$89)*($H$6/'Loan Amortization'!$D$8),0)</f>
        <v>0</v>
      </c>
      <c r="P95" s="2">
        <f t="shared" si="39"/>
        <v>0</v>
      </c>
      <c r="Q95" s="2">
        <f>IF(P95&gt;0,-(P95+$B$89)*($H$6/'Loan Amortization'!$D$8),0)</f>
        <v>0</v>
      </c>
      <c r="R95" s="2">
        <f t="shared" si="40"/>
        <v>0</v>
      </c>
      <c r="S95" s="2">
        <f>IF(R95&gt;0,-(R95+$B$89)*($H$6/'Loan Amortization'!$D$8),0)</f>
        <v>0</v>
      </c>
      <c r="T95" s="2">
        <f t="shared" si="41"/>
        <v>0</v>
      </c>
      <c r="U95" s="2">
        <f>IF(T95&gt;0,-(T95+$B$89)*($H$6/'Loan Amortization'!$D$8),0)</f>
        <v>0</v>
      </c>
      <c r="V95" s="2">
        <f t="shared" si="42"/>
        <v>0</v>
      </c>
      <c r="W95" s="2">
        <f>IF(V95&gt;0,-(V95+$B$89)*($H$6/'Loan Amortization'!$D$8),0)</f>
        <v>0</v>
      </c>
      <c r="X95" s="2">
        <f t="shared" si="43"/>
        <v>12</v>
      </c>
      <c r="Y95" s="2"/>
      <c r="Z95" s="480"/>
    </row>
    <row r="96" spans="2:26" ht="14" thickBot="1" x14ac:dyDescent="0.2">
      <c r="B96" s="541" t="s">
        <v>45</v>
      </c>
      <c r="C96" s="502" t="s">
        <v>663</v>
      </c>
      <c r="D96" s="503">
        <f>IF(D$20&lt;($H$11+1),-$B$89,0)</f>
        <v>0</v>
      </c>
      <c r="E96" s="503"/>
      <c r="F96" s="503">
        <f>IF(F$20&lt;($H$11+1),-$B$89,0)</f>
        <v>0</v>
      </c>
      <c r="G96" s="503"/>
      <c r="H96" s="503">
        <f>IF(H$20&lt;($H$11+1),-$B$89,0)</f>
        <v>0</v>
      </c>
      <c r="I96" s="503"/>
      <c r="J96" s="503">
        <f>IF(J$20&lt;($H$11+1),-$B$89,0)</f>
        <v>0</v>
      </c>
      <c r="K96" s="503"/>
      <c r="L96" s="503">
        <f>IF(L$20&lt;($H$11+1),-$B$89,0)</f>
        <v>0</v>
      </c>
      <c r="M96" s="503"/>
      <c r="N96" s="503">
        <f>IF(N$20&lt;($H$11+1),-$B$89,0)</f>
        <v>0</v>
      </c>
      <c r="O96" s="503"/>
      <c r="P96" s="503">
        <f>IF(P$20&lt;($H$11+1),-$B$89,0)</f>
        <v>0</v>
      </c>
      <c r="Q96" s="503"/>
      <c r="R96" s="503">
        <f>IF(R$20&lt;($H$11+1),-$B$89,0)</f>
        <v>0</v>
      </c>
      <c r="S96" s="503"/>
      <c r="T96" s="503">
        <f>IF(T$20&lt;($H$11+1),-$B$89,0)</f>
        <v>0</v>
      </c>
      <c r="U96" s="503"/>
      <c r="V96" s="503">
        <f>IF(V$20&lt;($H$11+1),-$B$89,0)</f>
        <v>0</v>
      </c>
      <c r="W96" s="503"/>
      <c r="X96" s="504">
        <f t="shared" si="43"/>
        <v>0</v>
      </c>
      <c r="Y96" s="501"/>
      <c r="Z96" s="480"/>
    </row>
    <row r="97" spans="2:26" ht="14" thickBot="1" x14ac:dyDescent="0.2">
      <c r="B97" s="478"/>
      <c r="C97" s="520" t="s">
        <v>273</v>
      </c>
      <c r="D97" s="522"/>
      <c r="E97" s="522">
        <f>IF((D$20)&gt;$H$11,0,IPMT($H$6,D83,$H$11,$B$88))</f>
        <v>0</v>
      </c>
      <c r="F97" s="522"/>
      <c r="G97" s="522">
        <f>IF((F$20)&gt;$H$11,0,IPMT($H$6,F83,$H$11,$B$88))</f>
        <v>0</v>
      </c>
      <c r="H97" s="522"/>
      <c r="I97" s="522">
        <f>IF((H$20)&gt;$H$11,0,IPMT($H$6,H83,$H$11,$B$88))</f>
        <v>0</v>
      </c>
      <c r="J97" s="522"/>
      <c r="K97" s="522">
        <f>IF((J$20)&gt;$H$11,0,IPMT($H$6,J83,$H$11,$B$88))</f>
        <v>0</v>
      </c>
      <c r="L97" s="522"/>
      <c r="M97" s="522">
        <f>IF((L$20)&gt;$H$11,0,IPMT($H$6,L83,$H$11,$B$88))</f>
        <v>0</v>
      </c>
      <c r="N97" s="522"/>
      <c r="O97" s="522">
        <f>IF((N$20)&gt;$H$11,0,IPMT($H$6,N83,$H$11,$B$88))</f>
        <v>0</v>
      </c>
      <c r="P97" s="522"/>
      <c r="Q97" s="522">
        <f>IF((P$20)&gt;$H$11,0,IPMT($H$6,P83,$H$11,$B$88))</f>
        <v>0</v>
      </c>
      <c r="R97" s="522"/>
      <c r="S97" s="522">
        <f>IF((R$20)&gt;$H$11,0,IPMT($H$6,R83,$H$11,$B$88))</f>
        <v>0</v>
      </c>
      <c r="T97" s="522"/>
      <c r="U97" s="522">
        <f>IF((T$20)&gt;$H$11,0,IPMT($H$6,T83,$H$11,$B$88))</f>
        <v>0</v>
      </c>
      <c r="V97" s="522"/>
      <c r="W97" s="522">
        <f>IF((V$20)&gt;$H$11,0,IPMT($H$6,V83,$H$11,$B$88))</f>
        <v>0</v>
      </c>
      <c r="X97" s="504">
        <f t="shared" si="43"/>
        <v>0</v>
      </c>
      <c r="Y97" s="548"/>
      <c r="Z97" s="482"/>
    </row>
    <row r="98" spans="2:26" ht="14" thickBot="1" x14ac:dyDescent="0.2">
      <c r="B98" s="8"/>
      <c r="C98" s="502" t="s">
        <v>664</v>
      </c>
      <c r="D98" s="558">
        <f>D83</f>
        <v>1</v>
      </c>
      <c r="E98" s="559">
        <f>F83</f>
        <v>2</v>
      </c>
      <c r="F98" s="559">
        <f>H83</f>
        <v>3</v>
      </c>
      <c r="G98" s="559">
        <f>J83</f>
        <v>4</v>
      </c>
      <c r="H98" s="559">
        <f>L83</f>
        <v>5</v>
      </c>
      <c r="I98" s="559">
        <f>N83</f>
        <v>6</v>
      </c>
      <c r="J98" s="559">
        <f>P83</f>
        <v>7</v>
      </c>
      <c r="K98" s="559">
        <f>R83</f>
        <v>8</v>
      </c>
      <c r="L98" s="559">
        <f>T83</f>
        <v>9</v>
      </c>
      <c r="M98" s="559">
        <f>V83</f>
        <v>10</v>
      </c>
      <c r="N98" s="560" t="str">
        <f>X83</f>
        <v>TOTAL</v>
      </c>
      <c r="O98" s="2"/>
      <c r="P98" s="2"/>
      <c r="Q98" s="2"/>
      <c r="R98" s="2"/>
      <c r="S98" s="2"/>
      <c r="T98" s="2"/>
      <c r="U98" s="2"/>
      <c r="V98" s="2"/>
      <c r="W98" s="2"/>
      <c r="X98" s="2"/>
      <c r="Y98" s="2"/>
    </row>
    <row r="99" spans="2:26" ht="14" thickBot="1" x14ac:dyDescent="0.2">
      <c r="B99" s="8"/>
      <c r="C99" s="502" t="s">
        <v>663</v>
      </c>
      <c r="D99" s="561">
        <f>D96</f>
        <v>0</v>
      </c>
      <c r="E99" s="2">
        <f>F96</f>
        <v>0</v>
      </c>
      <c r="F99" s="2">
        <f>H96</f>
        <v>0</v>
      </c>
      <c r="G99" s="2">
        <f>J96</f>
        <v>0</v>
      </c>
      <c r="H99" s="2">
        <f>L96</f>
        <v>0</v>
      </c>
      <c r="I99" s="2">
        <f>N96</f>
        <v>0</v>
      </c>
      <c r="J99" s="2">
        <f>P96</f>
        <v>0</v>
      </c>
      <c r="K99" s="2">
        <f>R96</f>
        <v>0</v>
      </c>
      <c r="L99" s="2">
        <f>T96</f>
        <v>0</v>
      </c>
      <c r="M99" s="2">
        <f>V96</f>
        <v>0</v>
      </c>
      <c r="N99" s="501">
        <f>X96</f>
        <v>0</v>
      </c>
      <c r="O99" s="2"/>
      <c r="P99" s="2"/>
      <c r="Q99" s="2"/>
      <c r="R99" s="2"/>
      <c r="S99" s="2"/>
      <c r="T99" s="2"/>
      <c r="U99" s="2"/>
      <c r="V99" s="2"/>
      <c r="W99" s="2"/>
      <c r="X99" s="2"/>
      <c r="Y99" s="2"/>
    </row>
    <row r="100" spans="2:26" ht="14" thickBot="1" x14ac:dyDescent="0.2">
      <c r="B100" s="8"/>
      <c r="C100" s="520" t="s">
        <v>273</v>
      </c>
      <c r="D100" s="562">
        <f>E97</f>
        <v>0</v>
      </c>
      <c r="E100" s="522">
        <f>G97</f>
        <v>0</v>
      </c>
      <c r="F100" s="522">
        <f>I97</f>
        <v>0</v>
      </c>
      <c r="G100" s="522">
        <f>K97</f>
        <v>0</v>
      </c>
      <c r="H100" s="522">
        <f>M97</f>
        <v>0</v>
      </c>
      <c r="I100" s="522">
        <f>O97</f>
        <v>0</v>
      </c>
      <c r="J100" s="522">
        <f>Q97</f>
        <v>0</v>
      </c>
      <c r="K100" s="522">
        <f>S97</f>
        <v>0</v>
      </c>
      <c r="L100" s="522">
        <f>U97</f>
        <v>0</v>
      </c>
      <c r="M100" s="522">
        <f>W97</f>
        <v>0</v>
      </c>
      <c r="N100" s="548">
        <f>X97</f>
        <v>0</v>
      </c>
      <c r="O100" s="2"/>
      <c r="P100" s="2"/>
      <c r="Q100" s="2"/>
      <c r="R100" s="2"/>
      <c r="S100" s="2"/>
      <c r="T100" s="2"/>
      <c r="U100" s="2"/>
      <c r="V100" s="2"/>
      <c r="W100" s="2"/>
      <c r="X100" s="2"/>
      <c r="Y100" s="2"/>
    </row>
    <row r="102" spans="2:26" ht="14" thickBot="1" x14ac:dyDescent="0.2"/>
    <row r="103" spans="2:26" ht="14" thickBot="1" x14ac:dyDescent="0.2">
      <c r="B103" s="495" t="s">
        <v>416</v>
      </c>
      <c r="C103" s="178"/>
      <c r="D103" s="483" t="s">
        <v>133</v>
      </c>
      <c r="E103" s="483"/>
      <c r="F103" s="483" t="s">
        <v>133</v>
      </c>
      <c r="G103" s="483"/>
      <c r="H103" s="483" t="s">
        <v>133</v>
      </c>
      <c r="I103" s="483"/>
      <c r="J103" s="483" t="s">
        <v>133</v>
      </c>
      <c r="K103" s="483"/>
      <c r="L103" s="483" t="s">
        <v>133</v>
      </c>
      <c r="M103" s="483"/>
      <c r="N103" s="483" t="s">
        <v>133</v>
      </c>
      <c r="O103" s="483"/>
      <c r="P103" s="483" t="s">
        <v>133</v>
      </c>
      <c r="Q103" s="483"/>
      <c r="R103" s="483" t="s">
        <v>133</v>
      </c>
      <c r="S103" s="483"/>
      <c r="T103" s="483" t="s">
        <v>133</v>
      </c>
      <c r="U103" s="483"/>
      <c r="V103" s="483" t="s">
        <v>133</v>
      </c>
      <c r="W103" s="483"/>
      <c r="X103" s="178"/>
      <c r="Y103" s="178"/>
      <c r="Z103" s="499" t="str">
        <f>B103</f>
        <v>-5%</v>
      </c>
    </row>
    <row r="104" spans="2:26" x14ac:dyDescent="0.15">
      <c r="B104" s="426"/>
      <c r="C104" s="4" t="s">
        <v>660</v>
      </c>
      <c r="D104" s="4">
        <v>1</v>
      </c>
      <c r="E104" s="4"/>
      <c r="F104" s="4">
        <f>D104+1</f>
        <v>2</v>
      </c>
      <c r="G104" s="4"/>
      <c r="H104" s="4">
        <f>F104+1</f>
        <v>3</v>
      </c>
      <c r="I104" s="4"/>
      <c r="J104" s="4">
        <f>H104+1</f>
        <v>4</v>
      </c>
      <c r="K104" s="4"/>
      <c r="L104" s="4">
        <f>J104+1</f>
        <v>5</v>
      </c>
      <c r="M104" s="4"/>
      <c r="N104" s="4">
        <f>L104+1</f>
        <v>6</v>
      </c>
      <c r="O104" s="4"/>
      <c r="P104" s="4">
        <f>N104+1</f>
        <v>7</v>
      </c>
      <c r="Q104" s="4"/>
      <c r="R104" s="4">
        <f>P104+1</f>
        <v>8</v>
      </c>
      <c r="S104" s="4"/>
      <c r="T104" s="4">
        <f>R104+1</f>
        <v>9</v>
      </c>
      <c r="U104" s="4"/>
      <c r="V104" s="4">
        <f>T104+1</f>
        <v>10</v>
      </c>
      <c r="W104" s="4"/>
      <c r="X104" s="4" t="s">
        <v>285</v>
      </c>
      <c r="Y104" s="4"/>
      <c r="Z104" s="480"/>
    </row>
    <row r="105" spans="2:26" x14ac:dyDescent="0.15">
      <c r="B105" s="202" t="s">
        <v>661</v>
      </c>
      <c r="C105" s="4">
        <v>1</v>
      </c>
      <c r="D105" s="2">
        <f t="shared" ref="D105:D116" si="44">IF(D$20&lt;($H$11+1),$B$109-((((D$20-1)*12)+$C105)*$B$110),0)</f>
        <v>0</v>
      </c>
      <c r="E105" s="2">
        <f>IF(D105&gt;0,-(D105+$B$110)*($H$6/'Loan Amortization'!$D$8),0)</f>
        <v>0</v>
      </c>
      <c r="F105" s="2">
        <f t="shared" ref="F105:F116" si="45">IF(F$20&lt;($H$11+1),$B$109-((((F$20-1)*12)+$C105)*$B$110),0)</f>
        <v>0</v>
      </c>
      <c r="G105" s="2">
        <f>IF(F105&gt;0,-(F105+$B$110)*($H$6/'Loan Amortization'!$D$8),0)</f>
        <v>0</v>
      </c>
      <c r="H105" s="2">
        <f t="shared" ref="H105:H116" si="46">IF(H$20&lt;($H$11+1),$B$109-((((H$20-1)*12)+$C105)*$B$110),0)</f>
        <v>0</v>
      </c>
      <c r="I105" s="2">
        <f>IF(H105&gt;0,-(H105+$B$110)*($H$6/'Loan Amortization'!$D$8),0)</f>
        <v>0</v>
      </c>
      <c r="J105" s="2">
        <f t="shared" ref="J105:J116" si="47">IF(J$20&lt;($H$11+1),$B$109-((((J$20-1)*12)+$C105)*$B$110),0)</f>
        <v>0</v>
      </c>
      <c r="K105" s="2">
        <f>IF(J105&gt;0,-(J105+$B$110)*($H$6/'Loan Amortization'!$D$8),0)</f>
        <v>0</v>
      </c>
      <c r="L105" s="2">
        <f t="shared" ref="L105:L116" si="48">IF(L$20&lt;($H$11+1),$B$109-((((L$20-1)*12)+$C105)*$B$110),0)</f>
        <v>0</v>
      </c>
      <c r="M105" s="2">
        <f>IF(L105&gt;0,-(L105+$B$110)*($H$6/'Loan Amortization'!$D$8),0)</f>
        <v>0</v>
      </c>
      <c r="N105" s="2">
        <f t="shared" ref="N105:N116" si="49">IF(N$20&lt;($H$11+1),$B$109-((((N$20-1)*12)+$C105)*$B$110),0)</f>
        <v>0</v>
      </c>
      <c r="O105" s="2">
        <f>IF(N105&gt;0,-(N105+$B$110)*($H$6/'Loan Amortization'!$D$8),0)</f>
        <v>0</v>
      </c>
      <c r="P105" s="2">
        <f t="shared" ref="P105:P116" si="50">IF(P$20&lt;($H$11+1),$B$109-((((P$20-1)*12)+$C105)*$B$110),0)</f>
        <v>0</v>
      </c>
      <c r="Q105" s="2">
        <f>IF(P105&gt;0,-(P105+$B$110)*($H$6/'Loan Amortization'!$D$8),0)</f>
        <v>0</v>
      </c>
      <c r="R105" s="2">
        <f t="shared" ref="R105:R116" si="51">IF(R$20&lt;($H$11+1),$B$109-((((R$20-1)*12)+$C105)*$B$110),0)</f>
        <v>0</v>
      </c>
      <c r="S105" s="2">
        <f>IF(R105&gt;0,-(R105+$B$110)*($H$6/'Loan Amortization'!$D$8),0)</f>
        <v>0</v>
      </c>
      <c r="T105" s="2">
        <f t="shared" ref="T105:T116" si="52">IF(T$20&lt;($H$11+1),$B$109-((((T$20-1)*12)+$C105)*$B$110),0)</f>
        <v>0</v>
      </c>
      <c r="U105" s="2">
        <f>IF(T105&gt;0,-(T105+$B$110)*($H$6/'Loan Amortization'!$D$8),0)</f>
        <v>0</v>
      </c>
      <c r="V105" s="2">
        <f t="shared" ref="V105:V116" si="53">IF(V$20&lt;($H$11+1),$B$109-((((V$20-1)*12)+$C105)*$B$110),0)</f>
        <v>0</v>
      </c>
      <c r="W105" s="2">
        <f>IF(V105&gt;0,-(V105+$B$110)*($H$6/'Loan Amortization'!$D$8),0)</f>
        <v>0</v>
      </c>
      <c r="X105" s="2">
        <f>SUM(C105:V105)</f>
        <v>1</v>
      </c>
      <c r="Y105" s="2"/>
      <c r="Z105" s="480"/>
    </row>
    <row r="106" spans="2:26" x14ac:dyDescent="0.15">
      <c r="B106" s="511">
        <f>-PMT($H$6/12,$H$11*12,C9)</f>
        <v>0</v>
      </c>
      <c r="C106" s="4">
        <v>2</v>
      </c>
      <c r="D106" s="2">
        <f t="shared" si="44"/>
        <v>0</v>
      </c>
      <c r="E106" s="2">
        <f>IF(D106&gt;0,-(D106+$B$110)*($H$6/'Loan Amortization'!$D$8),0)</f>
        <v>0</v>
      </c>
      <c r="F106" s="2">
        <f t="shared" si="45"/>
        <v>0</v>
      </c>
      <c r="G106" s="2">
        <f>IF(F106&gt;0,-(F106+$B$110)*($H$6/'Loan Amortization'!$D$8),0)</f>
        <v>0</v>
      </c>
      <c r="H106" s="2">
        <f t="shared" si="46"/>
        <v>0</v>
      </c>
      <c r="I106" s="2">
        <f>IF(H106&gt;0,-(H106+$B$110)*($H$6/'Loan Amortization'!$D$8),0)</f>
        <v>0</v>
      </c>
      <c r="J106" s="2">
        <f t="shared" si="47"/>
        <v>0</v>
      </c>
      <c r="K106" s="2">
        <f>IF(J106&gt;0,-(J106+$B$110)*($H$6/'Loan Amortization'!$D$8),0)</f>
        <v>0</v>
      </c>
      <c r="L106" s="2">
        <f t="shared" si="48"/>
        <v>0</v>
      </c>
      <c r="M106" s="2">
        <f>IF(L106&gt;0,-(L106+$B$110)*($H$6/'Loan Amortization'!$D$8),0)</f>
        <v>0</v>
      </c>
      <c r="N106" s="2">
        <f t="shared" si="49"/>
        <v>0</v>
      </c>
      <c r="O106" s="2">
        <f>IF(N106&gt;0,-(N106+$B$110)*($H$6/'Loan Amortization'!$D$8),0)</f>
        <v>0</v>
      </c>
      <c r="P106" s="2">
        <f t="shared" si="50"/>
        <v>0</v>
      </c>
      <c r="Q106" s="2">
        <f>IF(P106&gt;0,-(P106+$B$110)*($H$6/'Loan Amortization'!$D$8),0)</f>
        <v>0</v>
      </c>
      <c r="R106" s="2">
        <f t="shared" si="51"/>
        <v>0</v>
      </c>
      <c r="S106" s="2">
        <f>IF(R106&gt;0,-(R106+$B$110)*($H$6/'Loan Amortization'!$D$8),0)</f>
        <v>0</v>
      </c>
      <c r="T106" s="2">
        <f t="shared" si="52"/>
        <v>0</v>
      </c>
      <c r="U106" s="2">
        <f>IF(T106&gt;0,-(T106+$B$110)*($H$6/'Loan Amortization'!$D$8),0)</f>
        <v>0</v>
      </c>
      <c r="V106" s="2">
        <f t="shared" si="53"/>
        <v>0</v>
      </c>
      <c r="W106" s="2">
        <f>IF(V106&gt;0,-(V106+$B$110)*($H$6/'Loan Amortization'!$D$8),0)</f>
        <v>0</v>
      </c>
      <c r="X106" s="2">
        <f t="shared" ref="X106:X118" si="54">SUM(C106:V106)</f>
        <v>2</v>
      </c>
      <c r="Y106" s="2"/>
      <c r="Z106" s="480"/>
    </row>
    <row r="107" spans="2:26" x14ac:dyDescent="0.15">
      <c r="B107" s="540">
        <f>B106*12</f>
        <v>0</v>
      </c>
      <c r="C107" s="4">
        <v>3</v>
      </c>
      <c r="D107" s="2">
        <f t="shared" si="44"/>
        <v>0</v>
      </c>
      <c r="E107" s="2">
        <f>IF(D107&gt;0,-(D107+$B$110)*($H$6/'Loan Amortization'!$D$8),0)</f>
        <v>0</v>
      </c>
      <c r="F107" s="2">
        <f t="shared" si="45"/>
        <v>0</v>
      </c>
      <c r="G107" s="2">
        <f>IF(F107&gt;0,-(F107+$B$110)*($H$6/'Loan Amortization'!$D$8),0)</f>
        <v>0</v>
      </c>
      <c r="H107" s="2">
        <f t="shared" si="46"/>
        <v>0</v>
      </c>
      <c r="I107" s="2">
        <f>IF(H107&gt;0,-(H107+$B$110)*($H$6/'Loan Amortization'!$D$8),0)</f>
        <v>0</v>
      </c>
      <c r="J107" s="2">
        <f t="shared" si="47"/>
        <v>0</v>
      </c>
      <c r="K107" s="2">
        <f>IF(J107&gt;0,-(J107+$B$110)*($H$6/'Loan Amortization'!$D$8),0)</f>
        <v>0</v>
      </c>
      <c r="L107" s="2">
        <f t="shared" si="48"/>
        <v>0</v>
      </c>
      <c r="M107" s="2">
        <f>IF(L107&gt;0,-(L107+$B$110)*($H$6/'Loan Amortization'!$D$8),0)</f>
        <v>0</v>
      </c>
      <c r="N107" s="2">
        <f t="shared" si="49"/>
        <v>0</v>
      </c>
      <c r="O107" s="2">
        <f>IF(N107&gt;0,-(N107+$B$110)*($H$6/'Loan Amortization'!$D$8),0)</f>
        <v>0</v>
      </c>
      <c r="P107" s="2">
        <f t="shared" si="50"/>
        <v>0</v>
      </c>
      <c r="Q107" s="2">
        <f>IF(P107&gt;0,-(P107+$B$110)*($H$6/'Loan Amortization'!$D$8),0)</f>
        <v>0</v>
      </c>
      <c r="R107" s="2">
        <f t="shared" si="51"/>
        <v>0</v>
      </c>
      <c r="S107" s="2">
        <f>IF(R107&gt;0,-(R107+$B$110)*($H$6/'Loan Amortization'!$D$8),0)</f>
        <v>0</v>
      </c>
      <c r="T107" s="2">
        <f t="shared" si="52"/>
        <v>0</v>
      </c>
      <c r="U107" s="2">
        <f>IF(T107&gt;0,-(T107+$B$110)*($H$6/'Loan Amortization'!$D$8),0)</f>
        <v>0</v>
      </c>
      <c r="V107" s="2">
        <f t="shared" si="53"/>
        <v>0</v>
      </c>
      <c r="W107" s="2">
        <f>IF(V107&gt;0,-(V107+$B$110)*($H$6/'Loan Amortization'!$D$8),0)</f>
        <v>0</v>
      </c>
      <c r="X107" s="2">
        <f t="shared" si="54"/>
        <v>3</v>
      </c>
      <c r="Y107" s="2"/>
      <c r="Z107" s="480"/>
    </row>
    <row r="108" spans="2:26" x14ac:dyDescent="0.15">
      <c r="B108" s="202" t="s">
        <v>662</v>
      </c>
      <c r="C108" s="4">
        <v>4</v>
      </c>
      <c r="D108" s="2">
        <f t="shared" si="44"/>
        <v>0</v>
      </c>
      <c r="E108" s="2">
        <f>IF(D108&gt;0,-(D108+$B$110)*($H$6/'Loan Amortization'!$D$8),0)</f>
        <v>0</v>
      </c>
      <c r="F108" s="2">
        <f t="shared" si="45"/>
        <v>0</v>
      </c>
      <c r="G108" s="2">
        <f>IF(F108&gt;0,-(F108+$B$110)*($H$6/'Loan Amortization'!$D$8),0)</f>
        <v>0</v>
      </c>
      <c r="H108" s="2">
        <f t="shared" si="46"/>
        <v>0</v>
      </c>
      <c r="I108" s="2">
        <f>IF(H108&gt;0,-(H108+$B$110)*($H$6/'Loan Amortization'!$D$8),0)</f>
        <v>0</v>
      </c>
      <c r="J108" s="2">
        <f t="shared" si="47"/>
        <v>0</v>
      </c>
      <c r="K108" s="2">
        <f>IF(J108&gt;0,-(J108+$B$110)*($H$6/'Loan Amortization'!$D$8),0)</f>
        <v>0</v>
      </c>
      <c r="L108" s="2">
        <f t="shared" si="48"/>
        <v>0</v>
      </c>
      <c r="M108" s="2">
        <f>IF(L108&gt;0,-(L108+$B$110)*($H$6/'Loan Amortization'!$D$8),0)</f>
        <v>0</v>
      </c>
      <c r="N108" s="2">
        <f t="shared" si="49"/>
        <v>0</v>
      </c>
      <c r="O108" s="2">
        <f>IF(N108&gt;0,-(N108+$B$110)*($H$6/'Loan Amortization'!$D$8),0)</f>
        <v>0</v>
      </c>
      <c r="P108" s="2">
        <f t="shared" si="50"/>
        <v>0</v>
      </c>
      <c r="Q108" s="2">
        <f>IF(P108&gt;0,-(P108+$B$110)*($H$6/'Loan Amortization'!$D$8),0)</f>
        <v>0</v>
      </c>
      <c r="R108" s="2">
        <f t="shared" si="51"/>
        <v>0</v>
      </c>
      <c r="S108" s="2">
        <f>IF(R108&gt;0,-(R108+$B$110)*($H$6/'Loan Amortization'!$D$8),0)</f>
        <v>0</v>
      </c>
      <c r="T108" s="2">
        <f t="shared" si="52"/>
        <v>0</v>
      </c>
      <c r="U108" s="2">
        <f>IF(T108&gt;0,-(T108+$B$110)*($H$6/'Loan Amortization'!$D$8),0)</f>
        <v>0</v>
      </c>
      <c r="V108" s="2">
        <f t="shared" si="53"/>
        <v>0</v>
      </c>
      <c r="W108" s="2">
        <f>IF(V108&gt;0,-(V108+$B$110)*($H$6/'Loan Amortization'!$D$8),0)</f>
        <v>0</v>
      </c>
      <c r="X108" s="2">
        <f t="shared" si="54"/>
        <v>4</v>
      </c>
      <c r="Y108" s="2"/>
      <c r="Z108" s="480"/>
    </row>
    <row r="109" spans="2:26" x14ac:dyDescent="0.15">
      <c r="B109" s="521">
        <f>C9</f>
        <v>0</v>
      </c>
      <c r="C109" s="4">
        <v>5</v>
      </c>
      <c r="D109" s="2">
        <f t="shared" si="44"/>
        <v>0</v>
      </c>
      <c r="E109" s="2">
        <f>IF(D109&gt;0,-(D109+$B$110)*($H$6/'Loan Amortization'!$D$8),0)</f>
        <v>0</v>
      </c>
      <c r="F109" s="2">
        <f t="shared" si="45"/>
        <v>0</v>
      </c>
      <c r="G109" s="2">
        <f>IF(F109&gt;0,-(F109+$B$110)*($H$6/'Loan Amortization'!$D$8),0)</f>
        <v>0</v>
      </c>
      <c r="H109" s="2">
        <f t="shared" si="46"/>
        <v>0</v>
      </c>
      <c r="I109" s="2">
        <f>IF(H109&gt;0,-(H109+$B$110)*($H$6/'Loan Amortization'!$D$8),0)</f>
        <v>0</v>
      </c>
      <c r="J109" s="2">
        <f t="shared" si="47"/>
        <v>0</v>
      </c>
      <c r="K109" s="2">
        <f>IF(J109&gt;0,-(J109+$B$110)*($H$6/'Loan Amortization'!$D$8),0)</f>
        <v>0</v>
      </c>
      <c r="L109" s="2">
        <f t="shared" si="48"/>
        <v>0</v>
      </c>
      <c r="M109" s="2">
        <f>IF(L109&gt;0,-(L109+$B$110)*($H$6/'Loan Amortization'!$D$8),0)</f>
        <v>0</v>
      </c>
      <c r="N109" s="2">
        <f t="shared" si="49"/>
        <v>0</v>
      </c>
      <c r="O109" s="2">
        <f>IF(N109&gt;0,-(N109+$B$110)*($H$6/'Loan Amortization'!$D$8),0)</f>
        <v>0</v>
      </c>
      <c r="P109" s="2">
        <f t="shared" si="50"/>
        <v>0</v>
      </c>
      <c r="Q109" s="2">
        <f>IF(P109&gt;0,-(P109+$B$110)*($H$6/'Loan Amortization'!$D$8),0)</f>
        <v>0</v>
      </c>
      <c r="R109" s="2">
        <f t="shared" si="51"/>
        <v>0</v>
      </c>
      <c r="S109" s="2">
        <f>IF(R109&gt;0,-(R109+$B$110)*($H$6/'Loan Amortization'!$D$8),0)</f>
        <v>0</v>
      </c>
      <c r="T109" s="2">
        <f t="shared" si="52"/>
        <v>0</v>
      </c>
      <c r="U109" s="2">
        <f>IF(T109&gt;0,-(T109+$B$110)*($H$6/'Loan Amortization'!$D$8),0)</f>
        <v>0</v>
      </c>
      <c r="V109" s="2">
        <f t="shared" si="53"/>
        <v>0</v>
      </c>
      <c r="W109" s="2">
        <f>IF(V109&gt;0,-(V109+$B$110)*($H$6/'Loan Amortization'!$D$8),0)</f>
        <v>0</v>
      </c>
      <c r="X109" s="2">
        <f t="shared" si="54"/>
        <v>5</v>
      </c>
      <c r="Y109" s="2"/>
      <c r="Z109" s="480"/>
    </row>
    <row r="110" spans="2:26" x14ac:dyDescent="0.15">
      <c r="B110" s="521">
        <f>B109/($H$11)</f>
        <v>0</v>
      </c>
      <c r="C110" s="4">
        <v>6</v>
      </c>
      <c r="D110" s="2">
        <f t="shared" si="44"/>
        <v>0</v>
      </c>
      <c r="E110" s="2">
        <f>IF(D110&gt;0,-(D110+$B$110)*($H$6/'Loan Amortization'!$D$8),0)</f>
        <v>0</v>
      </c>
      <c r="F110" s="2">
        <f t="shared" si="45"/>
        <v>0</v>
      </c>
      <c r="G110" s="2">
        <f>IF(F110&gt;0,-(F110+$B$110)*($H$6/'Loan Amortization'!$D$8),0)</f>
        <v>0</v>
      </c>
      <c r="H110" s="2">
        <f t="shared" si="46"/>
        <v>0</v>
      </c>
      <c r="I110" s="2">
        <f>IF(H110&gt;0,-(H110+$B$110)*($H$6/'Loan Amortization'!$D$8),0)</f>
        <v>0</v>
      </c>
      <c r="J110" s="2">
        <f t="shared" si="47"/>
        <v>0</v>
      </c>
      <c r="K110" s="2">
        <f>IF(J110&gt;0,-(J110+$B$110)*($H$6/'Loan Amortization'!$D$8),0)</f>
        <v>0</v>
      </c>
      <c r="L110" s="2">
        <f t="shared" si="48"/>
        <v>0</v>
      </c>
      <c r="M110" s="2">
        <f>IF(L110&gt;0,-(L110+$B$110)*($H$6/'Loan Amortization'!$D$8),0)</f>
        <v>0</v>
      </c>
      <c r="N110" s="2">
        <f t="shared" si="49"/>
        <v>0</v>
      </c>
      <c r="O110" s="2">
        <f>IF(N110&gt;0,-(N110+$B$110)*($H$6/'Loan Amortization'!$D$8),0)</f>
        <v>0</v>
      </c>
      <c r="P110" s="2">
        <f t="shared" si="50"/>
        <v>0</v>
      </c>
      <c r="Q110" s="2">
        <f>IF(P110&gt;0,-(P110+$B$110)*($H$6/'Loan Amortization'!$D$8),0)</f>
        <v>0</v>
      </c>
      <c r="R110" s="2">
        <f t="shared" si="51"/>
        <v>0</v>
      </c>
      <c r="S110" s="2">
        <f>IF(R110&gt;0,-(R110+$B$110)*($H$6/'Loan Amortization'!$D$8),0)</f>
        <v>0</v>
      </c>
      <c r="T110" s="2">
        <f t="shared" si="52"/>
        <v>0</v>
      </c>
      <c r="U110" s="2">
        <f>IF(T110&gt;0,-(T110+$B$110)*($H$6/'Loan Amortization'!$D$8),0)</f>
        <v>0</v>
      </c>
      <c r="V110" s="2">
        <f t="shared" si="53"/>
        <v>0</v>
      </c>
      <c r="W110" s="2">
        <f>IF(V110&gt;0,-(V110+$B$110)*($H$6/'Loan Amortization'!$D$8),0)</f>
        <v>0</v>
      </c>
      <c r="X110" s="2">
        <f t="shared" si="54"/>
        <v>6</v>
      </c>
      <c r="Y110" s="2"/>
      <c r="Z110" s="480"/>
    </row>
    <row r="111" spans="2:26" x14ac:dyDescent="0.15">
      <c r="B111" s="202"/>
      <c r="C111" s="4">
        <v>7</v>
      </c>
      <c r="D111" s="2">
        <f t="shared" si="44"/>
        <v>0</v>
      </c>
      <c r="E111" s="2">
        <f>IF(D111&gt;0,-(D111+$B$110)*($H$6/'Loan Amortization'!$D$8),0)</f>
        <v>0</v>
      </c>
      <c r="F111" s="2">
        <f t="shared" si="45"/>
        <v>0</v>
      </c>
      <c r="G111" s="2">
        <f>IF(F111&gt;0,-(F111+$B$110)*($H$6/'Loan Amortization'!$D$8),0)</f>
        <v>0</v>
      </c>
      <c r="H111" s="2">
        <f t="shared" si="46"/>
        <v>0</v>
      </c>
      <c r="I111" s="2">
        <f>IF(H111&gt;0,-(H111+$B$110)*($H$6/'Loan Amortization'!$D$8),0)</f>
        <v>0</v>
      </c>
      <c r="J111" s="2">
        <f t="shared" si="47"/>
        <v>0</v>
      </c>
      <c r="K111" s="2">
        <f>IF(J111&gt;0,-(J111+$B$110)*($H$6/'Loan Amortization'!$D$8),0)</f>
        <v>0</v>
      </c>
      <c r="L111" s="2">
        <f t="shared" si="48"/>
        <v>0</v>
      </c>
      <c r="M111" s="2">
        <f>IF(L111&gt;0,-(L111+$B$110)*($H$6/'Loan Amortization'!$D$8),0)</f>
        <v>0</v>
      </c>
      <c r="N111" s="2">
        <f t="shared" si="49"/>
        <v>0</v>
      </c>
      <c r="O111" s="2">
        <f>IF(N111&gt;0,-(N111+$B$110)*($H$6/'Loan Amortization'!$D$8),0)</f>
        <v>0</v>
      </c>
      <c r="P111" s="2">
        <f t="shared" si="50"/>
        <v>0</v>
      </c>
      <c r="Q111" s="2">
        <f>IF(P111&gt;0,-(P111+$B$110)*($H$6/'Loan Amortization'!$D$8),0)</f>
        <v>0</v>
      </c>
      <c r="R111" s="2">
        <f t="shared" si="51"/>
        <v>0</v>
      </c>
      <c r="S111" s="2">
        <f>IF(R111&gt;0,-(R111+$B$110)*($H$6/'Loan Amortization'!$D$8),0)</f>
        <v>0</v>
      </c>
      <c r="T111" s="2">
        <f t="shared" si="52"/>
        <v>0</v>
      </c>
      <c r="U111" s="2">
        <f>IF(T111&gt;0,-(T111+$B$110)*($H$6/'Loan Amortization'!$D$8),0)</f>
        <v>0</v>
      </c>
      <c r="V111" s="2">
        <f t="shared" si="53"/>
        <v>0</v>
      </c>
      <c r="W111" s="2">
        <f>IF(V111&gt;0,-(V111+$B$110)*($H$6/'Loan Amortization'!$D$8),0)</f>
        <v>0</v>
      </c>
      <c r="X111" s="2">
        <f t="shared" si="54"/>
        <v>7</v>
      </c>
      <c r="Y111" s="2"/>
      <c r="Z111" s="480"/>
    </row>
    <row r="112" spans="2:26" x14ac:dyDescent="0.15">
      <c r="B112" s="202"/>
      <c r="C112" s="4">
        <v>8</v>
      </c>
      <c r="D112" s="2">
        <f t="shared" si="44"/>
        <v>0</v>
      </c>
      <c r="E112" s="2">
        <f>IF(D112&gt;0,-(D112+$B$110)*($H$6/'Loan Amortization'!$D$8),0)</f>
        <v>0</v>
      </c>
      <c r="F112" s="2">
        <f t="shared" si="45"/>
        <v>0</v>
      </c>
      <c r="G112" s="2">
        <f>IF(F112&gt;0,-(F112+$B$110)*($H$6/'Loan Amortization'!$D$8),0)</f>
        <v>0</v>
      </c>
      <c r="H112" s="2">
        <f t="shared" si="46"/>
        <v>0</v>
      </c>
      <c r="I112" s="2">
        <f>IF(H112&gt;0,-(H112+$B$110)*($H$6/'Loan Amortization'!$D$8),0)</f>
        <v>0</v>
      </c>
      <c r="J112" s="2">
        <f t="shared" si="47"/>
        <v>0</v>
      </c>
      <c r="K112" s="2">
        <f>IF(J112&gt;0,-(J112+$B$110)*($H$6/'Loan Amortization'!$D$8),0)</f>
        <v>0</v>
      </c>
      <c r="L112" s="2">
        <f t="shared" si="48"/>
        <v>0</v>
      </c>
      <c r="M112" s="2">
        <f>IF(L112&gt;0,-(L112+$B$110)*($H$6/'Loan Amortization'!$D$8),0)</f>
        <v>0</v>
      </c>
      <c r="N112" s="2">
        <f t="shared" si="49"/>
        <v>0</v>
      </c>
      <c r="O112" s="2">
        <f>IF(N112&gt;0,-(N112+$B$110)*($H$6/'Loan Amortization'!$D$8),0)</f>
        <v>0</v>
      </c>
      <c r="P112" s="2">
        <f t="shared" si="50"/>
        <v>0</v>
      </c>
      <c r="Q112" s="2">
        <f>IF(P112&gt;0,-(P112+$B$110)*($H$6/'Loan Amortization'!$D$8),0)</f>
        <v>0</v>
      </c>
      <c r="R112" s="2">
        <f t="shared" si="51"/>
        <v>0</v>
      </c>
      <c r="S112" s="2">
        <f>IF(R112&gt;0,-(R112+$B$110)*($H$6/'Loan Amortization'!$D$8),0)</f>
        <v>0</v>
      </c>
      <c r="T112" s="2">
        <f t="shared" si="52"/>
        <v>0</v>
      </c>
      <c r="U112" s="2">
        <f>IF(T112&gt;0,-(T112+$B$110)*($H$6/'Loan Amortization'!$D$8),0)</f>
        <v>0</v>
      </c>
      <c r="V112" s="2">
        <f t="shared" si="53"/>
        <v>0</v>
      </c>
      <c r="W112" s="2">
        <f>IF(V112&gt;0,-(V112+$B$110)*($H$6/'Loan Amortization'!$D$8),0)</f>
        <v>0</v>
      </c>
      <c r="X112" s="2">
        <f t="shared" si="54"/>
        <v>8</v>
      </c>
      <c r="Y112" s="2"/>
      <c r="Z112" s="480"/>
    </row>
    <row r="113" spans="2:26" x14ac:dyDescent="0.15">
      <c r="B113" s="202"/>
      <c r="C113" s="4">
        <v>9</v>
      </c>
      <c r="D113" s="2">
        <f t="shared" si="44"/>
        <v>0</v>
      </c>
      <c r="E113" s="2">
        <f>IF(D113&gt;0,-(D113+$B$110)*($H$6/'Loan Amortization'!$D$8),0)</f>
        <v>0</v>
      </c>
      <c r="F113" s="2">
        <f t="shared" si="45"/>
        <v>0</v>
      </c>
      <c r="G113" s="2">
        <f>IF(F113&gt;0,-(F113+$B$110)*($H$6/'Loan Amortization'!$D$8),0)</f>
        <v>0</v>
      </c>
      <c r="H113" s="2">
        <f t="shared" si="46"/>
        <v>0</v>
      </c>
      <c r="I113" s="2">
        <f>IF(H113&gt;0,-(H113+$B$110)*($H$6/'Loan Amortization'!$D$8),0)</f>
        <v>0</v>
      </c>
      <c r="J113" s="2">
        <f t="shared" si="47"/>
        <v>0</v>
      </c>
      <c r="K113" s="2">
        <f>IF(J113&gt;0,-(J113+$B$110)*($H$6/'Loan Amortization'!$D$8),0)</f>
        <v>0</v>
      </c>
      <c r="L113" s="2">
        <f t="shared" si="48"/>
        <v>0</v>
      </c>
      <c r="M113" s="2">
        <f>IF(L113&gt;0,-(L113+$B$110)*($H$6/'Loan Amortization'!$D$8),0)</f>
        <v>0</v>
      </c>
      <c r="N113" s="2">
        <f t="shared" si="49"/>
        <v>0</v>
      </c>
      <c r="O113" s="2">
        <f>IF(N113&gt;0,-(N113+$B$110)*($H$6/'Loan Amortization'!$D$8),0)</f>
        <v>0</v>
      </c>
      <c r="P113" s="2">
        <f t="shared" si="50"/>
        <v>0</v>
      </c>
      <c r="Q113" s="2">
        <f>IF(P113&gt;0,-(P113+$B$110)*($H$6/'Loan Amortization'!$D$8),0)</f>
        <v>0</v>
      </c>
      <c r="R113" s="2">
        <f t="shared" si="51"/>
        <v>0</v>
      </c>
      <c r="S113" s="2">
        <f>IF(R113&gt;0,-(R113+$B$110)*($H$6/'Loan Amortization'!$D$8),0)</f>
        <v>0</v>
      </c>
      <c r="T113" s="2">
        <f t="shared" si="52"/>
        <v>0</v>
      </c>
      <c r="U113" s="2">
        <f>IF(T113&gt;0,-(T113+$B$110)*($H$6/'Loan Amortization'!$D$8),0)</f>
        <v>0</v>
      </c>
      <c r="V113" s="2">
        <f t="shared" si="53"/>
        <v>0</v>
      </c>
      <c r="W113" s="2">
        <f>IF(V113&gt;0,-(V113+$B$110)*($H$6/'Loan Amortization'!$D$8),0)</f>
        <v>0</v>
      </c>
      <c r="X113" s="2">
        <f t="shared" si="54"/>
        <v>9</v>
      </c>
      <c r="Y113" s="2"/>
      <c r="Z113" s="480"/>
    </row>
    <row r="114" spans="2:26" x14ac:dyDescent="0.15">
      <c r="B114" s="202"/>
      <c r="C114" s="4">
        <v>10</v>
      </c>
      <c r="D114" s="2">
        <f t="shared" si="44"/>
        <v>0</v>
      </c>
      <c r="E114" s="2">
        <f>IF(D114&gt;0,-(D114+$B$110)*($H$6/'Loan Amortization'!$D$8),0)</f>
        <v>0</v>
      </c>
      <c r="F114" s="2">
        <f t="shared" si="45"/>
        <v>0</v>
      </c>
      <c r="G114" s="2">
        <f>IF(F114&gt;0,-(F114+$B$110)*($H$6/'Loan Amortization'!$D$8),0)</f>
        <v>0</v>
      </c>
      <c r="H114" s="2">
        <f t="shared" si="46"/>
        <v>0</v>
      </c>
      <c r="I114" s="2">
        <f>IF(H114&gt;0,-(H114+$B$110)*($H$6/'Loan Amortization'!$D$8),0)</f>
        <v>0</v>
      </c>
      <c r="J114" s="2">
        <f t="shared" si="47"/>
        <v>0</v>
      </c>
      <c r="K114" s="2">
        <f>IF(J114&gt;0,-(J114+$B$110)*($H$6/'Loan Amortization'!$D$8),0)</f>
        <v>0</v>
      </c>
      <c r="L114" s="2">
        <f t="shared" si="48"/>
        <v>0</v>
      </c>
      <c r="M114" s="2">
        <f>IF(L114&gt;0,-(L114+$B$110)*($H$6/'Loan Amortization'!$D$8),0)</f>
        <v>0</v>
      </c>
      <c r="N114" s="2">
        <f t="shared" si="49"/>
        <v>0</v>
      </c>
      <c r="O114" s="2">
        <f>IF(N114&gt;0,-(N114+$B$110)*($H$6/'Loan Amortization'!$D$8),0)</f>
        <v>0</v>
      </c>
      <c r="P114" s="2">
        <f t="shared" si="50"/>
        <v>0</v>
      </c>
      <c r="Q114" s="2">
        <f>IF(P114&gt;0,-(P114+$B$110)*($H$6/'Loan Amortization'!$D$8),0)</f>
        <v>0</v>
      </c>
      <c r="R114" s="2">
        <f t="shared" si="51"/>
        <v>0</v>
      </c>
      <c r="S114" s="2">
        <f>IF(R114&gt;0,-(R114+$B$110)*($H$6/'Loan Amortization'!$D$8),0)</f>
        <v>0</v>
      </c>
      <c r="T114" s="2">
        <f t="shared" si="52"/>
        <v>0</v>
      </c>
      <c r="U114" s="2">
        <f>IF(T114&gt;0,-(T114+$B$110)*($H$6/'Loan Amortization'!$D$8),0)</f>
        <v>0</v>
      </c>
      <c r="V114" s="2">
        <f t="shared" si="53"/>
        <v>0</v>
      </c>
      <c r="W114" s="2">
        <f>IF(V114&gt;0,-(V114+$B$110)*($H$6/'Loan Amortization'!$D$8),0)</f>
        <v>0</v>
      </c>
      <c r="X114" s="2">
        <f t="shared" si="54"/>
        <v>10</v>
      </c>
      <c r="Y114" s="2"/>
      <c r="Z114" s="480"/>
    </row>
    <row r="115" spans="2:26" x14ac:dyDescent="0.15">
      <c r="B115" s="202"/>
      <c r="C115" s="4">
        <v>11</v>
      </c>
      <c r="D115" s="2">
        <f t="shared" si="44"/>
        <v>0</v>
      </c>
      <c r="E115" s="2">
        <f>IF(D115&gt;0,-(D115+$B$110)*($H$6/'Loan Amortization'!$D$8),0)</f>
        <v>0</v>
      </c>
      <c r="F115" s="2">
        <f t="shared" si="45"/>
        <v>0</v>
      </c>
      <c r="G115" s="2">
        <f>IF(F115&gt;0,-(F115+$B$110)*($H$6/'Loan Amortization'!$D$8),0)</f>
        <v>0</v>
      </c>
      <c r="H115" s="2">
        <f t="shared" si="46"/>
        <v>0</v>
      </c>
      <c r="I115" s="2">
        <f>IF(H115&gt;0,-(H115+$B$110)*($H$6/'Loan Amortization'!$D$8),0)</f>
        <v>0</v>
      </c>
      <c r="J115" s="2">
        <f t="shared" si="47"/>
        <v>0</v>
      </c>
      <c r="K115" s="2">
        <f>IF(J115&gt;0,-(J115+$B$110)*($H$6/'Loan Amortization'!$D$8),0)</f>
        <v>0</v>
      </c>
      <c r="L115" s="2">
        <f t="shared" si="48"/>
        <v>0</v>
      </c>
      <c r="M115" s="2">
        <f>IF(L115&gt;0,-(L115+$B$110)*($H$6/'Loan Amortization'!$D$8),0)</f>
        <v>0</v>
      </c>
      <c r="N115" s="2">
        <f t="shared" si="49"/>
        <v>0</v>
      </c>
      <c r="O115" s="2">
        <f>IF(N115&gt;0,-(N115+$B$110)*($H$6/'Loan Amortization'!$D$8),0)</f>
        <v>0</v>
      </c>
      <c r="P115" s="2">
        <f t="shared" si="50"/>
        <v>0</v>
      </c>
      <c r="Q115" s="2">
        <f>IF(P115&gt;0,-(P115+$B$110)*($H$6/'Loan Amortization'!$D$8),0)</f>
        <v>0</v>
      </c>
      <c r="R115" s="2">
        <f t="shared" si="51"/>
        <v>0</v>
      </c>
      <c r="S115" s="2">
        <f>IF(R115&gt;0,-(R115+$B$110)*($H$6/'Loan Amortization'!$D$8),0)</f>
        <v>0</v>
      </c>
      <c r="T115" s="2">
        <f t="shared" si="52"/>
        <v>0</v>
      </c>
      <c r="U115" s="2">
        <f>IF(T115&gt;0,-(T115+$B$110)*($H$6/'Loan Amortization'!$D$8),0)</f>
        <v>0</v>
      </c>
      <c r="V115" s="2">
        <f t="shared" si="53"/>
        <v>0</v>
      </c>
      <c r="W115" s="2">
        <f>IF(V115&gt;0,-(V115+$B$110)*($H$6/'Loan Amortization'!$D$8),0)</f>
        <v>0</v>
      </c>
      <c r="X115" s="2">
        <f t="shared" si="54"/>
        <v>11</v>
      </c>
      <c r="Y115" s="2"/>
      <c r="Z115" s="480"/>
    </row>
    <row r="116" spans="2:26" ht="14" thickBot="1" x14ac:dyDescent="0.2">
      <c r="B116" s="202"/>
      <c r="C116" s="4">
        <v>12</v>
      </c>
      <c r="D116" s="2">
        <f t="shared" si="44"/>
        <v>0</v>
      </c>
      <c r="E116" s="2">
        <f>IF(D116&gt;0,-(D116+$B$26)*($H$6/'Loan Amortization'!$D$8),0)</f>
        <v>0</v>
      </c>
      <c r="F116" s="2">
        <f t="shared" si="45"/>
        <v>0</v>
      </c>
      <c r="G116" s="2">
        <f>IF(F116&gt;0,-(F116+$B$26)*($H$6/'Loan Amortization'!$D$8),0)</f>
        <v>0</v>
      </c>
      <c r="H116" s="2">
        <f t="shared" si="46"/>
        <v>0</v>
      </c>
      <c r="I116" s="2">
        <f>IF(H116&gt;0,-(H116+$B$26)*($H$6/'Loan Amortization'!$D$8),0)</f>
        <v>0</v>
      </c>
      <c r="J116" s="2">
        <f t="shared" si="47"/>
        <v>0</v>
      </c>
      <c r="K116" s="2">
        <f>IF(J116&gt;0,-(J116+$B$26)*($H$6/'Loan Amortization'!$D$8),0)</f>
        <v>0</v>
      </c>
      <c r="L116" s="2">
        <f t="shared" si="48"/>
        <v>0</v>
      </c>
      <c r="M116" s="2">
        <f>IF(L116&gt;0,-(L116+$B$26)*($H$6/'Loan Amortization'!$D$8),0)</f>
        <v>0</v>
      </c>
      <c r="N116" s="2">
        <f t="shared" si="49"/>
        <v>0</v>
      </c>
      <c r="O116" s="2">
        <f>IF(N116&gt;0,-(N116+$B$26)*($H$6/'Loan Amortization'!$D$8),0)</f>
        <v>0</v>
      </c>
      <c r="P116" s="2">
        <f t="shared" si="50"/>
        <v>0</v>
      </c>
      <c r="Q116" s="2">
        <f>IF(P116&gt;0,-(P116+$B$26)*($H$6/'Loan Amortization'!$D$8),0)</f>
        <v>0</v>
      </c>
      <c r="R116" s="2">
        <f t="shared" si="51"/>
        <v>0</v>
      </c>
      <c r="S116" s="2">
        <f>IF(R116&gt;0,-(R116+$B$26)*($H$6/'Loan Amortization'!$D$8),0)</f>
        <v>0</v>
      </c>
      <c r="T116" s="2">
        <f t="shared" si="52"/>
        <v>0</v>
      </c>
      <c r="U116" s="2">
        <f>IF(T116&gt;0,-(T116+$B$26)*($H$6/'Loan Amortization'!$D$8),0)</f>
        <v>0</v>
      </c>
      <c r="V116" s="2">
        <f t="shared" si="53"/>
        <v>0</v>
      </c>
      <c r="W116" s="2">
        <f>IF(V116&gt;0,-(V116+$B$26)*($H$6/'Loan Amortization'!$D$8),0)</f>
        <v>0</v>
      </c>
      <c r="X116" s="2">
        <f t="shared" si="54"/>
        <v>12</v>
      </c>
      <c r="Y116" s="2"/>
      <c r="Z116" s="480"/>
    </row>
    <row r="117" spans="2:26" ht="14" thickBot="1" x14ac:dyDescent="0.2">
      <c r="B117" s="541"/>
      <c r="C117" s="502" t="s">
        <v>663</v>
      </c>
      <c r="D117" s="503">
        <f>IF(D$20&lt;($H$11+1),-$B$110,0)</f>
        <v>0</v>
      </c>
      <c r="E117" s="503"/>
      <c r="F117" s="503">
        <f>IF(F$20&lt;($H$11+1),-$B$110,0)</f>
        <v>0</v>
      </c>
      <c r="G117" s="503"/>
      <c r="H117" s="503">
        <f>IF(H$20&lt;($H$11+1),-$B$110,0)</f>
        <v>0</v>
      </c>
      <c r="I117" s="503"/>
      <c r="J117" s="503">
        <f>IF(J$20&lt;($H$11+1),-$B$110,0)</f>
        <v>0</v>
      </c>
      <c r="K117" s="503"/>
      <c r="L117" s="503">
        <f>IF(L$20&lt;($H$11+1),-$B$110,0)</f>
        <v>0</v>
      </c>
      <c r="M117" s="503"/>
      <c r="N117" s="503">
        <f>IF(N$20&lt;($H$11+1),-$B$110,0)</f>
        <v>0</v>
      </c>
      <c r="O117" s="503"/>
      <c r="P117" s="503">
        <f>IF(P$20&lt;($H$11+1),-$B$110,0)</f>
        <v>0</v>
      </c>
      <c r="Q117" s="503"/>
      <c r="R117" s="503">
        <f>IF(R$20&lt;($H$11+1),-$B$110,0)</f>
        <v>0</v>
      </c>
      <c r="S117" s="503"/>
      <c r="T117" s="503">
        <f>IF(T$20&lt;($H$11+1),-$B$110,0)</f>
        <v>0</v>
      </c>
      <c r="U117" s="503"/>
      <c r="V117" s="503">
        <f>IF(V$20&lt;($H$11+1),-$B$110,0)</f>
        <v>0</v>
      </c>
      <c r="W117" s="503"/>
      <c r="X117" s="504">
        <f t="shared" si="54"/>
        <v>0</v>
      </c>
      <c r="Y117" s="501"/>
      <c r="Z117" s="480"/>
    </row>
    <row r="118" spans="2:26" ht="14" thickBot="1" x14ac:dyDescent="0.2">
      <c r="B118" s="478"/>
      <c r="C118" s="520" t="s">
        <v>273</v>
      </c>
      <c r="D118" s="522"/>
      <c r="E118" s="522">
        <f>IF((D$20)&gt;$H$11,0,IPMT($H$6,D104,$H$11,$B$109))</f>
        <v>0</v>
      </c>
      <c r="F118" s="522"/>
      <c r="G118" s="522">
        <f>IF((F$20)&gt;$H$11,0,IPMT($H$6,F104,$H$11,$B$109))</f>
        <v>0</v>
      </c>
      <c r="H118" s="522"/>
      <c r="I118" s="522">
        <f>IF((H$20)&gt;$H$11,0,IPMT($H$6,H104,$H$11,$B$109))</f>
        <v>0</v>
      </c>
      <c r="J118" s="522"/>
      <c r="K118" s="522">
        <f>IF((J$20)&gt;$H$11,0,IPMT($H$6,J104,$H$11,$B$109))</f>
        <v>0</v>
      </c>
      <c r="L118" s="522"/>
      <c r="M118" s="522">
        <f>IF((L$20)&gt;$H$11,0,IPMT($H$6,L104,$H$11,$B$109))</f>
        <v>0</v>
      </c>
      <c r="N118" s="522"/>
      <c r="O118" s="522">
        <f>IF((N$20)&gt;$H$11,0,IPMT($H$6,N104,$H$11,$B$109))</f>
        <v>0</v>
      </c>
      <c r="P118" s="522"/>
      <c r="Q118" s="522">
        <f>IF((P$20)&gt;$H$11,0,IPMT($H$6,P104,$H$11,$B$109))</f>
        <v>0</v>
      </c>
      <c r="R118" s="522"/>
      <c r="S118" s="522">
        <f>IF((R$20)&gt;$H$11,0,IPMT($H$6,R104,$H$11,$B$109))</f>
        <v>0</v>
      </c>
      <c r="T118" s="522"/>
      <c r="U118" s="522">
        <f>IF((T$20)&gt;$H$11,0,IPMT($H$6,T104,$H$11,$B$109))</f>
        <v>0</v>
      </c>
      <c r="V118" s="522"/>
      <c r="W118" s="522">
        <f>IF((V$20)&gt;$H$11,0,IPMT($H$6,V104,$H$11,$B$109))</f>
        <v>0</v>
      </c>
      <c r="X118" s="504">
        <f t="shared" si="54"/>
        <v>0</v>
      </c>
      <c r="Y118" s="548"/>
      <c r="Z118" s="482"/>
    </row>
    <row r="119" spans="2:26" ht="14" thickBot="1" x14ac:dyDescent="0.2">
      <c r="B119" s="8"/>
      <c r="C119" s="502" t="s">
        <v>664</v>
      </c>
      <c r="D119" s="558">
        <f>D104</f>
        <v>1</v>
      </c>
      <c r="E119" s="559">
        <f>F104</f>
        <v>2</v>
      </c>
      <c r="F119" s="559">
        <f>H104</f>
        <v>3</v>
      </c>
      <c r="G119" s="559">
        <f>J104</f>
        <v>4</v>
      </c>
      <c r="H119" s="559">
        <f>L104</f>
        <v>5</v>
      </c>
      <c r="I119" s="559">
        <f>N104</f>
        <v>6</v>
      </c>
      <c r="J119" s="559">
        <f>P104</f>
        <v>7</v>
      </c>
      <c r="K119" s="559">
        <f>R104</f>
        <v>8</v>
      </c>
      <c r="L119" s="559">
        <f>T104</f>
        <v>9</v>
      </c>
      <c r="M119" s="559">
        <f>V104</f>
        <v>10</v>
      </c>
      <c r="N119" s="560" t="str">
        <f>X104</f>
        <v>TOTAL</v>
      </c>
      <c r="O119" s="2"/>
      <c r="P119" s="2"/>
      <c r="Q119" s="2"/>
      <c r="R119" s="2"/>
      <c r="S119" s="2"/>
      <c r="T119" s="2"/>
      <c r="U119" s="2"/>
      <c r="V119" s="2"/>
      <c r="W119" s="2"/>
      <c r="X119" s="2"/>
      <c r="Y119" s="2"/>
    </row>
    <row r="120" spans="2:26" ht="14" thickBot="1" x14ac:dyDescent="0.2">
      <c r="B120" s="8"/>
      <c r="C120" s="502" t="s">
        <v>663</v>
      </c>
      <c r="D120" s="561">
        <f>D117</f>
        <v>0</v>
      </c>
      <c r="E120" s="2">
        <f>F117</f>
        <v>0</v>
      </c>
      <c r="F120" s="2">
        <f>H117</f>
        <v>0</v>
      </c>
      <c r="G120" s="2">
        <f>J117</f>
        <v>0</v>
      </c>
      <c r="H120" s="2">
        <f>L117</f>
        <v>0</v>
      </c>
      <c r="I120" s="2">
        <f>N117</f>
        <v>0</v>
      </c>
      <c r="J120" s="2">
        <f>P117</f>
        <v>0</v>
      </c>
      <c r="K120" s="2">
        <f>R117</f>
        <v>0</v>
      </c>
      <c r="L120" s="2">
        <f>T117</f>
        <v>0</v>
      </c>
      <c r="M120" s="2">
        <f>V117</f>
        <v>0</v>
      </c>
      <c r="N120" s="501">
        <f>X117</f>
        <v>0</v>
      </c>
      <c r="O120" s="2"/>
      <c r="P120" s="2"/>
      <c r="Q120" s="2"/>
      <c r="R120" s="2"/>
      <c r="S120" s="2"/>
      <c r="T120" s="2"/>
      <c r="U120" s="2"/>
      <c r="V120" s="2"/>
      <c r="W120" s="2"/>
      <c r="X120" s="2"/>
      <c r="Y120" s="2"/>
    </row>
    <row r="121" spans="2:26" ht="14" thickBot="1" x14ac:dyDescent="0.2">
      <c r="B121" s="8"/>
      <c r="C121" s="520" t="s">
        <v>273</v>
      </c>
      <c r="D121" s="562">
        <f>E118</f>
        <v>0</v>
      </c>
      <c r="E121" s="522">
        <f>G118</f>
        <v>0</v>
      </c>
      <c r="F121" s="522">
        <f>I118</f>
        <v>0</v>
      </c>
      <c r="G121" s="522">
        <f>K118</f>
        <v>0</v>
      </c>
      <c r="H121" s="522">
        <f>M118</f>
        <v>0</v>
      </c>
      <c r="I121" s="522">
        <f>O118</f>
        <v>0</v>
      </c>
      <c r="J121" s="522">
        <f>Q118</f>
        <v>0</v>
      </c>
      <c r="K121" s="522">
        <f>S118</f>
        <v>0</v>
      </c>
      <c r="L121" s="522">
        <f>U118</f>
        <v>0</v>
      </c>
      <c r="M121" s="522">
        <f>W118</f>
        <v>0</v>
      </c>
      <c r="N121" s="548">
        <f>X118</f>
        <v>0</v>
      </c>
      <c r="O121" s="2"/>
      <c r="P121" s="2"/>
      <c r="Q121" s="2"/>
      <c r="R121" s="2"/>
      <c r="S121" s="2"/>
      <c r="T121" s="2"/>
      <c r="U121" s="2"/>
      <c r="V121" s="2"/>
      <c r="W121" s="2"/>
      <c r="X121" s="2"/>
      <c r="Y121" s="2"/>
    </row>
    <row r="123" spans="2:26" ht="14" thickBot="1" x14ac:dyDescent="0.2"/>
    <row r="124" spans="2:26" ht="14" thickBot="1" x14ac:dyDescent="0.2">
      <c r="B124" s="495" t="s">
        <v>417</v>
      </c>
      <c r="C124" s="178"/>
      <c r="D124" s="483" t="s">
        <v>133</v>
      </c>
      <c r="E124" s="483"/>
      <c r="F124" s="483" t="s">
        <v>133</v>
      </c>
      <c r="G124" s="483"/>
      <c r="H124" s="483" t="s">
        <v>133</v>
      </c>
      <c r="I124" s="483"/>
      <c r="J124" s="483" t="s">
        <v>133</v>
      </c>
      <c r="K124" s="483"/>
      <c r="L124" s="483" t="s">
        <v>133</v>
      </c>
      <c r="M124" s="483"/>
      <c r="N124" s="483" t="s">
        <v>133</v>
      </c>
      <c r="O124" s="483"/>
      <c r="P124" s="483" t="s">
        <v>133</v>
      </c>
      <c r="Q124" s="483"/>
      <c r="R124" s="483" t="s">
        <v>133</v>
      </c>
      <c r="S124" s="483"/>
      <c r="T124" s="483" t="s">
        <v>133</v>
      </c>
      <c r="U124" s="483"/>
      <c r="V124" s="483" t="s">
        <v>133</v>
      </c>
      <c r="W124" s="483"/>
      <c r="X124" s="178"/>
      <c r="Y124" s="178"/>
      <c r="Z124" s="499" t="str">
        <f>B124</f>
        <v>Base Case</v>
      </c>
    </row>
    <row r="125" spans="2:26" x14ac:dyDescent="0.15">
      <c r="B125" s="514"/>
      <c r="C125" s="4" t="s">
        <v>660</v>
      </c>
      <c r="D125" s="4">
        <v>1</v>
      </c>
      <c r="E125" s="4"/>
      <c r="F125" s="4">
        <f>D125+1</f>
        <v>2</v>
      </c>
      <c r="G125" s="4"/>
      <c r="H125" s="4">
        <f>F125+1</f>
        <v>3</v>
      </c>
      <c r="I125" s="4"/>
      <c r="J125" s="4">
        <f>H125+1</f>
        <v>4</v>
      </c>
      <c r="K125" s="4"/>
      <c r="L125" s="4">
        <f>J125+1</f>
        <v>5</v>
      </c>
      <c r="M125" s="4"/>
      <c r="N125" s="4">
        <f>L125+1</f>
        <v>6</v>
      </c>
      <c r="O125" s="4"/>
      <c r="P125" s="4">
        <f>N125+1</f>
        <v>7</v>
      </c>
      <c r="Q125" s="4"/>
      <c r="R125" s="4">
        <f>P125+1</f>
        <v>8</v>
      </c>
      <c r="S125" s="4"/>
      <c r="T125" s="4">
        <f>R125+1</f>
        <v>9</v>
      </c>
      <c r="U125" s="4"/>
      <c r="V125" s="4">
        <f>T125+1</f>
        <v>10</v>
      </c>
      <c r="W125" s="4"/>
      <c r="X125" s="4" t="s">
        <v>285</v>
      </c>
      <c r="Y125" s="4"/>
      <c r="Z125" s="480"/>
    </row>
    <row r="126" spans="2:26" x14ac:dyDescent="0.15">
      <c r="B126" s="480" t="s">
        <v>661</v>
      </c>
      <c r="C126" s="4">
        <v>1</v>
      </c>
      <c r="D126" s="2">
        <f t="shared" ref="D126:D137" si="55">IF(D$20&lt;($H$11+1),$B$130-((((D$20-1)*12)+$C126)*$B$131),0)</f>
        <v>0</v>
      </c>
      <c r="E126" s="2">
        <f>IF(D126&gt;0,-(D126+$B$131)*($H$6/'Loan Amortization'!$D$8),0)</f>
        <v>0</v>
      </c>
      <c r="F126" s="2">
        <f t="shared" ref="F126:F137" si="56">IF(F$20&lt;($H$11+1),$B$130-((((F$20-1)*12)+$C126)*$B$131),0)</f>
        <v>0</v>
      </c>
      <c r="G126" s="2">
        <f>IF(F126&gt;0,-(F126+$B$131)*($H$6/'Loan Amortization'!$D$8),0)</f>
        <v>0</v>
      </c>
      <c r="H126" s="2">
        <f t="shared" ref="H126:H137" si="57">IF(H$20&lt;($H$11+1),$B$130-((((H$20-1)*12)+$C126)*$B$131),0)</f>
        <v>0</v>
      </c>
      <c r="I126" s="2">
        <f>IF(H126&gt;0,-(H126+$B$131)*($H$6/'Loan Amortization'!$D$8),0)</f>
        <v>0</v>
      </c>
      <c r="J126" s="2">
        <f t="shared" ref="J126:J137" si="58">IF(J$20&lt;($H$11+1),$B$130-((((J$20-1)*12)+$C126)*$B$131),0)</f>
        <v>0</v>
      </c>
      <c r="K126" s="2">
        <f>IF(J126&gt;0,-(J126+$B$131)*($H$6/'Loan Amortization'!$D$8),0)</f>
        <v>0</v>
      </c>
      <c r="L126" s="2">
        <f t="shared" ref="L126:L137" si="59">IF(L$20&lt;($H$11+1),$B$130-((((L$20-1)*12)+$C126)*$B$131),0)</f>
        <v>0</v>
      </c>
      <c r="M126" s="2">
        <f>IF(L126&gt;0,-(L126+$B$131)*($H$6/'Loan Amortization'!$D$8),0)</f>
        <v>0</v>
      </c>
      <c r="N126" s="2">
        <f t="shared" ref="N126:N137" si="60">IF(N$20&lt;($H$11+1),$B$130-((((N$20-1)*12)+$C126)*$B$131),0)</f>
        <v>0</v>
      </c>
      <c r="O126" s="2">
        <f>IF(N126&gt;0,-(N126+$B$131)*($H$6/'Loan Amortization'!$D$8),0)</f>
        <v>0</v>
      </c>
      <c r="P126" s="2">
        <f t="shared" ref="P126:P137" si="61">IF(P$20&lt;($H$11+1),$B$130-((((P$20-1)*12)+$C126)*$B$131),0)</f>
        <v>0</v>
      </c>
      <c r="Q126" s="2">
        <f>IF(P126&gt;0,-(P126+$B$131)*($H$6/'Loan Amortization'!$D$8),0)</f>
        <v>0</v>
      </c>
      <c r="R126" s="2">
        <f t="shared" ref="R126:R137" si="62">IF(R$20&lt;($H$11+1),$B$130-((((R$20-1)*12)+$C126)*$B$131),0)</f>
        <v>0</v>
      </c>
      <c r="S126" s="2">
        <f>IF(R126&gt;0,-(R126+$B$131)*($H$6/'Loan Amortization'!$D$8),0)</f>
        <v>0</v>
      </c>
      <c r="T126" s="2">
        <f t="shared" ref="T126:T137" si="63">IF(T$20&lt;($H$11+1),$B$130-((((T$20-1)*12)+$C126)*$B$131),0)</f>
        <v>0</v>
      </c>
      <c r="U126" s="2">
        <f>IF(T126&gt;0,-(T126+$B$131)*($H$6/'Loan Amortization'!$D$8),0)</f>
        <v>0</v>
      </c>
      <c r="V126" s="2">
        <f t="shared" ref="V126:V137" si="64">IF(V$20&lt;($H$11+1),$B$130-((((V$20-1)*12)+$C126)*$B$131),0)</f>
        <v>0</v>
      </c>
      <c r="W126" s="2">
        <f>IF(V126&gt;0,-(V126+$B$131)*($H$6/'Loan Amortization'!$D$8),0)</f>
        <v>0</v>
      </c>
      <c r="X126" s="2">
        <f>SUM(C126:V126)</f>
        <v>1</v>
      </c>
      <c r="Y126" s="2"/>
      <c r="Z126" s="480"/>
    </row>
    <row r="127" spans="2:26" x14ac:dyDescent="0.15">
      <c r="B127" s="515">
        <f>-PMT($H$6/12,$H$11*12,C4)</f>
        <v>0</v>
      </c>
      <c r="C127" s="4">
        <v>2</v>
      </c>
      <c r="D127" s="2">
        <f t="shared" si="55"/>
        <v>0</v>
      </c>
      <c r="E127" s="2">
        <f>IF(D127&gt;0,-(D127+$B$131)*($H$6/'Loan Amortization'!$D$8),0)</f>
        <v>0</v>
      </c>
      <c r="F127" s="2">
        <f t="shared" si="56"/>
        <v>0</v>
      </c>
      <c r="G127" s="2">
        <f>IF(F127&gt;0,-(F127+$B$131)*($H$6/'Loan Amortization'!$D$8),0)</f>
        <v>0</v>
      </c>
      <c r="H127" s="2">
        <f t="shared" si="57"/>
        <v>0</v>
      </c>
      <c r="I127" s="2">
        <f>IF(H127&gt;0,-(H127+$B$131)*($H$6/'Loan Amortization'!$D$8),0)</f>
        <v>0</v>
      </c>
      <c r="J127" s="2">
        <f t="shared" si="58"/>
        <v>0</v>
      </c>
      <c r="K127" s="2">
        <f>IF(J127&gt;0,-(J127+$B$131)*($H$6/'Loan Amortization'!$D$8),0)</f>
        <v>0</v>
      </c>
      <c r="L127" s="2">
        <f t="shared" si="59"/>
        <v>0</v>
      </c>
      <c r="M127" s="2">
        <f>IF(L127&gt;0,-(L127+$B$131)*($H$6/'Loan Amortization'!$D$8),0)</f>
        <v>0</v>
      </c>
      <c r="N127" s="2">
        <f t="shared" si="60"/>
        <v>0</v>
      </c>
      <c r="O127" s="2">
        <f>IF(N127&gt;0,-(N127+$B$131)*($H$6/'Loan Amortization'!$D$8),0)</f>
        <v>0</v>
      </c>
      <c r="P127" s="2">
        <f t="shared" si="61"/>
        <v>0</v>
      </c>
      <c r="Q127" s="2">
        <f>IF(P127&gt;0,-(P127+$B$131)*($H$6/'Loan Amortization'!$D$8),0)</f>
        <v>0</v>
      </c>
      <c r="R127" s="2">
        <f t="shared" si="62"/>
        <v>0</v>
      </c>
      <c r="S127" s="2">
        <f>IF(R127&gt;0,-(R127+$B$131)*($H$6/'Loan Amortization'!$D$8),0)</f>
        <v>0</v>
      </c>
      <c r="T127" s="2">
        <f t="shared" si="63"/>
        <v>0</v>
      </c>
      <c r="U127" s="2">
        <f>IF(T127&gt;0,-(T127+$B$131)*($H$6/'Loan Amortization'!$D$8),0)</f>
        <v>0</v>
      </c>
      <c r="V127" s="2">
        <f t="shared" si="64"/>
        <v>0</v>
      </c>
      <c r="W127" s="2">
        <f>IF(V127&gt;0,-(V127+$B$131)*($H$6/'Loan Amortization'!$D$8),0)</f>
        <v>0</v>
      </c>
      <c r="X127" s="2">
        <f t="shared" ref="X127:X139" si="65">SUM(C127:V127)</f>
        <v>2</v>
      </c>
      <c r="Y127" s="2"/>
      <c r="Z127" s="480"/>
    </row>
    <row r="128" spans="2:26" x14ac:dyDescent="0.15">
      <c r="B128" s="544">
        <f>B127*12</f>
        <v>0</v>
      </c>
      <c r="C128" s="4">
        <v>3</v>
      </c>
      <c r="D128" s="2">
        <f t="shared" si="55"/>
        <v>0</v>
      </c>
      <c r="E128" s="2">
        <f>IF(D128&gt;0,-(D128+$B$131)*($H$6/'Loan Amortization'!$D$8),0)</f>
        <v>0</v>
      </c>
      <c r="F128" s="2">
        <f t="shared" si="56"/>
        <v>0</v>
      </c>
      <c r="G128" s="2">
        <f>IF(F128&gt;0,-(F128+$B$131)*($H$6/'Loan Amortization'!$D$8),0)</f>
        <v>0</v>
      </c>
      <c r="H128" s="2">
        <f t="shared" si="57"/>
        <v>0</v>
      </c>
      <c r="I128" s="2">
        <f>IF(H128&gt;0,-(H128+$B$131)*($H$6/'Loan Amortization'!$D$8),0)</f>
        <v>0</v>
      </c>
      <c r="J128" s="2">
        <f t="shared" si="58"/>
        <v>0</v>
      </c>
      <c r="K128" s="2">
        <f>IF(J128&gt;0,-(J128+$B$131)*($H$6/'Loan Amortization'!$D$8),0)</f>
        <v>0</v>
      </c>
      <c r="L128" s="2">
        <f t="shared" si="59"/>
        <v>0</v>
      </c>
      <c r="M128" s="2">
        <f>IF(L128&gt;0,-(L128+$B$131)*($H$6/'Loan Amortization'!$D$8),0)</f>
        <v>0</v>
      </c>
      <c r="N128" s="2">
        <f t="shared" si="60"/>
        <v>0</v>
      </c>
      <c r="O128" s="2">
        <f>IF(N128&gt;0,-(N128+$B$131)*($H$6/'Loan Amortization'!$D$8),0)</f>
        <v>0</v>
      </c>
      <c r="P128" s="2">
        <f t="shared" si="61"/>
        <v>0</v>
      </c>
      <c r="Q128" s="2">
        <f>IF(P128&gt;0,-(P128+$B$131)*($H$6/'Loan Amortization'!$D$8),0)</f>
        <v>0</v>
      </c>
      <c r="R128" s="2">
        <f t="shared" si="62"/>
        <v>0</v>
      </c>
      <c r="S128" s="2">
        <f>IF(R128&gt;0,-(R128+$B$131)*($H$6/'Loan Amortization'!$D$8),0)</f>
        <v>0</v>
      </c>
      <c r="T128" s="2">
        <f t="shared" si="63"/>
        <v>0</v>
      </c>
      <c r="U128" s="2">
        <f>IF(T128&gt;0,-(T128+$B$131)*($H$6/'Loan Amortization'!$D$8),0)</f>
        <v>0</v>
      </c>
      <c r="V128" s="2">
        <f t="shared" si="64"/>
        <v>0</v>
      </c>
      <c r="W128" s="2">
        <f>IF(V128&gt;0,-(V128+$B$131)*($H$6/'Loan Amortization'!$D$8),0)</f>
        <v>0</v>
      </c>
      <c r="X128" s="2">
        <f t="shared" si="65"/>
        <v>3</v>
      </c>
      <c r="Y128" s="2"/>
      <c r="Z128" s="480"/>
    </row>
    <row r="129" spans="2:26" x14ac:dyDescent="0.15">
      <c r="B129" s="480" t="s">
        <v>665</v>
      </c>
      <c r="C129" s="4">
        <v>4</v>
      </c>
      <c r="D129" s="2">
        <f t="shared" si="55"/>
        <v>0</v>
      </c>
      <c r="E129" s="2">
        <f>IF(D129&gt;0,-(D129+$B$131)*($H$6/'Loan Amortization'!$D$8),0)</f>
        <v>0</v>
      </c>
      <c r="F129" s="2">
        <f t="shared" si="56"/>
        <v>0</v>
      </c>
      <c r="G129" s="2">
        <f>IF(F129&gt;0,-(F129+$B$131)*($H$6/'Loan Amortization'!$D$8),0)</f>
        <v>0</v>
      </c>
      <c r="H129" s="2">
        <f t="shared" si="57"/>
        <v>0</v>
      </c>
      <c r="I129" s="2">
        <f>IF(H129&gt;0,-(H129+$B$131)*($H$6/'Loan Amortization'!$D$8),0)</f>
        <v>0</v>
      </c>
      <c r="J129" s="2">
        <f t="shared" si="58"/>
        <v>0</v>
      </c>
      <c r="K129" s="2">
        <f>IF(J129&gt;0,-(J129+$B$131)*($H$6/'Loan Amortization'!$D$8),0)</f>
        <v>0</v>
      </c>
      <c r="L129" s="2">
        <f t="shared" si="59"/>
        <v>0</v>
      </c>
      <c r="M129" s="2">
        <f>IF(L129&gt;0,-(L129+$B$131)*($H$6/'Loan Amortization'!$D$8),0)</f>
        <v>0</v>
      </c>
      <c r="N129" s="2">
        <f t="shared" si="60"/>
        <v>0</v>
      </c>
      <c r="O129" s="2">
        <f>IF(N129&gt;0,-(N129+$B$131)*($H$6/'Loan Amortization'!$D$8),0)</f>
        <v>0</v>
      </c>
      <c r="P129" s="2">
        <f t="shared" si="61"/>
        <v>0</v>
      </c>
      <c r="Q129" s="2">
        <f>IF(P129&gt;0,-(P129+$B$131)*($H$6/'Loan Amortization'!$D$8),0)</f>
        <v>0</v>
      </c>
      <c r="R129" s="2">
        <f t="shared" si="62"/>
        <v>0</v>
      </c>
      <c r="S129" s="2">
        <f>IF(R129&gt;0,-(R129+$B$131)*($H$6/'Loan Amortization'!$D$8),0)</f>
        <v>0</v>
      </c>
      <c r="T129" s="2">
        <f t="shared" si="63"/>
        <v>0</v>
      </c>
      <c r="U129" s="2">
        <f>IF(T129&gt;0,-(T129+$B$131)*($H$6/'Loan Amortization'!$D$8),0)</f>
        <v>0</v>
      </c>
      <c r="V129" s="2">
        <f t="shared" si="64"/>
        <v>0</v>
      </c>
      <c r="W129" s="2">
        <f>IF(V129&gt;0,-(V129+$B$131)*($H$6/'Loan Amortization'!$D$8),0)</f>
        <v>0</v>
      </c>
      <c r="X129" s="2">
        <f t="shared" si="65"/>
        <v>4</v>
      </c>
      <c r="Y129" s="2"/>
      <c r="Z129" s="480"/>
    </row>
    <row r="130" spans="2:26" x14ac:dyDescent="0.15">
      <c r="B130" s="543">
        <f>C4</f>
        <v>0</v>
      </c>
      <c r="C130" s="4">
        <v>5</v>
      </c>
      <c r="D130" s="2">
        <f t="shared" si="55"/>
        <v>0</v>
      </c>
      <c r="E130" s="2">
        <f>IF(D130&gt;0,-(D130+$B$131)*($H$6/'Loan Amortization'!$D$8),0)</f>
        <v>0</v>
      </c>
      <c r="F130" s="2">
        <f t="shared" si="56"/>
        <v>0</v>
      </c>
      <c r="G130" s="2">
        <f>IF(F130&gt;0,-(F130+$B$131)*($H$6/'Loan Amortization'!$D$8),0)</f>
        <v>0</v>
      </c>
      <c r="H130" s="2">
        <f t="shared" si="57"/>
        <v>0</v>
      </c>
      <c r="I130" s="2">
        <f>IF(H130&gt;0,-(H130+$B$131)*($H$6/'Loan Amortization'!$D$8),0)</f>
        <v>0</v>
      </c>
      <c r="J130" s="2">
        <f t="shared" si="58"/>
        <v>0</v>
      </c>
      <c r="K130" s="2">
        <f>IF(J130&gt;0,-(J130+$B$131)*($H$6/'Loan Amortization'!$D$8),0)</f>
        <v>0</v>
      </c>
      <c r="L130" s="2">
        <f t="shared" si="59"/>
        <v>0</v>
      </c>
      <c r="M130" s="2">
        <f>IF(L130&gt;0,-(L130+$B$131)*($H$6/'Loan Amortization'!$D$8),0)</f>
        <v>0</v>
      </c>
      <c r="N130" s="2">
        <f t="shared" si="60"/>
        <v>0</v>
      </c>
      <c r="O130" s="2">
        <f>IF(N130&gt;0,-(N130+$B$131)*($H$6/'Loan Amortization'!$D$8),0)</f>
        <v>0</v>
      </c>
      <c r="P130" s="2">
        <f t="shared" si="61"/>
        <v>0</v>
      </c>
      <c r="Q130" s="2">
        <f>IF(P130&gt;0,-(P130+$B$131)*($H$6/'Loan Amortization'!$D$8),0)</f>
        <v>0</v>
      </c>
      <c r="R130" s="2">
        <f t="shared" si="62"/>
        <v>0</v>
      </c>
      <c r="S130" s="2">
        <f>IF(R130&gt;0,-(R130+$B$131)*($H$6/'Loan Amortization'!$D$8),0)</f>
        <v>0</v>
      </c>
      <c r="T130" s="2">
        <f t="shared" si="63"/>
        <v>0</v>
      </c>
      <c r="U130" s="2">
        <f>IF(T130&gt;0,-(T130+$B$131)*($H$6/'Loan Amortization'!$D$8),0)</f>
        <v>0</v>
      </c>
      <c r="V130" s="2">
        <f t="shared" si="64"/>
        <v>0</v>
      </c>
      <c r="W130" s="2">
        <f>IF(V130&gt;0,-(V130+$B$131)*($H$6/'Loan Amortization'!$D$8),0)</f>
        <v>0</v>
      </c>
      <c r="X130" s="2">
        <f t="shared" si="65"/>
        <v>5</v>
      </c>
      <c r="Y130" s="2"/>
      <c r="Z130" s="480"/>
    </row>
    <row r="131" spans="2:26" x14ac:dyDescent="0.15">
      <c r="B131" s="543">
        <f>B130/($H$11)</f>
        <v>0</v>
      </c>
      <c r="C131" s="4">
        <v>6</v>
      </c>
      <c r="D131" s="2">
        <f t="shared" si="55"/>
        <v>0</v>
      </c>
      <c r="E131" s="2">
        <f>IF(D131&gt;0,-(D131+$B$131)*($H$6/'Loan Amortization'!$D$8),0)</f>
        <v>0</v>
      </c>
      <c r="F131" s="2">
        <f t="shared" si="56"/>
        <v>0</v>
      </c>
      <c r="G131" s="2">
        <f>IF(F131&gt;0,-(F131+$B$131)*($H$6/'Loan Amortization'!$D$8),0)</f>
        <v>0</v>
      </c>
      <c r="H131" s="2">
        <f t="shared" si="57"/>
        <v>0</v>
      </c>
      <c r="I131" s="2">
        <f>IF(H131&gt;0,-(H131+$B$131)*($H$6/'Loan Amortization'!$D$8),0)</f>
        <v>0</v>
      </c>
      <c r="J131" s="2">
        <f t="shared" si="58"/>
        <v>0</v>
      </c>
      <c r="K131" s="2">
        <f>IF(J131&gt;0,-(J131+$B$131)*($H$6/'Loan Amortization'!$D$8),0)</f>
        <v>0</v>
      </c>
      <c r="L131" s="2">
        <f t="shared" si="59"/>
        <v>0</v>
      </c>
      <c r="M131" s="2">
        <f>IF(L131&gt;0,-(L131+$B$131)*($H$6/'Loan Amortization'!$D$8),0)</f>
        <v>0</v>
      </c>
      <c r="N131" s="2">
        <f t="shared" si="60"/>
        <v>0</v>
      </c>
      <c r="O131" s="2">
        <f>IF(N131&gt;0,-(N131+$B$131)*($H$6/'Loan Amortization'!$D$8),0)</f>
        <v>0</v>
      </c>
      <c r="P131" s="2">
        <f t="shared" si="61"/>
        <v>0</v>
      </c>
      <c r="Q131" s="2">
        <f>IF(P131&gt;0,-(P131+$B$131)*($H$6/'Loan Amortization'!$D$8),0)</f>
        <v>0</v>
      </c>
      <c r="R131" s="2">
        <f t="shared" si="62"/>
        <v>0</v>
      </c>
      <c r="S131" s="2">
        <f>IF(R131&gt;0,-(R131+$B$131)*($H$6/'Loan Amortization'!$D$8),0)</f>
        <v>0</v>
      </c>
      <c r="T131" s="2">
        <f t="shared" si="63"/>
        <v>0</v>
      </c>
      <c r="U131" s="2">
        <f>IF(T131&gt;0,-(T131+$B$131)*($H$6/'Loan Amortization'!$D$8),0)</f>
        <v>0</v>
      </c>
      <c r="V131" s="2">
        <f t="shared" si="64"/>
        <v>0</v>
      </c>
      <c r="W131" s="2">
        <f>IF(V131&gt;0,-(V131+$B$131)*($H$6/'Loan Amortization'!$D$8),0)</f>
        <v>0</v>
      </c>
      <c r="X131" s="2">
        <f t="shared" si="65"/>
        <v>6</v>
      </c>
      <c r="Y131" s="2"/>
      <c r="Z131" s="480"/>
    </row>
    <row r="132" spans="2:26" x14ac:dyDescent="0.15">
      <c r="B132" s="480"/>
      <c r="C132" s="4">
        <v>7</v>
      </c>
      <c r="D132" s="2">
        <f t="shared" si="55"/>
        <v>0</v>
      </c>
      <c r="E132" s="2">
        <f>IF(D132&gt;0,-(D132+$B$131)*($H$6/'Loan Amortization'!$D$8),0)</f>
        <v>0</v>
      </c>
      <c r="F132" s="2">
        <f t="shared" si="56"/>
        <v>0</v>
      </c>
      <c r="G132" s="2">
        <f>IF(F132&gt;0,-(F132+$B$131)*($H$6/'Loan Amortization'!$D$8),0)</f>
        <v>0</v>
      </c>
      <c r="H132" s="2">
        <f t="shared" si="57"/>
        <v>0</v>
      </c>
      <c r="I132" s="2">
        <f>IF(H132&gt;0,-(H132+$B$131)*($H$6/'Loan Amortization'!$D$8),0)</f>
        <v>0</v>
      </c>
      <c r="J132" s="2">
        <f t="shared" si="58"/>
        <v>0</v>
      </c>
      <c r="K132" s="2">
        <f>IF(J132&gt;0,-(J132+$B$131)*($H$6/'Loan Amortization'!$D$8),0)</f>
        <v>0</v>
      </c>
      <c r="L132" s="2">
        <f t="shared" si="59"/>
        <v>0</v>
      </c>
      <c r="M132" s="2">
        <f>IF(L132&gt;0,-(L132+$B$131)*($H$6/'Loan Amortization'!$D$8),0)</f>
        <v>0</v>
      </c>
      <c r="N132" s="2">
        <f t="shared" si="60"/>
        <v>0</v>
      </c>
      <c r="O132" s="2">
        <f>IF(N132&gt;0,-(N132+$B$131)*($H$6/'Loan Amortization'!$D$8),0)</f>
        <v>0</v>
      </c>
      <c r="P132" s="2">
        <f t="shared" si="61"/>
        <v>0</v>
      </c>
      <c r="Q132" s="2">
        <f>IF(P132&gt;0,-(P132+$B$131)*($H$6/'Loan Amortization'!$D$8),0)</f>
        <v>0</v>
      </c>
      <c r="R132" s="2">
        <f t="shared" si="62"/>
        <v>0</v>
      </c>
      <c r="S132" s="2">
        <f>IF(R132&gt;0,-(R132+$B$131)*($H$6/'Loan Amortization'!$D$8),0)</f>
        <v>0</v>
      </c>
      <c r="T132" s="2">
        <f t="shared" si="63"/>
        <v>0</v>
      </c>
      <c r="U132" s="2">
        <f>IF(T132&gt;0,-(T132+$B$131)*($H$6/'Loan Amortization'!$D$8),0)</f>
        <v>0</v>
      </c>
      <c r="V132" s="2">
        <f t="shared" si="64"/>
        <v>0</v>
      </c>
      <c r="W132" s="2">
        <f>IF(V132&gt;0,-(V132+$B$131)*($H$6/'Loan Amortization'!$D$8),0)</f>
        <v>0</v>
      </c>
      <c r="X132" s="2">
        <f t="shared" si="65"/>
        <v>7</v>
      </c>
      <c r="Y132" s="2"/>
      <c r="Z132" s="480"/>
    </row>
    <row r="133" spans="2:26" x14ac:dyDescent="0.15">
      <c r="B133" s="480"/>
      <c r="C133" s="4">
        <v>8</v>
      </c>
      <c r="D133" s="2">
        <f t="shared" si="55"/>
        <v>0</v>
      </c>
      <c r="E133" s="2">
        <f>IF(D133&gt;0,-(D133+$B$131)*($H$6/'Loan Amortization'!$D$8),0)</f>
        <v>0</v>
      </c>
      <c r="F133" s="2">
        <f t="shared" si="56"/>
        <v>0</v>
      </c>
      <c r="G133" s="2">
        <f>IF(F133&gt;0,-(F133+$B$131)*($H$6/'Loan Amortization'!$D$8),0)</f>
        <v>0</v>
      </c>
      <c r="H133" s="2">
        <f t="shared" si="57"/>
        <v>0</v>
      </c>
      <c r="I133" s="2">
        <f>IF(H133&gt;0,-(H133+$B$131)*($H$6/'Loan Amortization'!$D$8),0)</f>
        <v>0</v>
      </c>
      <c r="J133" s="2">
        <f t="shared" si="58"/>
        <v>0</v>
      </c>
      <c r="K133" s="2">
        <f>IF(J133&gt;0,-(J133+$B$131)*($H$6/'Loan Amortization'!$D$8),0)</f>
        <v>0</v>
      </c>
      <c r="L133" s="2">
        <f t="shared" si="59"/>
        <v>0</v>
      </c>
      <c r="M133" s="2">
        <f>IF(L133&gt;0,-(L133+$B$131)*($H$6/'Loan Amortization'!$D$8),0)</f>
        <v>0</v>
      </c>
      <c r="N133" s="2">
        <f t="shared" si="60"/>
        <v>0</v>
      </c>
      <c r="O133" s="2">
        <f>IF(N133&gt;0,-(N133+$B$131)*($H$6/'Loan Amortization'!$D$8),0)</f>
        <v>0</v>
      </c>
      <c r="P133" s="2">
        <f t="shared" si="61"/>
        <v>0</v>
      </c>
      <c r="Q133" s="2">
        <f>IF(P133&gt;0,-(P133+$B$131)*($H$6/'Loan Amortization'!$D$8),0)</f>
        <v>0</v>
      </c>
      <c r="R133" s="2">
        <f t="shared" si="62"/>
        <v>0</v>
      </c>
      <c r="S133" s="2">
        <f>IF(R133&gt;0,-(R133+$B$131)*($H$6/'Loan Amortization'!$D$8),0)</f>
        <v>0</v>
      </c>
      <c r="T133" s="2">
        <f t="shared" si="63"/>
        <v>0</v>
      </c>
      <c r="U133" s="2">
        <f>IF(T133&gt;0,-(T133+$B$131)*($H$6/'Loan Amortization'!$D$8),0)</f>
        <v>0</v>
      </c>
      <c r="V133" s="2">
        <f t="shared" si="64"/>
        <v>0</v>
      </c>
      <c r="W133" s="2">
        <f>IF(V133&gt;0,-(V133+$B$131)*($H$6/'Loan Amortization'!$D$8),0)</f>
        <v>0</v>
      </c>
      <c r="X133" s="2">
        <f t="shared" si="65"/>
        <v>8</v>
      </c>
      <c r="Y133" s="2"/>
      <c r="Z133" s="480"/>
    </row>
    <row r="134" spans="2:26" x14ac:dyDescent="0.15">
      <c r="B134" s="480"/>
      <c r="C134" s="4">
        <v>9</v>
      </c>
      <c r="D134" s="2">
        <f t="shared" si="55"/>
        <v>0</v>
      </c>
      <c r="E134" s="2">
        <f>IF(D134&gt;0,-(D134+$B$131)*($H$6/'Loan Amortization'!$D$8),0)</f>
        <v>0</v>
      </c>
      <c r="F134" s="2">
        <f t="shared" si="56"/>
        <v>0</v>
      </c>
      <c r="G134" s="2">
        <f>IF(F134&gt;0,-(F134+$B$131)*($H$6/'Loan Amortization'!$D$8),0)</f>
        <v>0</v>
      </c>
      <c r="H134" s="2">
        <f t="shared" si="57"/>
        <v>0</v>
      </c>
      <c r="I134" s="2">
        <f>IF(H134&gt;0,-(H134+$B$131)*($H$6/'Loan Amortization'!$D$8),0)</f>
        <v>0</v>
      </c>
      <c r="J134" s="2">
        <f t="shared" si="58"/>
        <v>0</v>
      </c>
      <c r="K134" s="2">
        <f>IF(J134&gt;0,-(J134+$B$131)*($H$6/'Loan Amortization'!$D$8),0)</f>
        <v>0</v>
      </c>
      <c r="L134" s="2">
        <f t="shared" si="59"/>
        <v>0</v>
      </c>
      <c r="M134" s="2">
        <f>IF(L134&gt;0,-(L134+$B$131)*($H$6/'Loan Amortization'!$D$8),0)</f>
        <v>0</v>
      </c>
      <c r="N134" s="2">
        <f t="shared" si="60"/>
        <v>0</v>
      </c>
      <c r="O134" s="2">
        <f>IF(N134&gt;0,-(N134+$B$131)*($H$6/'Loan Amortization'!$D$8),0)</f>
        <v>0</v>
      </c>
      <c r="P134" s="2">
        <f t="shared" si="61"/>
        <v>0</v>
      </c>
      <c r="Q134" s="2">
        <f>IF(P134&gt;0,-(P134+$B$131)*($H$6/'Loan Amortization'!$D$8),0)</f>
        <v>0</v>
      </c>
      <c r="R134" s="2">
        <f t="shared" si="62"/>
        <v>0</v>
      </c>
      <c r="S134" s="2">
        <f>IF(R134&gt;0,-(R134+$B$131)*($H$6/'Loan Amortization'!$D$8),0)</f>
        <v>0</v>
      </c>
      <c r="T134" s="2">
        <f t="shared" si="63"/>
        <v>0</v>
      </c>
      <c r="U134" s="2">
        <f>IF(T134&gt;0,-(T134+$B$131)*($H$6/'Loan Amortization'!$D$8),0)</f>
        <v>0</v>
      </c>
      <c r="V134" s="2">
        <f t="shared" si="64"/>
        <v>0</v>
      </c>
      <c r="W134" s="2">
        <f>IF(V134&gt;0,-(V134+$B$131)*($H$6/'Loan Amortization'!$D$8),0)</f>
        <v>0</v>
      </c>
      <c r="X134" s="2">
        <f t="shared" si="65"/>
        <v>9</v>
      </c>
      <c r="Y134" s="2"/>
      <c r="Z134" s="480"/>
    </row>
    <row r="135" spans="2:26" x14ac:dyDescent="0.15">
      <c r="B135" s="480"/>
      <c r="C135" s="4">
        <v>10</v>
      </c>
      <c r="D135" s="2">
        <f t="shared" si="55"/>
        <v>0</v>
      </c>
      <c r="E135" s="2">
        <f>IF(D135&gt;0,-(D135+$B$131)*($H$6/'Loan Amortization'!$D$8),0)</f>
        <v>0</v>
      </c>
      <c r="F135" s="2">
        <f t="shared" si="56"/>
        <v>0</v>
      </c>
      <c r="G135" s="2">
        <f>IF(F135&gt;0,-(F135+$B$131)*($H$6/'Loan Amortization'!$D$8),0)</f>
        <v>0</v>
      </c>
      <c r="H135" s="2">
        <f t="shared" si="57"/>
        <v>0</v>
      </c>
      <c r="I135" s="2">
        <f>IF(H135&gt;0,-(H135+$B$131)*($H$6/'Loan Amortization'!$D$8),0)</f>
        <v>0</v>
      </c>
      <c r="J135" s="2">
        <f t="shared" si="58"/>
        <v>0</v>
      </c>
      <c r="K135" s="2">
        <f>IF(J135&gt;0,-(J135+$B$131)*($H$6/'Loan Amortization'!$D$8),0)</f>
        <v>0</v>
      </c>
      <c r="L135" s="2">
        <f t="shared" si="59"/>
        <v>0</v>
      </c>
      <c r="M135" s="2">
        <f>IF(L135&gt;0,-(L135+$B$131)*($H$6/'Loan Amortization'!$D$8),0)</f>
        <v>0</v>
      </c>
      <c r="N135" s="2">
        <f t="shared" si="60"/>
        <v>0</v>
      </c>
      <c r="O135" s="2">
        <f>IF(N135&gt;0,-(N135+$B$131)*($H$6/'Loan Amortization'!$D$8),0)</f>
        <v>0</v>
      </c>
      <c r="P135" s="2">
        <f t="shared" si="61"/>
        <v>0</v>
      </c>
      <c r="Q135" s="2">
        <f>IF(P135&gt;0,-(P135+$B$131)*($H$6/'Loan Amortization'!$D$8),0)</f>
        <v>0</v>
      </c>
      <c r="R135" s="2">
        <f t="shared" si="62"/>
        <v>0</v>
      </c>
      <c r="S135" s="2">
        <f>IF(R135&gt;0,-(R135+$B$131)*($H$6/'Loan Amortization'!$D$8),0)</f>
        <v>0</v>
      </c>
      <c r="T135" s="2">
        <f t="shared" si="63"/>
        <v>0</v>
      </c>
      <c r="U135" s="2">
        <f>IF(T135&gt;0,-(T135+$B$131)*($H$6/'Loan Amortization'!$D$8),0)</f>
        <v>0</v>
      </c>
      <c r="V135" s="2">
        <f t="shared" si="64"/>
        <v>0</v>
      </c>
      <c r="W135" s="2">
        <f>IF(V135&gt;0,-(V135+$B$131)*($H$6/'Loan Amortization'!$D$8),0)</f>
        <v>0</v>
      </c>
      <c r="X135" s="2">
        <f t="shared" si="65"/>
        <v>10</v>
      </c>
      <c r="Y135" s="2"/>
      <c r="Z135" s="480"/>
    </row>
    <row r="136" spans="2:26" x14ac:dyDescent="0.15">
      <c r="B136" s="480"/>
      <c r="C136" s="4">
        <v>11</v>
      </c>
      <c r="D136" s="2">
        <f t="shared" si="55"/>
        <v>0</v>
      </c>
      <c r="E136" s="2">
        <f>IF(D136&gt;0,-(D136+$B$131)*($H$6/'Loan Amortization'!$D$8),0)</f>
        <v>0</v>
      </c>
      <c r="F136" s="2">
        <f t="shared" si="56"/>
        <v>0</v>
      </c>
      <c r="G136" s="2">
        <f>IF(F136&gt;0,-(F136+$B$131)*($H$6/'Loan Amortization'!$D$8),0)</f>
        <v>0</v>
      </c>
      <c r="H136" s="2">
        <f t="shared" si="57"/>
        <v>0</v>
      </c>
      <c r="I136" s="2">
        <f>IF(H136&gt;0,-(H136+$B$131)*($H$6/'Loan Amortization'!$D$8),0)</f>
        <v>0</v>
      </c>
      <c r="J136" s="2">
        <f t="shared" si="58"/>
        <v>0</v>
      </c>
      <c r="K136" s="2">
        <f>IF(J136&gt;0,-(J136+$B$131)*($H$6/'Loan Amortization'!$D$8),0)</f>
        <v>0</v>
      </c>
      <c r="L136" s="2">
        <f t="shared" si="59"/>
        <v>0</v>
      </c>
      <c r="M136" s="2">
        <f>IF(L136&gt;0,-(L136+$B$131)*($H$6/'Loan Amortization'!$D$8),0)</f>
        <v>0</v>
      </c>
      <c r="N136" s="2">
        <f t="shared" si="60"/>
        <v>0</v>
      </c>
      <c r="O136" s="2">
        <f>IF(N136&gt;0,-(N136+$B$131)*($H$6/'Loan Amortization'!$D$8),0)</f>
        <v>0</v>
      </c>
      <c r="P136" s="2">
        <f t="shared" si="61"/>
        <v>0</v>
      </c>
      <c r="Q136" s="2">
        <f>IF(P136&gt;0,-(P136+$B$131)*($H$6/'Loan Amortization'!$D$8),0)</f>
        <v>0</v>
      </c>
      <c r="R136" s="2">
        <f t="shared" si="62"/>
        <v>0</v>
      </c>
      <c r="S136" s="2">
        <f>IF(R136&gt;0,-(R136+$B$131)*($H$6/'Loan Amortization'!$D$8),0)</f>
        <v>0</v>
      </c>
      <c r="T136" s="2">
        <f t="shared" si="63"/>
        <v>0</v>
      </c>
      <c r="U136" s="2">
        <f>IF(T136&gt;0,-(T136+$B$131)*($H$6/'Loan Amortization'!$D$8),0)</f>
        <v>0</v>
      </c>
      <c r="V136" s="2">
        <f t="shared" si="64"/>
        <v>0</v>
      </c>
      <c r="W136" s="2">
        <f>IF(V136&gt;0,-(V136+$B$131)*($H$6/'Loan Amortization'!$D$8),0)</f>
        <v>0</v>
      </c>
      <c r="X136" s="2">
        <f t="shared" si="65"/>
        <v>11</v>
      </c>
      <c r="Y136" s="2"/>
      <c r="Z136" s="480"/>
    </row>
    <row r="137" spans="2:26" ht="14" thickBot="1" x14ac:dyDescent="0.2">
      <c r="B137" s="482"/>
      <c r="C137" s="4">
        <v>12</v>
      </c>
      <c r="D137" s="2">
        <f t="shared" si="55"/>
        <v>0</v>
      </c>
      <c r="E137" s="2">
        <f>IF(D137&gt;0,-(D137+$B$131)*($H$6/'Loan Amortization'!$D$8),0)</f>
        <v>0</v>
      </c>
      <c r="F137" s="2">
        <f t="shared" si="56"/>
        <v>0</v>
      </c>
      <c r="G137" s="2">
        <f>IF(F137&gt;0,-(F137+$B$131)*($H$6/'Loan Amortization'!$D$8),0)</f>
        <v>0</v>
      </c>
      <c r="H137" s="2">
        <f t="shared" si="57"/>
        <v>0</v>
      </c>
      <c r="I137" s="2">
        <f>IF(H137&gt;0,-(H137+$B$131)*($H$6/'Loan Amortization'!$D$8),0)</f>
        <v>0</v>
      </c>
      <c r="J137" s="2">
        <f t="shared" si="58"/>
        <v>0</v>
      </c>
      <c r="K137" s="2">
        <f>IF(J137&gt;0,-(J137+$B$131)*($H$6/'Loan Amortization'!$D$8),0)</f>
        <v>0</v>
      </c>
      <c r="L137" s="2">
        <f t="shared" si="59"/>
        <v>0</v>
      </c>
      <c r="M137" s="2">
        <f>IF(L137&gt;0,-(L137+$B$131)*($H$6/'Loan Amortization'!$D$8),0)</f>
        <v>0</v>
      </c>
      <c r="N137" s="2">
        <f t="shared" si="60"/>
        <v>0</v>
      </c>
      <c r="O137" s="2">
        <f>IF(N137&gt;0,-(N137+$B$131)*($H$6/'Loan Amortization'!$D$8),0)</f>
        <v>0</v>
      </c>
      <c r="P137" s="2">
        <f t="shared" si="61"/>
        <v>0</v>
      </c>
      <c r="Q137" s="2">
        <f>IF(P137&gt;0,-(P137+$B$131)*($H$6/'Loan Amortization'!$D$8),0)</f>
        <v>0</v>
      </c>
      <c r="R137" s="2">
        <f t="shared" si="62"/>
        <v>0</v>
      </c>
      <c r="S137" s="2">
        <f>IF(R137&gt;0,-(R137+$B$131)*($H$6/'Loan Amortization'!$D$8),0)</f>
        <v>0</v>
      </c>
      <c r="T137" s="2">
        <f t="shared" si="63"/>
        <v>0</v>
      </c>
      <c r="U137" s="2">
        <f>IF(T137&gt;0,-(T137+$B$131)*($H$6/'Loan Amortization'!$D$8),0)</f>
        <v>0</v>
      </c>
      <c r="V137" s="2">
        <f t="shared" si="64"/>
        <v>0</v>
      </c>
      <c r="W137" s="2">
        <f>IF(V137&gt;0,-(V137+$B$131)*($H$6/'Loan Amortization'!$D$8),0)</f>
        <v>0</v>
      </c>
      <c r="X137" s="2">
        <f t="shared" si="65"/>
        <v>12</v>
      </c>
      <c r="Y137" s="2"/>
      <c r="Z137" s="480"/>
    </row>
    <row r="138" spans="2:26" ht="14" thickBot="1" x14ac:dyDescent="0.2">
      <c r="B138" s="542" t="s">
        <v>45</v>
      </c>
      <c r="C138" s="502" t="s">
        <v>663</v>
      </c>
      <c r="D138" s="503">
        <f>IF(D$20&lt;($H$11+1),-$B$131,0)</f>
        <v>0</v>
      </c>
      <c r="E138" s="503"/>
      <c r="F138" s="503">
        <f>IF(F$20&lt;($H$11+1),-$B$131,0)</f>
        <v>0</v>
      </c>
      <c r="G138" s="503"/>
      <c r="H138" s="503">
        <f>IF(H$20&lt;($H$11+1),-$B$131,0)</f>
        <v>0</v>
      </c>
      <c r="I138" s="503"/>
      <c r="J138" s="503">
        <f>IF(J$20&lt;($H$11+1),-$B$131,0)</f>
        <v>0</v>
      </c>
      <c r="K138" s="503"/>
      <c r="L138" s="503">
        <f>IF(L$20&lt;($H$11+1),-$B$131,0)</f>
        <v>0</v>
      </c>
      <c r="M138" s="503"/>
      <c r="N138" s="503">
        <f>IF(N$20&lt;($H$11+1),-$B$131,0)</f>
        <v>0</v>
      </c>
      <c r="O138" s="503"/>
      <c r="P138" s="503">
        <f>IF(P$20&lt;($H$11+1),-$B$131,0)</f>
        <v>0</v>
      </c>
      <c r="Q138" s="503"/>
      <c r="R138" s="503">
        <f>IF(R$20&lt;($H$11+1),-$B$131,0)</f>
        <v>0</v>
      </c>
      <c r="S138" s="503"/>
      <c r="T138" s="503">
        <f>IF(T$20&lt;($H$11+1),-$B$131,0)</f>
        <v>0</v>
      </c>
      <c r="U138" s="503"/>
      <c r="V138" s="503">
        <f>IF(V$20&lt;($H$11+1),-$B$131,0)</f>
        <v>0</v>
      </c>
      <c r="W138" s="503"/>
      <c r="X138" s="504">
        <f t="shared" si="65"/>
        <v>0</v>
      </c>
      <c r="Y138" s="501"/>
      <c r="Z138" s="480"/>
    </row>
    <row r="139" spans="2:26" ht="14" thickBot="1" x14ac:dyDescent="0.2">
      <c r="B139" s="478"/>
      <c r="C139" s="520" t="s">
        <v>273</v>
      </c>
      <c r="D139" s="522"/>
      <c r="E139" s="522">
        <f>IF((D$20)&gt;$H$11,0,IPMT($H$6,D125,$H$11,$B$130))</f>
        <v>0</v>
      </c>
      <c r="F139" s="522"/>
      <c r="G139" s="522">
        <f>IF((F$20)&gt;$H$11,0,IPMT($H$6,F125,$H$11,$B$130))</f>
        <v>0</v>
      </c>
      <c r="H139" s="522"/>
      <c r="I139" s="522">
        <f>IF((H$20)&gt;$H$11,0,IPMT($H$6,H125,$H$11,$B$130))</f>
        <v>0</v>
      </c>
      <c r="J139" s="522"/>
      <c r="K139" s="522">
        <f>IF((J$20)&gt;$H$11,0,IPMT($H$6,J125,$H$11,$B$130))</f>
        <v>0</v>
      </c>
      <c r="L139" s="522"/>
      <c r="M139" s="522">
        <f>IF((L$20)&gt;$H$11,0,IPMT($H$6,L125,$H$11,$B$130))</f>
        <v>0</v>
      </c>
      <c r="N139" s="522"/>
      <c r="O139" s="522">
        <f>IF((N$20)&gt;$H$11,0,IPMT($H$6,N125,$H$11,$B$130))</f>
        <v>0</v>
      </c>
      <c r="P139" s="522"/>
      <c r="Q139" s="522">
        <f>IF((P$20)&gt;$H$11,0,IPMT($H$6,P125,$H$11,$B$130))</f>
        <v>0</v>
      </c>
      <c r="R139" s="522"/>
      <c r="S139" s="522">
        <f>IF((R$20)&gt;$H$11,0,IPMT($H$6,R125,$H$11,$B$130))</f>
        <v>0</v>
      </c>
      <c r="T139" s="522"/>
      <c r="U139" s="522">
        <f>IF((T$20)&gt;$H$11,0,IPMT($H$6,T125,$H$11,$B$130))</f>
        <v>0</v>
      </c>
      <c r="V139" s="522"/>
      <c r="W139" s="522">
        <f>IF((V$20)&gt;$H$11,0,IPMT($H$6,V125,$H$11,$B$130))</f>
        <v>0</v>
      </c>
      <c r="X139" s="504">
        <f t="shared" si="65"/>
        <v>0</v>
      </c>
      <c r="Y139" s="548"/>
      <c r="Z139" s="482"/>
    </row>
    <row r="140" spans="2:26" ht="14" thickBot="1" x14ac:dyDescent="0.2">
      <c r="B140" s="8"/>
      <c r="C140" s="502" t="s">
        <v>664</v>
      </c>
      <c r="D140" s="558">
        <f>D125</f>
        <v>1</v>
      </c>
      <c r="E140" s="559">
        <f>F125</f>
        <v>2</v>
      </c>
      <c r="F140" s="559">
        <f>H125</f>
        <v>3</v>
      </c>
      <c r="G140" s="559">
        <f>J125</f>
        <v>4</v>
      </c>
      <c r="H140" s="559">
        <f>L125</f>
        <v>5</v>
      </c>
      <c r="I140" s="559">
        <f>N125</f>
        <v>6</v>
      </c>
      <c r="J140" s="559">
        <f>P125</f>
        <v>7</v>
      </c>
      <c r="K140" s="559">
        <f>R125</f>
        <v>8</v>
      </c>
      <c r="L140" s="559">
        <f>T125</f>
        <v>9</v>
      </c>
      <c r="M140" s="559">
        <f>V125</f>
        <v>10</v>
      </c>
      <c r="N140" s="560" t="str">
        <f>X125</f>
        <v>TOTAL</v>
      </c>
      <c r="O140" s="2"/>
      <c r="P140" s="2"/>
      <c r="Q140" s="2"/>
      <c r="R140" s="2"/>
      <c r="S140" s="2"/>
      <c r="T140" s="2"/>
      <c r="U140" s="2"/>
      <c r="V140" s="2"/>
      <c r="W140" s="2"/>
      <c r="X140" s="2"/>
      <c r="Y140" s="2"/>
    </row>
    <row r="141" spans="2:26" ht="14" thickBot="1" x14ac:dyDescent="0.2">
      <c r="B141" s="8"/>
      <c r="C141" s="502" t="s">
        <v>663</v>
      </c>
      <c r="D141" s="561">
        <f>D138</f>
        <v>0</v>
      </c>
      <c r="E141" s="2">
        <f>F138</f>
        <v>0</v>
      </c>
      <c r="F141" s="2">
        <f>H138</f>
        <v>0</v>
      </c>
      <c r="G141" s="2">
        <f>J138</f>
        <v>0</v>
      </c>
      <c r="H141" s="2">
        <f>L138</f>
        <v>0</v>
      </c>
      <c r="I141" s="2">
        <f>N138</f>
        <v>0</v>
      </c>
      <c r="J141" s="2">
        <f>P138</f>
        <v>0</v>
      </c>
      <c r="K141" s="2">
        <f>R138</f>
        <v>0</v>
      </c>
      <c r="L141" s="2">
        <f>T138</f>
        <v>0</v>
      </c>
      <c r="M141" s="2">
        <f>V138</f>
        <v>0</v>
      </c>
      <c r="N141" s="501">
        <f>X138</f>
        <v>0</v>
      </c>
      <c r="O141" s="2"/>
      <c r="P141" s="2"/>
      <c r="Q141" s="2"/>
      <c r="R141" s="2"/>
      <c r="S141" s="2"/>
      <c r="T141" s="2"/>
      <c r="U141" s="2"/>
      <c r="V141" s="2"/>
      <c r="W141" s="2"/>
      <c r="X141" s="2"/>
      <c r="Y141" s="2"/>
    </row>
    <row r="142" spans="2:26" ht="14" thickBot="1" x14ac:dyDescent="0.2">
      <c r="B142" s="8"/>
      <c r="C142" s="520" t="s">
        <v>273</v>
      </c>
      <c r="D142" s="562">
        <f>E139</f>
        <v>0</v>
      </c>
      <c r="E142" s="522">
        <f>G139</f>
        <v>0</v>
      </c>
      <c r="F142" s="522">
        <f>I139</f>
        <v>0</v>
      </c>
      <c r="G142" s="522">
        <f>K139</f>
        <v>0</v>
      </c>
      <c r="H142" s="522">
        <f>M139</f>
        <v>0</v>
      </c>
      <c r="I142" s="522">
        <f>O139</f>
        <v>0</v>
      </c>
      <c r="J142" s="522">
        <f>Q139</f>
        <v>0</v>
      </c>
      <c r="K142" s="522">
        <f>S139</f>
        <v>0</v>
      </c>
      <c r="L142" s="522">
        <f>U139</f>
        <v>0</v>
      </c>
      <c r="M142" s="522">
        <f>W139</f>
        <v>0</v>
      </c>
      <c r="N142" s="548">
        <f>X139</f>
        <v>0</v>
      </c>
      <c r="O142" s="2"/>
      <c r="P142" s="2"/>
      <c r="Q142" s="2"/>
      <c r="R142" s="2"/>
      <c r="S142" s="2"/>
      <c r="T142" s="2"/>
      <c r="U142" s="2"/>
      <c r="V142" s="2"/>
      <c r="W142" s="2"/>
      <c r="X142" s="2"/>
      <c r="Y142" s="2"/>
    </row>
    <row r="144" spans="2:26" ht="14" thickBot="1" x14ac:dyDescent="0.2"/>
    <row r="145" spans="2:26" ht="14" thickBot="1" x14ac:dyDescent="0.2">
      <c r="B145" s="495" t="s">
        <v>418</v>
      </c>
      <c r="C145" s="178"/>
      <c r="D145" s="483" t="s">
        <v>133</v>
      </c>
      <c r="E145" s="483"/>
      <c r="F145" s="483" t="s">
        <v>133</v>
      </c>
      <c r="G145" s="483"/>
      <c r="H145" s="483" t="s">
        <v>133</v>
      </c>
      <c r="I145" s="483"/>
      <c r="J145" s="483" t="s">
        <v>133</v>
      </c>
      <c r="K145" s="483"/>
      <c r="L145" s="483" t="s">
        <v>133</v>
      </c>
      <c r="M145" s="483"/>
      <c r="N145" s="483" t="s">
        <v>133</v>
      </c>
      <c r="O145" s="483"/>
      <c r="P145" s="483" t="s">
        <v>133</v>
      </c>
      <c r="Q145" s="483"/>
      <c r="R145" s="483" t="s">
        <v>133</v>
      </c>
      <c r="S145" s="483"/>
      <c r="T145" s="483" t="s">
        <v>133</v>
      </c>
      <c r="U145" s="483"/>
      <c r="V145" s="483" t="s">
        <v>133</v>
      </c>
      <c r="W145" s="483"/>
      <c r="X145" s="178"/>
      <c r="Y145" s="178"/>
      <c r="Z145" s="499" t="str">
        <f>B145</f>
        <v>+5%</v>
      </c>
    </row>
    <row r="146" spans="2:26" x14ac:dyDescent="0.15">
      <c r="B146" s="426"/>
      <c r="C146" s="4" t="s">
        <v>660</v>
      </c>
      <c r="D146" s="4">
        <v>1</v>
      </c>
      <c r="E146" s="4"/>
      <c r="F146" s="4">
        <f>D146+1</f>
        <v>2</v>
      </c>
      <c r="G146" s="4"/>
      <c r="H146" s="4">
        <f>F146+1</f>
        <v>3</v>
      </c>
      <c r="I146" s="4"/>
      <c r="J146" s="4">
        <f>H146+1</f>
        <v>4</v>
      </c>
      <c r="K146" s="4"/>
      <c r="L146" s="4">
        <f>J146+1</f>
        <v>5</v>
      </c>
      <c r="M146" s="4"/>
      <c r="N146" s="4">
        <f>L146+1</f>
        <v>6</v>
      </c>
      <c r="O146" s="4"/>
      <c r="P146" s="4">
        <f>N146+1</f>
        <v>7</v>
      </c>
      <c r="Q146" s="4"/>
      <c r="R146" s="4">
        <f>P146+1</f>
        <v>8</v>
      </c>
      <c r="S146" s="4"/>
      <c r="T146" s="4">
        <f>R146+1</f>
        <v>9</v>
      </c>
      <c r="U146" s="4"/>
      <c r="V146" s="4">
        <f>T146+1</f>
        <v>10</v>
      </c>
      <c r="W146" s="4"/>
      <c r="X146" s="4" t="s">
        <v>285</v>
      </c>
      <c r="Y146" s="4"/>
      <c r="Z146" s="480"/>
    </row>
    <row r="147" spans="2:26" x14ac:dyDescent="0.15">
      <c r="B147" s="202" t="s">
        <v>661</v>
      </c>
      <c r="C147" s="4">
        <v>1</v>
      </c>
      <c r="D147" s="2">
        <f t="shared" ref="D147:D158" si="66">IF(D$20&lt;($H$11+1),$B$151-((((D$20-1)*12)+$C147)*$B$152),0)</f>
        <v>0</v>
      </c>
      <c r="E147" s="2">
        <f>IF(D147&gt;0,-(D147+$B$152)*($H$6/'Loan Amortization'!$D$8),0)</f>
        <v>0</v>
      </c>
      <c r="F147" s="2">
        <f t="shared" ref="F147:F158" si="67">IF(F$20&lt;($H$11+1),$B$151-((((F$20-1)*12)+$C147)*$B$152),0)</f>
        <v>0</v>
      </c>
      <c r="G147" s="2">
        <f>IF(F147&gt;0,-(F147+$B$152)*($H$6/'Loan Amortization'!$D$8),0)</f>
        <v>0</v>
      </c>
      <c r="H147" s="2">
        <f t="shared" ref="H147:H158" si="68">IF(H$20&lt;($H$11+1),$B$151-((((H$20-1)*12)+$C147)*$B$152),0)</f>
        <v>0</v>
      </c>
      <c r="I147" s="2">
        <f>IF(H147&gt;0,-(H147+$B$152)*($H$6/'Loan Amortization'!$D$8),0)</f>
        <v>0</v>
      </c>
      <c r="J147" s="2">
        <f t="shared" ref="J147:J158" si="69">IF(J$20&lt;($H$11+1),$B$151-((((J$20-1)*12)+$C147)*$B$152),0)</f>
        <v>0</v>
      </c>
      <c r="K147" s="2">
        <f>IF(J147&gt;0,-(J147+$B$152)*($H$6/'Loan Amortization'!$D$8),0)</f>
        <v>0</v>
      </c>
      <c r="L147" s="2">
        <f t="shared" ref="L147:L158" si="70">IF(L$20&lt;($H$11+1),$B$151-((((L$20-1)*12)+$C147)*$B$152),0)</f>
        <v>0</v>
      </c>
      <c r="M147" s="2">
        <f>IF(L147&gt;0,-(L147+$B$152)*($H$6/'Loan Amortization'!$D$8),0)</f>
        <v>0</v>
      </c>
      <c r="N147" s="2">
        <f t="shared" ref="N147:N158" si="71">IF(N$20&lt;($H$11+1),$B$151-((((N$20-1)*12)+$C147)*$B$152),0)</f>
        <v>0</v>
      </c>
      <c r="O147" s="2">
        <f>IF(N147&gt;0,-(N147+$B$152)*($H$6/'Loan Amortization'!$D$8),0)</f>
        <v>0</v>
      </c>
      <c r="P147" s="2">
        <f t="shared" ref="P147:P158" si="72">IF(P$20&lt;($H$11+1),$B$151-((((P$20-1)*12)+$C147)*$B$152),0)</f>
        <v>0</v>
      </c>
      <c r="Q147" s="2">
        <f>IF(P147&gt;0,-(P147+$B$152)*($H$6/'Loan Amortization'!$D$8),0)</f>
        <v>0</v>
      </c>
      <c r="R147" s="2">
        <f t="shared" ref="R147:R158" si="73">IF(R$20&lt;($H$11+1),$B$151-((((R$20-1)*12)+$C147)*$B$152),0)</f>
        <v>0</v>
      </c>
      <c r="S147" s="2">
        <f>IF(R147&gt;0,-(R147+$B$152)*($H$6/'Loan Amortization'!$D$8),0)</f>
        <v>0</v>
      </c>
      <c r="T147" s="2">
        <f t="shared" ref="T147:T158" si="74">IF(T$20&lt;($H$11+1),$B$151-((((T$20-1)*12)+$C147)*$B$152),0)</f>
        <v>0</v>
      </c>
      <c r="U147" s="2">
        <f>IF(T147&gt;0,-(T147+$B$152)*($H$6/'Loan Amortization'!$D$8),0)</f>
        <v>0</v>
      </c>
      <c r="V147" s="2">
        <f t="shared" ref="V147:V158" si="75">IF(V$20&lt;($H$11+1),$B$151-((((V$20-1)*12)+$C147)*$B$152),0)</f>
        <v>0</v>
      </c>
      <c r="W147" s="2">
        <f>IF(V147&gt;0,-(V147+$B$152)*($H$6/'Loan Amortization'!$D$8),0)</f>
        <v>0</v>
      </c>
      <c r="X147" s="2">
        <f>SUM(C147:V147)</f>
        <v>1</v>
      </c>
      <c r="Y147" s="2"/>
      <c r="Z147" s="480"/>
    </row>
    <row r="148" spans="2:26" x14ac:dyDescent="0.15">
      <c r="B148" s="511">
        <f>-PMT($H$6/12,$H$11*12,C11)</f>
        <v>0</v>
      </c>
      <c r="C148" s="4">
        <v>2</v>
      </c>
      <c r="D148" s="2">
        <f t="shared" si="66"/>
        <v>0</v>
      </c>
      <c r="E148" s="2">
        <f>IF(D148&gt;0,-(D148+$B$152)*($H$6/'Loan Amortization'!$D$8),0)</f>
        <v>0</v>
      </c>
      <c r="F148" s="2">
        <f t="shared" si="67"/>
        <v>0</v>
      </c>
      <c r="G148" s="2">
        <f>IF(F148&gt;0,-(F148+$B$152)*($H$6/'Loan Amortization'!$D$8),0)</f>
        <v>0</v>
      </c>
      <c r="H148" s="2">
        <f t="shared" si="68"/>
        <v>0</v>
      </c>
      <c r="I148" s="2">
        <f>IF(H148&gt;0,-(H148+$B$152)*($H$6/'Loan Amortization'!$D$8),0)</f>
        <v>0</v>
      </c>
      <c r="J148" s="2">
        <f t="shared" si="69"/>
        <v>0</v>
      </c>
      <c r="K148" s="2">
        <f>IF(J148&gt;0,-(J148+$B$152)*($H$6/'Loan Amortization'!$D$8),0)</f>
        <v>0</v>
      </c>
      <c r="L148" s="2">
        <f t="shared" si="70"/>
        <v>0</v>
      </c>
      <c r="M148" s="2">
        <f>IF(L148&gt;0,-(L148+$B$152)*($H$6/'Loan Amortization'!$D$8),0)</f>
        <v>0</v>
      </c>
      <c r="N148" s="2">
        <f t="shared" si="71"/>
        <v>0</v>
      </c>
      <c r="O148" s="2">
        <f>IF(N148&gt;0,-(N148+$B$152)*($H$6/'Loan Amortization'!$D$8),0)</f>
        <v>0</v>
      </c>
      <c r="P148" s="2">
        <f t="shared" si="72"/>
        <v>0</v>
      </c>
      <c r="Q148" s="2">
        <f>IF(P148&gt;0,-(P148+$B$152)*($H$6/'Loan Amortization'!$D$8),0)</f>
        <v>0</v>
      </c>
      <c r="R148" s="2">
        <f t="shared" si="73"/>
        <v>0</v>
      </c>
      <c r="S148" s="2">
        <f>IF(R148&gt;0,-(R148+$B$152)*($H$6/'Loan Amortization'!$D$8),0)</f>
        <v>0</v>
      </c>
      <c r="T148" s="2">
        <f t="shared" si="74"/>
        <v>0</v>
      </c>
      <c r="U148" s="2">
        <f>IF(T148&gt;0,-(T148+$B$152)*($H$6/'Loan Amortization'!$D$8),0)</f>
        <v>0</v>
      </c>
      <c r="V148" s="2">
        <f t="shared" si="75"/>
        <v>0</v>
      </c>
      <c r="W148" s="2">
        <f>IF(V148&gt;0,-(V148+$B$152)*($H$6/'Loan Amortization'!$D$8),0)</f>
        <v>0</v>
      </c>
      <c r="X148" s="2">
        <f t="shared" ref="X148:X160" si="76">SUM(C148:V148)</f>
        <v>2</v>
      </c>
      <c r="Y148" s="2"/>
      <c r="Z148" s="480"/>
    </row>
    <row r="149" spans="2:26" x14ac:dyDescent="0.15">
      <c r="B149" s="540">
        <f>B148*12</f>
        <v>0</v>
      </c>
      <c r="C149" s="4">
        <v>3</v>
      </c>
      <c r="D149" s="2">
        <f t="shared" si="66"/>
        <v>0</v>
      </c>
      <c r="E149" s="2">
        <f>IF(D149&gt;0,-(D149+$B$152)*($H$6/'Loan Amortization'!$D$8),0)</f>
        <v>0</v>
      </c>
      <c r="F149" s="2">
        <f t="shared" si="67"/>
        <v>0</v>
      </c>
      <c r="G149" s="2">
        <f>IF(F149&gt;0,-(F149+$B$152)*($H$6/'Loan Amortization'!$D$8),0)</f>
        <v>0</v>
      </c>
      <c r="H149" s="2">
        <f t="shared" si="68"/>
        <v>0</v>
      </c>
      <c r="I149" s="2">
        <f>IF(H149&gt;0,-(H149+$B$152)*($H$6/'Loan Amortization'!$D$8),0)</f>
        <v>0</v>
      </c>
      <c r="J149" s="2">
        <f t="shared" si="69"/>
        <v>0</v>
      </c>
      <c r="K149" s="2">
        <f>IF(J149&gt;0,-(J149+$B$152)*($H$6/'Loan Amortization'!$D$8),0)</f>
        <v>0</v>
      </c>
      <c r="L149" s="2">
        <f t="shared" si="70"/>
        <v>0</v>
      </c>
      <c r="M149" s="2">
        <f>IF(L149&gt;0,-(L149+$B$152)*($H$6/'Loan Amortization'!$D$8),0)</f>
        <v>0</v>
      </c>
      <c r="N149" s="2">
        <f t="shared" si="71"/>
        <v>0</v>
      </c>
      <c r="O149" s="2">
        <f>IF(N149&gt;0,-(N149+$B$152)*($H$6/'Loan Amortization'!$D$8),0)</f>
        <v>0</v>
      </c>
      <c r="P149" s="2">
        <f t="shared" si="72"/>
        <v>0</v>
      </c>
      <c r="Q149" s="2">
        <f>IF(P149&gt;0,-(P149+$B$152)*($H$6/'Loan Amortization'!$D$8),0)</f>
        <v>0</v>
      </c>
      <c r="R149" s="2">
        <f t="shared" si="73"/>
        <v>0</v>
      </c>
      <c r="S149" s="2">
        <f>IF(R149&gt;0,-(R149+$B$152)*($H$6/'Loan Amortization'!$D$8),0)</f>
        <v>0</v>
      </c>
      <c r="T149" s="2">
        <f t="shared" si="74"/>
        <v>0</v>
      </c>
      <c r="U149" s="2">
        <f>IF(T149&gt;0,-(T149+$B$152)*($H$6/'Loan Amortization'!$D$8),0)</f>
        <v>0</v>
      </c>
      <c r="V149" s="2">
        <f t="shared" si="75"/>
        <v>0</v>
      </c>
      <c r="W149" s="2">
        <f>IF(V149&gt;0,-(V149+$B$152)*($H$6/'Loan Amortization'!$D$8),0)</f>
        <v>0</v>
      </c>
      <c r="X149" s="2">
        <f t="shared" si="76"/>
        <v>3</v>
      </c>
      <c r="Y149" s="2"/>
      <c r="Z149" s="480"/>
    </row>
    <row r="150" spans="2:26" x14ac:dyDescent="0.15">
      <c r="B150" s="202" t="s">
        <v>662</v>
      </c>
      <c r="C150" s="4">
        <v>4</v>
      </c>
      <c r="D150" s="2">
        <f t="shared" si="66"/>
        <v>0</v>
      </c>
      <c r="E150" s="2">
        <f>IF(D150&gt;0,-(D150+$B$152)*($H$6/'Loan Amortization'!$D$8),0)</f>
        <v>0</v>
      </c>
      <c r="F150" s="2">
        <f t="shared" si="67"/>
        <v>0</v>
      </c>
      <c r="G150" s="2">
        <f>IF(F150&gt;0,-(F150+$B$152)*($H$6/'Loan Amortization'!$D$8),0)</f>
        <v>0</v>
      </c>
      <c r="H150" s="2">
        <f t="shared" si="68"/>
        <v>0</v>
      </c>
      <c r="I150" s="2">
        <f>IF(H150&gt;0,-(H150+$B$152)*($H$6/'Loan Amortization'!$D$8),0)</f>
        <v>0</v>
      </c>
      <c r="J150" s="2">
        <f t="shared" si="69"/>
        <v>0</v>
      </c>
      <c r="K150" s="2">
        <f>IF(J150&gt;0,-(J150+$B$152)*($H$6/'Loan Amortization'!$D$8),0)</f>
        <v>0</v>
      </c>
      <c r="L150" s="2">
        <f t="shared" si="70"/>
        <v>0</v>
      </c>
      <c r="M150" s="2">
        <f>IF(L150&gt;0,-(L150+$B$152)*($H$6/'Loan Amortization'!$D$8),0)</f>
        <v>0</v>
      </c>
      <c r="N150" s="2">
        <f t="shared" si="71"/>
        <v>0</v>
      </c>
      <c r="O150" s="2">
        <f>IF(N150&gt;0,-(N150+$B$152)*($H$6/'Loan Amortization'!$D$8),0)</f>
        <v>0</v>
      </c>
      <c r="P150" s="2">
        <f t="shared" si="72"/>
        <v>0</v>
      </c>
      <c r="Q150" s="2">
        <f>IF(P150&gt;0,-(P150+$B$152)*($H$6/'Loan Amortization'!$D$8),0)</f>
        <v>0</v>
      </c>
      <c r="R150" s="2">
        <f t="shared" si="73"/>
        <v>0</v>
      </c>
      <c r="S150" s="2">
        <f>IF(R150&gt;0,-(R150+$B$152)*($H$6/'Loan Amortization'!$D$8),0)</f>
        <v>0</v>
      </c>
      <c r="T150" s="2">
        <f t="shared" si="74"/>
        <v>0</v>
      </c>
      <c r="U150" s="2">
        <f>IF(T150&gt;0,-(T150+$B$152)*($H$6/'Loan Amortization'!$D$8),0)</f>
        <v>0</v>
      </c>
      <c r="V150" s="2">
        <f t="shared" si="75"/>
        <v>0</v>
      </c>
      <c r="W150" s="2">
        <f>IF(V150&gt;0,-(V150+$B$152)*($H$6/'Loan Amortization'!$D$8),0)</f>
        <v>0</v>
      </c>
      <c r="X150" s="2">
        <f t="shared" si="76"/>
        <v>4</v>
      </c>
      <c r="Y150" s="2"/>
      <c r="Z150" s="480"/>
    </row>
    <row r="151" spans="2:26" x14ac:dyDescent="0.15">
      <c r="B151" s="521">
        <f>C11</f>
        <v>0</v>
      </c>
      <c r="C151" s="4">
        <v>5</v>
      </c>
      <c r="D151" s="2">
        <f t="shared" si="66"/>
        <v>0</v>
      </c>
      <c r="E151" s="2">
        <f>IF(D151&gt;0,-(D151+$B$152)*($H$6/'Loan Amortization'!$D$8),0)</f>
        <v>0</v>
      </c>
      <c r="F151" s="2">
        <f t="shared" si="67"/>
        <v>0</v>
      </c>
      <c r="G151" s="2">
        <f>IF(F151&gt;0,-(F151+$B$152)*($H$6/'Loan Amortization'!$D$8),0)</f>
        <v>0</v>
      </c>
      <c r="H151" s="2">
        <f t="shared" si="68"/>
        <v>0</v>
      </c>
      <c r="I151" s="2">
        <f>IF(H151&gt;0,-(H151+$B$152)*($H$6/'Loan Amortization'!$D$8),0)</f>
        <v>0</v>
      </c>
      <c r="J151" s="2">
        <f t="shared" si="69"/>
        <v>0</v>
      </c>
      <c r="K151" s="2">
        <f>IF(J151&gt;0,-(J151+$B$152)*($H$6/'Loan Amortization'!$D$8),0)</f>
        <v>0</v>
      </c>
      <c r="L151" s="2">
        <f t="shared" si="70"/>
        <v>0</v>
      </c>
      <c r="M151" s="2">
        <f>IF(L151&gt;0,-(L151+$B$152)*($H$6/'Loan Amortization'!$D$8),0)</f>
        <v>0</v>
      </c>
      <c r="N151" s="2">
        <f t="shared" si="71"/>
        <v>0</v>
      </c>
      <c r="O151" s="2">
        <f>IF(N151&gt;0,-(N151+$B$152)*($H$6/'Loan Amortization'!$D$8),0)</f>
        <v>0</v>
      </c>
      <c r="P151" s="2">
        <f t="shared" si="72"/>
        <v>0</v>
      </c>
      <c r="Q151" s="2">
        <f>IF(P151&gt;0,-(P151+$B$152)*($H$6/'Loan Amortization'!$D$8),0)</f>
        <v>0</v>
      </c>
      <c r="R151" s="2">
        <f t="shared" si="73"/>
        <v>0</v>
      </c>
      <c r="S151" s="2">
        <f>IF(R151&gt;0,-(R151+$B$152)*($H$6/'Loan Amortization'!$D$8),0)</f>
        <v>0</v>
      </c>
      <c r="T151" s="2">
        <f t="shared" si="74"/>
        <v>0</v>
      </c>
      <c r="U151" s="2">
        <f>IF(T151&gt;0,-(T151+$B$152)*($H$6/'Loan Amortization'!$D$8),0)</f>
        <v>0</v>
      </c>
      <c r="V151" s="2">
        <f t="shared" si="75"/>
        <v>0</v>
      </c>
      <c r="W151" s="2">
        <f>IF(V151&gt;0,-(V151+$B$152)*($H$6/'Loan Amortization'!$D$8),0)</f>
        <v>0</v>
      </c>
      <c r="X151" s="2">
        <f t="shared" si="76"/>
        <v>5</v>
      </c>
      <c r="Y151" s="2"/>
      <c r="Z151" s="480"/>
    </row>
    <row r="152" spans="2:26" x14ac:dyDescent="0.15">
      <c r="B152" s="521">
        <f>B151/($H$11)</f>
        <v>0</v>
      </c>
      <c r="C152" s="4">
        <v>6</v>
      </c>
      <c r="D152" s="2">
        <f t="shared" si="66"/>
        <v>0</v>
      </c>
      <c r="E152" s="2">
        <f>IF(D152&gt;0,-(D152+$B$152)*($H$6/'Loan Amortization'!$D$8),0)</f>
        <v>0</v>
      </c>
      <c r="F152" s="2">
        <f t="shared" si="67"/>
        <v>0</v>
      </c>
      <c r="G152" s="2">
        <f>IF(F152&gt;0,-(F152+$B$152)*($H$6/'Loan Amortization'!$D$8),0)</f>
        <v>0</v>
      </c>
      <c r="H152" s="2">
        <f t="shared" si="68"/>
        <v>0</v>
      </c>
      <c r="I152" s="2">
        <f>IF(H152&gt;0,-(H152+$B$152)*($H$6/'Loan Amortization'!$D$8),0)</f>
        <v>0</v>
      </c>
      <c r="J152" s="2">
        <f t="shared" si="69"/>
        <v>0</v>
      </c>
      <c r="K152" s="2">
        <f>IF(J152&gt;0,-(J152+$B$152)*($H$6/'Loan Amortization'!$D$8),0)</f>
        <v>0</v>
      </c>
      <c r="L152" s="2">
        <f t="shared" si="70"/>
        <v>0</v>
      </c>
      <c r="M152" s="2">
        <f>IF(L152&gt;0,-(L152+$B$152)*($H$6/'Loan Amortization'!$D$8),0)</f>
        <v>0</v>
      </c>
      <c r="N152" s="2">
        <f t="shared" si="71"/>
        <v>0</v>
      </c>
      <c r="O152" s="2">
        <f>IF(N152&gt;0,-(N152+$B$152)*($H$6/'Loan Amortization'!$D$8),0)</f>
        <v>0</v>
      </c>
      <c r="P152" s="2">
        <f t="shared" si="72"/>
        <v>0</v>
      </c>
      <c r="Q152" s="2">
        <f>IF(P152&gt;0,-(P152+$B$152)*($H$6/'Loan Amortization'!$D$8),0)</f>
        <v>0</v>
      </c>
      <c r="R152" s="2">
        <f t="shared" si="73"/>
        <v>0</v>
      </c>
      <c r="S152" s="2">
        <f>IF(R152&gt;0,-(R152+$B$152)*($H$6/'Loan Amortization'!$D$8),0)</f>
        <v>0</v>
      </c>
      <c r="T152" s="2">
        <f t="shared" si="74"/>
        <v>0</v>
      </c>
      <c r="U152" s="2">
        <f>IF(T152&gt;0,-(T152+$B$152)*($H$6/'Loan Amortization'!$D$8),0)</f>
        <v>0</v>
      </c>
      <c r="V152" s="2">
        <f t="shared" si="75"/>
        <v>0</v>
      </c>
      <c r="W152" s="2">
        <f>IF(V152&gt;0,-(V152+$B$152)*($H$6/'Loan Amortization'!$D$8),0)</f>
        <v>0</v>
      </c>
      <c r="X152" s="2">
        <f t="shared" si="76"/>
        <v>6</v>
      </c>
      <c r="Y152" s="2"/>
      <c r="Z152" s="480"/>
    </row>
    <row r="153" spans="2:26" x14ac:dyDescent="0.15">
      <c r="B153" s="202"/>
      <c r="C153" s="4">
        <v>7</v>
      </c>
      <c r="D153" s="2">
        <f t="shared" si="66"/>
        <v>0</v>
      </c>
      <c r="E153" s="2">
        <f>IF(D153&gt;0,-(D153+$B$152)*($H$6/'Loan Amortization'!$D$8),0)</f>
        <v>0</v>
      </c>
      <c r="F153" s="2">
        <f t="shared" si="67"/>
        <v>0</v>
      </c>
      <c r="G153" s="2">
        <f>IF(F153&gt;0,-(F153+$B$152)*($H$6/'Loan Amortization'!$D$8),0)</f>
        <v>0</v>
      </c>
      <c r="H153" s="2">
        <f t="shared" si="68"/>
        <v>0</v>
      </c>
      <c r="I153" s="2">
        <f>IF(H153&gt;0,-(H153+$B$152)*($H$6/'Loan Amortization'!$D$8),0)</f>
        <v>0</v>
      </c>
      <c r="J153" s="2">
        <f t="shared" si="69"/>
        <v>0</v>
      </c>
      <c r="K153" s="2">
        <f>IF(J153&gt;0,-(J153+$B$152)*($H$6/'Loan Amortization'!$D$8),0)</f>
        <v>0</v>
      </c>
      <c r="L153" s="2">
        <f t="shared" si="70"/>
        <v>0</v>
      </c>
      <c r="M153" s="2">
        <f>IF(L153&gt;0,-(L153+$B$152)*($H$6/'Loan Amortization'!$D$8),0)</f>
        <v>0</v>
      </c>
      <c r="N153" s="2">
        <f t="shared" si="71"/>
        <v>0</v>
      </c>
      <c r="O153" s="2">
        <f>IF(N153&gt;0,-(N153+$B$152)*($H$6/'Loan Amortization'!$D$8),0)</f>
        <v>0</v>
      </c>
      <c r="P153" s="2">
        <f t="shared" si="72"/>
        <v>0</v>
      </c>
      <c r="Q153" s="2">
        <f>IF(P153&gt;0,-(P153+$B$152)*($H$6/'Loan Amortization'!$D$8),0)</f>
        <v>0</v>
      </c>
      <c r="R153" s="2">
        <f t="shared" si="73"/>
        <v>0</v>
      </c>
      <c r="S153" s="2">
        <f>IF(R153&gt;0,-(R153+$B$152)*($H$6/'Loan Amortization'!$D$8),0)</f>
        <v>0</v>
      </c>
      <c r="T153" s="2">
        <f t="shared" si="74"/>
        <v>0</v>
      </c>
      <c r="U153" s="2">
        <f>IF(T153&gt;0,-(T153+$B$152)*($H$6/'Loan Amortization'!$D$8),0)</f>
        <v>0</v>
      </c>
      <c r="V153" s="2">
        <f t="shared" si="75"/>
        <v>0</v>
      </c>
      <c r="W153" s="2">
        <f>IF(V153&gt;0,-(V153+$B$152)*($H$6/'Loan Amortization'!$D$8),0)</f>
        <v>0</v>
      </c>
      <c r="X153" s="2">
        <f t="shared" si="76"/>
        <v>7</v>
      </c>
      <c r="Y153" s="2"/>
      <c r="Z153" s="480"/>
    </row>
    <row r="154" spans="2:26" x14ac:dyDescent="0.15">
      <c r="B154" s="202"/>
      <c r="C154" s="4">
        <v>8</v>
      </c>
      <c r="D154" s="2">
        <f t="shared" si="66"/>
        <v>0</v>
      </c>
      <c r="E154" s="2">
        <f>IF(D154&gt;0,-(D154+$B$152)*($H$6/'Loan Amortization'!$D$8),0)</f>
        <v>0</v>
      </c>
      <c r="F154" s="2">
        <f t="shared" si="67"/>
        <v>0</v>
      </c>
      <c r="G154" s="2">
        <f>IF(F154&gt;0,-(F154+$B$152)*($H$6/'Loan Amortization'!$D$8),0)</f>
        <v>0</v>
      </c>
      <c r="H154" s="2">
        <f t="shared" si="68"/>
        <v>0</v>
      </c>
      <c r="I154" s="2">
        <f>IF(H154&gt;0,-(H154+$B$152)*($H$6/'Loan Amortization'!$D$8),0)</f>
        <v>0</v>
      </c>
      <c r="J154" s="2">
        <f t="shared" si="69"/>
        <v>0</v>
      </c>
      <c r="K154" s="2">
        <f>IF(J154&gt;0,-(J154+$B$152)*($H$6/'Loan Amortization'!$D$8),0)</f>
        <v>0</v>
      </c>
      <c r="L154" s="2">
        <f t="shared" si="70"/>
        <v>0</v>
      </c>
      <c r="M154" s="2">
        <f>IF(L154&gt;0,-(L154+$B$152)*($H$6/'Loan Amortization'!$D$8),0)</f>
        <v>0</v>
      </c>
      <c r="N154" s="2">
        <f t="shared" si="71"/>
        <v>0</v>
      </c>
      <c r="O154" s="2">
        <f>IF(N154&gt;0,-(N154+$B$152)*($H$6/'Loan Amortization'!$D$8),0)</f>
        <v>0</v>
      </c>
      <c r="P154" s="2">
        <f t="shared" si="72"/>
        <v>0</v>
      </c>
      <c r="Q154" s="2">
        <f>IF(P154&gt;0,-(P154+$B$152)*($H$6/'Loan Amortization'!$D$8),0)</f>
        <v>0</v>
      </c>
      <c r="R154" s="2">
        <f t="shared" si="73"/>
        <v>0</v>
      </c>
      <c r="S154" s="2">
        <f>IF(R154&gt;0,-(R154+$B$152)*($H$6/'Loan Amortization'!$D$8),0)</f>
        <v>0</v>
      </c>
      <c r="T154" s="2">
        <f t="shared" si="74"/>
        <v>0</v>
      </c>
      <c r="U154" s="2">
        <f>IF(T154&gt;0,-(T154+$B$152)*($H$6/'Loan Amortization'!$D$8),0)</f>
        <v>0</v>
      </c>
      <c r="V154" s="2">
        <f t="shared" si="75"/>
        <v>0</v>
      </c>
      <c r="W154" s="2">
        <f>IF(V154&gt;0,-(V154+$B$152)*($H$6/'Loan Amortization'!$D$8),0)</f>
        <v>0</v>
      </c>
      <c r="X154" s="2">
        <f t="shared" si="76"/>
        <v>8</v>
      </c>
      <c r="Y154" s="2"/>
      <c r="Z154" s="480"/>
    </row>
    <row r="155" spans="2:26" x14ac:dyDescent="0.15">
      <c r="B155" s="202"/>
      <c r="C155" s="4">
        <v>9</v>
      </c>
      <c r="D155" s="2">
        <f t="shared" si="66"/>
        <v>0</v>
      </c>
      <c r="E155" s="2">
        <f>IF(D155&gt;0,-(D155+$B$152)*($H$6/'Loan Amortization'!$D$8),0)</f>
        <v>0</v>
      </c>
      <c r="F155" s="2">
        <f t="shared" si="67"/>
        <v>0</v>
      </c>
      <c r="G155" s="2">
        <f>IF(F155&gt;0,-(F155+$B$152)*($H$6/'Loan Amortization'!$D$8),0)</f>
        <v>0</v>
      </c>
      <c r="H155" s="2">
        <f t="shared" si="68"/>
        <v>0</v>
      </c>
      <c r="I155" s="2">
        <f>IF(H155&gt;0,-(H155+$B$152)*($H$6/'Loan Amortization'!$D$8),0)</f>
        <v>0</v>
      </c>
      <c r="J155" s="2">
        <f t="shared" si="69"/>
        <v>0</v>
      </c>
      <c r="K155" s="2">
        <f>IF(J155&gt;0,-(J155+$B$152)*($H$6/'Loan Amortization'!$D$8),0)</f>
        <v>0</v>
      </c>
      <c r="L155" s="2">
        <f t="shared" si="70"/>
        <v>0</v>
      </c>
      <c r="M155" s="2">
        <f>IF(L155&gt;0,-(L155+$B$152)*($H$6/'Loan Amortization'!$D$8),0)</f>
        <v>0</v>
      </c>
      <c r="N155" s="2">
        <f t="shared" si="71"/>
        <v>0</v>
      </c>
      <c r="O155" s="2">
        <f>IF(N155&gt;0,-(N155+$B$152)*($H$6/'Loan Amortization'!$D$8),0)</f>
        <v>0</v>
      </c>
      <c r="P155" s="2">
        <f t="shared" si="72"/>
        <v>0</v>
      </c>
      <c r="Q155" s="2">
        <f>IF(P155&gt;0,-(P155+$B$152)*($H$6/'Loan Amortization'!$D$8),0)</f>
        <v>0</v>
      </c>
      <c r="R155" s="2">
        <f t="shared" si="73"/>
        <v>0</v>
      </c>
      <c r="S155" s="2">
        <f>IF(R155&gt;0,-(R155+$B$152)*($H$6/'Loan Amortization'!$D$8),0)</f>
        <v>0</v>
      </c>
      <c r="T155" s="2">
        <f t="shared" si="74"/>
        <v>0</v>
      </c>
      <c r="U155" s="2">
        <f>IF(T155&gt;0,-(T155+$B$152)*($H$6/'Loan Amortization'!$D$8),0)</f>
        <v>0</v>
      </c>
      <c r="V155" s="2">
        <f t="shared" si="75"/>
        <v>0</v>
      </c>
      <c r="W155" s="2">
        <f>IF(V155&gt;0,-(V155+$B$152)*($H$6/'Loan Amortization'!$D$8),0)</f>
        <v>0</v>
      </c>
      <c r="X155" s="2">
        <f t="shared" si="76"/>
        <v>9</v>
      </c>
      <c r="Y155" s="2"/>
      <c r="Z155" s="480"/>
    </row>
    <row r="156" spans="2:26" x14ac:dyDescent="0.15">
      <c r="B156" s="202"/>
      <c r="C156" s="4">
        <v>10</v>
      </c>
      <c r="D156" s="2">
        <f t="shared" si="66"/>
        <v>0</v>
      </c>
      <c r="E156" s="2">
        <f>IF(D156&gt;0,-(D156+$B$152)*($H$6/'Loan Amortization'!$D$8),0)</f>
        <v>0</v>
      </c>
      <c r="F156" s="2">
        <f t="shared" si="67"/>
        <v>0</v>
      </c>
      <c r="G156" s="2">
        <f>IF(F156&gt;0,-(F156+$B$152)*($H$6/'Loan Amortization'!$D$8),0)</f>
        <v>0</v>
      </c>
      <c r="H156" s="2">
        <f t="shared" si="68"/>
        <v>0</v>
      </c>
      <c r="I156" s="2">
        <f>IF(H156&gt;0,-(H156+$B$152)*($H$6/'Loan Amortization'!$D$8),0)</f>
        <v>0</v>
      </c>
      <c r="J156" s="2">
        <f t="shared" si="69"/>
        <v>0</v>
      </c>
      <c r="K156" s="2">
        <f>IF(J156&gt;0,-(J156+$B$152)*($H$6/'Loan Amortization'!$D$8),0)</f>
        <v>0</v>
      </c>
      <c r="L156" s="2">
        <f t="shared" si="70"/>
        <v>0</v>
      </c>
      <c r="M156" s="2">
        <f>IF(L156&gt;0,-(L156+$B$152)*($H$6/'Loan Amortization'!$D$8),0)</f>
        <v>0</v>
      </c>
      <c r="N156" s="2">
        <f t="shared" si="71"/>
        <v>0</v>
      </c>
      <c r="O156" s="2">
        <f>IF(N156&gt;0,-(N156+$B$152)*($H$6/'Loan Amortization'!$D$8),0)</f>
        <v>0</v>
      </c>
      <c r="P156" s="2">
        <f t="shared" si="72"/>
        <v>0</v>
      </c>
      <c r="Q156" s="2">
        <f>IF(P156&gt;0,-(P156+$B$152)*($H$6/'Loan Amortization'!$D$8),0)</f>
        <v>0</v>
      </c>
      <c r="R156" s="2">
        <f t="shared" si="73"/>
        <v>0</v>
      </c>
      <c r="S156" s="2">
        <f>IF(R156&gt;0,-(R156+$B$152)*($H$6/'Loan Amortization'!$D$8),0)</f>
        <v>0</v>
      </c>
      <c r="T156" s="2">
        <f t="shared" si="74"/>
        <v>0</v>
      </c>
      <c r="U156" s="2">
        <f>IF(T156&gt;0,-(T156+$B$152)*($H$6/'Loan Amortization'!$D$8),0)</f>
        <v>0</v>
      </c>
      <c r="V156" s="2">
        <f t="shared" si="75"/>
        <v>0</v>
      </c>
      <c r="W156" s="2">
        <f>IF(V156&gt;0,-(V156+$B$152)*($H$6/'Loan Amortization'!$D$8),0)</f>
        <v>0</v>
      </c>
      <c r="X156" s="2">
        <f t="shared" si="76"/>
        <v>10</v>
      </c>
      <c r="Y156" s="2"/>
      <c r="Z156" s="480"/>
    </row>
    <row r="157" spans="2:26" x14ac:dyDescent="0.15">
      <c r="B157" s="202"/>
      <c r="C157" s="4">
        <v>11</v>
      </c>
      <c r="D157" s="2">
        <f t="shared" si="66"/>
        <v>0</v>
      </c>
      <c r="E157" s="2">
        <f>IF(D157&gt;0,-(D157+$B$152)*($H$6/'Loan Amortization'!$D$8),0)</f>
        <v>0</v>
      </c>
      <c r="F157" s="2">
        <f t="shared" si="67"/>
        <v>0</v>
      </c>
      <c r="G157" s="2">
        <f>IF(F157&gt;0,-(F157+$B$152)*($H$6/'Loan Amortization'!$D$8),0)</f>
        <v>0</v>
      </c>
      <c r="H157" s="2">
        <f t="shared" si="68"/>
        <v>0</v>
      </c>
      <c r="I157" s="2">
        <f>IF(H157&gt;0,-(H157+$B$152)*($H$6/'Loan Amortization'!$D$8),0)</f>
        <v>0</v>
      </c>
      <c r="J157" s="2">
        <f t="shared" si="69"/>
        <v>0</v>
      </c>
      <c r="K157" s="2">
        <f>IF(J157&gt;0,-(J157+$B$152)*($H$6/'Loan Amortization'!$D$8),0)</f>
        <v>0</v>
      </c>
      <c r="L157" s="2">
        <f t="shared" si="70"/>
        <v>0</v>
      </c>
      <c r="M157" s="2">
        <f>IF(L157&gt;0,-(L157+$B$152)*($H$6/'Loan Amortization'!$D$8),0)</f>
        <v>0</v>
      </c>
      <c r="N157" s="2">
        <f t="shared" si="71"/>
        <v>0</v>
      </c>
      <c r="O157" s="2">
        <f>IF(N157&gt;0,-(N157+$B$152)*($H$6/'Loan Amortization'!$D$8),0)</f>
        <v>0</v>
      </c>
      <c r="P157" s="2">
        <f t="shared" si="72"/>
        <v>0</v>
      </c>
      <c r="Q157" s="2">
        <f>IF(P157&gt;0,-(P157+$B$152)*($H$6/'Loan Amortization'!$D$8),0)</f>
        <v>0</v>
      </c>
      <c r="R157" s="2">
        <f t="shared" si="73"/>
        <v>0</v>
      </c>
      <c r="S157" s="2">
        <f>IF(R157&gt;0,-(R157+$B$152)*($H$6/'Loan Amortization'!$D$8),0)</f>
        <v>0</v>
      </c>
      <c r="T157" s="2">
        <f t="shared" si="74"/>
        <v>0</v>
      </c>
      <c r="U157" s="2">
        <f>IF(T157&gt;0,-(T157+$B$152)*($H$6/'Loan Amortization'!$D$8),0)</f>
        <v>0</v>
      </c>
      <c r="V157" s="2">
        <f t="shared" si="75"/>
        <v>0</v>
      </c>
      <c r="W157" s="2">
        <f>IF(V157&gt;0,-(V157+$B$152)*($H$6/'Loan Amortization'!$D$8),0)</f>
        <v>0</v>
      </c>
      <c r="X157" s="2">
        <f t="shared" si="76"/>
        <v>11</v>
      </c>
      <c r="Y157" s="2"/>
      <c r="Z157" s="480"/>
    </row>
    <row r="158" spans="2:26" ht="14" thickBot="1" x14ac:dyDescent="0.2">
      <c r="B158" s="202"/>
      <c r="C158" s="4">
        <v>12</v>
      </c>
      <c r="D158" s="2">
        <f t="shared" si="66"/>
        <v>0</v>
      </c>
      <c r="E158" s="2">
        <f>IF(D158&gt;0,-(D158+$B$152)*($H$6/'Loan Amortization'!$D$8),0)</f>
        <v>0</v>
      </c>
      <c r="F158" s="2">
        <f t="shared" si="67"/>
        <v>0</v>
      </c>
      <c r="G158" s="2">
        <f>IF(F158&gt;0,-(F158+$B$152)*($H$6/'Loan Amortization'!$D$8),0)</f>
        <v>0</v>
      </c>
      <c r="H158" s="2">
        <f t="shared" si="68"/>
        <v>0</v>
      </c>
      <c r="I158" s="2">
        <f>IF(H158&gt;0,-(H158+$B$152)*($H$6/'Loan Amortization'!$D$8),0)</f>
        <v>0</v>
      </c>
      <c r="J158" s="2">
        <f t="shared" si="69"/>
        <v>0</v>
      </c>
      <c r="K158" s="2">
        <f>IF(J158&gt;0,-(J158+$B$152)*($H$6/'Loan Amortization'!$D$8),0)</f>
        <v>0</v>
      </c>
      <c r="L158" s="2">
        <f t="shared" si="70"/>
        <v>0</v>
      </c>
      <c r="M158" s="2">
        <f>IF(L158&gt;0,-(L158+$B$152)*($H$6/'Loan Amortization'!$D$8),0)</f>
        <v>0</v>
      </c>
      <c r="N158" s="2">
        <f t="shared" si="71"/>
        <v>0</v>
      </c>
      <c r="O158" s="2">
        <f>IF(N158&gt;0,-(N158+$B$152)*($H$6/'Loan Amortization'!$D$8),0)</f>
        <v>0</v>
      </c>
      <c r="P158" s="2">
        <f t="shared" si="72"/>
        <v>0</v>
      </c>
      <c r="Q158" s="2">
        <f>IF(P158&gt;0,-(P158+$B$152)*($H$6/'Loan Amortization'!$D$8),0)</f>
        <v>0</v>
      </c>
      <c r="R158" s="2">
        <f t="shared" si="73"/>
        <v>0</v>
      </c>
      <c r="S158" s="2">
        <f>IF(R158&gt;0,-(R158+$B$152)*($H$6/'Loan Amortization'!$D$8),0)</f>
        <v>0</v>
      </c>
      <c r="T158" s="2">
        <f t="shared" si="74"/>
        <v>0</v>
      </c>
      <c r="U158" s="2">
        <f>IF(T158&gt;0,-(T158+$B$152)*($H$6/'Loan Amortization'!$D$8),0)</f>
        <v>0</v>
      </c>
      <c r="V158" s="2">
        <f t="shared" si="75"/>
        <v>0</v>
      </c>
      <c r="W158" s="2">
        <f>IF(V158&gt;0,-(V158+$B$152)*($H$6/'Loan Amortization'!$D$8),0)</f>
        <v>0</v>
      </c>
      <c r="X158" s="2">
        <f t="shared" si="76"/>
        <v>12</v>
      </c>
      <c r="Y158" s="2"/>
      <c r="Z158" s="480"/>
    </row>
    <row r="159" spans="2:26" ht="14" thickBot="1" x14ac:dyDescent="0.2">
      <c r="B159" s="541" t="s">
        <v>45</v>
      </c>
      <c r="C159" s="502" t="s">
        <v>663</v>
      </c>
      <c r="D159" s="503">
        <f>IF(D$20&lt;($H$11+1),-$B$152,0)</f>
        <v>0</v>
      </c>
      <c r="E159" s="503"/>
      <c r="F159" s="503">
        <f>IF(F$20&lt;($H$11+1),-$B$152,0)</f>
        <v>0</v>
      </c>
      <c r="G159" s="503"/>
      <c r="H159" s="503">
        <f>IF(H$20&lt;($H$11+1),-$B$152,0)</f>
        <v>0</v>
      </c>
      <c r="I159" s="503"/>
      <c r="J159" s="503">
        <f>IF(J$20&lt;($H$11+1),-$B$152,0)</f>
        <v>0</v>
      </c>
      <c r="K159" s="503"/>
      <c r="L159" s="503">
        <f>IF(L$20&lt;($H$11+1),-$B$152,0)</f>
        <v>0</v>
      </c>
      <c r="M159" s="503"/>
      <c r="N159" s="503">
        <f>IF(N$20&lt;($H$11+1),-$B$152,0)</f>
        <v>0</v>
      </c>
      <c r="O159" s="503"/>
      <c r="P159" s="503">
        <f>IF(P$20&lt;($H$11+1),-$B$152,0)</f>
        <v>0</v>
      </c>
      <c r="Q159" s="503"/>
      <c r="R159" s="503">
        <f>IF(R$20&lt;($H$11+1),-$B$152,0)</f>
        <v>0</v>
      </c>
      <c r="S159" s="503"/>
      <c r="T159" s="503">
        <f>IF(T$20&lt;($H$11+1),-$B$152,0)</f>
        <v>0</v>
      </c>
      <c r="U159" s="503"/>
      <c r="V159" s="503">
        <f>IF(V$20&lt;($H$11+1),-$B$152,0)</f>
        <v>0</v>
      </c>
      <c r="W159" s="503"/>
      <c r="X159" s="504">
        <f t="shared" si="76"/>
        <v>0</v>
      </c>
      <c r="Y159" s="501"/>
      <c r="Z159" s="480"/>
    </row>
    <row r="160" spans="2:26" ht="14" thickBot="1" x14ac:dyDescent="0.2">
      <c r="B160" s="478"/>
      <c r="C160" s="520" t="s">
        <v>273</v>
      </c>
      <c r="D160" s="522"/>
      <c r="E160" s="522">
        <f>IF((D$20)&gt;$H$11,0,IPMT($H$6,D146,$H$11,$B$151))</f>
        <v>0</v>
      </c>
      <c r="F160" s="522"/>
      <c r="G160" s="522">
        <f>IF((F$20)&gt;$H$11,0,IPMT($H$6,F146,$H$11,$B$151))</f>
        <v>0</v>
      </c>
      <c r="H160" s="522"/>
      <c r="I160" s="522">
        <f>IF((H$20)&gt;$H$11,0,IPMT($H$6,H146,$H$11,$B$151))</f>
        <v>0</v>
      </c>
      <c r="J160" s="522"/>
      <c r="K160" s="522">
        <f>IF((J$20)&gt;$H$11,0,IPMT($H$6,J146,$H$11,$B$151))</f>
        <v>0</v>
      </c>
      <c r="L160" s="522"/>
      <c r="M160" s="522">
        <f>IF((L$20)&gt;$H$11,0,IPMT($H$6,L146,$H$11,$B$151))</f>
        <v>0</v>
      </c>
      <c r="N160" s="522"/>
      <c r="O160" s="522">
        <f>IF((N$20)&gt;$H$11,0,IPMT($H$6,N146,$H$11,$B$151))</f>
        <v>0</v>
      </c>
      <c r="P160" s="522"/>
      <c r="Q160" s="522">
        <f>IF((P$20)&gt;$H$11,0,IPMT($H$6,P146,$H$11,$B$151))</f>
        <v>0</v>
      </c>
      <c r="R160" s="522"/>
      <c r="S160" s="522">
        <f>IF((R$20)&gt;$H$11,0,IPMT($H$6,R146,$H$11,$B$151))</f>
        <v>0</v>
      </c>
      <c r="T160" s="522"/>
      <c r="U160" s="522">
        <f>IF((T$20)&gt;$H$11,0,IPMT($H$6,T146,$H$11,$B$151))</f>
        <v>0</v>
      </c>
      <c r="V160" s="522"/>
      <c r="W160" s="522">
        <f>IF((V$20)&gt;$H$11,0,IPMT($H$6,V146,$H$11,$B$151))</f>
        <v>0</v>
      </c>
      <c r="X160" s="504">
        <f t="shared" si="76"/>
        <v>0</v>
      </c>
      <c r="Y160" s="548"/>
      <c r="Z160" s="482"/>
    </row>
    <row r="161" spans="2:26" ht="14" thickBot="1" x14ac:dyDescent="0.2">
      <c r="B161" s="8"/>
      <c r="C161" s="502" t="s">
        <v>664</v>
      </c>
      <c r="D161" s="558">
        <f>D146</f>
        <v>1</v>
      </c>
      <c r="E161" s="559">
        <f>F146</f>
        <v>2</v>
      </c>
      <c r="F161" s="559">
        <f>H146</f>
        <v>3</v>
      </c>
      <c r="G161" s="559">
        <f>J146</f>
        <v>4</v>
      </c>
      <c r="H161" s="559">
        <f>L146</f>
        <v>5</v>
      </c>
      <c r="I161" s="559">
        <f>N146</f>
        <v>6</v>
      </c>
      <c r="J161" s="559">
        <f>P146</f>
        <v>7</v>
      </c>
      <c r="K161" s="559">
        <f>R146</f>
        <v>8</v>
      </c>
      <c r="L161" s="559">
        <f>T146</f>
        <v>9</v>
      </c>
      <c r="M161" s="559">
        <f>V146</f>
        <v>10</v>
      </c>
      <c r="N161" s="560" t="str">
        <f>X146</f>
        <v>TOTAL</v>
      </c>
      <c r="O161" s="2"/>
      <c r="P161" s="2"/>
      <c r="Q161" s="2"/>
      <c r="R161" s="2"/>
      <c r="S161" s="2"/>
      <c r="T161" s="2"/>
      <c r="U161" s="2"/>
      <c r="V161" s="2"/>
      <c r="W161" s="2"/>
      <c r="X161" s="2"/>
      <c r="Y161" s="2"/>
    </row>
    <row r="162" spans="2:26" ht="14" thickBot="1" x14ac:dyDescent="0.2">
      <c r="B162" s="8"/>
      <c r="C162" s="502" t="s">
        <v>663</v>
      </c>
      <c r="D162" s="561">
        <f>D159</f>
        <v>0</v>
      </c>
      <c r="E162" s="2">
        <f>F159</f>
        <v>0</v>
      </c>
      <c r="F162" s="2">
        <f>H159</f>
        <v>0</v>
      </c>
      <c r="G162" s="2">
        <f>J159</f>
        <v>0</v>
      </c>
      <c r="H162" s="2">
        <f>L159</f>
        <v>0</v>
      </c>
      <c r="I162" s="2">
        <f>N159</f>
        <v>0</v>
      </c>
      <c r="J162" s="2">
        <f>P159</f>
        <v>0</v>
      </c>
      <c r="K162" s="2">
        <f>R159</f>
        <v>0</v>
      </c>
      <c r="L162" s="2">
        <f>T159</f>
        <v>0</v>
      </c>
      <c r="M162" s="2">
        <f>V159</f>
        <v>0</v>
      </c>
      <c r="N162" s="501">
        <f>X159</f>
        <v>0</v>
      </c>
      <c r="O162" s="2"/>
      <c r="P162" s="2"/>
      <c r="Q162" s="2"/>
      <c r="R162" s="2"/>
      <c r="S162" s="2"/>
      <c r="T162" s="2"/>
      <c r="U162" s="2"/>
      <c r="V162" s="2"/>
      <c r="W162" s="2"/>
      <c r="X162" s="2"/>
      <c r="Y162" s="2"/>
    </row>
    <row r="163" spans="2:26" ht="14" thickBot="1" x14ac:dyDescent="0.2">
      <c r="B163" s="8"/>
      <c r="C163" s="520" t="s">
        <v>273</v>
      </c>
      <c r="D163" s="562">
        <f>E160</f>
        <v>0</v>
      </c>
      <c r="E163" s="522">
        <f>G160</f>
        <v>0</v>
      </c>
      <c r="F163" s="522">
        <f>I160</f>
        <v>0</v>
      </c>
      <c r="G163" s="522">
        <f>K160</f>
        <v>0</v>
      </c>
      <c r="H163" s="522">
        <f>M160</f>
        <v>0</v>
      </c>
      <c r="I163" s="522">
        <f>O160</f>
        <v>0</v>
      </c>
      <c r="J163" s="522">
        <f>Q160</f>
        <v>0</v>
      </c>
      <c r="K163" s="522">
        <f>S160</f>
        <v>0</v>
      </c>
      <c r="L163" s="522">
        <f>U160</f>
        <v>0</v>
      </c>
      <c r="M163" s="522">
        <f>W160</f>
        <v>0</v>
      </c>
      <c r="N163" s="548">
        <f>X160</f>
        <v>0</v>
      </c>
      <c r="O163" s="2"/>
      <c r="P163" s="2"/>
      <c r="Q163" s="2"/>
      <c r="R163" s="2"/>
      <c r="S163" s="2"/>
      <c r="T163" s="2"/>
      <c r="U163" s="2"/>
      <c r="V163" s="2"/>
      <c r="W163" s="2"/>
      <c r="X163" s="2"/>
      <c r="Y163" s="2"/>
    </row>
    <row r="165" spans="2:26" ht="14" thickBot="1" x14ac:dyDescent="0.2"/>
    <row r="166" spans="2:26" ht="14" thickBot="1" x14ac:dyDescent="0.2">
      <c r="B166" s="495" t="s">
        <v>419</v>
      </c>
      <c r="C166" s="178"/>
      <c r="D166" s="483" t="s">
        <v>133</v>
      </c>
      <c r="E166" s="483"/>
      <c r="F166" s="483" t="s">
        <v>133</v>
      </c>
      <c r="G166" s="483"/>
      <c r="H166" s="483" t="s">
        <v>133</v>
      </c>
      <c r="I166" s="483"/>
      <c r="J166" s="483" t="s">
        <v>133</v>
      </c>
      <c r="K166" s="483"/>
      <c r="L166" s="483" t="s">
        <v>133</v>
      </c>
      <c r="M166" s="483"/>
      <c r="N166" s="483" t="s">
        <v>133</v>
      </c>
      <c r="O166" s="483"/>
      <c r="P166" s="483" t="s">
        <v>133</v>
      </c>
      <c r="Q166" s="483"/>
      <c r="R166" s="483" t="s">
        <v>133</v>
      </c>
      <c r="S166" s="483"/>
      <c r="T166" s="483" t="s">
        <v>133</v>
      </c>
      <c r="U166" s="483"/>
      <c r="V166" s="483" t="s">
        <v>133</v>
      </c>
      <c r="W166" s="483"/>
      <c r="X166" s="178"/>
      <c r="Y166" s="178"/>
      <c r="Z166" s="499" t="str">
        <f>B166</f>
        <v>+10%</v>
      </c>
    </row>
    <row r="167" spans="2:26" x14ac:dyDescent="0.15">
      <c r="B167" s="426"/>
      <c r="C167" s="4" t="s">
        <v>660</v>
      </c>
      <c r="D167" s="4">
        <v>1</v>
      </c>
      <c r="E167" s="4"/>
      <c r="F167" s="4">
        <f>D167+1</f>
        <v>2</v>
      </c>
      <c r="G167" s="4"/>
      <c r="H167" s="4">
        <f>F167+1</f>
        <v>3</v>
      </c>
      <c r="I167" s="4"/>
      <c r="J167" s="4">
        <f>H167+1</f>
        <v>4</v>
      </c>
      <c r="K167" s="4"/>
      <c r="L167" s="4">
        <f>J167+1</f>
        <v>5</v>
      </c>
      <c r="M167" s="4"/>
      <c r="N167" s="4">
        <f>L167+1</f>
        <v>6</v>
      </c>
      <c r="O167" s="4"/>
      <c r="P167" s="4">
        <f>N167+1</f>
        <v>7</v>
      </c>
      <c r="Q167" s="4"/>
      <c r="R167" s="4">
        <f>P167+1</f>
        <v>8</v>
      </c>
      <c r="S167" s="4"/>
      <c r="T167" s="4">
        <f>R167+1</f>
        <v>9</v>
      </c>
      <c r="U167" s="4"/>
      <c r="V167" s="4">
        <f>T167+1</f>
        <v>10</v>
      </c>
      <c r="W167" s="4"/>
      <c r="X167" s="4" t="s">
        <v>285</v>
      </c>
      <c r="Y167" s="4"/>
      <c r="Z167" s="480"/>
    </row>
    <row r="168" spans="2:26" x14ac:dyDescent="0.15">
      <c r="B168" s="202" t="s">
        <v>661</v>
      </c>
      <c r="C168" s="4">
        <v>1</v>
      </c>
      <c r="D168" s="2">
        <f t="shared" ref="D168:D179" si="77">IF(D$20&lt;($H$11+1),$B$172-((((D$20-1)*12)+$C168)*$B$173),0)</f>
        <v>0</v>
      </c>
      <c r="E168" s="2">
        <f>IF(D168&gt;0,-(D168+$B$173)*($H$6/'Loan Amortization'!$D$8),0)</f>
        <v>0</v>
      </c>
      <c r="F168" s="2">
        <f t="shared" ref="F168:F179" si="78">IF(F$20&lt;($H$11+1),$B$172-((((F$20-1)*12)+$C168)*$B$173),0)</f>
        <v>0</v>
      </c>
      <c r="G168" s="2">
        <f>IF(F168&gt;0,-(F168+$B$173)*($H$6/'Loan Amortization'!$D$8),0)</f>
        <v>0</v>
      </c>
      <c r="H168" s="2">
        <f t="shared" ref="H168:H179" si="79">IF(H$20&lt;($H$11+1),$B$172-((((H$20-1)*12)+$C168)*$B$173),0)</f>
        <v>0</v>
      </c>
      <c r="I168" s="2">
        <f>IF(H168&gt;0,-(H168+$B$173)*($H$6/'Loan Amortization'!$D$8),0)</f>
        <v>0</v>
      </c>
      <c r="J168" s="2">
        <f t="shared" ref="J168:J179" si="80">IF(J$20&lt;($H$11+1),$B$172-((((J$20-1)*12)+$C168)*$B$173),0)</f>
        <v>0</v>
      </c>
      <c r="K168" s="2">
        <f>IF(J168&gt;0,-(J168+$B$173)*($H$6/'Loan Amortization'!$D$8),0)</f>
        <v>0</v>
      </c>
      <c r="L168" s="2">
        <f t="shared" ref="L168:L179" si="81">IF(L$20&lt;($H$11+1),$B$172-((((L$20-1)*12)+$C168)*$B$173),0)</f>
        <v>0</v>
      </c>
      <c r="M168" s="2">
        <f>IF(L168&gt;0,-(L168+$B$173)*($H$6/'Loan Amortization'!$D$8),0)</f>
        <v>0</v>
      </c>
      <c r="N168" s="2">
        <f t="shared" ref="N168:N179" si="82">IF(N$20&lt;($H$11+1),$B$172-((((N$20-1)*12)+$C168)*$B$173),0)</f>
        <v>0</v>
      </c>
      <c r="O168" s="2">
        <f>IF(N168&gt;0,-(N168+$B$173)*($H$6/'Loan Amortization'!$D$8),0)</f>
        <v>0</v>
      </c>
      <c r="P168" s="2">
        <f t="shared" ref="P168:P179" si="83">IF(P$20&lt;($H$11+1),$B$172-((((P$20-1)*12)+$C168)*$B$173),0)</f>
        <v>0</v>
      </c>
      <c r="Q168" s="2">
        <f>IF(P168&gt;0,-(P168+$B$173)*($H$6/'Loan Amortization'!$D$8),0)</f>
        <v>0</v>
      </c>
      <c r="R168" s="2">
        <f t="shared" ref="R168:R179" si="84">IF(R$20&lt;($H$11+1),$B$172-((((R$20-1)*12)+$C168)*$B$173),0)</f>
        <v>0</v>
      </c>
      <c r="S168" s="2">
        <f>IF(R168&gt;0,-(R168+$B$173)*($H$6/'Loan Amortization'!$D$8),0)</f>
        <v>0</v>
      </c>
      <c r="T168" s="2">
        <f t="shared" ref="T168:T179" si="85">IF(T$20&lt;($H$11+1),$B$172-((((T$20-1)*12)+$C168)*$B$173),0)</f>
        <v>0</v>
      </c>
      <c r="U168" s="2">
        <f>IF(T168&gt;0,-(T168+$B$173)*($H$6/'Loan Amortization'!$D$8),0)</f>
        <v>0</v>
      </c>
      <c r="V168" s="2">
        <f t="shared" ref="V168:V179" si="86">IF(V$20&lt;($H$11+1),$B$172-((((V$20-1)*12)+$C168)*$B$173),0)</f>
        <v>0</v>
      </c>
      <c r="W168" s="2">
        <f>IF(V168&gt;0,-(V168+$B$173)*($H$6/'Loan Amortization'!$D$8),0)</f>
        <v>0</v>
      </c>
      <c r="X168" s="2">
        <f>SUM(C168:V168)</f>
        <v>1</v>
      </c>
      <c r="Y168" s="2"/>
      <c r="Z168" s="480"/>
    </row>
    <row r="169" spans="2:26" x14ac:dyDescent="0.15">
      <c r="B169" s="511">
        <f>-PMT($H$6/12,$H$11*12,C12)</f>
        <v>0</v>
      </c>
      <c r="C169" s="4">
        <v>2</v>
      </c>
      <c r="D169" s="2">
        <f t="shared" si="77"/>
        <v>0</v>
      </c>
      <c r="E169" s="2">
        <f>IF(D169&gt;0,-(D169+$B$173)*($H$6/'Loan Amortization'!$D$8),0)</f>
        <v>0</v>
      </c>
      <c r="F169" s="2">
        <f t="shared" si="78"/>
        <v>0</v>
      </c>
      <c r="G169" s="2">
        <f>IF(F169&gt;0,-(F169+$B$173)*($H$6/'Loan Amortization'!$D$8),0)</f>
        <v>0</v>
      </c>
      <c r="H169" s="2">
        <f t="shared" si="79"/>
        <v>0</v>
      </c>
      <c r="I169" s="2">
        <f>IF(H169&gt;0,-(H169+$B$173)*($H$6/'Loan Amortization'!$D$8),0)</f>
        <v>0</v>
      </c>
      <c r="J169" s="2">
        <f t="shared" si="80"/>
        <v>0</v>
      </c>
      <c r="K169" s="2">
        <f>IF(J169&gt;0,-(J169+$B$173)*($H$6/'Loan Amortization'!$D$8),0)</f>
        <v>0</v>
      </c>
      <c r="L169" s="2">
        <f t="shared" si="81"/>
        <v>0</v>
      </c>
      <c r="M169" s="2">
        <f>IF(L169&gt;0,-(L169+$B$173)*($H$6/'Loan Amortization'!$D$8),0)</f>
        <v>0</v>
      </c>
      <c r="N169" s="2">
        <f t="shared" si="82"/>
        <v>0</v>
      </c>
      <c r="O169" s="2">
        <f>IF(N169&gt;0,-(N169+$B$173)*($H$6/'Loan Amortization'!$D$8),0)</f>
        <v>0</v>
      </c>
      <c r="P169" s="2">
        <f t="shared" si="83"/>
        <v>0</v>
      </c>
      <c r="Q169" s="2">
        <f>IF(P169&gt;0,-(P169+$B$173)*($H$6/'Loan Amortization'!$D$8),0)</f>
        <v>0</v>
      </c>
      <c r="R169" s="2">
        <f t="shared" si="84"/>
        <v>0</v>
      </c>
      <c r="S169" s="2">
        <f>IF(R169&gt;0,-(R169+$B$173)*($H$6/'Loan Amortization'!$D$8),0)</f>
        <v>0</v>
      </c>
      <c r="T169" s="2">
        <f t="shared" si="85"/>
        <v>0</v>
      </c>
      <c r="U169" s="2">
        <f>IF(T169&gt;0,-(T169+$B$173)*($H$6/'Loan Amortization'!$D$8),0)</f>
        <v>0</v>
      </c>
      <c r="V169" s="2">
        <f t="shared" si="86"/>
        <v>0</v>
      </c>
      <c r="W169" s="2">
        <f>IF(V169&gt;0,-(V169+$B$173)*($H$6/'Loan Amortization'!$D$8),0)</f>
        <v>0</v>
      </c>
      <c r="X169" s="2">
        <f t="shared" ref="X169:X181" si="87">SUM(C169:V169)</f>
        <v>2</v>
      </c>
      <c r="Y169" s="2"/>
      <c r="Z169" s="480"/>
    </row>
    <row r="170" spans="2:26" x14ac:dyDescent="0.15">
      <c r="B170" s="540">
        <f>B169*12</f>
        <v>0</v>
      </c>
      <c r="C170" s="4">
        <v>3</v>
      </c>
      <c r="D170" s="2">
        <f t="shared" si="77"/>
        <v>0</v>
      </c>
      <c r="E170" s="2">
        <f>IF(D170&gt;0,-(D170+$B$173)*($H$6/'Loan Amortization'!$D$8),0)</f>
        <v>0</v>
      </c>
      <c r="F170" s="2">
        <f t="shared" si="78"/>
        <v>0</v>
      </c>
      <c r="G170" s="2">
        <f>IF(F170&gt;0,-(F170+$B$173)*($H$6/'Loan Amortization'!$D$8),0)</f>
        <v>0</v>
      </c>
      <c r="H170" s="2">
        <f t="shared" si="79"/>
        <v>0</v>
      </c>
      <c r="I170" s="2">
        <f>IF(H170&gt;0,-(H170+$B$173)*($H$6/'Loan Amortization'!$D$8),0)</f>
        <v>0</v>
      </c>
      <c r="J170" s="2">
        <f t="shared" si="80"/>
        <v>0</v>
      </c>
      <c r="K170" s="2">
        <f>IF(J170&gt;0,-(J170+$B$173)*($H$6/'Loan Amortization'!$D$8),0)</f>
        <v>0</v>
      </c>
      <c r="L170" s="2">
        <f t="shared" si="81"/>
        <v>0</v>
      </c>
      <c r="M170" s="2">
        <f>IF(L170&gt;0,-(L170+$B$173)*($H$6/'Loan Amortization'!$D$8),0)</f>
        <v>0</v>
      </c>
      <c r="N170" s="2">
        <f t="shared" si="82"/>
        <v>0</v>
      </c>
      <c r="O170" s="2">
        <f>IF(N170&gt;0,-(N170+$B$173)*($H$6/'Loan Amortization'!$D$8),0)</f>
        <v>0</v>
      </c>
      <c r="P170" s="2">
        <f t="shared" si="83"/>
        <v>0</v>
      </c>
      <c r="Q170" s="2">
        <f>IF(P170&gt;0,-(P170+$B$173)*($H$6/'Loan Amortization'!$D$8),0)</f>
        <v>0</v>
      </c>
      <c r="R170" s="2">
        <f t="shared" si="84"/>
        <v>0</v>
      </c>
      <c r="S170" s="2">
        <f>IF(R170&gt;0,-(R170+$B$173)*($H$6/'Loan Amortization'!$D$8),0)</f>
        <v>0</v>
      </c>
      <c r="T170" s="2">
        <f t="shared" si="85"/>
        <v>0</v>
      </c>
      <c r="U170" s="2">
        <f>IF(T170&gt;0,-(T170+$B$173)*($H$6/'Loan Amortization'!$D$8),0)</f>
        <v>0</v>
      </c>
      <c r="V170" s="2">
        <f t="shared" si="86"/>
        <v>0</v>
      </c>
      <c r="W170" s="2">
        <f>IF(V170&gt;0,-(V170+$B$173)*($H$6/'Loan Amortization'!$D$8),0)</f>
        <v>0</v>
      </c>
      <c r="X170" s="2">
        <f t="shared" si="87"/>
        <v>3</v>
      </c>
      <c r="Y170" s="2"/>
      <c r="Z170" s="480"/>
    </row>
    <row r="171" spans="2:26" x14ac:dyDescent="0.15">
      <c r="B171" s="202" t="s">
        <v>662</v>
      </c>
      <c r="C171" s="4">
        <v>4</v>
      </c>
      <c r="D171" s="2">
        <f t="shared" si="77"/>
        <v>0</v>
      </c>
      <c r="E171" s="2">
        <f>IF(D171&gt;0,-(D171+$B$173)*($H$6/'Loan Amortization'!$D$8),0)</f>
        <v>0</v>
      </c>
      <c r="F171" s="2">
        <f t="shared" si="78"/>
        <v>0</v>
      </c>
      <c r="G171" s="2">
        <f>IF(F171&gt;0,-(F171+$B$173)*($H$6/'Loan Amortization'!$D$8),0)</f>
        <v>0</v>
      </c>
      <c r="H171" s="2">
        <f t="shared" si="79"/>
        <v>0</v>
      </c>
      <c r="I171" s="2">
        <f>IF(H171&gt;0,-(H171+$B$173)*($H$6/'Loan Amortization'!$D$8),0)</f>
        <v>0</v>
      </c>
      <c r="J171" s="2">
        <f t="shared" si="80"/>
        <v>0</v>
      </c>
      <c r="K171" s="2">
        <f>IF(J171&gt;0,-(J171+$B$173)*($H$6/'Loan Amortization'!$D$8),0)</f>
        <v>0</v>
      </c>
      <c r="L171" s="2">
        <f t="shared" si="81"/>
        <v>0</v>
      </c>
      <c r="M171" s="2">
        <f>IF(L171&gt;0,-(L171+$B$173)*($H$6/'Loan Amortization'!$D$8),0)</f>
        <v>0</v>
      </c>
      <c r="N171" s="2">
        <f t="shared" si="82"/>
        <v>0</v>
      </c>
      <c r="O171" s="2">
        <f>IF(N171&gt;0,-(N171+$B$173)*($H$6/'Loan Amortization'!$D$8),0)</f>
        <v>0</v>
      </c>
      <c r="P171" s="2">
        <f t="shared" si="83"/>
        <v>0</v>
      </c>
      <c r="Q171" s="2">
        <f>IF(P171&gt;0,-(P171+$B$173)*($H$6/'Loan Amortization'!$D$8),0)</f>
        <v>0</v>
      </c>
      <c r="R171" s="2">
        <f t="shared" si="84"/>
        <v>0</v>
      </c>
      <c r="S171" s="2">
        <f>IF(R171&gt;0,-(R171+$B$173)*($H$6/'Loan Amortization'!$D$8),0)</f>
        <v>0</v>
      </c>
      <c r="T171" s="2">
        <f t="shared" si="85"/>
        <v>0</v>
      </c>
      <c r="U171" s="2">
        <f>IF(T171&gt;0,-(T171+$B$173)*($H$6/'Loan Amortization'!$D$8),0)</f>
        <v>0</v>
      </c>
      <c r="V171" s="2">
        <f t="shared" si="86"/>
        <v>0</v>
      </c>
      <c r="W171" s="2">
        <f>IF(V171&gt;0,-(V171+$B$173)*($H$6/'Loan Amortization'!$D$8),0)</f>
        <v>0</v>
      </c>
      <c r="X171" s="2">
        <f t="shared" si="87"/>
        <v>4</v>
      </c>
      <c r="Y171" s="2"/>
      <c r="Z171" s="480"/>
    </row>
    <row r="172" spans="2:26" x14ac:dyDescent="0.15">
      <c r="B172" s="521">
        <f>C12</f>
        <v>0</v>
      </c>
      <c r="C172" s="4">
        <v>5</v>
      </c>
      <c r="D172" s="2">
        <f t="shared" si="77"/>
        <v>0</v>
      </c>
      <c r="E172" s="2">
        <f>IF(D172&gt;0,-(D172+$B$173)*($H$6/'Loan Amortization'!$D$8),0)</f>
        <v>0</v>
      </c>
      <c r="F172" s="2">
        <f t="shared" si="78"/>
        <v>0</v>
      </c>
      <c r="G172" s="2">
        <f>IF(F172&gt;0,-(F172+$B$173)*($H$6/'Loan Amortization'!$D$8),0)</f>
        <v>0</v>
      </c>
      <c r="H172" s="2">
        <f t="shared" si="79"/>
        <v>0</v>
      </c>
      <c r="I172" s="2">
        <f>IF(H172&gt;0,-(H172+$B$173)*($H$6/'Loan Amortization'!$D$8),0)</f>
        <v>0</v>
      </c>
      <c r="J172" s="2">
        <f t="shared" si="80"/>
        <v>0</v>
      </c>
      <c r="K172" s="2">
        <f>IF(J172&gt;0,-(J172+$B$173)*($H$6/'Loan Amortization'!$D$8),0)</f>
        <v>0</v>
      </c>
      <c r="L172" s="2">
        <f t="shared" si="81"/>
        <v>0</v>
      </c>
      <c r="M172" s="2">
        <f>IF(L172&gt;0,-(L172+$B$173)*($H$6/'Loan Amortization'!$D$8),0)</f>
        <v>0</v>
      </c>
      <c r="N172" s="2">
        <f t="shared" si="82"/>
        <v>0</v>
      </c>
      <c r="O172" s="2">
        <f>IF(N172&gt;0,-(N172+$B$173)*($H$6/'Loan Amortization'!$D$8),0)</f>
        <v>0</v>
      </c>
      <c r="P172" s="2">
        <f t="shared" si="83"/>
        <v>0</v>
      </c>
      <c r="Q172" s="2">
        <f>IF(P172&gt;0,-(P172+$B$173)*($H$6/'Loan Amortization'!$D$8),0)</f>
        <v>0</v>
      </c>
      <c r="R172" s="2">
        <f t="shared" si="84"/>
        <v>0</v>
      </c>
      <c r="S172" s="2">
        <f>IF(R172&gt;0,-(R172+$B$173)*($H$6/'Loan Amortization'!$D$8),0)</f>
        <v>0</v>
      </c>
      <c r="T172" s="2">
        <f t="shared" si="85"/>
        <v>0</v>
      </c>
      <c r="U172" s="2">
        <f>IF(T172&gt;0,-(T172+$B$173)*($H$6/'Loan Amortization'!$D$8),0)</f>
        <v>0</v>
      </c>
      <c r="V172" s="2">
        <f t="shared" si="86"/>
        <v>0</v>
      </c>
      <c r="W172" s="2">
        <f>IF(V172&gt;0,-(V172+$B$173)*($H$6/'Loan Amortization'!$D$8),0)</f>
        <v>0</v>
      </c>
      <c r="X172" s="2">
        <f t="shared" si="87"/>
        <v>5</v>
      </c>
      <c r="Y172" s="2"/>
      <c r="Z172" s="480"/>
    </row>
    <row r="173" spans="2:26" x14ac:dyDescent="0.15">
      <c r="B173" s="521">
        <f>B172/($H$11)</f>
        <v>0</v>
      </c>
      <c r="C173" s="4">
        <v>6</v>
      </c>
      <c r="D173" s="2">
        <f t="shared" si="77"/>
        <v>0</v>
      </c>
      <c r="E173" s="2">
        <f>IF(D173&gt;0,-(D173+$B$173)*($H$6/'Loan Amortization'!$D$8),0)</f>
        <v>0</v>
      </c>
      <c r="F173" s="2">
        <f t="shared" si="78"/>
        <v>0</v>
      </c>
      <c r="G173" s="2">
        <f>IF(F173&gt;0,-(F173+$B$173)*($H$6/'Loan Amortization'!$D$8),0)</f>
        <v>0</v>
      </c>
      <c r="H173" s="2">
        <f t="shared" si="79"/>
        <v>0</v>
      </c>
      <c r="I173" s="2">
        <f>IF(H173&gt;0,-(H173+$B$173)*($H$6/'Loan Amortization'!$D$8),0)</f>
        <v>0</v>
      </c>
      <c r="J173" s="2">
        <f t="shared" si="80"/>
        <v>0</v>
      </c>
      <c r="K173" s="2">
        <f>IF(J173&gt;0,-(J173+$B$173)*($H$6/'Loan Amortization'!$D$8),0)</f>
        <v>0</v>
      </c>
      <c r="L173" s="2">
        <f t="shared" si="81"/>
        <v>0</v>
      </c>
      <c r="M173" s="2">
        <f>IF(L173&gt;0,-(L173+$B$173)*($H$6/'Loan Amortization'!$D$8),0)</f>
        <v>0</v>
      </c>
      <c r="N173" s="2">
        <f t="shared" si="82"/>
        <v>0</v>
      </c>
      <c r="O173" s="2">
        <f>IF(N173&gt;0,-(N173+$B$173)*($H$6/'Loan Amortization'!$D$8),0)</f>
        <v>0</v>
      </c>
      <c r="P173" s="2">
        <f t="shared" si="83"/>
        <v>0</v>
      </c>
      <c r="Q173" s="2">
        <f>IF(P173&gt;0,-(P173+$B$173)*($H$6/'Loan Amortization'!$D$8),0)</f>
        <v>0</v>
      </c>
      <c r="R173" s="2">
        <f t="shared" si="84"/>
        <v>0</v>
      </c>
      <c r="S173" s="2">
        <f>IF(R173&gt;0,-(R173+$B$173)*($H$6/'Loan Amortization'!$D$8),0)</f>
        <v>0</v>
      </c>
      <c r="T173" s="2">
        <f t="shared" si="85"/>
        <v>0</v>
      </c>
      <c r="U173" s="2">
        <f>IF(T173&gt;0,-(T173+$B$173)*($H$6/'Loan Amortization'!$D$8),0)</f>
        <v>0</v>
      </c>
      <c r="V173" s="2">
        <f t="shared" si="86"/>
        <v>0</v>
      </c>
      <c r="W173" s="2">
        <f>IF(V173&gt;0,-(V173+$B$173)*($H$6/'Loan Amortization'!$D$8),0)</f>
        <v>0</v>
      </c>
      <c r="X173" s="2">
        <f t="shared" si="87"/>
        <v>6</v>
      </c>
      <c r="Y173" s="2"/>
      <c r="Z173" s="480"/>
    </row>
    <row r="174" spans="2:26" x14ac:dyDescent="0.15">
      <c r="B174" s="202"/>
      <c r="C174" s="4">
        <v>7</v>
      </c>
      <c r="D174" s="2">
        <f t="shared" si="77"/>
        <v>0</v>
      </c>
      <c r="E174" s="2">
        <f>IF(D174&gt;0,-(D174+$B$173)*($H$6/'Loan Amortization'!$D$8),0)</f>
        <v>0</v>
      </c>
      <c r="F174" s="2">
        <f t="shared" si="78"/>
        <v>0</v>
      </c>
      <c r="G174" s="2">
        <f>IF(F174&gt;0,-(F174+$B$173)*($H$6/'Loan Amortization'!$D$8),0)</f>
        <v>0</v>
      </c>
      <c r="H174" s="2">
        <f t="shared" si="79"/>
        <v>0</v>
      </c>
      <c r="I174" s="2">
        <f>IF(H174&gt;0,-(H174+$B$173)*($H$6/'Loan Amortization'!$D$8),0)</f>
        <v>0</v>
      </c>
      <c r="J174" s="2">
        <f t="shared" si="80"/>
        <v>0</v>
      </c>
      <c r="K174" s="2">
        <f>IF(J174&gt;0,-(J174+$B$173)*($H$6/'Loan Amortization'!$D$8),0)</f>
        <v>0</v>
      </c>
      <c r="L174" s="2">
        <f t="shared" si="81"/>
        <v>0</v>
      </c>
      <c r="M174" s="2">
        <f>IF(L174&gt;0,-(L174+$B$173)*($H$6/'Loan Amortization'!$D$8),0)</f>
        <v>0</v>
      </c>
      <c r="N174" s="2">
        <f t="shared" si="82"/>
        <v>0</v>
      </c>
      <c r="O174" s="2">
        <f>IF(N174&gt;0,-(N174+$B$173)*($H$6/'Loan Amortization'!$D$8),0)</f>
        <v>0</v>
      </c>
      <c r="P174" s="2">
        <f t="shared" si="83"/>
        <v>0</v>
      </c>
      <c r="Q174" s="2">
        <f>IF(P174&gt;0,-(P174+$B$173)*($H$6/'Loan Amortization'!$D$8),0)</f>
        <v>0</v>
      </c>
      <c r="R174" s="2">
        <f t="shared" si="84"/>
        <v>0</v>
      </c>
      <c r="S174" s="2">
        <f>IF(R174&gt;0,-(R174+$B$173)*($H$6/'Loan Amortization'!$D$8),0)</f>
        <v>0</v>
      </c>
      <c r="T174" s="2">
        <f t="shared" si="85"/>
        <v>0</v>
      </c>
      <c r="U174" s="2">
        <f>IF(T174&gt;0,-(T174+$B$173)*($H$6/'Loan Amortization'!$D$8),0)</f>
        <v>0</v>
      </c>
      <c r="V174" s="2">
        <f t="shared" si="86"/>
        <v>0</v>
      </c>
      <c r="W174" s="2">
        <f>IF(V174&gt;0,-(V174+$B$173)*($H$6/'Loan Amortization'!$D$8),0)</f>
        <v>0</v>
      </c>
      <c r="X174" s="2">
        <f t="shared" si="87"/>
        <v>7</v>
      </c>
      <c r="Y174" s="2"/>
      <c r="Z174" s="480"/>
    </row>
    <row r="175" spans="2:26" x14ac:dyDescent="0.15">
      <c r="B175" s="202"/>
      <c r="C175" s="4">
        <v>8</v>
      </c>
      <c r="D175" s="2">
        <f t="shared" si="77"/>
        <v>0</v>
      </c>
      <c r="E175" s="2">
        <f>IF(D175&gt;0,-(D175+$B$173)*($H$6/'Loan Amortization'!$D$8),0)</f>
        <v>0</v>
      </c>
      <c r="F175" s="2">
        <f t="shared" si="78"/>
        <v>0</v>
      </c>
      <c r="G175" s="2">
        <f>IF(F175&gt;0,-(F175+$B$173)*($H$6/'Loan Amortization'!$D$8),0)</f>
        <v>0</v>
      </c>
      <c r="H175" s="2">
        <f t="shared" si="79"/>
        <v>0</v>
      </c>
      <c r="I175" s="2">
        <f>IF(H175&gt;0,-(H175+$B$173)*($H$6/'Loan Amortization'!$D$8),0)</f>
        <v>0</v>
      </c>
      <c r="J175" s="2">
        <f t="shared" si="80"/>
        <v>0</v>
      </c>
      <c r="K175" s="2">
        <f>IF(J175&gt;0,-(J175+$B$173)*($H$6/'Loan Amortization'!$D$8),0)</f>
        <v>0</v>
      </c>
      <c r="L175" s="2">
        <f t="shared" si="81"/>
        <v>0</v>
      </c>
      <c r="M175" s="2">
        <f>IF(L175&gt;0,-(L175+$B$173)*($H$6/'Loan Amortization'!$D$8),0)</f>
        <v>0</v>
      </c>
      <c r="N175" s="2">
        <f t="shared" si="82"/>
        <v>0</v>
      </c>
      <c r="O175" s="2">
        <f>IF(N175&gt;0,-(N175+$B$173)*($H$6/'Loan Amortization'!$D$8),0)</f>
        <v>0</v>
      </c>
      <c r="P175" s="2">
        <f t="shared" si="83"/>
        <v>0</v>
      </c>
      <c r="Q175" s="2">
        <f>IF(P175&gt;0,-(P175+$B$173)*($H$6/'Loan Amortization'!$D$8),0)</f>
        <v>0</v>
      </c>
      <c r="R175" s="2">
        <f t="shared" si="84"/>
        <v>0</v>
      </c>
      <c r="S175" s="2">
        <f>IF(R175&gt;0,-(R175+$B$173)*($H$6/'Loan Amortization'!$D$8),0)</f>
        <v>0</v>
      </c>
      <c r="T175" s="2">
        <f t="shared" si="85"/>
        <v>0</v>
      </c>
      <c r="U175" s="2">
        <f>IF(T175&gt;0,-(T175+$B$173)*($H$6/'Loan Amortization'!$D$8),0)</f>
        <v>0</v>
      </c>
      <c r="V175" s="2">
        <f t="shared" si="86"/>
        <v>0</v>
      </c>
      <c r="W175" s="2">
        <f>IF(V175&gt;0,-(V175+$B$173)*($H$6/'Loan Amortization'!$D$8),0)</f>
        <v>0</v>
      </c>
      <c r="X175" s="2">
        <f t="shared" si="87"/>
        <v>8</v>
      </c>
      <c r="Y175" s="2"/>
      <c r="Z175" s="480"/>
    </row>
    <row r="176" spans="2:26" x14ac:dyDescent="0.15">
      <c r="B176" s="202"/>
      <c r="C176" s="4">
        <v>9</v>
      </c>
      <c r="D176" s="2">
        <f t="shared" si="77"/>
        <v>0</v>
      </c>
      <c r="E176" s="2">
        <f>IF(D176&gt;0,-(D176+$B$173)*($H$6/'Loan Amortization'!$D$8),0)</f>
        <v>0</v>
      </c>
      <c r="F176" s="2">
        <f t="shared" si="78"/>
        <v>0</v>
      </c>
      <c r="G176" s="2">
        <f>IF(F176&gt;0,-(F176+$B$173)*($H$6/'Loan Amortization'!$D$8),0)</f>
        <v>0</v>
      </c>
      <c r="H176" s="2">
        <f t="shared" si="79"/>
        <v>0</v>
      </c>
      <c r="I176" s="2">
        <f>IF(H176&gt;0,-(H176+$B$173)*($H$6/'Loan Amortization'!$D$8),0)</f>
        <v>0</v>
      </c>
      <c r="J176" s="2">
        <f t="shared" si="80"/>
        <v>0</v>
      </c>
      <c r="K176" s="2">
        <f>IF(J176&gt;0,-(J176+$B$173)*($H$6/'Loan Amortization'!$D$8),0)</f>
        <v>0</v>
      </c>
      <c r="L176" s="2">
        <f t="shared" si="81"/>
        <v>0</v>
      </c>
      <c r="M176" s="2">
        <f>IF(L176&gt;0,-(L176+$B$173)*($H$6/'Loan Amortization'!$D$8),0)</f>
        <v>0</v>
      </c>
      <c r="N176" s="2">
        <f t="shared" si="82"/>
        <v>0</v>
      </c>
      <c r="O176" s="2">
        <f>IF(N176&gt;0,-(N176+$B$173)*($H$6/'Loan Amortization'!$D$8),0)</f>
        <v>0</v>
      </c>
      <c r="P176" s="2">
        <f t="shared" si="83"/>
        <v>0</v>
      </c>
      <c r="Q176" s="2">
        <f>IF(P176&gt;0,-(P176+$B$173)*($H$6/'Loan Amortization'!$D$8),0)</f>
        <v>0</v>
      </c>
      <c r="R176" s="2">
        <f t="shared" si="84"/>
        <v>0</v>
      </c>
      <c r="S176" s="2">
        <f>IF(R176&gt;0,-(R176+$B$173)*($H$6/'Loan Amortization'!$D$8),0)</f>
        <v>0</v>
      </c>
      <c r="T176" s="2">
        <f t="shared" si="85"/>
        <v>0</v>
      </c>
      <c r="U176" s="2">
        <f>IF(T176&gt;0,-(T176+$B$173)*($H$6/'Loan Amortization'!$D$8),0)</f>
        <v>0</v>
      </c>
      <c r="V176" s="2">
        <f t="shared" si="86"/>
        <v>0</v>
      </c>
      <c r="W176" s="2">
        <f>IF(V176&gt;0,-(V176+$B$173)*($H$6/'Loan Amortization'!$D$8),0)</f>
        <v>0</v>
      </c>
      <c r="X176" s="2">
        <f t="shared" si="87"/>
        <v>9</v>
      </c>
      <c r="Y176" s="2"/>
      <c r="Z176" s="480"/>
    </row>
    <row r="177" spans="2:26" x14ac:dyDescent="0.15">
      <c r="B177" s="202"/>
      <c r="C177" s="4">
        <v>10</v>
      </c>
      <c r="D177" s="2">
        <f t="shared" si="77"/>
        <v>0</v>
      </c>
      <c r="E177" s="2">
        <f>IF(D177&gt;0,-(D177+$B$173)*($H$6/'Loan Amortization'!$D$8),0)</f>
        <v>0</v>
      </c>
      <c r="F177" s="2">
        <f t="shared" si="78"/>
        <v>0</v>
      </c>
      <c r="G177" s="2">
        <f>IF(F177&gt;0,-(F177+$B$173)*($H$6/'Loan Amortization'!$D$8),0)</f>
        <v>0</v>
      </c>
      <c r="H177" s="2">
        <f t="shared" si="79"/>
        <v>0</v>
      </c>
      <c r="I177" s="2">
        <f>IF(H177&gt;0,-(H177+$B$173)*($H$6/'Loan Amortization'!$D$8),0)</f>
        <v>0</v>
      </c>
      <c r="J177" s="2">
        <f t="shared" si="80"/>
        <v>0</v>
      </c>
      <c r="K177" s="2">
        <f>IF(J177&gt;0,-(J177+$B$173)*($H$6/'Loan Amortization'!$D$8),0)</f>
        <v>0</v>
      </c>
      <c r="L177" s="2">
        <f t="shared" si="81"/>
        <v>0</v>
      </c>
      <c r="M177" s="2">
        <f>IF(L177&gt;0,-(L177+$B$173)*($H$6/'Loan Amortization'!$D$8),0)</f>
        <v>0</v>
      </c>
      <c r="N177" s="2">
        <f t="shared" si="82"/>
        <v>0</v>
      </c>
      <c r="O177" s="2">
        <f>IF(N177&gt;0,-(N177+$B$173)*($H$6/'Loan Amortization'!$D$8),0)</f>
        <v>0</v>
      </c>
      <c r="P177" s="2">
        <f t="shared" si="83"/>
        <v>0</v>
      </c>
      <c r="Q177" s="2">
        <f>IF(P177&gt;0,-(P177+$B$173)*($H$6/'Loan Amortization'!$D$8),0)</f>
        <v>0</v>
      </c>
      <c r="R177" s="2">
        <f t="shared" si="84"/>
        <v>0</v>
      </c>
      <c r="S177" s="2">
        <f>IF(R177&gt;0,-(R177+$B$173)*($H$6/'Loan Amortization'!$D$8),0)</f>
        <v>0</v>
      </c>
      <c r="T177" s="2">
        <f t="shared" si="85"/>
        <v>0</v>
      </c>
      <c r="U177" s="2">
        <f>IF(T177&gt;0,-(T177+$B$173)*($H$6/'Loan Amortization'!$D$8),0)</f>
        <v>0</v>
      </c>
      <c r="V177" s="2">
        <f t="shared" si="86"/>
        <v>0</v>
      </c>
      <c r="W177" s="2">
        <f>IF(V177&gt;0,-(V177+$B$173)*($H$6/'Loan Amortization'!$D$8),0)</f>
        <v>0</v>
      </c>
      <c r="X177" s="2">
        <f t="shared" si="87"/>
        <v>10</v>
      </c>
      <c r="Y177" s="2"/>
      <c r="Z177" s="480"/>
    </row>
    <row r="178" spans="2:26" x14ac:dyDescent="0.15">
      <c r="B178" s="202"/>
      <c r="C178" s="4">
        <v>11</v>
      </c>
      <c r="D178" s="2">
        <f t="shared" si="77"/>
        <v>0</v>
      </c>
      <c r="E178" s="2">
        <f>IF(D178&gt;0,-(D178+$B$173)*($H$6/'Loan Amortization'!$D$8),0)</f>
        <v>0</v>
      </c>
      <c r="F178" s="2">
        <f t="shared" si="78"/>
        <v>0</v>
      </c>
      <c r="G178" s="2">
        <f>IF(F178&gt;0,-(F178+$B$173)*($H$6/'Loan Amortization'!$D$8),0)</f>
        <v>0</v>
      </c>
      <c r="H178" s="2">
        <f t="shared" si="79"/>
        <v>0</v>
      </c>
      <c r="I178" s="2">
        <f>IF(H178&gt;0,-(H178+$B$173)*($H$6/'Loan Amortization'!$D$8),0)</f>
        <v>0</v>
      </c>
      <c r="J178" s="2">
        <f t="shared" si="80"/>
        <v>0</v>
      </c>
      <c r="K178" s="2">
        <f>IF(J178&gt;0,-(J178+$B$173)*($H$6/'Loan Amortization'!$D$8),0)</f>
        <v>0</v>
      </c>
      <c r="L178" s="2">
        <f t="shared" si="81"/>
        <v>0</v>
      </c>
      <c r="M178" s="2">
        <f>IF(L178&gt;0,-(L178+$B$173)*($H$6/'Loan Amortization'!$D$8),0)</f>
        <v>0</v>
      </c>
      <c r="N178" s="2">
        <f t="shared" si="82"/>
        <v>0</v>
      </c>
      <c r="O178" s="2">
        <f>IF(N178&gt;0,-(N178+$B$173)*($H$6/'Loan Amortization'!$D$8),0)</f>
        <v>0</v>
      </c>
      <c r="P178" s="2">
        <f t="shared" si="83"/>
        <v>0</v>
      </c>
      <c r="Q178" s="2">
        <f>IF(P178&gt;0,-(P178+$B$173)*($H$6/'Loan Amortization'!$D$8),0)</f>
        <v>0</v>
      </c>
      <c r="R178" s="2">
        <f t="shared" si="84"/>
        <v>0</v>
      </c>
      <c r="S178" s="2">
        <f>IF(R178&gt;0,-(R178+$B$173)*($H$6/'Loan Amortization'!$D$8),0)</f>
        <v>0</v>
      </c>
      <c r="T178" s="2">
        <f t="shared" si="85"/>
        <v>0</v>
      </c>
      <c r="U178" s="2">
        <f>IF(T178&gt;0,-(T178+$B$173)*($H$6/'Loan Amortization'!$D$8),0)</f>
        <v>0</v>
      </c>
      <c r="V178" s="2">
        <f t="shared" si="86"/>
        <v>0</v>
      </c>
      <c r="W178" s="2">
        <f>IF(V178&gt;0,-(V178+$B$173)*($H$6/'Loan Amortization'!$D$8),0)</f>
        <v>0</v>
      </c>
      <c r="X178" s="2">
        <f t="shared" si="87"/>
        <v>11</v>
      </c>
      <c r="Y178" s="2"/>
      <c r="Z178" s="480"/>
    </row>
    <row r="179" spans="2:26" ht="14" thickBot="1" x14ac:dyDescent="0.2">
      <c r="B179" s="202"/>
      <c r="C179" s="4">
        <v>12</v>
      </c>
      <c r="D179" s="2">
        <f t="shared" si="77"/>
        <v>0</v>
      </c>
      <c r="E179" s="2">
        <f>IF(D179&gt;0,-(D179+$B$173)*($H$6/'Loan Amortization'!$D$8),0)</f>
        <v>0</v>
      </c>
      <c r="F179" s="2">
        <f t="shared" si="78"/>
        <v>0</v>
      </c>
      <c r="G179" s="2">
        <f>IF(F179&gt;0,-(F179+$B$173)*($H$6/'Loan Amortization'!$D$8),0)</f>
        <v>0</v>
      </c>
      <c r="H179" s="2">
        <f t="shared" si="79"/>
        <v>0</v>
      </c>
      <c r="I179" s="2">
        <f>IF(H179&gt;0,-(H179+$B$173)*($H$6/'Loan Amortization'!$D$8),0)</f>
        <v>0</v>
      </c>
      <c r="J179" s="2">
        <f t="shared" si="80"/>
        <v>0</v>
      </c>
      <c r="K179" s="2">
        <f>IF(J179&gt;0,-(J179+$B$173)*($H$6/'Loan Amortization'!$D$8),0)</f>
        <v>0</v>
      </c>
      <c r="L179" s="2">
        <f t="shared" si="81"/>
        <v>0</v>
      </c>
      <c r="M179" s="2">
        <f>IF(L179&gt;0,-(L179+$B$173)*($H$6/'Loan Amortization'!$D$8),0)</f>
        <v>0</v>
      </c>
      <c r="N179" s="2">
        <f t="shared" si="82"/>
        <v>0</v>
      </c>
      <c r="O179" s="2">
        <f>IF(N179&gt;0,-(N179+$B$173)*($H$6/'Loan Amortization'!$D$8),0)</f>
        <v>0</v>
      </c>
      <c r="P179" s="2">
        <f t="shared" si="83"/>
        <v>0</v>
      </c>
      <c r="Q179" s="2">
        <f>IF(P179&gt;0,-(P179+$B$173)*($H$6/'Loan Amortization'!$D$8),0)</f>
        <v>0</v>
      </c>
      <c r="R179" s="2">
        <f t="shared" si="84"/>
        <v>0</v>
      </c>
      <c r="S179" s="2">
        <f>IF(R179&gt;0,-(R179+$B$173)*($H$6/'Loan Amortization'!$D$8),0)</f>
        <v>0</v>
      </c>
      <c r="T179" s="2">
        <f t="shared" si="85"/>
        <v>0</v>
      </c>
      <c r="U179" s="2">
        <f>IF(T179&gt;0,-(T179+$B$173)*($H$6/'Loan Amortization'!$D$8),0)</f>
        <v>0</v>
      </c>
      <c r="V179" s="2">
        <f t="shared" si="86"/>
        <v>0</v>
      </c>
      <c r="W179" s="2">
        <f>IF(V179&gt;0,-(V179+$B$173)*($H$6/'Loan Amortization'!$D$8),0)</f>
        <v>0</v>
      </c>
      <c r="X179" s="2">
        <f t="shared" si="87"/>
        <v>12</v>
      </c>
      <c r="Y179" s="2"/>
      <c r="Z179" s="480"/>
    </row>
    <row r="180" spans="2:26" ht="14" thickBot="1" x14ac:dyDescent="0.2">
      <c r="B180" s="541" t="s">
        <v>45</v>
      </c>
      <c r="C180" s="502" t="s">
        <v>663</v>
      </c>
      <c r="D180" s="503">
        <f>IF(D$20&lt;($H$11+1),-$B$173,0)</f>
        <v>0</v>
      </c>
      <c r="E180" s="503"/>
      <c r="F180" s="503">
        <f>IF(F$20&lt;($H$11+1),-$B$173,0)</f>
        <v>0</v>
      </c>
      <c r="G180" s="503"/>
      <c r="H180" s="503">
        <f>IF(H$20&lt;($H$11+1),-$B$173,0)</f>
        <v>0</v>
      </c>
      <c r="I180" s="503"/>
      <c r="J180" s="503">
        <f>IF(J$20&lt;($H$11+1),-$B$173,0)</f>
        <v>0</v>
      </c>
      <c r="K180" s="503"/>
      <c r="L180" s="503">
        <f>IF(L$20&lt;($H$11+1),-$B$173,0)</f>
        <v>0</v>
      </c>
      <c r="M180" s="503"/>
      <c r="N180" s="503">
        <f>IF(N$20&lt;($H$11+1),-$B$173,0)</f>
        <v>0</v>
      </c>
      <c r="O180" s="503"/>
      <c r="P180" s="503">
        <f>IF(P$20&lt;($H$11+1),-$B$173,0)</f>
        <v>0</v>
      </c>
      <c r="Q180" s="503"/>
      <c r="R180" s="503">
        <f>IF(R$20&lt;($H$11+1),-$B$173,0)</f>
        <v>0</v>
      </c>
      <c r="S180" s="503"/>
      <c r="T180" s="503">
        <f>IF(T$20&lt;($H$11+1),-$B$173,0)</f>
        <v>0</v>
      </c>
      <c r="U180" s="503"/>
      <c r="V180" s="503">
        <f>IF(V$20&lt;($H$11+1),-$B$173,0)</f>
        <v>0</v>
      </c>
      <c r="W180" s="503"/>
      <c r="X180" s="504">
        <f t="shared" si="87"/>
        <v>0</v>
      </c>
      <c r="Y180" s="501"/>
      <c r="Z180" s="480"/>
    </row>
    <row r="181" spans="2:26" ht="14" thickBot="1" x14ac:dyDescent="0.2">
      <c r="B181" s="478"/>
      <c r="C181" s="520" t="s">
        <v>273</v>
      </c>
      <c r="D181" s="522"/>
      <c r="E181" s="522">
        <f>IF((D$20)&gt;$H$11,0,IPMT($H$6,D167,$H$11,$B$172))</f>
        <v>0</v>
      </c>
      <c r="F181" s="522"/>
      <c r="G181" s="522">
        <f>IF((F$20)&gt;$H$11,0,IPMT($H$6,F167,$H$11,$B$172))</f>
        <v>0</v>
      </c>
      <c r="H181" s="522"/>
      <c r="I181" s="522">
        <f>IF((H$20)&gt;$H$11,0,IPMT($H$6,H167,$H$11,$B$172))</f>
        <v>0</v>
      </c>
      <c r="J181" s="522"/>
      <c r="K181" s="522">
        <f>IF((J$20)&gt;$H$11,0,IPMT($H$6,J167,$H$11,$B$172))</f>
        <v>0</v>
      </c>
      <c r="L181" s="522"/>
      <c r="M181" s="522">
        <f>IF((L$20)&gt;$H$11,0,IPMT($H$6,L167,$H$11,$B$172))</f>
        <v>0</v>
      </c>
      <c r="N181" s="522"/>
      <c r="O181" s="522">
        <f>IF((N$20)&gt;$H$11,0,IPMT($H$6,N167,$H$11,$B$172))</f>
        <v>0</v>
      </c>
      <c r="P181" s="522"/>
      <c r="Q181" s="522">
        <f>IF((P$20)&gt;$H$11,0,IPMT($H$6,P167,$H$11,$B$172))</f>
        <v>0</v>
      </c>
      <c r="R181" s="522"/>
      <c r="S181" s="522">
        <f>IF((R$20)&gt;$H$11,0,IPMT($H$6,R167,$H$11,$B$172))</f>
        <v>0</v>
      </c>
      <c r="T181" s="522"/>
      <c r="U181" s="522">
        <f>IF((T$20)&gt;$H$11,0,IPMT($H$6,T167,$H$11,$B$172))</f>
        <v>0</v>
      </c>
      <c r="V181" s="522"/>
      <c r="W181" s="522">
        <f>IF((V$20)&gt;$H$11,0,IPMT($H$6,V167,$H$11,$B$172))</f>
        <v>0</v>
      </c>
      <c r="X181" s="504">
        <f t="shared" si="87"/>
        <v>0</v>
      </c>
      <c r="Y181" s="548"/>
      <c r="Z181" s="482"/>
    </row>
    <row r="182" spans="2:26" ht="14" thickBot="1" x14ac:dyDescent="0.2">
      <c r="B182" s="8"/>
      <c r="C182" s="502" t="s">
        <v>664</v>
      </c>
      <c r="D182" s="558">
        <f>D167</f>
        <v>1</v>
      </c>
      <c r="E182" s="559">
        <f>F167</f>
        <v>2</v>
      </c>
      <c r="F182" s="559">
        <f>H167</f>
        <v>3</v>
      </c>
      <c r="G182" s="559">
        <f>J167</f>
        <v>4</v>
      </c>
      <c r="H182" s="559">
        <f>L167</f>
        <v>5</v>
      </c>
      <c r="I182" s="559">
        <f>N167</f>
        <v>6</v>
      </c>
      <c r="J182" s="559">
        <f>P167</f>
        <v>7</v>
      </c>
      <c r="K182" s="559">
        <f>R167</f>
        <v>8</v>
      </c>
      <c r="L182" s="559">
        <f>T167</f>
        <v>9</v>
      </c>
      <c r="M182" s="559">
        <f>V167</f>
        <v>10</v>
      </c>
      <c r="N182" s="560" t="str">
        <f>X167</f>
        <v>TOTAL</v>
      </c>
      <c r="O182" s="2"/>
      <c r="P182" s="2"/>
      <c r="Q182" s="2"/>
      <c r="R182" s="2"/>
      <c r="S182" s="2"/>
      <c r="T182" s="2"/>
      <c r="U182" s="2"/>
      <c r="V182" s="2"/>
      <c r="W182" s="2"/>
      <c r="X182" s="2"/>
      <c r="Y182" s="2"/>
    </row>
    <row r="183" spans="2:26" ht="14" thickBot="1" x14ac:dyDescent="0.2">
      <c r="B183" s="8"/>
      <c r="C183" s="502" t="s">
        <v>663</v>
      </c>
      <c r="D183" s="561">
        <f>D180</f>
        <v>0</v>
      </c>
      <c r="E183" s="2">
        <f>F180</f>
        <v>0</v>
      </c>
      <c r="F183" s="2">
        <f>H180</f>
        <v>0</v>
      </c>
      <c r="G183" s="2">
        <f>J180</f>
        <v>0</v>
      </c>
      <c r="H183" s="2">
        <f>L180</f>
        <v>0</v>
      </c>
      <c r="I183" s="2">
        <f>N180</f>
        <v>0</v>
      </c>
      <c r="J183" s="2">
        <f>P180</f>
        <v>0</v>
      </c>
      <c r="K183" s="2">
        <f>R180</f>
        <v>0</v>
      </c>
      <c r="L183" s="2">
        <f>T180</f>
        <v>0</v>
      </c>
      <c r="M183" s="2">
        <f>V180</f>
        <v>0</v>
      </c>
      <c r="N183" s="501">
        <f>X180</f>
        <v>0</v>
      </c>
      <c r="O183" s="2"/>
      <c r="P183" s="2"/>
      <c r="Q183" s="2"/>
      <c r="R183" s="2"/>
      <c r="S183" s="2"/>
      <c r="T183" s="2"/>
      <c r="U183" s="2"/>
      <c r="V183" s="2"/>
      <c r="W183" s="2"/>
      <c r="X183" s="2"/>
      <c r="Y183" s="2"/>
    </row>
    <row r="184" spans="2:26" ht="14" thickBot="1" x14ac:dyDescent="0.2">
      <c r="B184" s="8"/>
      <c r="C184" s="520" t="s">
        <v>273</v>
      </c>
      <c r="D184" s="562">
        <f>E181</f>
        <v>0</v>
      </c>
      <c r="E184" s="522">
        <f>G181</f>
        <v>0</v>
      </c>
      <c r="F184" s="522">
        <f>I181</f>
        <v>0</v>
      </c>
      <c r="G184" s="522">
        <f>K181</f>
        <v>0</v>
      </c>
      <c r="H184" s="522">
        <f>M181</f>
        <v>0</v>
      </c>
      <c r="I184" s="522">
        <f>O181</f>
        <v>0</v>
      </c>
      <c r="J184" s="522">
        <f>Q181</f>
        <v>0</v>
      </c>
      <c r="K184" s="522">
        <f>S181</f>
        <v>0</v>
      </c>
      <c r="L184" s="522">
        <f>U181</f>
        <v>0</v>
      </c>
      <c r="M184" s="522">
        <f>W181</f>
        <v>0</v>
      </c>
      <c r="N184" s="548">
        <f>X181</f>
        <v>0</v>
      </c>
      <c r="O184" s="2"/>
      <c r="P184" s="2"/>
      <c r="Q184" s="2"/>
      <c r="R184" s="2"/>
      <c r="S184" s="2"/>
      <c r="T184" s="2"/>
      <c r="U184" s="2"/>
      <c r="V184" s="2"/>
      <c r="W184" s="2"/>
      <c r="X184" s="2"/>
      <c r="Y184" s="2"/>
    </row>
    <row r="186" spans="2:26" ht="14" thickBot="1" x14ac:dyDescent="0.2"/>
    <row r="187" spans="2:26" ht="14" thickBot="1" x14ac:dyDescent="0.2">
      <c r="B187" s="495" t="s">
        <v>420</v>
      </c>
      <c r="C187" s="178"/>
      <c r="D187" s="483" t="s">
        <v>133</v>
      </c>
      <c r="E187" s="483"/>
      <c r="F187" s="483" t="s">
        <v>133</v>
      </c>
      <c r="G187" s="483"/>
      <c r="H187" s="483" t="s">
        <v>133</v>
      </c>
      <c r="I187" s="483"/>
      <c r="J187" s="483" t="s">
        <v>133</v>
      </c>
      <c r="K187" s="483"/>
      <c r="L187" s="483" t="s">
        <v>133</v>
      </c>
      <c r="M187" s="483"/>
      <c r="N187" s="483" t="s">
        <v>133</v>
      </c>
      <c r="O187" s="483"/>
      <c r="P187" s="483" t="s">
        <v>133</v>
      </c>
      <c r="Q187" s="483"/>
      <c r="R187" s="483" t="s">
        <v>133</v>
      </c>
      <c r="S187" s="483"/>
      <c r="T187" s="483" t="s">
        <v>133</v>
      </c>
      <c r="U187" s="483"/>
      <c r="V187" s="483" t="s">
        <v>133</v>
      </c>
      <c r="W187" s="483"/>
      <c r="X187" s="178"/>
      <c r="Y187" s="178"/>
      <c r="Z187" s="499" t="str">
        <f>B187</f>
        <v>+15%</v>
      </c>
    </row>
    <row r="188" spans="2:26" x14ac:dyDescent="0.15">
      <c r="B188" s="426"/>
      <c r="C188" s="4" t="s">
        <v>660</v>
      </c>
      <c r="D188" s="4">
        <v>1</v>
      </c>
      <c r="E188" s="4"/>
      <c r="F188" s="4">
        <f>D188+1</f>
        <v>2</v>
      </c>
      <c r="G188" s="4"/>
      <c r="H188" s="4">
        <f>F188+1</f>
        <v>3</v>
      </c>
      <c r="I188" s="4"/>
      <c r="J188" s="4">
        <f>H188+1</f>
        <v>4</v>
      </c>
      <c r="K188" s="4"/>
      <c r="L188" s="4">
        <f>J188+1</f>
        <v>5</v>
      </c>
      <c r="M188" s="4"/>
      <c r="N188" s="4">
        <f>L188+1</f>
        <v>6</v>
      </c>
      <c r="O188" s="4"/>
      <c r="P188" s="4">
        <f>N188+1</f>
        <v>7</v>
      </c>
      <c r="Q188" s="4"/>
      <c r="R188" s="4">
        <f>P188+1</f>
        <v>8</v>
      </c>
      <c r="S188" s="4"/>
      <c r="T188" s="4">
        <f>R188+1</f>
        <v>9</v>
      </c>
      <c r="U188" s="4"/>
      <c r="V188" s="4">
        <f>T188+1</f>
        <v>10</v>
      </c>
      <c r="W188" s="4"/>
      <c r="X188" t="s">
        <v>285</v>
      </c>
      <c r="Z188" s="479"/>
    </row>
    <row r="189" spans="2:26" x14ac:dyDescent="0.15">
      <c r="B189" s="202" t="s">
        <v>661</v>
      </c>
      <c r="C189" s="4">
        <v>1</v>
      </c>
      <c r="D189" s="2">
        <f t="shared" ref="D189:D200" si="88">IF(D$20&lt;($H$11+1),$B$193-((((D$20-1)*12)+$C189)*$B$194),0)</f>
        <v>0</v>
      </c>
      <c r="E189" s="2">
        <f>IF(D189&gt;0,-(D189+$B$194)*($H$6/'Loan Amortization'!$D$8),0)</f>
        <v>0</v>
      </c>
      <c r="F189" s="2">
        <f t="shared" ref="F189:F200" si="89">IF(F$20&lt;($H$11+1),$B$193-((((F$20-1)*12)+$C189)*$B$194),0)</f>
        <v>0</v>
      </c>
      <c r="G189" s="2">
        <f>IF(F189&gt;0,-(F189+$B$194)*($H$6/'Loan Amortization'!$D$8),0)</f>
        <v>0</v>
      </c>
      <c r="H189" s="2">
        <f t="shared" ref="H189:H200" si="90">IF(H$20&lt;($H$11+1),$B$193-((((H$20-1)*12)+$C189)*$B$194),0)</f>
        <v>0</v>
      </c>
      <c r="I189" s="2">
        <f>IF(H189&gt;0,-(H189+$B$194)*($H$6/'Loan Amortization'!$D$8),0)</f>
        <v>0</v>
      </c>
      <c r="J189" s="2">
        <f t="shared" ref="J189:J200" si="91">IF(J$20&lt;($H$11+1),$B$193-((((J$20-1)*12)+$C189)*$B$194),0)</f>
        <v>0</v>
      </c>
      <c r="K189" s="2">
        <f>IF(J189&gt;0,-(J189+$B$194)*($H$6/'Loan Amortization'!$D$8),0)</f>
        <v>0</v>
      </c>
      <c r="L189" s="2">
        <f t="shared" ref="L189:L200" si="92">IF(L$20&lt;($H$11+1),$B$193-((((L$20-1)*12)+$C189)*$B$194),0)</f>
        <v>0</v>
      </c>
      <c r="M189" s="2">
        <f>IF(L189&gt;0,-(L189+$B$194)*($H$6/'Loan Amortization'!$D$8),0)</f>
        <v>0</v>
      </c>
      <c r="N189" s="2">
        <f t="shared" ref="N189:N200" si="93">IF(N$20&lt;($H$11+1),$B$193-((((N$20-1)*12)+$C189)*$B$194),0)</f>
        <v>0</v>
      </c>
      <c r="O189" s="2">
        <f>IF(N189&gt;0,-(N189+$B$194)*($H$6/'Loan Amortization'!$D$8),0)</f>
        <v>0</v>
      </c>
      <c r="P189" s="2">
        <f t="shared" ref="P189:P200" si="94">IF(P$20&lt;($H$11+1),$B$193-((((P$20-1)*12)+$C189)*$B$194),0)</f>
        <v>0</v>
      </c>
      <c r="Q189" s="2">
        <f>IF(P189&gt;0,-(P189+$B$194)*($H$6/'Loan Amortization'!$D$8),0)</f>
        <v>0</v>
      </c>
      <c r="R189" s="2">
        <f t="shared" ref="R189:R200" si="95">IF(R$20&lt;($H$11+1),$B$193-((((R$20-1)*12)+$C189)*$B$194),0)</f>
        <v>0</v>
      </c>
      <c r="S189" s="2">
        <f>IF(R189&gt;0,-(R189+$B$194)*($H$6/'Loan Amortization'!$D$8),0)</f>
        <v>0</v>
      </c>
      <c r="T189" s="2">
        <f t="shared" ref="T189:T200" si="96">IF(T$20&lt;($H$11+1),$B$193-((((T$20-1)*12)+$C189)*$B$194),0)</f>
        <v>0</v>
      </c>
      <c r="U189" s="2">
        <f>IF(T189&gt;0,-(T189+$B$194)*($H$6/'Loan Amortization'!$D$8),0)</f>
        <v>0</v>
      </c>
      <c r="V189" s="2">
        <f t="shared" ref="V189:V200" si="97">IF(V$20&lt;($H$11+1),$B$193-((((V$20-1)*12)+$C189)*$B$194),0)</f>
        <v>0</v>
      </c>
      <c r="W189" s="2">
        <f>IF(V189&gt;0,-(V189+$B$194)*($H$6/'Loan Amortization'!$D$8),0)</f>
        <v>0</v>
      </c>
      <c r="X189" s="2">
        <f>SUM(C189:V189)</f>
        <v>1</v>
      </c>
      <c r="Y189" s="2"/>
      <c r="Z189" s="480"/>
    </row>
    <row r="190" spans="2:26" x14ac:dyDescent="0.15">
      <c r="B190" s="511">
        <f>-PMT($H$6/12,$H$11*12,C13)</f>
        <v>0</v>
      </c>
      <c r="C190" s="4">
        <v>2</v>
      </c>
      <c r="D190" s="2">
        <f t="shared" si="88"/>
        <v>0</v>
      </c>
      <c r="E190" s="2">
        <f>IF(D190&gt;0,-(D190+$B$194)*($H$6/'Loan Amortization'!$D$8),0)</f>
        <v>0</v>
      </c>
      <c r="F190" s="2">
        <f t="shared" si="89"/>
        <v>0</v>
      </c>
      <c r="G190" s="2">
        <f>IF(F190&gt;0,-(F190+$B$194)*($H$6/'Loan Amortization'!$D$8),0)</f>
        <v>0</v>
      </c>
      <c r="H190" s="2">
        <f t="shared" si="90"/>
        <v>0</v>
      </c>
      <c r="I190" s="2">
        <f>IF(H190&gt;0,-(H190+$B$194)*($H$6/'Loan Amortization'!$D$8),0)</f>
        <v>0</v>
      </c>
      <c r="J190" s="2">
        <f t="shared" si="91"/>
        <v>0</v>
      </c>
      <c r="K190" s="2">
        <f>IF(J190&gt;0,-(J190+$B$194)*($H$6/'Loan Amortization'!$D$8),0)</f>
        <v>0</v>
      </c>
      <c r="L190" s="2">
        <f t="shared" si="92"/>
        <v>0</v>
      </c>
      <c r="M190" s="2">
        <f>IF(L190&gt;0,-(L190+$B$194)*($H$6/'Loan Amortization'!$D$8),0)</f>
        <v>0</v>
      </c>
      <c r="N190" s="2">
        <f t="shared" si="93"/>
        <v>0</v>
      </c>
      <c r="O190" s="2">
        <f>IF(N190&gt;0,-(N190+$B$194)*($H$6/'Loan Amortization'!$D$8),0)</f>
        <v>0</v>
      </c>
      <c r="P190" s="2">
        <f t="shared" si="94"/>
        <v>0</v>
      </c>
      <c r="Q190" s="2">
        <f>IF(P190&gt;0,-(P190+$B$194)*($H$6/'Loan Amortization'!$D$8),0)</f>
        <v>0</v>
      </c>
      <c r="R190" s="2">
        <f t="shared" si="95"/>
        <v>0</v>
      </c>
      <c r="S190" s="2">
        <f>IF(R190&gt;0,-(R190+$B$194)*($H$6/'Loan Amortization'!$D$8),0)</f>
        <v>0</v>
      </c>
      <c r="T190" s="2">
        <f t="shared" si="96"/>
        <v>0</v>
      </c>
      <c r="U190" s="2">
        <f>IF(T190&gt;0,-(T190+$B$194)*($H$6/'Loan Amortization'!$D$8),0)</f>
        <v>0</v>
      </c>
      <c r="V190" s="2">
        <f t="shared" si="97"/>
        <v>0</v>
      </c>
      <c r="W190" s="2">
        <f>IF(V190&gt;0,-(V190+$B$194)*($H$6/'Loan Amortization'!$D$8),0)</f>
        <v>0</v>
      </c>
      <c r="X190" s="2">
        <f t="shared" ref="X190:X202" si="98">SUM(C190:V190)</f>
        <v>2</v>
      </c>
      <c r="Y190" s="2"/>
      <c r="Z190" s="480"/>
    </row>
    <row r="191" spans="2:26" x14ac:dyDescent="0.15">
      <c r="B191" s="540">
        <f>B190*12</f>
        <v>0</v>
      </c>
      <c r="C191" s="4">
        <v>3</v>
      </c>
      <c r="D191" s="2">
        <f t="shared" si="88"/>
        <v>0</v>
      </c>
      <c r="E191" s="2">
        <f>IF(D191&gt;0,-(D191+$B$194)*($H$6/'Loan Amortization'!$D$8),0)</f>
        <v>0</v>
      </c>
      <c r="F191" s="2">
        <f t="shared" si="89"/>
        <v>0</v>
      </c>
      <c r="G191" s="2">
        <f>IF(F191&gt;0,-(F191+$B$194)*($H$6/'Loan Amortization'!$D$8),0)</f>
        <v>0</v>
      </c>
      <c r="H191" s="2">
        <f t="shared" si="90"/>
        <v>0</v>
      </c>
      <c r="I191" s="2">
        <f>IF(H191&gt;0,-(H191+$B$194)*($H$6/'Loan Amortization'!$D$8),0)</f>
        <v>0</v>
      </c>
      <c r="J191" s="2">
        <f t="shared" si="91"/>
        <v>0</v>
      </c>
      <c r="K191" s="2">
        <f>IF(J191&gt;0,-(J191+$B$194)*($H$6/'Loan Amortization'!$D$8),0)</f>
        <v>0</v>
      </c>
      <c r="L191" s="2">
        <f t="shared" si="92"/>
        <v>0</v>
      </c>
      <c r="M191" s="2">
        <f>IF(L191&gt;0,-(L191+$B$194)*($H$6/'Loan Amortization'!$D$8),0)</f>
        <v>0</v>
      </c>
      <c r="N191" s="2">
        <f t="shared" si="93"/>
        <v>0</v>
      </c>
      <c r="O191" s="2">
        <f>IF(N191&gt;0,-(N191+$B$194)*($H$6/'Loan Amortization'!$D$8),0)</f>
        <v>0</v>
      </c>
      <c r="P191" s="2">
        <f t="shared" si="94"/>
        <v>0</v>
      </c>
      <c r="Q191" s="2">
        <f>IF(P191&gt;0,-(P191+$B$194)*($H$6/'Loan Amortization'!$D$8),0)</f>
        <v>0</v>
      </c>
      <c r="R191" s="2">
        <f t="shared" si="95"/>
        <v>0</v>
      </c>
      <c r="S191" s="2">
        <f>IF(R191&gt;0,-(R191+$B$194)*($H$6/'Loan Amortization'!$D$8),0)</f>
        <v>0</v>
      </c>
      <c r="T191" s="2">
        <f t="shared" si="96"/>
        <v>0</v>
      </c>
      <c r="U191" s="2">
        <f>IF(T191&gt;0,-(T191+$B$194)*($H$6/'Loan Amortization'!$D$8),0)</f>
        <v>0</v>
      </c>
      <c r="V191" s="2">
        <f t="shared" si="97"/>
        <v>0</v>
      </c>
      <c r="W191" s="2">
        <f>IF(V191&gt;0,-(V191+$B$194)*($H$6/'Loan Amortization'!$D$8),0)</f>
        <v>0</v>
      </c>
      <c r="X191" s="2">
        <f t="shared" si="98"/>
        <v>3</v>
      </c>
      <c r="Y191" s="2"/>
      <c r="Z191" s="480"/>
    </row>
    <row r="192" spans="2:26" x14ac:dyDescent="0.15">
      <c r="B192" s="202" t="s">
        <v>662</v>
      </c>
      <c r="C192" s="4">
        <v>4</v>
      </c>
      <c r="D192" s="2">
        <f t="shared" si="88"/>
        <v>0</v>
      </c>
      <c r="E192" s="2">
        <f>IF(D192&gt;0,-(D192+$B$194)*($H$6/'Loan Amortization'!$D$8),0)</f>
        <v>0</v>
      </c>
      <c r="F192" s="2">
        <f t="shared" si="89"/>
        <v>0</v>
      </c>
      <c r="G192" s="2">
        <f>IF(F192&gt;0,-(F192+$B$194)*($H$6/'Loan Amortization'!$D$8),0)</f>
        <v>0</v>
      </c>
      <c r="H192" s="2">
        <f t="shared" si="90"/>
        <v>0</v>
      </c>
      <c r="I192" s="2">
        <f>IF(H192&gt;0,-(H192+$B$194)*($H$6/'Loan Amortization'!$D$8),0)</f>
        <v>0</v>
      </c>
      <c r="J192" s="2">
        <f t="shared" si="91"/>
        <v>0</v>
      </c>
      <c r="K192" s="2">
        <f>IF(J192&gt;0,-(J192+$B$194)*($H$6/'Loan Amortization'!$D$8),0)</f>
        <v>0</v>
      </c>
      <c r="L192" s="2">
        <f t="shared" si="92"/>
        <v>0</v>
      </c>
      <c r="M192" s="2">
        <f>IF(L192&gt;0,-(L192+$B$194)*($H$6/'Loan Amortization'!$D$8),0)</f>
        <v>0</v>
      </c>
      <c r="N192" s="2">
        <f t="shared" si="93"/>
        <v>0</v>
      </c>
      <c r="O192" s="2">
        <f>IF(N192&gt;0,-(N192+$B$194)*($H$6/'Loan Amortization'!$D$8),0)</f>
        <v>0</v>
      </c>
      <c r="P192" s="2">
        <f t="shared" si="94"/>
        <v>0</v>
      </c>
      <c r="Q192" s="2">
        <f>IF(P192&gt;0,-(P192+$B$194)*($H$6/'Loan Amortization'!$D$8),0)</f>
        <v>0</v>
      </c>
      <c r="R192" s="2">
        <f t="shared" si="95"/>
        <v>0</v>
      </c>
      <c r="S192" s="2">
        <f>IF(R192&gt;0,-(R192+$B$194)*($H$6/'Loan Amortization'!$D$8),0)</f>
        <v>0</v>
      </c>
      <c r="T192" s="2">
        <f t="shared" si="96"/>
        <v>0</v>
      </c>
      <c r="U192" s="2">
        <f>IF(T192&gt;0,-(T192+$B$194)*($H$6/'Loan Amortization'!$D$8),0)</f>
        <v>0</v>
      </c>
      <c r="V192" s="2">
        <f t="shared" si="97"/>
        <v>0</v>
      </c>
      <c r="W192" s="2">
        <f>IF(V192&gt;0,-(V192+$B$194)*($H$6/'Loan Amortization'!$D$8),0)</f>
        <v>0</v>
      </c>
      <c r="X192" s="2">
        <f t="shared" si="98"/>
        <v>4</v>
      </c>
      <c r="Y192" s="2"/>
      <c r="Z192" s="480"/>
    </row>
    <row r="193" spans="2:26" x14ac:dyDescent="0.15">
      <c r="B193" s="521">
        <f>C13</f>
        <v>0</v>
      </c>
      <c r="C193" s="4">
        <v>5</v>
      </c>
      <c r="D193" s="2">
        <f t="shared" si="88"/>
        <v>0</v>
      </c>
      <c r="E193" s="2">
        <f>IF(D193&gt;0,-(D193+$B$194)*($H$6/'Loan Amortization'!$D$8),0)</f>
        <v>0</v>
      </c>
      <c r="F193" s="2">
        <f t="shared" si="89"/>
        <v>0</v>
      </c>
      <c r="G193" s="2">
        <f>IF(F193&gt;0,-(F193+$B$194)*($H$6/'Loan Amortization'!$D$8),0)</f>
        <v>0</v>
      </c>
      <c r="H193" s="2">
        <f t="shared" si="90"/>
        <v>0</v>
      </c>
      <c r="I193" s="2">
        <f>IF(H193&gt;0,-(H193+$B$194)*($H$6/'Loan Amortization'!$D$8),0)</f>
        <v>0</v>
      </c>
      <c r="J193" s="2">
        <f t="shared" si="91"/>
        <v>0</v>
      </c>
      <c r="K193" s="2">
        <f>IF(J193&gt;0,-(J193+$B$194)*($H$6/'Loan Amortization'!$D$8),0)</f>
        <v>0</v>
      </c>
      <c r="L193" s="2">
        <f t="shared" si="92"/>
        <v>0</v>
      </c>
      <c r="M193" s="2">
        <f>IF(L193&gt;0,-(L193+$B$194)*($H$6/'Loan Amortization'!$D$8),0)</f>
        <v>0</v>
      </c>
      <c r="N193" s="2">
        <f t="shared" si="93"/>
        <v>0</v>
      </c>
      <c r="O193" s="2">
        <f>IF(N193&gt;0,-(N193+$B$194)*($H$6/'Loan Amortization'!$D$8),0)</f>
        <v>0</v>
      </c>
      <c r="P193" s="2">
        <f t="shared" si="94"/>
        <v>0</v>
      </c>
      <c r="Q193" s="2">
        <f>IF(P193&gt;0,-(P193+$B$194)*($H$6/'Loan Amortization'!$D$8),0)</f>
        <v>0</v>
      </c>
      <c r="R193" s="2">
        <f t="shared" si="95"/>
        <v>0</v>
      </c>
      <c r="S193" s="2">
        <f>IF(R193&gt;0,-(R193+$B$194)*($H$6/'Loan Amortization'!$D$8),0)</f>
        <v>0</v>
      </c>
      <c r="T193" s="2">
        <f t="shared" si="96"/>
        <v>0</v>
      </c>
      <c r="U193" s="2">
        <f>IF(T193&gt;0,-(T193+$B$194)*($H$6/'Loan Amortization'!$D$8),0)</f>
        <v>0</v>
      </c>
      <c r="V193" s="2">
        <f t="shared" si="97"/>
        <v>0</v>
      </c>
      <c r="W193" s="2">
        <f>IF(V193&gt;0,-(V193+$B$194)*($H$6/'Loan Amortization'!$D$8),0)</f>
        <v>0</v>
      </c>
      <c r="X193" s="2">
        <f t="shared" si="98"/>
        <v>5</v>
      </c>
      <c r="Y193" s="2"/>
      <c r="Z193" s="480"/>
    </row>
    <row r="194" spans="2:26" x14ac:dyDescent="0.15">
      <c r="B194" s="521">
        <f>B193/($H$11)</f>
        <v>0</v>
      </c>
      <c r="C194" s="4">
        <v>6</v>
      </c>
      <c r="D194" s="2">
        <f t="shared" si="88"/>
        <v>0</v>
      </c>
      <c r="E194" s="2">
        <f>IF(D194&gt;0,-(D194+$B$194)*($H$6/'Loan Amortization'!$D$8),0)</f>
        <v>0</v>
      </c>
      <c r="F194" s="2">
        <f t="shared" si="89"/>
        <v>0</v>
      </c>
      <c r="G194" s="2">
        <f>IF(F194&gt;0,-(F194+$B$194)*($H$6/'Loan Amortization'!$D$8),0)</f>
        <v>0</v>
      </c>
      <c r="H194" s="2">
        <f t="shared" si="90"/>
        <v>0</v>
      </c>
      <c r="I194" s="2">
        <f>IF(H194&gt;0,-(H194+$B$194)*($H$6/'Loan Amortization'!$D$8),0)</f>
        <v>0</v>
      </c>
      <c r="J194" s="2">
        <f t="shared" si="91"/>
        <v>0</v>
      </c>
      <c r="K194" s="2">
        <f>IF(J194&gt;0,-(J194+$B$194)*($H$6/'Loan Amortization'!$D$8),0)</f>
        <v>0</v>
      </c>
      <c r="L194" s="2">
        <f t="shared" si="92"/>
        <v>0</v>
      </c>
      <c r="M194" s="2">
        <f>IF(L194&gt;0,-(L194+$B$194)*($H$6/'Loan Amortization'!$D$8),0)</f>
        <v>0</v>
      </c>
      <c r="N194" s="2">
        <f t="shared" si="93"/>
        <v>0</v>
      </c>
      <c r="O194" s="2">
        <f>IF(N194&gt;0,-(N194+$B$194)*($H$6/'Loan Amortization'!$D$8),0)</f>
        <v>0</v>
      </c>
      <c r="P194" s="2">
        <f t="shared" si="94"/>
        <v>0</v>
      </c>
      <c r="Q194" s="2">
        <f>IF(P194&gt;0,-(P194+$B$194)*($H$6/'Loan Amortization'!$D$8),0)</f>
        <v>0</v>
      </c>
      <c r="R194" s="2">
        <f t="shared" si="95"/>
        <v>0</v>
      </c>
      <c r="S194" s="2">
        <f>IF(R194&gt;0,-(R194+$B$194)*($H$6/'Loan Amortization'!$D$8),0)</f>
        <v>0</v>
      </c>
      <c r="T194" s="2">
        <f t="shared" si="96"/>
        <v>0</v>
      </c>
      <c r="U194" s="2">
        <f>IF(T194&gt;0,-(T194+$B$194)*($H$6/'Loan Amortization'!$D$8),0)</f>
        <v>0</v>
      </c>
      <c r="V194" s="2">
        <f t="shared" si="97"/>
        <v>0</v>
      </c>
      <c r="W194" s="2">
        <f>IF(V194&gt;0,-(V194+$B$194)*($H$6/'Loan Amortization'!$D$8),0)</f>
        <v>0</v>
      </c>
      <c r="X194" s="2">
        <f t="shared" si="98"/>
        <v>6</v>
      </c>
      <c r="Y194" s="2"/>
      <c r="Z194" s="480"/>
    </row>
    <row r="195" spans="2:26" x14ac:dyDescent="0.15">
      <c r="B195" s="202"/>
      <c r="C195" s="4">
        <v>7</v>
      </c>
      <c r="D195" s="2">
        <f t="shared" si="88"/>
        <v>0</v>
      </c>
      <c r="E195" s="2">
        <f>IF(D195&gt;0,-(D195+$B$194)*($H$6/'Loan Amortization'!$D$8),0)</f>
        <v>0</v>
      </c>
      <c r="F195" s="2">
        <f t="shared" si="89"/>
        <v>0</v>
      </c>
      <c r="G195" s="2">
        <f>IF(F195&gt;0,-(F195+$B$194)*($H$6/'Loan Amortization'!$D$8),0)</f>
        <v>0</v>
      </c>
      <c r="H195" s="2">
        <f t="shared" si="90"/>
        <v>0</v>
      </c>
      <c r="I195" s="2">
        <f>IF(H195&gt;0,-(H195+$B$194)*($H$6/'Loan Amortization'!$D$8),0)</f>
        <v>0</v>
      </c>
      <c r="J195" s="2">
        <f t="shared" si="91"/>
        <v>0</v>
      </c>
      <c r="K195" s="2">
        <f>IF(J195&gt;0,-(J195+$B$194)*($H$6/'Loan Amortization'!$D$8),0)</f>
        <v>0</v>
      </c>
      <c r="L195" s="2">
        <f t="shared" si="92"/>
        <v>0</v>
      </c>
      <c r="M195" s="2">
        <f>IF(L195&gt;0,-(L195+$B$194)*($H$6/'Loan Amortization'!$D$8),0)</f>
        <v>0</v>
      </c>
      <c r="N195" s="2">
        <f t="shared" si="93"/>
        <v>0</v>
      </c>
      <c r="O195" s="2">
        <f>IF(N195&gt;0,-(N195+$B$194)*($H$6/'Loan Amortization'!$D$8),0)</f>
        <v>0</v>
      </c>
      <c r="P195" s="2">
        <f t="shared" si="94"/>
        <v>0</v>
      </c>
      <c r="Q195" s="2">
        <f>IF(P195&gt;0,-(P195+$B$194)*($H$6/'Loan Amortization'!$D$8),0)</f>
        <v>0</v>
      </c>
      <c r="R195" s="2">
        <f t="shared" si="95"/>
        <v>0</v>
      </c>
      <c r="S195" s="2">
        <f>IF(R195&gt;0,-(R195+$B$194)*($H$6/'Loan Amortization'!$D$8),0)</f>
        <v>0</v>
      </c>
      <c r="T195" s="2">
        <f t="shared" si="96"/>
        <v>0</v>
      </c>
      <c r="U195" s="2">
        <f>IF(T195&gt;0,-(T195+$B$194)*($H$6/'Loan Amortization'!$D$8),0)</f>
        <v>0</v>
      </c>
      <c r="V195" s="2">
        <f t="shared" si="97"/>
        <v>0</v>
      </c>
      <c r="W195" s="2">
        <f>IF(V195&gt;0,-(V195+$B$194)*($H$6/'Loan Amortization'!$D$8),0)</f>
        <v>0</v>
      </c>
      <c r="X195" s="2">
        <f t="shared" si="98"/>
        <v>7</v>
      </c>
      <c r="Y195" s="2"/>
      <c r="Z195" s="480"/>
    </row>
    <row r="196" spans="2:26" x14ac:dyDescent="0.15">
      <c r="B196" s="202"/>
      <c r="C196" s="4">
        <v>8</v>
      </c>
      <c r="D196" s="2">
        <f t="shared" si="88"/>
        <v>0</v>
      </c>
      <c r="E196" s="2">
        <f>IF(D196&gt;0,-(D196+$B$194)*($H$6/'Loan Amortization'!$D$8),0)</f>
        <v>0</v>
      </c>
      <c r="F196" s="2">
        <f t="shared" si="89"/>
        <v>0</v>
      </c>
      <c r="G196" s="2">
        <f>IF(F196&gt;0,-(F196+$B$194)*($H$6/'Loan Amortization'!$D$8),0)</f>
        <v>0</v>
      </c>
      <c r="H196" s="2">
        <f t="shared" si="90"/>
        <v>0</v>
      </c>
      <c r="I196" s="2">
        <f>IF(H196&gt;0,-(H196+$B$194)*($H$6/'Loan Amortization'!$D$8),0)</f>
        <v>0</v>
      </c>
      <c r="J196" s="2">
        <f t="shared" si="91"/>
        <v>0</v>
      </c>
      <c r="K196" s="2">
        <f>IF(J196&gt;0,-(J196+$B$194)*($H$6/'Loan Amortization'!$D$8),0)</f>
        <v>0</v>
      </c>
      <c r="L196" s="2">
        <f t="shared" si="92"/>
        <v>0</v>
      </c>
      <c r="M196" s="2">
        <f>IF(L196&gt;0,-(L196+$B$194)*($H$6/'Loan Amortization'!$D$8),0)</f>
        <v>0</v>
      </c>
      <c r="N196" s="2">
        <f t="shared" si="93"/>
        <v>0</v>
      </c>
      <c r="O196" s="2">
        <f>IF(N196&gt;0,-(N196+$B$194)*($H$6/'Loan Amortization'!$D$8),0)</f>
        <v>0</v>
      </c>
      <c r="P196" s="2">
        <f t="shared" si="94"/>
        <v>0</v>
      </c>
      <c r="Q196" s="2">
        <f>IF(P196&gt;0,-(P196+$B$194)*($H$6/'Loan Amortization'!$D$8),0)</f>
        <v>0</v>
      </c>
      <c r="R196" s="2">
        <f t="shared" si="95"/>
        <v>0</v>
      </c>
      <c r="S196" s="2">
        <f>IF(R196&gt;0,-(R196+$B$194)*($H$6/'Loan Amortization'!$D$8),0)</f>
        <v>0</v>
      </c>
      <c r="T196" s="2">
        <f t="shared" si="96"/>
        <v>0</v>
      </c>
      <c r="U196" s="2">
        <f>IF(T196&gt;0,-(T196+$B$194)*($H$6/'Loan Amortization'!$D$8),0)</f>
        <v>0</v>
      </c>
      <c r="V196" s="2">
        <f t="shared" si="97"/>
        <v>0</v>
      </c>
      <c r="W196" s="2">
        <f>IF(V196&gt;0,-(V196+$B$194)*($H$6/'Loan Amortization'!$D$8),0)</f>
        <v>0</v>
      </c>
      <c r="X196" s="2">
        <f t="shared" si="98"/>
        <v>8</v>
      </c>
      <c r="Y196" s="2"/>
      <c r="Z196" s="480"/>
    </row>
    <row r="197" spans="2:26" x14ac:dyDescent="0.15">
      <c r="B197" s="202"/>
      <c r="C197" s="4">
        <v>9</v>
      </c>
      <c r="D197" s="2">
        <f t="shared" si="88"/>
        <v>0</v>
      </c>
      <c r="E197" s="2">
        <f>IF(D197&gt;0,-(D197+$B$194)*($H$6/'Loan Amortization'!$D$8),0)</f>
        <v>0</v>
      </c>
      <c r="F197" s="2">
        <f t="shared" si="89"/>
        <v>0</v>
      </c>
      <c r="G197" s="2">
        <f>IF(F197&gt;0,-(F197+$B$194)*($H$6/'Loan Amortization'!$D$8),0)</f>
        <v>0</v>
      </c>
      <c r="H197" s="2">
        <f t="shared" si="90"/>
        <v>0</v>
      </c>
      <c r="I197" s="2">
        <f>IF(H197&gt;0,-(H197+$B$194)*($H$6/'Loan Amortization'!$D$8),0)</f>
        <v>0</v>
      </c>
      <c r="J197" s="2">
        <f t="shared" si="91"/>
        <v>0</v>
      </c>
      <c r="K197" s="2">
        <f>IF(J197&gt;0,-(J197+$B$194)*($H$6/'Loan Amortization'!$D$8),0)</f>
        <v>0</v>
      </c>
      <c r="L197" s="2">
        <f t="shared" si="92"/>
        <v>0</v>
      </c>
      <c r="M197" s="2">
        <f>IF(L197&gt;0,-(L197+$B$194)*($H$6/'Loan Amortization'!$D$8),0)</f>
        <v>0</v>
      </c>
      <c r="N197" s="2">
        <f t="shared" si="93"/>
        <v>0</v>
      </c>
      <c r="O197" s="2">
        <f>IF(N197&gt;0,-(N197+$B$194)*($H$6/'Loan Amortization'!$D$8),0)</f>
        <v>0</v>
      </c>
      <c r="P197" s="2">
        <f t="shared" si="94"/>
        <v>0</v>
      </c>
      <c r="Q197" s="2">
        <f>IF(P197&gt;0,-(P197+$B$194)*($H$6/'Loan Amortization'!$D$8),0)</f>
        <v>0</v>
      </c>
      <c r="R197" s="2">
        <f t="shared" si="95"/>
        <v>0</v>
      </c>
      <c r="S197" s="2">
        <f>IF(R197&gt;0,-(R197+$B$194)*($H$6/'Loan Amortization'!$D$8),0)</f>
        <v>0</v>
      </c>
      <c r="T197" s="2">
        <f t="shared" si="96"/>
        <v>0</v>
      </c>
      <c r="U197" s="2">
        <f>IF(T197&gt;0,-(T197+$B$194)*($H$6/'Loan Amortization'!$D$8),0)</f>
        <v>0</v>
      </c>
      <c r="V197" s="2">
        <f t="shared" si="97"/>
        <v>0</v>
      </c>
      <c r="W197" s="2">
        <f>IF(V197&gt;0,-(V197+$B$194)*($H$6/'Loan Amortization'!$D$8),0)</f>
        <v>0</v>
      </c>
      <c r="X197" s="2">
        <f t="shared" si="98"/>
        <v>9</v>
      </c>
      <c r="Y197" s="2"/>
      <c r="Z197" s="480"/>
    </row>
    <row r="198" spans="2:26" x14ac:dyDescent="0.15">
      <c r="B198" s="202"/>
      <c r="C198" s="4">
        <v>10</v>
      </c>
      <c r="D198" s="2">
        <f t="shared" si="88"/>
        <v>0</v>
      </c>
      <c r="E198" s="2">
        <f>IF(D198&gt;0,-(D198+$B$194)*($H$6/'Loan Amortization'!$D$8),0)</f>
        <v>0</v>
      </c>
      <c r="F198" s="2">
        <f t="shared" si="89"/>
        <v>0</v>
      </c>
      <c r="G198" s="2">
        <f>IF(F198&gt;0,-(F198+$B$194)*($H$6/'Loan Amortization'!$D$8),0)</f>
        <v>0</v>
      </c>
      <c r="H198" s="2">
        <f t="shared" si="90"/>
        <v>0</v>
      </c>
      <c r="I198" s="2">
        <f>IF(H198&gt;0,-(H198+$B$194)*($H$6/'Loan Amortization'!$D$8),0)</f>
        <v>0</v>
      </c>
      <c r="J198" s="2">
        <f t="shared" si="91"/>
        <v>0</v>
      </c>
      <c r="K198" s="2">
        <f>IF(J198&gt;0,-(J198+$B$194)*($H$6/'Loan Amortization'!$D$8),0)</f>
        <v>0</v>
      </c>
      <c r="L198" s="2">
        <f t="shared" si="92"/>
        <v>0</v>
      </c>
      <c r="M198" s="2">
        <f>IF(L198&gt;0,-(L198+$B$194)*($H$6/'Loan Amortization'!$D$8),0)</f>
        <v>0</v>
      </c>
      <c r="N198" s="2">
        <f t="shared" si="93"/>
        <v>0</v>
      </c>
      <c r="O198" s="2">
        <f>IF(N198&gt;0,-(N198+$B$194)*($H$6/'Loan Amortization'!$D$8),0)</f>
        <v>0</v>
      </c>
      <c r="P198" s="2">
        <f t="shared" si="94"/>
        <v>0</v>
      </c>
      <c r="Q198" s="2">
        <f>IF(P198&gt;0,-(P198+$B$194)*($H$6/'Loan Amortization'!$D$8),0)</f>
        <v>0</v>
      </c>
      <c r="R198" s="2">
        <f t="shared" si="95"/>
        <v>0</v>
      </c>
      <c r="S198" s="2">
        <f>IF(R198&gt;0,-(R198+$B$194)*($H$6/'Loan Amortization'!$D$8),0)</f>
        <v>0</v>
      </c>
      <c r="T198" s="2">
        <f t="shared" si="96"/>
        <v>0</v>
      </c>
      <c r="U198" s="2">
        <f>IF(T198&gt;0,-(T198+$B$194)*($H$6/'Loan Amortization'!$D$8),0)</f>
        <v>0</v>
      </c>
      <c r="V198" s="2">
        <f t="shared" si="97"/>
        <v>0</v>
      </c>
      <c r="W198" s="2">
        <f>IF(V198&gt;0,-(V198+$B$194)*($H$6/'Loan Amortization'!$D$8),0)</f>
        <v>0</v>
      </c>
      <c r="X198" s="2">
        <f t="shared" si="98"/>
        <v>10</v>
      </c>
      <c r="Y198" s="2"/>
      <c r="Z198" s="480"/>
    </row>
    <row r="199" spans="2:26" x14ac:dyDescent="0.15">
      <c r="B199" s="202"/>
      <c r="C199" s="4">
        <v>11</v>
      </c>
      <c r="D199" s="2">
        <f t="shared" si="88"/>
        <v>0</v>
      </c>
      <c r="E199" s="2">
        <f>IF(D199&gt;0,-(D199+$B$194)*($H$6/'Loan Amortization'!$D$8),0)</f>
        <v>0</v>
      </c>
      <c r="F199" s="2">
        <f t="shared" si="89"/>
        <v>0</v>
      </c>
      <c r="G199" s="2">
        <f>IF(F199&gt;0,-(F199+$B$194)*($H$6/'Loan Amortization'!$D$8),0)</f>
        <v>0</v>
      </c>
      <c r="H199" s="2">
        <f t="shared" si="90"/>
        <v>0</v>
      </c>
      <c r="I199" s="2">
        <f>IF(H199&gt;0,-(H199+$B$194)*($H$6/'Loan Amortization'!$D$8),0)</f>
        <v>0</v>
      </c>
      <c r="J199" s="2">
        <f t="shared" si="91"/>
        <v>0</v>
      </c>
      <c r="K199" s="2">
        <f>IF(J199&gt;0,-(J199+$B$194)*($H$6/'Loan Amortization'!$D$8),0)</f>
        <v>0</v>
      </c>
      <c r="L199" s="2">
        <f t="shared" si="92"/>
        <v>0</v>
      </c>
      <c r="M199" s="2">
        <f>IF(L199&gt;0,-(L199+$B$194)*($H$6/'Loan Amortization'!$D$8),0)</f>
        <v>0</v>
      </c>
      <c r="N199" s="2">
        <f t="shared" si="93"/>
        <v>0</v>
      </c>
      <c r="O199" s="2">
        <f>IF(N199&gt;0,-(N199+$B$194)*($H$6/'Loan Amortization'!$D$8),0)</f>
        <v>0</v>
      </c>
      <c r="P199" s="2">
        <f t="shared" si="94"/>
        <v>0</v>
      </c>
      <c r="Q199" s="2">
        <f>IF(P199&gt;0,-(P199+$B$194)*($H$6/'Loan Amortization'!$D$8),0)</f>
        <v>0</v>
      </c>
      <c r="R199" s="2">
        <f t="shared" si="95"/>
        <v>0</v>
      </c>
      <c r="S199" s="2">
        <f>IF(R199&gt;0,-(R199+$B$194)*($H$6/'Loan Amortization'!$D$8),0)</f>
        <v>0</v>
      </c>
      <c r="T199" s="2">
        <f t="shared" si="96"/>
        <v>0</v>
      </c>
      <c r="U199" s="2">
        <f>IF(T199&gt;0,-(T199+$B$194)*($H$6/'Loan Amortization'!$D$8),0)</f>
        <v>0</v>
      </c>
      <c r="V199" s="2">
        <f t="shared" si="97"/>
        <v>0</v>
      </c>
      <c r="W199" s="2">
        <f>IF(V199&gt;0,-(V199+$B$194)*($H$6/'Loan Amortization'!$D$8),0)</f>
        <v>0</v>
      </c>
      <c r="X199" s="2">
        <f t="shared" si="98"/>
        <v>11</v>
      </c>
      <c r="Y199" s="2"/>
      <c r="Z199" s="480"/>
    </row>
    <row r="200" spans="2:26" ht="14" thickBot="1" x14ac:dyDescent="0.2">
      <c r="B200" s="202"/>
      <c r="C200" s="4">
        <v>12</v>
      </c>
      <c r="D200" s="2">
        <f t="shared" si="88"/>
        <v>0</v>
      </c>
      <c r="E200" s="2">
        <f>IF(D200&gt;0,-(D200+$B$194)*($H$6/'Loan Amortization'!$D$8),0)</f>
        <v>0</v>
      </c>
      <c r="F200" s="2">
        <f t="shared" si="89"/>
        <v>0</v>
      </c>
      <c r="G200" s="2">
        <f>IF(F200&gt;0,-(F200+$B$194)*($H$6/'Loan Amortization'!$D$8),0)</f>
        <v>0</v>
      </c>
      <c r="H200" s="2">
        <f t="shared" si="90"/>
        <v>0</v>
      </c>
      <c r="I200" s="2">
        <f>IF(H200&gt;0,-(H200+$B$194)*($H$6/'Loan Amortization'!$D$8),0)</f>
        <v>0</v>
      </c>
      <c r="J200" s="2">
        <f t="shared" si="91"/>
        <v>0</v>
      </c>
      <c r="K200" s="2">
        <f>IF(J200&gt;0,-(J200+$B$194)*($H$6/'Loan Amortization'!$D$8),0)</f>
        <v>0</v>
      </c>
      <c r="L200" s="2">
        <f t="shared" si="92"/>
        <v>0</v>
      </c>
      <c r="M200" s="2">
        <f>IF(L200&gt;0,-(L200+$B$194)*($H$6/'Loan Amortization'!$D$8),0)</f>
        <v>0</v>
      </c>
      <c r="N200" s="2">
        <f t="shared" si="93"/>
        <v>0</v>
      </c>
      <c r="O200" s="2">
        <f>IF(N200&gt;0,-(N200+$B$194)*($H$6/'Loan Amortization'!$D$8),0)</f>
        <v>0</v>
      </c>
      <c r="P200" s="2">
        <f t="shared" si="94"/>
        <v>0</v>
      </c>
      <c r="Q200" s="2">
        <f>IF(P200&gt;0,-(P200+$B$194)*($H$6/'Loan Amortization'!$D$8),0)</f>
        <v>0</v>
      </c>
      <c r="R200" s="2">
        <f t="shared" si="95"/>
        <v>0</v>
      </c>
      <c r="S200" s="2">
        <f>IF(R200&gt;0,-(R200+$B$194)*($H$6/'Loan Amortization'!$D$8),0)</f>
        <v>0</v>
      </c>
      <c r="T200" s="2">
        <f t="shared" si="96"/>
        <v>0</v>
      </c>
      <c r="U200" s="2">
        <f>IF(T200&gt;0,-(T200+$B$194)*($H$6/'Loan Amortization'!$D$8),0)</f>
        <v>0</v>
      </c>
      <c r="V200" s="2">
        <f t="shared" si="97"/>
        <v>0</v>
      </c>
      <c r="W200" s="2">
        <f>IF(V200&gt;0,-(V200+$B$194)*($H$6/'Loan Amortization'!$D$8),0)</f>
        <v>0</v>
      </c>
      <c r="X200" s="2">
        <f t="shared" si="98"/>
        <v>12</v>
      </c>
      <c r="Y200" s="2"/>
      <c r="Z200" s="480"/>
    </row>
    <row r="201" spans="2:26" ht="14" thickBot="1" x14ac:dyDescent="0.2">
      <c r="B201" s="541" t="s">
        <v>45</v>
      </c>
      <c r="C201" s="502" t="s">
        <v>663</v>
      </c>
      <c r="D201" s="503">
        <f>IF(D$20&lt;($H$11+1),-$B$194,0)</f>
        <v>0</v>
      </c>
      <c r="E201" s="503"/>
      <c r="F201" s="503">
        <f>IF(F$20&lt;($H$11+1),-$B$194,0)</f>
        <v>0</v>
      </c>
      <c r="G201" s="503"/>
      <c r="H201" s="503">
        <f>IF(H$20&lt;($H$11+1),-$B$194,0)</f>
        <v>0</v>
      </c>
      <c r="I201" s="503"/>
      <c r="J201" s="503">
        <f>IF(J$20&lt;($H$11+1),-$B$194,0)</f>
        <v>0</v>
      </c>
      <c r="K201" s="503"/>
      <c r="L201" s="503">
        <f>IF(L$20&lt;($H$11+1),-$B$194,0)</f>
        <v>0</v>
      </c>
      <c r="M201" s="503"/>
      <c r="N201" s="503">
        <f>IF(N$20&lt;($H$11+1),-$B$194,0)</f>
        <v>0</v>
      </c>
      <c r="O201" s="503"/>
      <c r="P201" s="503">
        <f>IF(P$20&lt;($H$11+1),-$B$194,0)</f>
        <v>0</v>
      </c>
      <c r="Q201" s="503"/>
      <c r="R201" s="503">
        <f>IF(R$20&lt;($H$11+1),-$B$194,0)</f>
        <v>0</v>
      </c>
      <c r="S201" s="503"/>
      <c r="T201" s="503">
        <f>IF(T$20&lt;($H$11+1),-$B$194,0)</f>
        <v>0</v>
      </c>
      <c r="U201" s="503"/>
      <c r="V201" s="503">
        <f>IF(V$20&lt;($H$11+1),-$B$194,0)</f>
        <v>0</v>
      </c>
      <c r="W201" s="503"/>
      <c r="X201" s="504">
        <f t="shared" si="98"/>
        <v>0</v>
      </c>
      <c r="Y201" s="501"/>
      <c r="Z201" s="480"/>
    </row>
    <row r="202" spans="2:26" ht="14" thickBot="1" x14ac:dyDescent="0.2">
      <c r="B202" s="478"/>
      <c r="C202" s="520" t="s">
        <v>273</v>
      </c>
      <c r="D202" s="522"/>
      <c r="E202" s="522">
        <f>IF((D$20)&gt;$H$11,0,IPMT($H$6,D188,$H$11,$B$193))</f>
        <v>0</v>
      </c>
      <c r="F202" s="522"/>
      <c r="G202" s="522">
        <f>IF((F$20)&gt;$H$11,0,IPMT($H$6,F188,$H$11,$B$193))</f>
        <v>0</v>
      </c>
      <c r="H202" s="522"/>
      <c r="I202" s="522">
        <f>IF((H$20)&gt;$H$11,0,IPMT($H$6,H188,$H$11,$B$193))</f>
        <v>0</v>
      </c>
      <c r="J202" s="522"/>
      <c r="K202" s="522">
        <f>IF((J$20)&gt;$H$11,0,IPMT($H$6,J188,$H$11,$B$193))</f>
        <v>0</v>
      </c>
      <c r="L202" s="522"/>
      <c r="M202" s="522">
        <f>IF((L$20)&gt;$H$11,0,IPMT($H$6,L188,$H$11,$B$193))</f>
        <v>0</v>
      </c>
      <c r="N202" s="522"/>
      <c r="O202" s="522">
        <f>IF((N$20)&gt;$H$11,0,IPMT($H$6,N188,$H$11,$B$193))</f>
        <v>0</v>
      </c>
      <c r="P202" s="522"/>
      <c r="Q202" s="522">
        <f>IF((P$20)&gt;$H$11,0,IPMT($H$6,P188,$H$11,$B$193))</f>
        <v>0</v>
      </c>
      <c r="R202" s="522"/>
      <c r="S202" s="522">
        <f>IF((R$20)&gt;$H$11,0,IPMT($H$6,R188,$H$11,$B$193))</f>
        <v>0</v>
      </c>
      <c r="T202" s="522"/>
      <c r="U202" s="522">
        <f>IF((T$20)&gt;$H$11,0,IPMT($H$6,T188,$H$11,$B$193))</f>
        <v>0</v>
      </c>
      <c r="V202" s="522"/>
      <c r="W202" s="522">
        <f>IF((V$20)&gt;$H$11,0,IPMT($H$6,V188,$H$11,$B$193))</f>
        <v>0</v>
      </c>
      <c r="X202" s="504">
        <f t="shared" si="98"/>
        <v>0</v>
      </c>
      <c r="Y202" s="548"/>
      <c r="Z202" s="482"/>
    </row>
    <row r="203" spans="2:26" ht="14" thickBot="1" x14ac:dyDescent="0.2">
      <c r="B203" s="8"/>
      <c r="C203" s="502" t="s">
        <v>664</v>
      </c>
      <c r="D203" s="558">
        <f>D188</f>
        <v>1</v>
      </c>
      <c r="E203" s="559">
        <f>F188</f>
        <v>2</v>
      </c>
      <c r="F203" s="559">
        <f>H188</f>
        <v>3</v>
      </c>
      <c r="G203" s="559">
        <f>J188</f>
        <v>4</v>
      </c>
      <c r="H203" s="559">
        <f>L188</f>
        <v>5</v>
      </c>
      <c r="I203" s="559">
        <f>N188</f>
        <v>6</v>
      </c>
      <c r="J203" s="559">
        <f>P188</f>
        <v>7</v>
      </c>
      <c r="K203" s="559">
        <f>R188</f>
        <v>8</v>
      </c>
      <c r="L203" s="559">
        <f>T188</f>
        <v>9</v>
      </c>
      <c r="M203" s="559">
        <f>V188</f>
        <v>10</v>
      </c>
      <c r="N203" s="560" t="str">
        <f>X188</f>
        <v>TOTAL</v>
      </c>
      <c r="O203" s="2"/>
      <c r="P203" s="2"/>
      <c r="Q203" s="2"/>
      <c r="R203" s="2"/>
      <c r="S203" s="2"/>
      <c r="T203" s="2"/>
      <c r="U203" s="2"/>
      <c r="V203" s="2"/>
      <c r="W203" s="2"/>
      <c r="X203" s="2"/>
      <c r="Y203" s="2"/>
    </row>
    <row r="204" spans="2:26" ht="14" thickBot="1" x14ac:dyDescent="0.2">
      <c r="B204" s="8"/>
      <c r="C204" s="502" t="s">
        <v>663</v>
      </c>
      <c r="D204" s="561">
        <f>D201</f>
        <v>0</v>
      </c>
      <c r="E204" s="2">
        <f>F201</f>
        <v>0</v>
      </c>
      <c r="F204" s="2">
        <f>H201</f>
        <v>0</v>
      </c>
      <c r="G204" s="2">
        <f>J201</f>
        <v>0</v>
      </c>
      <c r="H204" s="2">
        <f>L201</f>
        <v>0</v>
      </c>
      <c r="I204" s="2">
        <f>N201</f>
        <v>0</v>
      </c>
      <c r="J204" s="2">
        <f>P201</f>
        <v>0</v>
      </c>
      <c r="K204" s="2">
        <f>R201</f>
        <v>0</v>
      </c>
      <c r="L204" s="2">
        <f>T201</f>
        <v>0</v>
      </c>
      <c r="M204" s="2">
        <f>V201</f>
        <v>0</v>
      </c>
      <c r="N204" s="501">
        <f>X201</f>
        <v>0</v>
      </c>
      <c r="O204" s="2"/>
      <c r="P204" s="2"/>
      <c r="Q204" s="2"/>
      <c r="R204" s="2"/>
      <c r="S204" s="2"/>
      <c r="T204" s="2"/>
      <c r="U204" s="2"/>
      <c r="V204" s="2"/>
      <c r="W204" s="2"/>
      <c r="X204" s="2"/>
      <c r="Y204" s="2"/>
    </row>
    <row r="205" spans="2:26" ht="14" thickBot="1" x14ac:dyDescent="0.2">
      <c r="B205" s="8"/>
      <c r="C205" s="520" t="s">
        <v>273</v>
      </c>
      <c r="D205" s="562">
        <f>E202</f>
        <v>0</v>
      </c>
      <c r="E205" s="522">
        <f>G202</f>
        <v>0</v>
      </c>
      <c r="F205" s="522">
        <f>I202</f>
        <v>0</v>
      </c>
      <c r="G205" s="522">
        <f>K202</f>
        <v>0</v>
      </c>
      <c r="H205" s="522">
        <f>M202</f>
        <v>0</v>
      </c>
      <c r="I205" s="522">
        <f>O202</f>
        <v>0</v>
      </c>
      <c r="J205" s="522">
        <f>Q202</f>
        <v>0</v>
      </c>
      <c r="K205" s="522">
        <f>S202</f>
        <v>0</v>
      </c>
      <c r="L205" s="522">
        <f>U202</f>
        <v>0</v>
      </c>
      <c r="M205" s="522">
        <f>W202</f>
        <v>0</v>
      </c>
      <c r="N205" s="548">
        <f>X202</f>
        <v>0</v>
      </c>
      <c r="O205" s="2"/>
      <c r="P205" s="2"/>
      <c r="Q205" s="2"/>
      <c r="R205" s="2"/>
      <c r="S205" s="2"/>
      <c r="T205" s="2"/>
      <c r="U205" s="2"/>
      <c r="V205" s="2"/>
      <c r="W205" s="2"/>
      <c r="X205" s="2"/>
      <c r="Y205" s="2"/>
    </row>
    <row r="207" spans="2:26" ht="14" thickBot="1" x14ac:dyDescent="0.2"/>
    <row r="208" spans="2:26" ht="14" thickBot="1" x14ac:dyDescent="0.2">
      <c r="B208" s="481" t="s">
        <v>421</v>
      </c>
      <c r="C208" s="178"/>
      <c r="D208" s="483" t="s">
        <v>133</v>
      </c>
      <c r="E208" s="483"/>
      <c r="F208" s="483" t="s">
        <v>133</v>
      </c>
      <c r="G208" s="483"/>
      <c r="H208" s="483" t="s">
        <v>133</v>
      </c>
      <c r="I208" s="483"/>
      <c r="J208" s="483" t="s">
        <v>133</v>
      </c>
      <c r="K208" s="483"/>
      <c r="L208" s="483" t="s">
        <v>133</v>
      </c>
      <c r="M208" s="483"/>
      <c r="N208" s="483" t="s">
        <v>133</v>
      </c>
      <c r="O208" s="483"/>
      <c r="P208" s="483" t="s">
        <v>133</v>
      </c>
      <c r="Q208" s="483"/>
      <c r="R208" s="483" t="s">
        <v>133</v>
      </c>
      <c r="S208" s="483"/>
      <c r="T208" s="483" t="s">
        <v>133</v>
      </c>
      <c r="U208" s="483"/>
      <c r="V208" s="483" t="s">
        <v>133</v>
      </c>
      <c r="W208" s="483"/>
      <c r="X208" s="178"/>
      <c r="Y208" s="178"/>
      <c r="Z208" s="499" t="str">
        <f>B208</f>
        <v>+20%</v>
      </c>
    </row>
    <row r="209" spans="2:26" x14ac:dyDescent="0.15">
      <c r="B209" s="426"/>
      <c r="C209" s="4" t="s">
        <v>660</v>
      </c>
      <c r="D209" s="4">
        <v>1</v>
      </c>
      <c r="E209" s="4"/>
      <c r="F209" s="4">
        <f>D209+1</f>
        <v>2</v>
      </c>
      <c r="G209" s="4"/>
      <c r="H209" s="4">
        <f>F209+1</f>
        <v>3</v>
      </c>
      <c r="I209" s="4"/>
      <c r="J209" s="4">
        <f>H209+1</f>
        <v>4</v>
      </c>
      <c r="K209" s="4"/>
      <c r="L209" s="4">
        <f>J209+1</f>
        <v>5</v>
      </c>
      <c r="M209" s="4"/>
      <c r="N209" s="4">
        <f>L209+1</f>
        <v>6</v>
      </c>
      <c r="O209" s="4"/>
      <c r="P209" s="4">
        <f>N209+1</f>
        <v>7</v>
      </c>
      <c r="Q209" s="4"/>
      <c r="R209" s="4">
        <f>P209+1</f>
        <v>8</v>
      </c>
      <c r="S209" s="4"/>
      <c r="T209" s="4">
        <f>R209+1</f>
        <v>9</v>
      </c>
      <c r="U209" s="4"/>
      <c r="V209" s="4">
        <f>T209+1</f>
        <v>10</v>
      </c>
      <c r="W209" s="4"/>
      <c r="X209" t="s">
        <v>285</v>
      </c>
      <c r="Z209" s="479"/>
    </row>
    <row r="210" spans="2:26" x14ac:dyDescent="0.15">
      <c r="B210" s="202" t="s">
        <v>661</v>
      </c>
      <c r="C210" s="4">
        <v>1</v>
      </c>
      <c r="D210" s="2">
        <f t="shared" ref="D210:D221" si="99">IF(D$20&lt;($H$11+1),$B$214-((((D$20-1)*12)+$C210)*$B$215),0)</f>
        <v>0</v>
      </c>
      <c r="E210" s="2">
        <f>IF(D210&gt;0,-(D210+$B$215)*($H$6/'Loan Amortization'!$D$8),0)</f>
        <v>0</v>
      </c>
      <c r="F210" s="2">
        <f t="shared" ref="F210:F221" si="100">IF(F$20&lt;($H$11+1),$B$214-((((F$20-1)*12)+$C210)*$B$215),0)</f>
        <v>0</v>
      </c>
      <c r="G210" s="2">
        <f>IF(F210&gt;0,-(F210+$B$215)*($H$6/'Loan Amortization'!$D$8),0)</f>
        <v>0</v>
      </c>
      <c r="H210" s="2">
        <f t="shared" ref="H210:H221" si="101">IF(H$20&lt;($H$11+1),$B$214-((((H$20-1)*12)+$C210)*$B$215),0)</f>
        <v>0</v>
      </c>
      <c r="I210" s="2">
        <f>IF(H210&gt;0,-(H210+$B$215)*($H$6/'Loan Amortization'!$D$8),0)</f>
        <v>0</v>
      </c>
      <c r="J210" s="2">
        <f t="shared" ref="J210:J221" si="102">IF(J$20&lt;($H$11+1),$B$214-((((J$20-1)*12)+$C210)*$B$215),0)</f>
        <v>0</v>
      </c>
      <c r="K210" s="2">
        <f>IF(J210&gt;0,-(J210+$B$215)*($H$6/'Loan Amortization'!$D$8),0)</f>
        <v>0</v>
      </c>
      <c r="L210" s="2">
        <f t="shared" ref="L210:L221" si="103">IF(L$20&lt;($H$11+1),$B$214-((((L$20-1)*12)+$C210)*$B$215),0)</f>
        <v>0</v>
      </c>
      <c r="M210" s="2">
        <f>IF(L210&gt;0,-(L210+$B$215)*($H$6/'Loan Amortization'!$D$8),0)</f>
        <v>0</v>
      </c>
      <c r="N210" s="2">
        <f t="shared" ref="N210:N221" si="104">IF(N$20&lt;($H$11+1),$B$214-((((N$20-1)*12)+$C210)*$B$215),0)</f>
        <v>0</v>
      </c>
      <c r="O210" s="2">
        <f>IF(N210&gt;0,-(N210+$B$215)*($H$6/'Loan Amortization'!$D$8),0)</f>
        <v>0</v>
      </c>
      <c r="P210" s="2">
        <f t="shared" ref="P210:P221" si="105">IF(P$20&lt;($H$11+1),$B$214-((((P$20-1)*12)+$C210)*$B$215),0)</f>
        <v>0</v>
      </c>
      <c r="Q210" s="2">
        <f>IF(P210&gt;0,-(P210+$B$215)*($H$6/'Loan Amortization'!$D$8),0)</f>
        <v>0</v>
      </c>
      <c r="R210" s="2">
        <f t="shared" ref="R210:R221" si="106">IF(R$20&lt;($H$11+1),$B$214-((((R$20-1)*12)+$C210)*$B$215),0)</f>
        <v>0</v>
      </c>
      <c r="S210" s="2">
        <f>IF(R210&gt;0,-(R210+$B$215)*($H$6/'Loan Amortization'!$D$8),0)</f>
        <v>0</v>
      </c>
      <c r="T210" s="2">
        <f t="shared" ref="T210:T221" si="107">IF(T$20&lt;($H$11+1),$B$214-((((T$20-1)*12)+$C210)*$B$215),0)</f>
        <v>0</v>
      </c>
      <c r="U210" s="2">
        <f>IF(T210&gt;0,-(T210+$B$215)*($H$6/'Loan Amortization'!$D$8),0)</f>
        <v>0</v>
      </c>
      <c r="V210" s="2">
        <f t="shared" ref="V210:V221" si="108">IF(V$20&lt;($H$11+1),$B$214-((((V$20-1)*12)+$C210)*$B$215),0)</f>
        <v>0</v>
      </c>
      <c r="W210" s="2">
        <f>IF(V210&gt;0,-(V210+$B$215)*($H$6/'Loan Amortization'!$D$8),0)</f>
        <v>0</v>
      </c>
      <c r="X210" s="2">
        <f>SUM(C210:V210)</f>
        <v>1</v>
      </c>
      <c r="Y210" s="2"/>
      <c r="Z210" s="480"/>
    </row>
    <row r="211" spans="2:26" x14ac:dyDescent="0.15">
      <c r="B211" s="511">
        <f>-PMT($H$6/12,$H$11*12,C14)</f>
        <v>0</v>
      </c>
      <c r="C211" s="4">
        <v>2</v>
      </c>
      <c r="D211" s="2">
        <f t="shared" si="99"/>
        <v>0</v>
      </c>
      <c r="E211" s="2">
        <f>IF(D211&gt;0,-(D211+$B$215)*($H$6/'Loan Amortization'!$D$8),0)</f>
        <v>0</v>
      </c>
      <c r="F211" s="2">
        <f t="shared" si="100"/>
        <v>0</v>
      </c>
      <c r="G211" s="2">
        <f>IF(F211&gt;0,-(F211+$B$215)*($H$6/'Loan Amortization'!$D$8),0)</f>
        <v>0</v>
      </c>
      <c r="H211" s="2">
        <f t="shared" si="101"/>
        <v>0</v>
      </c>
      <c r="I211" s="2">
        <f>IF(H211&gt;0,-(H211+$B$215)*($H$6/'Loan Amortization'!$D$8),0)</f>
        <v>0</v>
      </c>
      <c r="J211" s="2">
        <f t="shared" si="102"/>
        <v>0</v>
      </c>
      <c r="K211" s="2">
        <f>IF(J211&gt;0,-(J211+$B$215)*($H$6/'Loan Amortization'!$D$8),0)</f>
        <v>0</v>
      </c>
      <c r="L211" s="2">
        <f t="shared" si="103"/>
        <v>0</v>
      </c>
      <c r="M211" s="2">
        <f>IF(L211&gt;0,-(L211+$B$215)*($H$6/'Loan Amortization'!$D$8),0)</f>
        <v>0</v>
      </c>
      <c r="N211" s="2">
        <f t="shared" si="104"/>
        <v>0</v>
      </c>
      <c r="O211" s="2">
        <f>IF(N211&gt;0,-(N211+$B$215)*($H$6/'Loan Amortization'!$D$8),0)</f>
        <v>0</v>
      </c>
      <c r="P211" s="2">
        <f t="shared" si="105"/>
        <v>0</v>
      </c>
      <c r="Q211" s="2">
        <f>IF(P211&gt;0,-(P211+$B$215)*($H$6/'Loan Amortization'!$D$8),0)</f>
        <v>0</v>
      </c>
      <c r="R211" s="2">
        <f t="shared" si="106"/>
        <v>0</v>
      </c>
      <c r="S211" s="2">
        <f>IF(R211&gt;0,-(R211+$B$215)*($H$6/'Loan Amortization'!$D$8),0)</f>
        <v>0</v>
      </c>
      <c r="T211" s="2">
        <f t="shared" si="107"/>
        <v>0</v>
      </c>
      <c r="U211" s="2">
        <f>IF(T211&gt;0,-(T211+$B$215)*($H$6/'Loan Amortization'!$D$8),0)</f>
        <v>0</v>
      </c>
      <c r="V211" s="2">
        <f t="shared" si="108"/>
        <v>0</v>
      </c>
      <c r="W211" s="2">
        <f>IF(V211&gt;0,-(V211+$B$215)*($H$6/'Loan Amortization'!$D$8),0)</f>
        <v>0</v>
      </c>
      <c r="X211" s="2">
        <f t="shared" ref="X211:X223" si="109">SUM(C211:V211)</f>
        <v>2</v>
      </c>
      <c r="Y211" s="2"/>
      <c r="Z211" s="480"/>
    </row>
    <row r="212" spans="2:26" x14ac:dyDescent="0.15">
      <c r="B212" s="540">
        <f>B211*12</f>
        <v>0</v>
      </c>
      <c r="C212" s="4">
        <v>3</v>
      </c>
      <c r="D212" s="2">
        <f t="shared" si="99"/>
        <v>0</v>
      </c>
      <c r="E212" s="2">
        <f>IF(D212&gt;0,-(D212+$B$215)*($H$6/'Loan Amortization'!$D$8),0)</f>
        <v>0</v>
      </c>
      <c r="F212" s="2">
        <f t="shared" si="100"/>
        <v>0</v>
      </c>
      <c r="G212" s="2">
        <f>IF(F212&gt;0,-(F212+$B$215)*($H$6/'Loan Amortization'!$D$8),0)</f>
        <v>0</v>
      </c>
      <c r="H212" s="2">
        <f t="shared" si="101"/>
        <v>0</v>
      </c>
      <c r="I212" s="2">
        <f>IF(H212&gt;0,-(H212+$B$215)*($H$6/'Loan Amortization'!$D$8),0)</f>
        <v>0</v>
      </c>
      <c r="J212" s="2">
        <f t="shared" si="102"/>
        <v>0</v>
      </c>
      <c r="K212" s="2">
        <f>IF(J212&gt;0,-(J212+$B$215)*($H$6/'Loan Amortization'!$D$8),0)</f>
        <v>0</v>
      </c>
      <c r="L212" s="2">
        <f t="shared" si="103"/>
        <v>0</v>
      </c>
      <c r="M212" s="2">
        <f>IF(L212&gt;0,-(L212+$B$215)*($H$6/'Loan Amortization'!$D$8),0)</f>
        <v>0</v>
      </c>
      <c r="N212" s="2">
        <f t="shared" si="104"/>
        <v>0</v>
      </c>
      <c r="O212" s="2">
        <f>IF(N212&gt;0,-(N212+$B$215)*($H$6/'Loan Amortization'!$D$8),0)</f>
        <v>0</v>
      </c>
      <c r="P212" s="2">
        <f t="shared" si="105"/>
        <v>0</v>
      </c>
      <c r="Q212" s="2">
        <f>IF(P212&gt;0,-(P212+$B$215)*($H$6/'Loan Amortization'!$D$8),0)</f>
        <v>0</v>
      </c>
      <c r="R212" s="2">
        <f t="shared" si="106"/>
        <v>0</v>
      </c>
      <c r="S212" s="2">
        <f>IF(R212&gt;0,-(R212+$B$215)*($H$6/'Loan Amortization'!$D$8),0)</f>
        <v>0</v>
      </c>
      <c r="T212" s="2">
        <f t="shared" si="107"/>
        <v>0</v>
      </c>
      <c r="U212" s="2">
        <f>IF(T212&gt;0,-(T212+$B$215)*($H$6/'Loan Amortization'!$D$8),0)</f>
        <v>0</v>
      </c>
      <c r="V212" s="2">
        <f t="shared" si="108"/>
        <v>0</v>
      </c>
      <c r="W212" s="2">
        <f>IF(V212&gt;0,-(V212+$B$215)*($H$6/'Loan Amortization'!$D$8),0)</f>
        <v>0</v>
      </c>
      <c r="X212" s="2">
        <f t="shared" si="109"/>
        <v>3</v>
      </c>
      <c r="Y212" s="2"/>
      <c r="Z212" s="480"/>
    </row>
    <row r="213" spans="2:26" x14ac:dyDescent="0.15">
      <c r="B213" s="202" t="s">
        <v>662</v>
      </c>
      <c r="C213" s="4">
        <v>4</v>
      </c>
      <c r="D213" s="2">
        <f t="shared" si="99"/>
        <v>0</v>
      </c>
      <c r="E213" s="2">
        <f>IF(D213&gt;0,-(D213+$B$215)*($H$6/'Loan Amortization'!$D$8),0)</f>
        <v>0</v>
      </c>
      <c r="F213" s="2">
        <f t="shared" si="100"/>
        <v>0</v>
      </c>
      <c r="G213" s="2">
        <f>IF(F213&gt;0,-(F213+$B$215)*($H$6/'Loan Amortization'!$D$8),0)</f>
        <v>0</v>
      </c>
      <c r="H213" s="2">
        <f t="shared" si="101"/>
        <v>0</v>
      </c>
      <c r="I213" s="2">
        <f>IF(H213&gt;0,-(H213+$B$215)*($H$6/'Loan Amortization'!$D$8),0)</f>
        <v>0</v>
      </c>
      <c r="J213" s="2">
        <f t="shared" si="102"/>
        <v>0</v>
      </c>
      <c r="K213" s="2">
        <f>IF(J213&gt;0,-(J213+$B$215)*($H$6/'Loan Amortization'!$D$8),0)</f>
        <v>0</v>
      </c>
      <c r="L213" s="2">
        <f t="shared" si="103"/>
        <v>0</v>
      </c>
      <c r="M213" s="2">
        <f>IF(L213&gt;0,-(L213+$B$215)*($H$6/'Loan Amortization'!$D$8),0)</f>
        <v>0</v>
      </c>
      <c r="N213" s="2">
        <f t="shared" si="104"/>
        <v>0</v>
      </c>
      <c r="O213" s="2">
        <f>IF(N213&gt;0,-(N213+$B$215)*($H$6/'Loan Amortization'!$D$8),0)</f>
        <v>0</v>
      </c>
      <c r="P213" s="2">
        <f t="shared" si="105"/>
        <v>0</v>
      </c>
      <c r="Q213" s="2">
        <f>IF(P213&gt;0,-(P213+$B$215)*($H$6/'Loan Amortization'!$D$8),0)</f>
        <v>0</v>
      </c>
      <c r="R213" s="2">
        <f t="shared" si="106"/>
        <v>0</v>
      </c>
      <c r="S213" s="2">
        <f>IF(R213&gt;0,-(R213+$B$215)*($H$6/'Loan Amortization'!$D$8),0)</f>
        <v>0</v>
      </c>
      <c r="T213" s="2">
        <f t="shared" si="107"/>
        <v>0</v>
      </c>
      <c r="U213" s="2">
        <f>IF(T213&gt;0,-(T213+$B$215)*($H$6/'Loan Amortization'!$D$8),0)</f>
        <v>0</v>
      </c>
      <c r="V213" s="2">
        <f t="shared" si="108"/>
        <v>0</v>
      </c>
      <c r="W213" s="2">
        <f>IF(V213&gt;0,-(V213+$B$215)*($H$6/'Loan Amortization'!$D$8),0)</f>
        <v>0</v>
      </c>
      <c r="X213" s="2">
        <f t="shared" si="109"/>
        <v>4</v>
      </c>
      <c r="Y213" s="2"/>
      <c r="Z213" s="480"/>
    </row>
    <row r="214" spans="2:26" x14ac:dyDescent="0.15">
      <c r="B214" s="521">
        <f>C14</f>
        <v>0</v>
      </c>
      <c r="C214" s="4">
        <v>5</v>
      </c>
      <c r="D214" s="2">
        <f t="shared" si="99"/>
        <v>0</v>
      </c>
      <c r="E214" s="2">
        <f>IF(D214&gt;0,-(D214+$B$215)*($H$6/'Loan Amortization'!$D$8),0)</f>
        <v>0</v>
      </c>
      <c r="F214" s="2">
        <f t="shared" si="100"/>
        <v>0</v>
      </c>
      <c r="G214" s="2">
        <f>IF(F214&gt;0,-(F214+$B$215)*($H$6/'Loan Amortization'!$D$8),0)</f>
        <v>0</v>
      </c>
      <c r="H214" s="2">
        <f t="shared" si="101"/>
        <v>0</v>
      </c>
      <c r="I214" s="2">
        <f>IF(H214&gt;0,-(H214+$B$215)*($H$6/'Loan Amortization'!$D$8),0)</f>
        <v>0</v>
      </c>
      <c r="J214" s="2">
        <f t="shared" si="102"/>
        <v>0</v>
      </c>
      <c r="K214" s="2">
        <f>IF(J214&gt;0,-(J214+$B$215)*($H$6/'Loan Amortization'!$D$8),0)</f>
        <v>0</v>
      </c>
      <c r="L214" s="2">
        <f t="shared" si="103"/>
        <v>0</v>
      </c>
      <c r="M214" s="2">
        <f>IF(L214&gt;0,-(L214+$B$215)*($H$6/'Loan Amortization'!$D$8),0)</f>
        <v>0</v>
      </c>
      <c r="N214" s="2">
        <f t="shared" si="104"/>
        <v>0</v>
      </c>
      <c r="O214" s="2">
        <f>IF(N214&gt;0,-(N214+$B$215)*($H$6/'Loan Amortization'!$D$8),0)</f>
        <v>0</v>
      </c>
      <c r="P214" s="2">
        <f t="shared" si="105"/>
        <v>0</v>
      </c>
      <c r="Q214" s="2">
        <f>IF(P214&gt;0,-(P214+$B$215)*($H$6/'Loan Amortization'!$D$8),0)</f>
        <v>0</v>
      </c>
      <c r="R214" s="2">
        <f t="shared" si="106"/>
        <v>0</v>
      </c>
      <c r="S214" s="2">
        <f>IF(R214&gt;0,-(R214+$B$215)*($H$6/'Loan Amortization'!$D$8),0)</f>
        <v>0</v>
      </c>
      <c r="T214" s="2">
        <f t="shared" si="107"/>
        <v>0</v>
      </c>
      <c r="U214" s="2">
        <f>IF(T214&gt;0,-(T214+$B$215)*($H$6/'Loan Amortization'!$D$8),0)</f>
        <v>0</v>
      </c>
      <c r="V214" s="2">
        <f t="shared" si="108"/>
        <v>0</v>
      </c>
      <c r="W214" s="2">
        <f>IF(V214&gt;0,-(V214+$B$215)*($H$6/'Loan Amortization'!$D$8),0)</f>
        <v>0</v>
      </c>
      <c r="X214" s="2">
        <f t="shared" si="109"/>
        <v>5</v>
      </c>
      <c r="Y214" s="2"/>
      <c r="Z214" s="480"/>
    </row>
    <row r="215" spans="2:26" x14ac:dyDescent="0.15">
      <c r="B215" s="521">
        <f>B214/($H$11)</f>
        <v>0</v>
      </c>
      <c r="C215" s="4">
        <v>6</v>
      </c>
      <c r="D215" s="2">
        <f t="shared" si="99"/>
        <v>0</v>
      </c>
      <c r="E215" s="2">
        <f>IF(D215&gt;0,-(D215+$B$215)*($H$6/'Loan Amortization'!$D$8),0)</f>
        <v>0</v>
      </c>
      <c r="F215" s="2">
        <f t="shared" si="100"/>
        <v>0</v>
      </c>
      <c r="G215" s="2">
        <f>IF(F215&gt;0,-(F215+$B$215)*($H$6/'Loan Amortization'!$D$8),0)</f>
        <v>0</v>
      </c>
      <c r="H215" s="2">
        <f t="shared" si="101"/>
        <v>0</v>
      </c>
      <c r="I215" s="2">
        <f>IF(H215&gt;0,-(H215+$B$215)*($H$6/'Loan Amortization'!$D$8),0)</f>
        <v>0</v>
      </c>
      <c r="J215" s="2">
        <f t="shared" si="102"/>
        <v>0</v>
      </c>
      <c r="K215" s="2">
        <f>IF(J215&gt;0,-(J215+$B$215)*($H$6/'Loan Amortization'!$D$8),0)</f>
        <v>0</v>
      </c>
      <c r="L215" s="2">
        <f t="shared" si="103"/>
        <v>0</v>
      </c>
      <c r="M215" s="2">
        <f>IF(L215&gt;0,-(L215+$B$215)*($H$6/'Loan Amortization'!$D$8),0)</f>
        <v>0</v>
      </c>
      <c r="N215" s="2">
        <f t="shared" si="104"/>
        <v>0</v>
      </c>
      <c r="O215" s="2">
        <f>IF(N215&gt;0,-(N215+$B$215)*($H$6/'Loan Amortization'!$D$8),0)</f>
        <v>0</v>
      </c>
      <c r="P215" s="2">
        <f t="shared" si="105"/>
        <v>0</v>
      </c>
      <c r="Q215" s="2">
        <f>IF(P215&gt;0,-(P215+$B$215)*($H$6/'Loan Amortization'!$D$8),0)</f>
        <v>0</v>
      </c>
      <c r="R215" s="2">
        <f t="shared" si="106"/>
        <v>0</v>
      </c>
      <c r="S215" s="2">
        <f>IF(R215&gt;0,-(R215+$B$215)*($H$6/'Loan Amortization'!$D$8),0)</f>
        <v>0</v>
      </c>
      <c r="T215" s="2">
        <f t="shared" si="107"/>
        <v>0</v>
      </c>
      <c r="U215" s="2">
        <f>IF(T215&gt;0,-(T215+$B$215)*($H$6/'Loan Amortization'!$D$8),0)</f>
        <v>0</v>
      </c>
      <c r="V215" s="2">
        <f t="shared" si="108"/>
        <v>0</v>
      </c>
      <c r="W215" s="2">
        <f>IF(V215&gt;0,-(V215+$B$215)*($H$6/'Loan Amortization'!$D$8),0)</f>
        <v>0</v>
      </c>
      <c r="X215" s="2">
        <f t="shared" si="109"/>
        <v>6</v>
      </c>
      <c r="Y215" s="2"/>
      <c r="Z215" s="480"/>
    </row>
    <row r="216" spans="2:26" x14ac:dyDescent="0.15">
      <c r="B216" s="202"/>
      <c r="C216" s="4">
        <v>7</v>
      </c>
      <c r="D216" s="2">
        <f t="shared" si="99"/>
        <v>0</v>
      </c>
      <c r="E216" s="2">
        <f>IF(D216&gt;0,-(D216+$B$215)*($H$6/'Loan Amortization'!$D$8),0)</f>
        <v>0</v>
      </c>
      <c r="F216" s="2">
        <f t="shared" si="100"/>
        <v>0</v>
      </c>
      <c r="G216" s="2">
        <f>IF(F216&gt;0,-(F216+$B$215)*($H$6/'Loan Amortization'!$D$8),0)</f>
        <v>0</v>
      </c>
      <c r="H216" s="2">
        <f t="shared" si="101"/>
        <v>0</v>
      </c>
      <c r="I216" s="2">
        <f>IF(H216&gt;0,-(H216+$B$215)*($H$6/'Loan Amortization'!$D$8),0)</f>
        <v>0</v>
      </c>
      <c r="J216" s="2">
        <f t="shared" si="102"/>
        <v>0</v>
      </c>
      <c r="K216" s="2">
        <f>IF(J216&gt;0,-(J216+$B$215)*($H$6/'Loan Amortization'!$D$8),0)</f>
        <v>0</v>
      </c>
      <c r="L216" s="2">
        <f t="shared" si="103"/>
        <v>0</v>
      </c>
      <c r="M216" s="2">
        <f>IF(L216&gt;0,-(L216+$B$215)*($H$6/'Loan Amortization'!$D$8),0)</f>
        <v>0</v>
      </c>
      <c r="N216" s="2">
        <f t="shared" si="104"/>
        <v>0</v>
      </c>
      <c r="O216" s="2">
        <f>IF(N216&gt;0,-(N216+$B$215)*($H$6/'Loan Amortization'!$D$8),0)</f>
        <v>0</v>
      </c>
      <c r="P216" s="2">
        <f t="shared" si="105"/>
        <v>0</v>
      </c>
      <c r="Q216" s="2">
        <f>IF(P216&gt;0,-(P216+$B$215)*($H$6/'Loan Amortization'!$D$8),0)</f>
        <v>0</v>
      </c>
      <c r="R216" s="2">
        <f t="shared" si="106"/>
        <v>0</v>
      </c>
      <c r="S216" s="2">
        <f>IF(R216&gt;0,-(R216+$B$215)*($H$6/'Loan Amortization'!$D$8),0)</f>
        <v>0</v>
      </c>
      <c r="T216" s="2">
        <f t="shared" si="107"/>
        <v>0</v>
      </c>
      <c r="U216" s="2">
        <f>IF(T216&gt;0,-(T216+$B$215)*($H$6/'Loan Amortization'!$D$8),0)</f>
        <v>0</v>
      </c>
      <c r="V216" s="2">
        <f t="shared" si="108"/>
        <v>0</v>
      </c>
      <c r="W216" s="2">
        <f>IF(V216&gt;0,-(V216+$B$215)*($H$6/'Loan Amortization'!$D$8),0)</f>
        <v>0</v>
      </c>
      <c r="X216" s="2">
        <f t="shared" si="109"/>
        <v>7</v>
      </c>
      <c r="Y216" s="2"/>
      <c r="Z216" s="480"/>
    </row>
    <row r="217" spans="2:26" x14ac:dyDescent="0.15">
      <c r="B217" s="202"/>
      <c r="C217" s="4">
        <v>8</v>
      </c>
      <c r="D217" s="2">
        <f t="shared" si="99"/>
        <v>0</v>
      </c>
      <c r="E217" s="2">
        <f>IF(D217&gt;0,-(D217+$B$215)*($H$6/'Loan Amortization'!$D$8),0)</f>
        <v>0</v>
      </c>
      <c r="F217" s="2">
        <f t="shared" si="100"/>
        <v>0</v>
      </c>
      <c r="G217" s="2">
        <f>IF(F217&gt;0,-(F217+$B$215)*($H$6/'Loan Amortization'!$D$8),0)</f>
        <v>0</v>
      </c>
      <c r="H217" s="2">
        <f t="shared" si="101"/>
        <v>0</v>
      </c>
      <c r="I217" s="2">
        <f>IF(H217&gt;0,-(H217+$B$215)*($H$6/'Loan Amortization'!$D$8),0)</f>
        <v>0</v>
      </c>
      <c r="J217" s="2">
        <f t="shared" si="102"/>
        <v>0</v>
      </c>
      <c r="K217" s="2">
        <f>IF(J217&gt;0,-(J217+$B$215)*($H$6/'Loan Amortization'!$D$8),0)</f>
        <v>0</v>
      </c>
      <c r="L217" s="2">
        <f t="shared" si="103"/>
        <v>0</v>
      </c>
      <c r="M217" s="2">
        <f>IF(L217&gt;0,-(L217+$B$215)*($H$6/'Loan Amortization'!$D$8),0)</f>
        <v>0</v>
      </c>
      <c r="N217" s="2">
        <f t="shared" si="104"/>
        <v>0</v>
      </c>
      <c r="O217" s="2">
        <f>IF(N217&gt;0,-(N217+$B$215)*($H$6/'Loan Amortization'!$D$8),0)</f>
        <v>0</v>
      </c>
      <c r="P217" s="2">
        <f t="shared" si="105"/>
        <v>0</v>
      </c>
      <c r="Q217" s="2">
        <f>IF(P217&gt;0,-(P217+$B$215)*($H$6/'Loan Amortization'!$D$8),0)</f>
        <v>0</v>
      </c>
      <c r="R217" s="2">
        <f t="shared" si="106"/>
        <v>0</v>
      </c>
      <c r="S217" s="2">
        <f>IF(R217&gt;0,-(R217+$B$215)*($H$6/'Loan Amortization'!$D$8),0)</f>
        <v>0</v>
      </c>
      <c r="T217" s="2">
        <f t="shared" si="107"/>
        <v>0</v>
      </c>
      <c r="U217" s="2">
        <f>IF(T217&gt;0,-(T217+$B$215)*($H$6/'Loan Amortization'!$D$8),0)</f>
        <v>0</v>
      </c>
      <c r="V217" s="2">
        <f t="shared" si="108"/>
        <v>0</v>
      </c>
      <c r="W217" s="2">
        <f>IF(V217&gt;0,-(V217+$B$215)*($H$6/'Loan Amortization'!$D$8),0)</f>
        <v>0</v>
      </c>
      <c r="X217" s="2">
        <f t="shared" si="109"/>
        <v>8</v>
      </c>
      <c r="Y217" s="2"/>
      <c r="Z217" s="480"/>
    </row>
    <row r="218" spans="2:26" x14ac:dyDescent="0.15">
      <c r="B218" s="202"/>
      <c r="C218" s="4">
        <v>9</v>
      </c>
      <c r="D218" s="2">
        <f t="shared" si="99"/>
        <v>0</v>
      </c>
      <c r="E218" s="2">
        <f>IF(D218&gt;0,-(D218+$B$215)*($H$6/'Loan Amortization'!$D$8),0)</f>
        <v>0</v>
      </c>
      <c r="F218" s="2">
        <f t="shared" si="100"/>
        <v>0</v>
      </c>
      <c r="G218" s="2">
        <f>IF(F218&gt;0,-(F218+$B$215)*($H$6/'Loan Amortization'!$D$8),0)</f>
        <v>0</v>
      </c>
      <c r="H218" s="2">
        <f t="shared" si="101"/>
        <v>0</v>
      </c>
      <c r="I218" s="2">
        <f>IF(H218&gt;0,-(H218+$B$215)*($H$6/'Loan Amortization'!$D$8),0)</f>
        <v>0</v>
      </c>
      <c r="J218" s="2">
        <f t="shared" si="102"/>
        <v>0</v>
      </c>
      <c r="K218" s="2">
        <f>IF(J218&gt;0,-(J218+$B$215)*($H$6/'Loan Amortization'!$D$8),0)</f>
        <v>0</v>
      </c>
      <c r="L218" s="2">
        <f t="shared" si="103"/>
        <v>0</v>
      </c>
      <c r="M218" s="2">
        <f>IF(L218&gt;0,-(L218+$B$215)*($H$6/'Loan Amortization'!$D$8),0)</f>
        <v>0</v>
      </c>
      <c r="N218" s="2">
        <f t="shared" si="104"/>
        <v>0</v>
      </c>
      <c r="O218" s="2">
        <f>IF(N218&gt;0,-(N218+$B$215)*($H$6/'Loan Amortization'!$D$8),0)</f>
        <v>0</v>
      </c>
      <c r="P218" s="2">
        <f t="shared" si="105"/>
        <v>0</v>
      </c>
      <c r="Q218" s="2">
        <f>IF(P218&gt;0,-(P218+$B$215)*($H$6/'Loan Amortization'!$D$8),0)</f>
        <v>0</v>
      </c>
      <c r="R218" s="2">
        <f t="shared" si="106"/>
        <v>0</v>
      </c>
      <c r="S218" s="2">
        <f>IF(R218&gt;0,-(R218+$B$215)*($H$6/'Loan Amortization'!$D$8),0)</f>
        <v>0</v>
      </c>
      <c r="T218" s="2">
        <f t="shared" si="107"/>
        <v>0</v>
      </c>
      <c r="U218" s="2">
        <f>IF(T218&gt;0,-(T218+$B$215)*($H$6/'Loan Amortization'!$D$8),0)</f>
        <v>0</v>
      </c>
      <c r="V218" s="2">
        <f t="shared" si="108"/>
        <v>0</v>
      </c>
      <c r="W218" s="2">
        <f>IF(V218&gt;0,-(V218+$B$215)*($H$6/'Loan Amortization'!$D$8),0)</f>
        <v>0</v>
      </c>
      <c r="X218" s="2">
        <f t="shared" si="109"/>
        <v>9</v>
      </c>
      <c r="Y218" s="2"/>
      <c r="Z218" s="480"/>
    </row>
    <row r="219" spans="2:26" x14ac:dyDescent="0.15">
      <c r="B219" s="202"/>
      <c r="C219" s="4">
        <v>10</v>
      </c>
      <c r="D219" s="2">
        <f t="shared" si="99"/>
        <v>0</v>
      </c>
      <c r="E219" s="2">
        <f>IF(D219&gt;0,-(D219+$B$215)*($H$6/'Loan Amortization'!$D$8),0)</f>
        <v>0</v>
      </c>
      <c r="F219" s="2">
        <f t="shared" si="100"/>
        <v>0</v>
      </c>
      <c r="G219" s="2">
        <f>IF(F219&gt;0,-(F219+$B$215)*($H$6/'Loan Amortization'!$D$8),0)</f>
        <v>0</v>
      </c>
      <c r="H219" s="2">
        <f t="shared" si="101"/>
        <v>0</v>
      </c>
      <c r="I219" s="2">
        <f>IF(H219&gt;0,-(H219+$B$215)*($H$6/'Loan Amortization'!$D$8),0)</f>
        <v>0</v>
      </c>
      <c r="J219" s="2">
        <f t="shared" si="102"/>
        <v>0</v>
      </c>
      <c r="K219" s="2">
        <f>IF(J219&gt;0,-(J219+$B$215)*($H$6/'Loan Amortization'!$D$8),0)</f>
        <v>0</v>
      </c>
      <c r="L219" s="2">
        <f t="shared" si="103"/>
        <v>0</v>
      </c>
      <c r="M219" s="2">
        <f>IF(L219&gt;0,-(L219+$B$215)*($H$6/'Loan Amortization'!$D$8),0)</f>
        <v>0</v>
      </c>
      <c r="N219" s="2">
        <f t="shared" si="104"/>
        <v>0</v>
      </c>
      <c r="O219" s="2">
        <f>IF(N219&gt;0,-(N219+$B$215)*($H$6/'Loan Amortization'!$D$8),0)</f>
        <v>0</v>
      </c>
      <c r="P219" s="2">
        <f t="shared" si="105"/>
        <v>0</v>
      </c>
      <c r="Q219" s="2">
        <f>IF(P219&gt;0,-(P219+$B$215)*($H$6/'Loan Amortization'!$D$8),0)</f>
        <v>0</v>
      </c>
      <c r="R219" s="2">
        <f t="shared" si="106"/>
        <v>0</v>
      </c>
      <c r="S219" s="2">
        <f>IF(R219&gt;0,-(R219+$B$215)*($H$6/'Loan Amortization'!$D$8),0)</f>
        <v>0</v>
      </c>
      <c r="T219" s="2">
        <f t="shared" si="107"/>
        <v>0</v>
      </c>
      <c r="U219" s="2">
        <f>IF(T219&gt;0,-(T219+$B$215)*($H$6/'Loan Amortization'!$D$8),0)</f>
        <v>0</v>
      </c>
      <c r="V219" s="2">
        <f t="shared" si="108"/>
        <v>0</v>
      </c>
      <c r="W219" s="2">
        <f>IF(V219&gt;0,-(V219+$B$215)*($H$6/'Loan Amortization'!$D$8),0)</f>
        <v>0</v>
      </c>
      <c r="X219" s="2">
        <f t="shared" si="109"/>
        <v>10</v>
      </c>
      <c r="Y219" s="2"/>
      <c r="Z219" s="480"/>
    </row>
    <row r="220" spans="2:26" x14ac:dyDescent="0.15">
      <c r="B220" s="202"/>
      <c r="C220" s="4">
        <v>11</v>
      </c>
      <c r="D220" s="2">
        <f t="shared" si="99"/>
        <v>0</v>
      </c>
      <c r="E220" s="2">
        <f>IF(D220&gt;0,-(D220+$B$215)*($H$6/'Loan Amortization'!$D$8),0)</f>
        <v>0</v>
      </c>
      <c r="F220" s="2">
        <f t="shared" si="100"/>
        <v>0</v>
      </c>
      <c r="G220" s="2">
        <f>IF(F220&gt;0,-(F220+$B$215)*($H$6/'Loan Amortization'!$D$8),0)</f>
        <v>0</v>
      </c>
      <c r="H220" s="2">
        <f t="shared" si="101"/>
        <v>0</v>
      </c>
      <c r="I220" s="2">
        <f>IF(H220&gt;0,-(H220+$B$215)*($H$6/'Loan Amortization'!$D$8),0)</f>
        <v>0</v>
      </c>
      <c r="J220" s="2">
        <f t="shared" si="102"/>
        <v>0</v>
      </c>
      <c r="K220" s="2">
        <f>IF(J220&gt;0,-(J220+$B$215)*($H$6/'Loan Amortization'!$D$8),0)</f>
        <v>0</v>
      </c>
      <c r="L220" s="2">
        <f t="shared" si="103"/>
        <v>0</v>
      </c>
      <c r="M220" s="2">
        <f>IF(L220&gt;0,-(L220+$B$215)*($H$6/'Loan Amortization'!$D$8),0)</f>
        <v>0</v>
      </c>
      <c r="N220" s="2">
        <f t="shared" si="104"/>
        <v>0</v>
      </c>
      <c r="O220" s="2">
        <f>IF(N220&gt;0,-(N220+$B$215)*($H$6/'Loan Amortization'!$D$8),0)</f>
        <v>0</v>
      </c>
      <c r="P220" s="2">
        <f t="shared" si="105"/>
        <v>0</v>
      </c>
      <c r="Q220" s="2">
        <f>IF(P220&gt;0,-(P220+$B$215)*($H$6/'Loan Amortization'!$D$8),0)</f>
        <v>0</v>
      </c>
      <c r="R220" s="2">
        <f t="shared" si="106"/>
        <v>0</v>
      </c>
      <c r="S220" s="2">
        <f>IF(R220&gt;0,-(R220+$B$215)*($H$6/'Loan Amortization'!$D$8),0)</f>
        <v>0</v>
      </c>
      <c r="T220" s="2">
        <f t="shared" si="107"/>
        <v>0</v>
      </c>
      <c r="U220" s="2">
        <f>IF(T220&gt;0,-(T220+$B$215)*($H$6/'Loan Amortization'!$D$8),0)</f>
        <v>0</v>
      </c>
      <c r="V220" s="2">
        <f t="shared" si="108"/>
        <v>0</v>
      </c>
      <c r="W220" s="2">
        <f>IF(V220&gt;0,-(V220+$B$215)*($H$6/'Loan Amortization'!$D$8),0)</f>
        <v>0</v>
      </c>
      <c r="X220" s="2">
        <f t="shared" si="109"/>
        <v>11</v>
      </c>
      <c r="Y220" s="2"/>
      <c r="Z220" s="480"/>
    </row>
    <row r="221" spans="2:26" ht="14" thickBot="1" x14ac:dyDescent="0.2">
      <c r="B221" s="202"/>
      <c r="C221" s="4">
        <v>12</v>
      </c>
      <c r="D221" s="2">
        <f t="shared" si="99"/>
        <v>0</v>
      </c>
      <c r="E221" s="2">
        <f>IF(D221&gt;0,-(D221+$B$215)*($H$6/'Loan Amortization'!$D$8),0)</f>
        <v>0</v>
      </c>
      <c r="F221" s="2">
        <f t="shared" si="100"/>
        <v>0</v>
      </c>
      <c r="G221" s="2">
        <f>IF(F221&gt;0,-(F221+$B$215)*($H$6/'Loan Amortization'!$D$8),0)</f>
        <v>0</v>
      </c>
      <c r="H221" s="2">
        <f t="shared" si="101"/>
        <v>0</v>
      </c>
      <c r="I221" s="2">
        <f>IF(H221&gt;0,-(H221+$B$215)*($H$6/'Loan Amortization'!$D$8),0)</f>
        <v>0</v>
      </c>
      <c r="J221" s="2">
        <f t="shared" si="102"/>
        <v>0</v>
      </c>
      <c r="K221" s="2">
        <f>IF(J221&gt;0,-(J221+$B$215)*($H$6/'Loan Amortization'!$D$8),0)</f>
        <v>0</v>
      </c>
      <c r="L221" s="2">
        <f t="shared" si="103"/>
        <v>0</v>
      </c>
      <c r="M221" s="2">
        <f>IF(L221&gt;0,-(L221+$B$215)*($H$6/'Loan Amortization'!$D$8),0)</f>
        <v>0</v>
      </c>
      <c r="N221" s="2">
        <f t="shared" si="104"/>
        <v>0</v>
      </c>
      <c r="O221" s="2">
        <f>IF(N221&gt;0,-(N221+$B$215)*($H$6/'Loan Amortization'!$D$8),0)</f>
        <v>0</v>
      </c>
      <c r="P221" s="2">
        <f t="shared" si="105"/>
        <v>0</v>
      </c>
      <c r="Q221" s="2">
        <f>IF(P221&gt;0,-(P221+$B$215)*($H$6/'Loan Amortization'!$D$8),0)</f>
        <v>0</v>
      </c>
      <c r="R221" s="2">
        <f t="shared" si="106"/>
        <v>0</v>
      </c>
      <c r="S221" s="2">
        <f>IF(R221&gt;0,-(R221+$B$215)*($H$6/'Loan Amortization'!$D$8),0)</f>
        <v>0</v>
      </c>
      <c r="T221" s="2">
        <f t="shared" si="107"/>
        <v>0</v>
      </c>
      <c r="U221" s="2">
        <f>IF(T221&gt;0,-(T221+$B$215)*($H$6/'Loan Amortization'!$D$8),0)</f>
        <v>0</v>
      </c>
      <c r="V221" s="2">
        <f t="shared" si="108"/>
        <v>0</v>
      </c>
      <c r="W221" s="2">
        <f>IF(V221&gt;0,-(V221+$B$215)*($H$6/'Loan Amortization'!$D$8),0)</f>
        <v>0</v>
      </c>
      <c r="X221" s="2">
        <f t="shared" si="109"/>
        <v>12</v>
      </c>
      <c r="Y221" s="2"/>
      <c r="Z221" s="480"/>
    </row>
    <row r="222" spans="2:26" ht="14" thickBot="1" x14ac:dyDescent="0.2">
      <c r="B222" s="541" t="s">
        <v>45</v>
      </c>
      <c r="C222" s="502" t="s">
        <v>663</v>
      </c>
      <c r="D222" s="503">
        <f>IF(D$20&lt;($H$11+1),-$B$215,0)</f>
        <v>0</v>
      </c>
      <c r="E222" s="503"/>
      <c r="F222" s="503">
        <f>IF(F$20&lt;($H$11+1),-$B$215,0)</f>
        <v>0</v>
      </c>
      <c r="G222" s="503"/>
      <c r="H222" s="503">
        <f>IF(H$20&lt;($H$11+1),-$B$215,0)</f>
        <v>0</v>
      </c>
      <c r="I222" s="503"/>
      <c r="J222" s="503">
        <f>IF(J$20&lt;($H$11+1),-$B$215,0)</f>
        <v>0</v>
      </c>
      <c r="K222" s="503"/>
      <c r="L222" s="503">
        <f>IF(L$20&lt;($H$11+1),-$B$215,0)</f>
        <v>0</v>
      </c>
      <c r="M222" s="503"/>
      <c r="N222" s="503">
        <f>IF(N$20&lt;($H$11+1),-$B$215,0)</f>
        <v>0</v>
      </c>
      <c r="O222" s="503"/>
      <c r="P222" s="503">
        <f>IF(P$20&lt;($H$11+1),-$B$215,0)</f>
        <v>0</v>
      </c>
      <c r="Q222" s="503"/>
      <c r="R222" s="503">
        <f>IF(R$20&lt;($H$11+1),-$B$215,0)</f>
        <v>0</v>
      </c>
      <c r="S222" s="503"/>
      <c r="T222" s="503">
        <f>IF(T$20&lt;($H$11+1),-$B$215,0)</f>
        <v>0</v>
      </c>
      <c r="U222" s="503"/>
      <c r="V222" s="503">
        <f>IF(V$20&lt;($H$11+1),-$B$215,0)</f>
        <v>0</v>
      </c>
      <c r="W222" s="503"/>
      <c r="X222" s="504">
        <f t="shared" si="109"/>
        <v>0</v>
      </c>
      <c r="Y222" s="501"/>
      <c r="Z222" s="480"/>
    </row>
    <row r="223" spans="2:26" ht="14" thickBot="1" x14ac:dyDescent="0.2">
      <c r="B223" s="478"/>
      <c r="C223" s="520" t="s">
        <v>273</v>
      </c>
      <c r="D223" s="522"/>
      <c r="E223" s="522">
        <f>IF((D$20)&gt;$H$11,0,IPMT($H$6,D209,$H$11,$B$214))</f>
        <v>0</v>
      </c>
      <c r="F223" s="522"/>
      <c r="G223" s="522">
        <f>IF((F$20)&gt;$H$11,0,IPMT($H$6,F209,$H$11,$B$214))</f>
        <v>0</v>
      </c>
      <c r="H223" s="522"/>
      <c r="I223" s="522">
        <f>IF((H$20)&gt;$H$11,0,IPMT($H$6,H209,$H$11,$B$214))</f>
        <v>0</v>
      </c>
      <c r="J223" s="522"/>
      <c r="K223" s="522">
        <f>IF((J$20)&gt;$H$11,0,IPMT($H$6,J209,$H$11,$B$214))</f>
        <v>0</v>
      </c>
      <c r="L223" s="522"/>
      <c r="M223" s="522">
        <f>IF((L$20)&gt;$H$11,0,IPMT($H$6,L209,$H$11,$B$214))</f>
        <v>0</v>
      </c>
      <c r="N223" s="522"/>
      <c r="O223" s="522">
        <f>IF((N$20)&gt;$H$11,0,IPMT($H$6,N209,$H$11,$B$214))</f>
        <v>0</v>
      </c>
      <c r="P223" s="522"/>
      <c r="Q223" s="522">
        <f>IF((P$20)&gt;$H$11,0,IPMT($H$6,P209,$H$11,$B$214))</f>
        <v>0</v>
      </c>
      <c r="R223" s="522"/>
      <c r="S223" s="522">
        <f>IF((R$20)&gt;$H$11,0,IPMT($H$6,R209,$H$11,$B$214))</f>
        <v>0</v>
      </c>
      <c r="T223" s="522"/>
      <c r="U223" s="522">
        <f>IF((T$20)&gt;$H$11,0,IPMT($H$6,T209,$H$11,$B$214))</f>
        <v>0</v>
      </c>
      <c r="V223" s="522"/>
      <c r="W223" s="522">
        <f>IF((V$20)&gt;$H$11,0,IPMT($H$6,V209,$H$11,$B$214))</f>
        <v>0</v>
      </c>
      <c r="X223" s="504">
        <f t="shared" si="109"/>
        <v>0</v>
      </c>
      <c r="Y223" s="548"/>
      <c r="Z223" s="482"/>
    </row>
    <row r="224" spans="2:26" ht="14" thickBot="1" x14ac:dyDescent="0.2">
      <c r="B224" s="8"/>
      <c r="C224" s="502" t="s">
        <v>664</v>
      </c>
      <c r="D224" s="558">
        <f>D209</f>
        <v>1</v>
      </c>
      <c r="E224" s="559">
        <f>F209</f>
        <v>2</v>
      </c>
      <c r="F224" s="559">
        <f>H209</f>
        <v>3</v>
      </c>
      <c r="G224" s="559">
        <f>J209</f>
        <v>4</v>
      </c>
      <c r="H224" s="559">
        <f>L209</f>
        <v>5</v>
      </c>
      <c r="I224" s="559">
        <f>N209</f>
        <v>6</v>
      </c>
      <c r="J224" s="559">
        <f>P209</f>
        <v>7</v>
      </c>
      <c r="K224" s="559">
        <f>R209</f>
        <v>8</v>
      </c>
      <c r="L224" s="559">
        <f>T209</f>
        <v>9</v>
      </c>
      <c r="M224" s="559">
        <f>V209</f>
        <v>10</v>
      </c>
      <c r="N224" s="560" t="str">
        <f>X209</f>
        <v>TOTAL</v>
      </c>
      <c r="O224" s="2"/>
      <c r="P224" s="2"/>
      <c r="Q224" s="2"/>
      <c r="R224" s="2"/>
      <c r="S224" s="2"/>
      <c r="T224" s="2"/>
      <c r="U224" s="2"/>
      <c r="V224" s="2"/>
      <c r="W224" s="2"/>
      <c r="X224" s="2"/>
      <c r="Y224" s="2"/>
    </row>
    <row r="225" spans="2:26" ht="14" thickBot="1" x14ac:dyDescent="0.2">
      <c r="B225" s="8"/>
      <c r="C225" s="502" t="s">
        <v>663</v>
      </c>
      <c r="D225" s="561">
        <f>D222</f>
        <v>0</v>
      </c>
      <c r="E225" s="2">
        <f>F222</f>
        <v>0</v>
      </c>
      <c r="F225" s="2">
        <f>H222</f>
        <v>0</v>
      </c>
      <c r="G225" s="2">
        <f>J222</f>
        <v>0</v>
      </c>
      <c r="H225" s="2">
        <f>L222</f>
        <v>0</v>
      </c>
      <c r="I225" s="2">
        <f>N222</f>
        <v>0</v>
      </c>
      <c r="J225" s="2">
        <f>P222</f>
        <v>0</v>
      </c>
      <c r="K225" s="2">
        <f>R222</f>
        <v>0</v>
      </c>
      <c r="L225" s="2">
        <f>T222</f>
        <v>0</v>
      </c>
      <c r="M225" s="2">
        <f>V222</f>
        <v>0</v>
      </c>
      <c r="N225" s="501">
        <f>X222</f>
        <v>0</v>
      </c>
      <c r="O225" s="2"/>
      <c r="P225" s="2"/>
      <c r="Q225" s="2"/>
      <c r="R225" s="2"/>
      <c r="S225" s="2"/>
      <c r="T225" s="2"/>
      <c r="U225" s="2"/>
      <c r="V225" s="2"/>
      <c r="W225" s="2"/>
      <c r="X225" s="2"/>
      <c r="Y225" s="2"/>
    </row>
    <row r="226" spans="2:26" ht="14" thickBot="1" x14ac:dyDescent="0.2">
      <c r="B226" s="8"/>
      <c r="C226" s="520" t="s">
        <v>273</v>
      </c>
      <c r="D226" s="562">
        <f>E223</f>
        <v>0</v>
      </c>
      <c r="E226" s="522">
        <f>G223</f>
        <v>0</v>
      </c>
      <c r="F226" s="522">
        <f>I223</f>
        <v>0</v>
      </c>
      <c r="G226" s="522">
        <f>K223</f>
        <v>0</v>
      </c>
      <c r="H226" s="522">
        <f>M223</f>
        <v>0</v>
      </c>
      <c r="I226" s="522">
        <f>O223</f>
        <v>0</v>
      </c>
      <c r="J226" s="522">
        <f>Q223</f>
        <v>0</v>
      </c>
      <c r="K226" s="522">
        <f>S223</f>
        <v>0</v>
      </c>
      <c r="L226" s="522">
        <f>U223</f>
        <v>0</v>
      </c>
      <c r="M226" s="522">
        <f>W223</f>
        <v>0</v>
      </c>
      <c r="N226" s="548">
        <f>X223</f>
        <v>0</v>
      </c>
      <c r="O226" s="2"/>
      <c r="P226" s="2"/>
      <c r="Q226" s="2"/>
      <c r="R226" s="2"/>
      <c r="S226" s="2"/>
      <c r="T226" s="2"/>
      <c r="U226" s="2"/>
      <c r="V226" s="2"/>
      <c r="W226" s="2"/>
      <c r="X226" s="2"/>
      <c r="Y226" s="2"/>
    </row>
    <row r="228" spans="2:26" ht="14" thickBot="1" x14ac:dyDescent="0.2"/>
    <row r="229" spans="2:26" ht="14" thickBot="1" x14ac:dyDescent="0.2">
      <c r="B229" s="495" t="s">
        <v>422</v>
      </c>
      <c r="C229" s="178"/>
      <c r="D229" s="483" t="s">
        <v>133</v>
      </c>
      <c r="E229" s="483"/>
      <c r="F229" s="483" t="s">
        <v>133</v>
      </c>
      <c r="G229" s="483"/>
      <c r="H229" s="483" t="s">
        <v>133</v>
      </c>
      <c r="I229" s="483"/>
      <c r="J229" s="483" t="s">
        <v>133</v>
      </c>
      <c r="K229" s="483"/>
      <c r="L229" s="483" t="s">
        <v>133</v>
      </c>
      <c r="M229" s="483"/>
      <c r="N229" s="483" t="s">
        <v>133</v>
      </c>
      <c r="O229" s="483"/>
      <c r="P229" s="483" t="s">
        <v>133</v>
      </c>
      <c r="Q229" s="483"/>
      <c r="R229" s="483" t="s">
        <v>133</v>
      </c>
      <c r="S229" s="483"/>
      <c r="T229" s="483" t="s">
        <v>133</v>
      </c>
      <c r="U229" s="483"/>
      <c r="V229" s="483" t="s">
        <v>133</v>
      </c>
      <c r="W229" s="483"/>
      <c r="X229" s="178"/>
      <c r="Y229" s="178"/>
      <c r="Z229" s="499" t="str">
        <f>B229</f>
        <v>+25%</v>
      </c>
    </row>
    <row r="230" spans="2:26" x14ac:dyDescent="0.15">
      <c r="B230" s="426"/>
      <c r="C230" s="4" t="s">
        <v>660</v>
      </c>
      <c r="D230" s="4">
        <v>1</v>
      </c>
      <c r="E230" s="4"/>
      <c r="F230" s="4">
        <f>D230+1</f>
        <v>2</v>
      </c>
      <c r="G230" s="4"/>
      <c r="H230" s="4">
        <f>F230+1</f>
        <v>3</v>
      </c>
      <c r="I230" s="4"/>
      <c r="J230" s="4">
        <f>H230+1</f>
        <v>4</v>
      </c>
      <c r="K230" s="4"/>
      <c r="L230" s="4">
        <f>J230+1</f>
        <v>5</v>
      </c>
      <c r="M230" s="4"/>
      <c r="N230" s="4">
        <f>L230+1</f>
        <v>6</v>
      </c>
      <c r="O230" s="4"/>
      <c r="P230" s="4">
        <f>N230+1</f>
        <v>7</v>
      </c>
      <c r="Q230" s="4"/>
      <c r="R230" s="4">
        <f>P230+1</f>
        <v>8</v>
      </c>
      <c r="S230" s="4"/>
      <c r="T230" s="4">
        <f>R230+1</f>
        <v>9</v>
      </c>
      <c r="U230" s="4"/>
      <c r="V230" s="4">
        <f>T230+1</f>
        <v>10</v>
      </c>
      <c r="W230" s="4"/>
      <c r="X230" t="s">
        <v>285</v>
      </c>
      <c r="Z230" s="479"/>
    </row>
    <row r="231" spans="2:26" x14ac:dyDescent="0.15">
      <c r="B231" s="202" t="s">
        <v>661</v>
      </c>
      <c r="C231" s="4">
        <v>1</v>
      </c>
      <c r="D231" s="2">
        <f t="shared" ref="D231:D242" si="110">IF(D$20&lt;($H$11+1),$B$235-((((D$20-1)*12)+$C231)*$B$236),0)</f>
        <v>0</v>
      </c>
      <c r="E231" s="2">
        <f>IF(D231&gt;0,-(D231+$B$236)*($H$6/'Loan Amortization'!$D$8),0)</f>
        <v>0</v>
      </c>
      <c r="F231" s="2">
        <f t="shared" ref="F231:F242" si="111">IF(F$20&lt;($H$11+1),$B$235-((((F$20-1)*12)+$C231)*$B$236),0)</f>
        <v>0</v>
      </c>
      <c r="G231" s="2">
        <f>IF(F231&gt;0,-(F231+$B$236)*($H$6/'Loan Amortization'!$D$8),0)</f>
        <v>0</v>
      </c>
      <c r="H231" s="2">
        <f t="shared" ref="H231:H242" si="112">IF(H$20&lt;($H$11+1),$B$235-((((H$20-1)*12)+$C231)*$B$236),0)</f>
        <v>0</v>
      </c>
      <c r="I231" s="2">
        <f>IF(H231&gt;0,-(H231+$B$236)*($H$6/'Loan Amortization'!$D$8),0)</f>
        <v>0</v>
      </c>
      <c r="J231" s="2">
        <f t="shared" ref="J231:J242" si="113">IF(J$20&lt;($H$11+1),$B$235-((((J$20-1)*12)+$C231)*$B$236),0)</f>
        <v>0</v>
      </c>
      <c r="K231" s="2">
        <f>IF(J231&gt;0,-(J231+$B$236)*($H$6/'Loan Amortization'!$D$8),0)</f>
        <v>0</v>
      </c>
      <c r="L231" s="2">
        <f t="shared" ref="L231:L242" si="114">IF(L$20&lt;($H$11+1),$B$235-((((L$20-1)*12)+$C231)*$B$236),0)</f>
        <v>0</v>
      </c>
      <c r="M231" s="2">
        <f>IF(L231&gt;0,-(L231+$B$236)*($H$6/'Loan Amortization'!$D$8),0)</f>
        <v>0</v>
      </c>
      <c r="N231" s="2">
        <f t="shared" ref="N231:N242" si="115">IF(N$20&lt;($H$11+1),$B$235-((((N$20-1)*12)+$C231)*$B$236),0)</f>
        <v>0</v>
      </c>
      <c r="O231" s="2">
        <f>IF(N231&gt;0,-(N231+$B$236)*($H$6/'Loan Amortization'!$D$8),0)</f>
        <v>0</v>
      </c>
      <c r="P231" s="2">
        <f t="shared" ref="P231:P242" si="116">IF(P$20&lt;($H$11+1),$B$235-((((P$20-1)*12)+$C231)*$B$236),0)</f>
        <v>0</v>
      </c>
      <c r="Q231" s="2">
        <f>IF(P231&gt;0,-(P231+$B$236)*($H$6/'Loan Amortization'!$D$8),0)</f>
        <v>0</v>
      </c>
      <c r="R231" s="2">
        <f t="shared" ref="R231:R242" si="117">IF(R$20&lt;($H$11+1),$B$235-((((R$20-1)*12)+$C231)*$B$236),0)</f>
        <v>0</v>
      </c>
      <c r="S231" s="2">
        <f>IF(R231&gt;0,-(R231+$B$236)*($H$6/'Loan Amortization'!$D$8),0)</f>
        <v>0</v>
      </c>
      <c r="T231" s="2">
        <f t="shared" ref="T231:T242" si="118">IF(T$20&lt;($H$11+1),$B$235-((((T$20-1)*12)+$C231)*$B$236),0)</f>
        <v>0</v>
      </c>
      <c r="U231" s="2">
        <f>IF(T231&gt;0,-(T231+$B$236)*($H$6/'Loan Amortization'!$D$8),0)</f>
        <v>0</v>
      </c>
      <c r="V231" s="2">
        <f t="shared" ref="V231:V242" si="119">IF(V$20&lt;($H$11+1),$B$235-((((V$20-1)*12)+$C231)*$B$236),0)</f>
        <v>0</v>
      </c>
      <c r="W231" s="2">
        <f>IF(V231&gt;0,-(V231+$B$236)*($H$6/'Loan Amortization'!$D$8),0)</f>
        <v>0</v>
      </c>
      <c r="X231" s="2">
        <f>SUM(C231:V231)</f>
        <v>1</v>
      </c>
      <c r="Y231" s="2"/>
      <c r="Z231" s="480"/>
    </row>
    <row r="232" spans="2:26" x14ac:dyDescent="0.15">
      <c r="B232" s="511">
        <f>-PMT($H$6/12,$H$11*12,C15)</f>
        <v>0</v>
      </c>
      <c r="C232" s="4">
        <v>2</v>
      </c>
      <c r="D232" s="2">
        <f t="shared" si="110"/>
        <v>0</v>
      </c>
      <c r="E232" s="2">
        <f>IF(D232&gt;0,-(D232+$B$236)*($H$6/'Loan Amortization'!$D$8),0)</f>
        <v>0</v>
      </c>
      <c r="F232" s="2">
        <f t="shared" si="111"/>
        <v>0</v>
      </c>
      <c r="G232" s="2">
        <f>IF(F232&gt;0,-(F232+$B$236)*($H$6/'Loan Amortization'!$D$8),0)</f>
        <v>0</v>
      </c>
      <c r="H232" s="2">
        <f t="shared" si="112"/>
        <v>0</v>
      </c>
      <c r="I232" s="2">
        <f>IF(H232&gt;0,-(H232+$B$236)*($H$6/'Loan Amortization'!$D$8),0)</f>
        <v>0</v>
      </c>
      <c r="J232" s="2">
        <f t="shared" si="113"/>
        <v>0</v>
      </c>
      <c r="K232" s="2">
        <f>IF(J232&gt;0,-(J232+$B$236)*($H$6/'Loan Amortization'!$D$8),0)</f>
        <v>0</v>
      </c>
      <c r="L232" s="2">
        <f t="shared" si="114"/>
        <v>0</v>
      </c>
      <c r="M232" s="2">
        <f>IF(L232&gt;0,-(L232+$B$236)*($H$6/'Loan Amortization'!$D$8),0)</f>
        <v>0</v>
      </c>
      <c r="N232" s="2">
        <f t="shared" si="115"/>
        <v>0</v>
      </c>
      <c r="O232" s="2">
        <f>IF(N232&gt;0,-(N232+$B$236)*($H$6/'Loan Amortization'!$D$8),0)</f>
        <v>0</v>
      </c>
      <c r="P232" s="2">
        <f t="shared" si="116"/>
        <v>0</v>
      </c>
      <c r="Q232" s="2">
        <f>IF(P232&gt;0,-(P232+$B$236)*($H$6/'Loan Amortization'!$D$8),0)</f>
        <v>0</v>
      </c>
      <c r="R232" s="2">
        <f t="shared" si="117"/>
        <v>0</v>
      </c>
      <c r="S232" s="2">
        <f>IF(R232&gt;0,-(R232+$B$236)*($H$6/'Loan Amortization'!$D$8),0)</f>
        <v>0</v>
      </c>
      <c r="T232" s="2">
        <f t="shared" si="118"/>
        <v>0</v>
      </c>
      <c r="U232" s="2">
        <f>IF(T232&gt;0,-(T232+$B$236)*($H$6/'Loan Amortization'!$D$8),0)</f>
        <v>0</v>
      </c>
      <c r="V232" s="2">
        <f t="shared" si="119"/>
        <v>0</v>
      </c>
      <c r="W232" s="2">
        <f>IF(V232&gt;0,-(V232+$B$236)*($H$6/'Loan Amortization'!$D$8),0)</f>
        <v>0</v>
      </c>
      <c r="X232" s="2">
        <f t="shared" ref="X232:X244" si="120">SUM(C232:V232)</f>
        <v>2</v>
      </c>
      <c r="Y232" s="2"/>
      <c r="Z232" s="480"/>
    </row>
    <row r="233" spans="2:26" x14ac:dyDescent="0.15">
      <c r="B233" s="540">
        <f>B232*12</f>
        <v>0</v>
      </c>
      <c r="C233" s="4">
        <v>3</v>
      </c>
      <c r="D233" s="2">
        <f t="shared" si="110"/>
        <v>0</v>
      </c>
      <c r="E233" s="2">
        <f>IF(D233&gt;0,-(D233+$B$236)*($H$6/'Loan Amortization'!$D$8),0)</f>
        <v>0</v>
      </c>
      <c r="F233" s="2">
        <f t="shared" si="111"/>
        <v>0</v>
      </c>
      <c r="G233" s="2">
        <f>IF(F233&gt;0,-(F233+$B$236)*($H$6/'Loan Amortization'!$D$8),0)</f>
        <v>0</v>
      </c>
      <c r="H233" s="2">
        <f t="shared" si="112"/>
        <v>0</v>
      </c>
      <c r="I233" s="2">
        <f>IF(H233&gt;0,-(H233+$B$236)*($H$6/'Loan Amortization'!$D$8),0)</f>
        <v>0</v>
      </c>
      <c r="J233" s="2">
        <f t="shared" si="113"/>
        <v>0</v>
      </c>
      <c r="K233" s="2">
        <f>IF(J233&gt;0,-(J233+$B$236)*($H$6/'Loan Amortization'!$D$8),0)</f>
        <v>0</v>
      </c>
      <c r="L233" s="2">
        <f t="shared" si="114"/>
        <v>0</v>
      </c>
      <c r="M233" s="2">
        <f>IF(L233&gt;0,-(L233+$B$236)*($H$6/'Loan Amortization'!$D$8),0)</f>
        <v>0</v>
      </c>
      <c r="N233" s="2">
        <f t="shared" si="115"/>
        <v>0</v>
      </c>
      <c r="O233" s="2">
        <f>IF(N233&gt;0,-(N233+$B$236)*($H$6/'Loan Amortization'!$D$8),0)</f>
        <v>0</v>
      </c>
      <c r="P233" s="2">
        <f t="shared" si="116"/>
        <v>0</v>
      </c>
      <c r="Q233" s="2">
        <f>IF(P233&gt;0,-(P233+$B$236)*($H$6/'Loan Amortization'!$D$8),0)</f>
        <v>0</v>
      </c>
      <c r="R233" s="2">
        <f t="shared" si="117"/>
        <v>0</v>
      </c>
      <c r="S233" s="2">
        <f>IF(R233&gt;0,-(R233+$B$236)*($H$6/'Loan Amortization'!$D$8),0)</f>
        <v>0</v>
      </c>
      <c r="T233" s="2">
        <f t="shared" si="118"/>
        <v>0</v>
      </c>
      <c r="U233" s="2">
        <f>IF(T233&gt;0,-(T233+$B$236)*($H$6/'Loan Amortization'!$D$8),0)</f>
        <v>0</v>
      </c>
      <c r="V233" s="2">
        <f t="shared" si="119"/>
        <v>0</v>
      </c>
      <c r="W233" s="2">
        <f>IF(V233&gt;0,-(V233+$B$236)*($H$6/'Loan Amortization'!$D$8),0)</f>
        <v>0</v>
      </c>
      <c r="X233" s="2">
        <f t="shared" si="120"/>
        <v>3</v>
      </c>
      <c r="Y233" s="2"/>
      <c r="Z233" s="480"/>
    </row>
    <row r="234" spans="2:26" x14ac:dyDescent="0.15">
      <c r="B234" s="202" t="s">
        <v>662</v>
      </c>
      <c r="C234" s="4">
        <v>4</v>
      </c>
      <c r="D234" s="2">
        <f t="shared" si="110"/>
        <v>0</v>
      </c>
      <c r="E234" s="2">
        <f>IF(D234&gt;0,-(D234+$B$236)*($H$6/'Loan Amortization'!$D$8),0)</f>
        <v>0</v>
      </c>
      <c r="F234" s="2">
        <f t="shared" si="111"/>
        <v>0</v>
      </c>
      <c r="G234" s="2">
        <f>IF(F234&gt;0,-(F234+$B$236)*($H$6/'Loan Amortization'!$D$8),0)</f>
        <v>0</v>
      </c>
      <c r="H234" s="2">
        <f t="shared" si="112"/>
        <v>0</v>
      </c>
      <c r="I234" s="2">
        <f>IF(H234&gt;0,-(H234+$B$236)*($H$6/'Loan Amortization'!$D$8),0)</f>
        <v>0</v>
      </c>
      <c r="J234" s="2">
        <f t="shared" si="113"/>
        <v>0</v>
      </c>
      <c r="K234" s="2">
        <f>IF(J234&gt;0,-(J234+$B$236)*($H$6/'Loan Amortization'!$D$8),0)</f>
        <v>0</v>
      </c>
      <c r="L234" s="2">
        <f t="shared" si="114"/>
        <v>0</v>
      </c>
      <c r="M234" s="2">
        <f>IF(L234&gt;0,-(L234+$B$236)*($H$6/'Loan Amortization'!$D$8),0)</f>
        <v>0</v>
      </c>
      <c r="N234" s="2">
        <f t="shared" si="115"/>
        <v>0</v>
      </c>
      <c r="O234" s="2">
        <f>IF(N234&gt;0,-(N234+$B$236)*($H$6/'Loan Amortization'!$D$8),0)</f>
        <v>0</v>
      </c>
      <c r="P234" s="2">
        <f t="shared" si="116"/>
        <v>0</v>
      </c>
      <c r="Q234" s="2">
        <f>IF(P234&gt;0,-(P234+$B$236)*($H$6/'Loan Amortization'!$D$8),0)</f>
        <v>0</v>
      </c>
      <c r="R234" s="2">
        <f t="shared" si="117"/>
        <v>0</v>
      </c>
      <c r="S234" s="2">
        <f>IF(R234&gt;0,-(R234+$B$236)*($H$6/'Loan Amortization'!$D$8),0)</f>
        <v>0</v>
      </c>
      <c r="T234" s="2">
        <f t="shared" si="118"/>
        <v>0</v>
      </c>
      <c r="U234" s="2">
        <f>IF(T234&gt;0,-(T234+$B$236)*($H$6/'Loan Amortization'!$D$8),0)</f>
        <v>0</v>
      </c>
      <c r="V234" s="2">
        <f t="shared" si="119"/>
        <v>0</v>
      </c>
      <c r="W234" s="2">
        <f>IF(V234&gt;0,-(V234+$B$236)*($H$6/'Loan Amortization'!$D$8),0)</f>
        <v>0</v>
      </c>
      <c r="X234" s="2">
        <f t="shared" si="120"/>
        <v>4</v>
      </c>
      <c r="Y234" s="2"/>
      <c r="Z234" s="480"/>
    </row>
    <row r="235" spans="2:26" x14ac:dyDescent="0.15">
      <c r="B235" s="521">
        <f>C15</f>
        <v>0</v>
      </c>
      <c r="C235" s="4">
        <v>5</v>
      </c>
      <c r="D235" s="2">
        <f t="shared" si="110"/>
        <v>0</v>
      </c>
      <c r="E235" s="2">
        <f>IF(D235&gt;0,-(D235+$B$236)*($H$6/'Loan Amortization'!$D$8),0)</f>
        <v>0</v>
      </c>
      <c r="F235" s="2">
        <f t="shared" si="111"/>
        <v>0</v>
      </c>
      <c r="G235" s="2">
        <f>IF(F235&gt;0,-(F235+$B$236)*($H$6/'Loan Amortization'!$D$8),0)</f>
        <v>0</v>
      </c>
      <c r="H235" s="2">
        <f t="shared" si="112"/>
        <v>0</v>
      </c>
      <c r="I235" s="2">
        <f>IF(H235&gt;0,-(H235+$B$236)*($H$6/'Loan Amortization'!$D$8),0)</f>
        <v>0</v>
      </c>
      <c r="J235" s="2">
        <f t="shared" si="113"/>
        <v>0</v>
      </c>
      <c r="K235" s="2">
        <f>IF(J235&gt;0,-(J235+$B$236)*($H$6/'Loan Amortization'!$D$8),0)</f>
        <v>0</v>
      </c>
      <c r="L235" s="2">
        <f t="shared" si="114"/>
        <v>0</v>
      </c>
      <c r="M235" s="2">
        <f>IF(L235&gt;0,-(L235+$B$236)*($H$6/'Loan Amortization'!$D$8),0)</f>
        <v>0</v>
      </c>
      <c r="N235" s="2">
        <f t="shared" si="115"/>
        <v>0</v>
      </c>
      <c r="O235" s="2">
        <f>IF(N235&gt;0,-(N235+$B$236)*($H$6/'Loan Amortization'!$D$8),0)</f>
        <v>0</v>
      </c>
      <c r="P235" s="2">
        <f t="shared" si="116"/>
        <v>0</v>
      </c>
      <c r="Q235" s="2">
        <f>IF(P235&gt;0,-(P235+$B$236)*($H$6/'Loan Amortization'!$D$8),0)</f>
        <v>0</v>
      </c>
      <c r="R235" s="2">
        <f t="shared" si="117"/>
        <v>0</v>
      </c>
      <c r="S235" s="2">
        <f>IF(R235&gt;0,-(R235+$B$236)*($H$6/'Loan Amortization'!$D$8),0)</f>
        <v>0</v>
      </c>
      <c r="T235" s="2">
        <f t="shared" si="118"/>
        <v>0</v>
      </c>
      <c r="U235" s="2">
        <f>IF(T235&gt;0,-(T235+$B$236)*($H$6/'Loan Amortization'!$D$8),0)</f>
        <v>0</v>
      </c>
      <c r="V235" s="2">
        <f t="shared" si="119"/>
        <v>0</v>
      </c>
      <c r="W235" s="2">
        <f>IF(V235&gt;0,-(V235+$B$236)*($H$6/'Loan Amortization'!$D$8),0)</f>
        <v>0</v>
      </c>
      <c r="X235" s="2">
        <f t="shared" si="120"/>
        <v>5</v>
      </c>
      <c r="Y235" s="2"/>
      <c r="Z235" s="480"/>
    </row>
    <row r="236" spans="2:26" x14ac:dyDescent="0.15">
      <c r="B236" s="521">
        <f>B235/($H$11)</f>
        <v>0</v>
      </c>
      <c r="C236" s="4">
        <v>6</v>
      </c>
      <c r="D236" s="2">
        <f t="shared" si="110"/>
        <v>0</v>
      </c>
      <c r="E236" s="2">
        <f>IF(D236&gt;0,-(D236+$B$236)*($H$6/'Loan Amortization'!$D$8),0)</f>
        <v>0</v>
      </c>
      <c r="F236" s="2">
        <f t="shared" si="111"/>
        <v>0</v>
      </c>
      <c r="G236" s="2">
        <f>IF(F236&gt;0,-(F236+$B$236)*($H$6/'Loan Amortization'!$D$8),0)</f>
        <v>0</v>
      </c>
      <c r="H236" s="2">
        <f t="shared" si="112"/>
        <v>0</v>
      </c>
      <c r="I236" s="2">
        <f>IF(H236&gt;0,-(H236+$B$236)*($H$6/'Loan Amortization'!$D$8),0)</f>
        <v>0</v>
      </c>
      <c r="J236" s="2">
        <f t="shared" si="113"/>
        <v>0</v>
      </c>
      <c r="K236" s="2">
        <f>IF(J236&gt;0,-(J236+$B$236)*($H$6/'Loan Amortization'!$D$8),0)</f>
        <v>0</v>
      </c>
      <c r="L236" s="2">
        <f t="shared" si="114"/>
        <v>0</v>
      </c>
      <c r="M236" s="2">
        <f>IF(L236&gt;0,-(L236+$B$236)*($H$6/'Loan Amortization'!$D$8),0)</f>
        <v>0</v>
      </c>
      <c r="N236" s="2">
        <f t="shared" si="115"/>
        <v>0</v>
      </c>
      <c r="O236" s="2">
        <f>IF(N236&gt;0,-(N236+$B$236)*($H$6/'Loan Amortization'!$D$8),0)</f>
        <v>0</v>
      </c>
      <c r="P236" s="2">
        <f t="shared" si="116"/>
        <v>0</v>
      </c>
      <c r="Q236" s="2">
        <f>IF(P236&gt;0,-(P236+$B$236)*($H$6/'Loan Amortization'!$D$8),0)</f>
        <v>0</v>
      </c>
      <c r="R236" s="2">
        <f t="shared" si="117"/>
        <v>0</v>
      </c>
      <c r="S236" s="2">
        <f>IF(R236&gt;0,-(R236+$B$236)*($H$6/'Loan Amortization'!$D$8),0)</f>
        <v>0</v>
      </c>
      <c r="T236" s="2">
        <f t="shared" si="118"/>
        <v>0</v>
      </c>
      <c r="U236" s="2">
        <f>IF(T236&gt;0,-(T236+$B$236)*($H$6/'Loan Amortization'!$D$8),0)</f>
        <v>0</v>
      </c>
      <c r="V236" s="2">
        <f t="shared" si="119"/>
        <v>0</v>
      </c>
      <c r="W236" s="2">
        <f>IF(V236&gt;0,-(V236+$B$236)*($H$6/'Loan Amortization'!$D$8),0)</f>
        <v>0</v>
      </c>
      <c r="X236" s="2">
        <f t="shared" si="120"/>
        <v>6</v>
      </c>
      <c r="Y236" s="2"/>
      <c r="Z236" s="480"/>
    </row>
    <row r="237" spans="2:26" x14ac:dyDescent="0.15">
      <c r="B237" s="202"/>
      <c r="C237" s="4">
        <v>7</v>
      </c>
      <c r="D237" s="2">
        <f t="shared" si="110"/>
        <v>0</v>
      </c>
      <c r="E237" s="2">
        <f>IF(D237&gt;0,-(D237+$B$236)*($H$6/'Loan Amortization'!$D$8),0)</f>
        <v>0</v>
      </c>
      <c r="F237" s="2">
        <f t="shared" si="111"/>
        <v>0</v>
      </c>
      <c r="G237" s="2">
        <f>IF(F237&gt;0,-(F237+$B$236)*($H$6/'Loan Amortization'!$D$8),0)</f>
        <v>0</v>
      </c>
      <c r="H237" s="2">
        <f t="shared" si="112"/>
        <v>0</v>
      </c>
      <c r="I237" s="2">
        <f>IF(H237&gt;0,-(H237+$B$236)*($H$6/'Loan Amortization'!$D$8),0)</f>
        <v>0</v>
      </c>
      <c r="J237" s="2">
        <f t="shared" si="113"/>
        <v>0</v>
      </c>
      <c r="K237" s="2">
        <f>IF(J237&gt;0,-(J237+$B$236)*($H$6/'Loan Amortization'!$D$8),0)</f>
        <v>0</v>
      </c>
      <c r="L237" s="2">
        <f t="shared" si="114"/>
        <v>0</v>
      </c>
      <c r="M237" s="2">
        <f>IF(L237&gt;0,-(L237+$B$236)*($H$6/'Loan Amortization'!$D$8),0)</f>
        <v>0</v>
      </c>
      <c r="N237" s="2">
        <f t="shared" si="115"/>
        <v>0</v>
      </c>
      <c r="O237" s="2">
        <f>IF(N237&gt;0,-(N237+$B$236)*($H$6/'Loan Amortization'!$D$8),0)</f>
        <v>0</v>
      </c>
      <c r="P237" s="2">
        <f t="shared" si="116"/>
        <v>0</v>
      </c>
      <c r="Q237" s="2">
        <f>IF(P237&gt;0,-(P237+$B$236)*($H$6/'Loan Amortization'!$D$8),0)</f>
        <v>0</v>
      </c>
      <c r="R237" s="2">
        <f t="shared" si="117"/>
        <v>0</v>
      </c>
      <c r="S237" s="2">
        <f>IF(R237&gt;0,-(R237+$B$236)*($H$6/'Loan Amortization'!$D$8),0)</f>
        <v>0</v>
      </c>
      <c r="T237" s="2">
        <f t="shared" si="118"/>
        <v>0</v>
      </c>
      <c r="U237" s="2">
        <f>IF(T237&gt;0,-(T237+$B$236)*($H$6/'Loan Amortization'!$D$8),0)</f>
        <v>0</v>
      </c>
      <c r="V237" s="2">
        <f t="shared" si="119"/>
        <v>0</v>
      </c>
      <c r="W237" s="2">
        <f>IF(V237&gt;0,-(V237+$B$236)*($H$6/'Loan Amortization'!$D$8),0)</f>
        <v>0</v>
      </c>
      <c r="X237" s="2">
        <f t="shared" si="120"/>
        <v>7</v>
      </c>
      <c r="Y237" s="2"/>
      <c r="Z237" s="480"/>
    </row>
    <row r="238" spans="2:26" x14ac:dyDescent="0.15">
      <c r="B238" s="202"/>
      <c r="C238" s="4">
        <v>8</v>
      </c>
      <c r="D238" s="2">
        <f t="shared" si="110"/>
        <v>0</v>
      </c>
      <c r="E238" s="2">
        <f>IF(D238&gt;0,-(D238+$B$236)*($H$6/'Loan Amortization'!$D$8),0)</f>
        <v>0</v>
      </c>
      <c r="F238" s="2">
        <f t="shared" si="111"/>
        <v>0</v>
      </c>
      <c r="G238" s="2">
        <f>IF(F238&gt;0,-(F238+$B$236)*($H$6/'Loan Amortization'!$D$8),0)</f>
        <v>0</v>
      </c>
      <c r="H238" s="2">
        <f t="shared" si="112"/>
        <v>0</v>
      </c>
      <c r="I238" s="2">
        <f>IF(H238&gt;0,-(H238+$B$236)*($H$6/'Loan Amortization'!$D$8),0)</f>
        <v>0</v>
      </c>
      <c r="J238" s="2">
        <f t="shared" si="113"/>
        <v>0</v>
      </c>
      <c r="K238" s="2">
        <f>IF(J238&gt;0,-(J238+$B$236)*($H$6/'Loan Amortization'!$D$8),0)</f>
        <v>0</v>
      </c>
      <c r="L238" s="2">
        <f t="shared" si="114"/>
        <v>0</v>
      </c>
      <c r="M238" s="2">
        <f>IF(L238&gt;0,-(L238+$B$236)*($H$6/'Loan Amortization'!$D$8),0)</f>
        <v>0</v>
      </c>
      <c r="N238" s="2">
        <f t="shared" si="115"/>
        <v>0</v>
      </c>
      <c r="O238" s="2">
        <f>IF(N238&gt;0,-(N238+$B$236)*($H$6/'Loan Amortization'!$D$8),0)</f>
        <v>0</v>
      </c>
      <c r="P238" s="2">
        <f t="shared" si="116"/>
        <v>0</v>
      </c>
      <c r="Q238" s="2">
        <f>IF(P238&gt;0,-(P238+$B$236)*($H$6/'Loan Amortization'!$D$8),0)</f>
        <v>0</v>
      </c>
      <c r="R238" s="2">
        <f t="shared" si="117"/>
        <v>0</v>
      </c>
      <c r="S238" s="2">
        <f>IF(R238&gt;0,-(R238+$B$236)*($H$6/'Loan Amortization'!$D$8),0)</f>
        <v>0</v>
      </c>
      <c r="T238" s="2">
        <f t="shared" si="118"/>
        <v>0</v>
      </c>
      <c r="U238" s="2">
        <f>IF(T238&gt;0,-(T238+$B$236)*($H$6/'Loan Amortization'!$D$8),0)</f>
        <v>0</v>
      </c>
      <c r="V238" s="2">
        <f t="shared" si="119"/>
        <v>0</v>
      </c>
      <c r="W238" s="2">
        <f>IF(V238&gt;0,-(V238+$B$236)*($H$6/'Loan Amortization'!$D$8),0)</f>
        <v>0</v>
      </c>
      <c r="X238" s="2">
        <f t="shared" si="120"/>
        <v>8</v>
      </c>
      <c r="Y238" s="2"/>
      <c r="Z238" s="480"/>
    </row>
    <row r="239" spans="2:26" x14ac:dyDescent="0.15">
      <c r="B239" s="202"/>
      <c r="C239" s="4">
        <v>9</v>
      </c>
      <c r="D239" s="2">
        <f t="shared" si="110"/>
        <v>0</v>
      </c>
      <c r="E239" s="2">
        <f>IF(D239&gt;0,-(D239+$B$236)*($H$6/'Loan Amortization'!$D$8),0)</f>
        <v>0</v>
      </c>
      <c r="F239" s="2">
        <f t="shared" si="111"/>
        <v>0</v>
      </c>
      <c r="G239" s="2">
        <f>IF(F239&gt;0,-(F239+$B$236)*($H$6/'Loan Amortization'!$D$8),0)</f>
        <v>0</v>
      </c>
      <c r="H239" s="2">
        <f t="shared" si="112"/>
        <v>0</v>
      </c>
      <c r="I239" s="2">
        <f>IF(H239&gt;0,-(H239+$B$236)*($H$6/'Loan Amortization'!$D$8),0)</f>
        <v>0</v>
      </c>
      <c r="J239" s="2">
        <f t="shared" si="113"/>
        <v>0</v>
      </c>
      <c r="K239" s="2">
        <f>IF(J239&gt;0,-(J239+$B$236)*($H$6/'Loan Amortization'!$D$8),0)</f>
        <v>0</v>
      </c>
      <c r="L239" s="2">
        <f t="shared" si="114"/>
        <v>0</v>
      </c>
      <c r="M239" s="2">
        <f>IF(L239&gt;0,-(L239+$B$236)*($H$6/'Loan Amortization'!$D$8),0)</f>
        <v>0</v>
      </c>
      <c r="N239" s="2">
        <f t="shared" si="115"/>
        <v>0</v>
      </c>
      <c r="O239" s="2">
        <f>IF(N239&gt;0,-(N239+$B$236)*($H$6/'Loan Amortization'!$D$8),0)</f>
        <v>0</v>
      </c>
      <c r="P239" s="2">
        <f t="shared" si="116"/>
        <v>0</v>
      </c>
      <c r="Q239" s="2">
        <f>IF(P239&gt;0,-(P239+$B$236)*($H$6/'Loan Amortization'!$D$8),0)</f>
        <v>0</v>
      </c>
      <c r="R239" s="2">
        <f t="shared" si="117"/>
        <v>0</v>
      </c>
      <c r="S239" s="2">
        <f>IF(R239&gt;0,-(R239+$B$236)*($H$6/'Loan Amortization'!$D$8),0)</f>
        <v>0</v>
      </c>
      <c r="T239" s="2">
        <f t="shared" si="118"/>
        <v>0</v>
      </c>
      <c r="U239" s="2">
        <f>IF(T239&gt;0,-(T239+$B$236)*($H$6/'Loan Amortization'!$D$8),0)</f>
        <v>0</v>
      </c>
      <c r="V239" s="2">
        <f t="shared" si="119"/>
        <v>0</v>
      </c>
      <c r="W239" s="2">
        <f>IF(V239&gt;0,-(V239+$B$236)*($H$6/'Loan Amortization'!$D$8),0)</f>
        <v>0</v>
      </c>
      <c r="X239" s="2">
        <f t="shared" si="120"/>
        <v>9</v>
      </c>
      <c r="Y239" s="2"/>
      <c r="Z239" s="480"/>
    </row>
    <row r="240" spans="2:26" x14ac:dyDescent="0.15">
      <c r="B240" s="202"/>
      <c r="C240" s="4">
        <v>10</v>
      </c>
      <c r="D240" s="2">
        <f t="shared" si="110"/>
        <v>0</v>
      </c>
      <c r="E240" s="2">
        <f>IF(D240&gt;0,-(D240+$B$236)*($H$6/'Loan Amortization'!$D$8),0)</f>
        <v>0</v>
      </c>
      <c r="F240" s="2">
        <f t="shared" si="111"/>
        <v>0</v>
      </c>
      <c r="G240" s="2">
        <f>IF(F240&gt;0,-(F240+$B$236)*($H$6/'Loan Amortization'!$D$8),0)</f>
        <v>0</v>
      </c>
      <c r="H240" s="2">
        <f t="shared" si="112"/>
        <v>0</v>
      </c>
      <c r="I240" s="2">
        <f>IF(H240&gt;0,-(H240+$B$236)*($H$6/'Loan Amortization'!$D$8),0)</f>
        <v>0</v>
      </c>
      <c r="J240" s="2">
        <f t="shared" si="113"/>
        <v>0</v>
      </c>
      <c r="K240" s="2">
        <f>IF(J240&gt;0,-(J240+$B$236)*($H$6/'Loan Amortization'!$D$8),0)</f>
        <v>0</v>
      </c>
      <c r="L240" s="2">
        <f t="shared" si="114"/>
        <v>0</v>
      </c>
      <c r="M240" s="2">
        <f>IF(L240&gt;0,-(L240+$B$236)*($H$6/'Loan Amortization'!$D$8),0)</f>
        <v>0</v>
      </c>
      <c r="N240" s="2">
        <f t="shared" si="115"/>
        <v>0</v>
      </c>
      <c r="O240" s="2">
        <f>IF(N240&gt;0,-(N240+$B$236)*($H$6/'Loan Amortization'!$D$8),0)</f>
        <v>0</v>
      </c>
      <c r="P240" s="2">
        <f t="shared" si="116"/>
        <v>0</v>
      </c>
      <c r="Q240" s="2">
        <f>IF(P240&gt;0,-(P240+$B$236)*($H$6/'Loan Amortization'!$D$8),0)</f>
        <v>0</v>
      </c>
      <c r="R240" s="2">
        <f t="shared" si="117"/>
        <v>0</v>
      </c>
      <c r="S240" s="2">
        <f>IF(R240&gt;0,-(R240+$B$236)*($H$6/'Loan Amortization'!$D$8),0)</f>
        <v>0</v>
      </c>
      <c r="T240" s="2">
        <f t="shared" si="118"/>
        <v>0</v>
      </c>
      <c r="U240" s="2">
        <f>IF(T240&gt;0,-(T240+$B$236)*($H$6/'Loan Amortization'!$D$8),0)</f>
        <v>0</v>
      </c>
      <c r="V240" s="2">
        <f t="shared" si="119"/>
        <v>0</v>
      </c>
      <c r="W240" s="2">
        <f>IF(V240&gt;0,-(V240+$B$236)*($H$6/'Loan Amortization'!$D$8),0)</f>
        <v>0</v>
      </c>
      <c r="X240" s="2">
        <f t="shared" si="120"/>
        <v>10</v>
      </c>
      <c r="Y240" s="2"/>
      <c r="Z240" s="480"/>
    </row>
    <row r="241" spans="2:26" x14ac:dyDescent="0.15">
      <c r="B241" s="202"/>
      <c r="C241" s="4">
        <v>11</v>
      </c>
      <c r="D241" s="2">
        <f t="shared" si="110"/>
        <v>0</v>
      </c>
      <c r="E241" s="2">
        <f>IF(D241&gt;0,-(D241+$B$236)*($H$6/'Loan Amortization'!$D$8),0)</f>
        <v>0</v>
      </c>
      <c r="F241" s="2">
        <f t="shared" si="111"/>
        <v>0</v>
      </c>
      <c r="G241" s="2">
        <f>IF(F241&gt;0,-(F241+$B$236)*($H$6/'Loan Amortization'!$D$8),0)</f>
        <v>0</v>
      </c>
      <c r="H241" s="2">
        <f t="shared" si="112"/>
        <v>0</v>
      </c>
      <c r="I241" s="2">
        <f>IF(H241&gt;0,-(H241+$B$236)*($H$6/'Loan Amortization'!$D$8),0)</f>
        <v>0</v>
      </c>
      <c r="J241" s="2">
        <f t="shared" si="113"/>
        <v>0</v>
      </c>
      <c r="K241" s="2">
        <f>IF(J241&gt;0,-(J241+$B$236)*($H$6/'Loan Amortization'!$D$8),0)</f>
        <v>0</v>
      </c>
      <c r="L241" s="2">
        <f t="shared" si="114"/>
        <v>0</v>
      </c>
      <c r="M241" s="2">
        <f>IF(L241&gt;0,-(L241+$B$236)*($H$6/'Loan Amortization'!$D$8),0)</f>
        <v>0</v>
      </c>
      <c r="N241" s="2">
        <f t="shared" si="115"/>
        <v>0</v>
      </c>
      <c r="O241" s="2">
        <f>IF(N241&gt;0,-(N241+$B$236)*($H$6/'Loan Amortization'!$D$8),0)</f>
        <v>0</v>
      </c>
      <c r="P241" s="2">
        <f t="shared" si="116"/>
        <v>0</v>
      </c>
      <c r="Q241" s="2">
        <f>IF(P241&gt;0,-(P241+$B$236)*($H$6/'Loan Amortization'!$D$8),0)</f>
        <v>0</v>
      </c>
      <c r="R241" s="2">
        <f t="shared" si="117"/>
        <v>0</v>
      </c>
      <c r="S241" s="2">
        <f>IF(R241&gt;0,-(R241+$B$236)*($H$6/'Loan Amortization'!$D$8),0)</f>
        <v>0</v>
      </c>
      <c r="T241" s="2">
        <f t="shared" si="118"/>
        <v>0</v>
      </c>
      <c r="U241" s="2">
        <f>IF(T241&gt;0,-(T241+$B$236)*($H$6/'Loan Amortization'!$D$8),0)</f>
        <v>0</v>
      </c>
      <c r="V241" s="2">
        <f t="shared" si="119"/>
        <v>0</v>
      </c>
      <c r="W241" s="2">
        <f>IF(V241&gt;0,-(V241+$B$236)*($H$6/'Loan Amortization'!$D$8),0)</f>
        <v>0</v>
      </c>
      <c r="X241" s="2">
        <f t="shared" si="120"/>
        <v>11</v>
      </c>
      <c r="Y241" s="2"/>
      <c r="Z241" s="480"/>
    </row>
    <row r="242" spans="2:26" ht="14" thickBot="1" x14ac:dyDescent="0.2">
      <c r="B242" s="202"/>
      <c r="C242" s="4">
        <v>12</v>
      </c>
      <c r="D242" s="2">
        <f t="shared" si="110"/>
        <v>0</v>
      </c>
      <c r="E242" s="2">
        <f>IF(D242&gt;0,-(D242+$B$236)*($H$6/'Loan Amortization'!$D$8),0)</f>
        <v>0</v>
      </c>
      <c r="F242" s="2">
        <f t="shared" si="111"/>
        <v>0</v>
      </c>
      <c r="G242" s="2">
        <f>IF(F242&gt;0,-(F242+$B$236)*($H$6/'Loan Amortization'!$D$8),0)</f>
        <v>0</v>
      </c>
      <c r="H242" s="2">
        <f t="shared" si="112"/>
        <v>0</v>
      </c>
      <c r="I242" s="2">
        <f>IF(H242&gt;0,-(H242+$B$236)*($H$6/'Loan Amortization'!$D$8),0)</f>
        <v>0</v>
      </c>
      <c r="J242" s="2">
        <f t="shared" si="113"/>
        <v>0</v>
      </c>
      <c r="K242" s="2">
        <f>IF(J242&gt;0,-(J242+$B$236)*($H$6/'Loan Amortization'!$D$8),0)</f>
        <v>0</v>
      </c>
      <c r="L242" s="2">
        <f t="shared" si="114"/>
        <v>0</v>
      </c>
      <c r="M242" s="2">
        <f>IF(L242&gt;0,-(L242+$B$236)*($H$6/'Loan Amortization'!$D$8),0)</f>
        <v>0</v>
      </c>
      <c r="N242" s="2">
        <f t="shared" si="115"/>
        <v>0</v>
      </c>
      <c r="O242" s="2">
        <f>IF(N242&gt;0,-(N242+$B$236)*($H$6/'Loan Amortization'!$D$8),0)</f>
        <v>0</v>
      </c>
      <c r="P242" s="2">
        <f t="shared" si="116"/>
        <v>0</v>
      </c>
      <c r="Q242" s="2">
        <f>IF(P242&gt;0,-(P242+$B$236)*($H$6/'Loan Amortization'!$D$8),0)</f>
        <v>0</v>
      </c>
      <c r="R242" s="2">
        <f t="shared" si="117"/>
        <v>0</v>
      </c>
      <c r="S242" s="2">
        <f>IF(R242&gt;0,-(R242+$B$236)*($H$6/'Loan Amortization'!$D$8),0)</f>
        <v>0</v>
      </c>
      <c r="T242" s="2">
        <f t="shared" si="118"/>
        <v>0</v>
      </c>
      <c r="U242" s="2">
        <f>IF(T242&gt;0,-(T242+$B$236)*($H$6/'Loan Amortization'!$D$8),0)</f>
        <v>0</v>
      </c>
      <c r="V242" s="2">
        <f t="shared" si="119"/>
        <v>0</v>
      </c>
      <c r="W242" s="2">
        <f>IF(V242&gt;0,-(V242+$B$236)*($H$6/'Loan Amortization'!$D$8),0)</f>
        <v>0</v>
      </c>
      <c r="X242" s="2">
        <f t="shared" si="120"/>
        <v>12</v>
      </c>
      <c r="Y242" s="2"/>
      <c r="Z242" s="480"/>
    </row>
    <row r="243" spans="2:26" ht="14" thickBot="1" x14ac:dyDescent="0.2">
      <c r="B243" s="541" t="s">
        <v>45</v>
      </c>
      <c r="C243" s="502" t="s">
        <v>663</v>
      </c>
      <c r="D243" s="503">
        <f>IF(D$20&lt;($H$11+1),-$B$236,0)</f>
        <v>0</v>
      </c>
      <c r="E243" s="503"/>
      <c r="F243" s="503">
        <f>IF(F$20&lt;($H$11+1),-$B$236,0)</f>
        <v>0</v>
      </c>
      <c r="G243" s="503"/>
      <c r="H243" s="503">
        <f>IF(H$20&lt;($H$11+1),-$B$236,0)</f>
        <v>0</v>
      </c>
      <c r="I243" s="503"/>
      <c r="J243" s="503">
        <f>IF(J$20&lt;($H$11+1),-$B$236,0)</f>
        <v>0</v>
      </c>
      <c r="K243" s="503"/>
      <c r="L243" s="503">
        <f>IF(L$20&lt;($H$11+1),-$B$236,0)</f>
        <v>0</v>
      </c>
      <c r="M243" s="503"/>
      <c r="N243" s="503">
        <f>IF(N$20&lt;($H$11+1),-$B$236,0)</f>
        <v>0</v>
      </c>
      <c r="O243" s="503"/>
      <c r="P243" s="503">
        <f>IF(P$20&lt;($H$11+1),-$B$236,0)</f>
        <v>0</v>
      </c>
      <c r="Q243" s="503"/>
      <c r="R243" s="503">
        <f>IF(R$20&lt;($H$11+1),-$B$236,0)</f>
        <v>0</v>
      </c>
      <c r="S243" s="503"/>
      <c r="T243" s="503">
        <f>IF(T$20&lt;($H$11+1),-$B$236,0)</f>
        <v>0</v>
      </c>
      <c r="U243" s="503"/>
      <c r="V243" s="503">
        <f>IF(V$20&lt;($H$11+1),-$B$236,0)</f>
        <v>0</v>
      </c>
      <c r="W243" s="503"/>
      <c r="X243" s="2">
        <f t="shared" si="120"/>
        <v>0</v>
      </c>
      <c r="Y243" s="501"/>
      <c r="Z243" s="480"/>
    </row>
    <row r="244" spans="2:26" ht="14" thickBot="1" x14ac:dyDescent="0.2">
      <c r="B244" s="478"/>
      <c r="C244" s="520" t="s">
        <v>273</v>
      </c>
      <c r="D244" s="522"/>
      <c r="E244" s="522">
        <f>IF((D$20)&gt;$H$11,0,IPMT($H$6,D230,$H$11,$B$235))</f>
        <v>0</v>
      </c>
      <c r="F244" s="522"/>
      <c r="G244" s="522">
        <f>IF((F$20)&gt;$H$11,0,IPMT($H$6,F230,$H$11,$B$235))</f>
        <v>0</v>
      </c>
      <c r="H244" s="522"/>
      <c r="I244" s="522">
        <f>IF((H$20)&gt;$H$11,0,IPMT($H$6,H230,$H$11,$B$235))</f>
        <v>0</v>
      </c>
      <c r="J244" s="522"/>
      <c r="K244" s="522">
        <f>IF((J$20)&gt;$H$11,0,IPMT($H$6,J230,$H$11,$B$235))</f>
        <v>0</v>
      </c>
      <c r="L244" s="522"/>
      <c r="M244" s="522">
        <f>IF((L$20)&gt;$H$11,0,IPMT($H$6,L230,$H$11,$B$235))</f>
        <v>0</v>
      </c>
      <c r="N244" s="522"/>
      <c r="O244" s="522">
        <f>IF((N$20)&gt;$H$11,0,IPMT($H$6,N230,$H$11,$B$235))</f>
        <v>0</v>
      </c>
      <c r="P244" s="522"/>
      <c r="Q244" s="522">
        <f>IF((P$20)&gt;$H$11,0,IPMT($H$6,P230,$H$11,$B$235))</f>
        <v>0</v>
      </c>
      <c r="R244" s="522"/>
      <c r="S244" s="522">
        <f>IF((R$20)&gt;$H$11,0,IPMT($H$6,R230,$H$11,$B$235))</f>
        <v>0</v>
      </c>
      <c r="T244" s="522"/>
      <c r="U244" s="522">
        <f>IF((T$20)&gt;$H$11,0,IPMT($H$6,T230,$H$11,$B$235))</f>
        <v>0</v>
      </c>
      <c r="V244" s="522"/>
      <c r="W244" s="522">
        <f>IF((V$20)&gt;$H$11,0,IPMT($H$6,V230,$H$11,$B$235))</f>
        <v>0</v>
      </c>
      <c r="X244" s="504">
        <f t="shared" si="120"/>
        <v>0</v>
      </c>
      <c r="Y244" s="548"/>
      <c r="Z244" s="482"/>
    </row>
    <row r="245" spans="2:26" ht="14" thickBot="1" x14ac:dyDescent="0.2">
      <c r="C245" s="502" t="s">
        <v>664</v>
      </c>
      <c r="D245" s="558">
        <f>D230</f>
        <v>1</v>
      </c>
      <c r="E245" s="559">
        <f>F230</f>
        <v>2</v>
      </c>
      <c r="F245" s="559">
        <f>H230</f>
        <v>3</v>
      </c>
      <c r="G245" s="559">
        <f>J230</f>
        <v>4</v>
      </c>
      <c r="H245" s="559">
        <f>L230</f>
        <v>5</v>
      </c>
      <c r="I245" s="559">
        <f>N230</f>
        <v>6</v>
      </c>
      <c r="J245" s="559">
        <f>P230</f>
        <v>7</v>
      </c>
      <c r="K245" s="559">
        <f>R230</f>
        <v>8</v>
      </c>
      <c r="L245" s="559">
        <f>T230</f>
        <v>9</v>
      </c>
      <c r="M245" s="559">
        <f>V230</f>
        <v>10</v>
      </c>
      <c r="N245" s="560" t="str">
        <f>X230</f>
        <v>TOTAL</v>
      </c>
    </row>
    <row r="246" spans="2:26" ht="14" thickBot="1" x14ac:dyDescent="0.2">
      <c r="C246" s="502" t="s">
        <v>663</v>
      </c>
      <c r="D246" s="561">
        <f>D243</f>
        <v>0</v>
      </c>
      <c r="E246" s="2">
        <f>F243</f>
        <v>0</v>
      </c>
      <c r="F246" s="2">
        <f>H243</f>
        <v>0</v>
      </c>
      <c r="G246" s="2">
        <f>J243</f>
        <v>0</v>
      </c>
      <c r="H246" s="2">
        <f>L243</f>
        <v>0</v>
      </c>
      <c r="I246" s="2">
        <f>N243</f>
        <v>0</v>
      </c>
      <c r="J246" s="2">
        <f>P243</f>
        <v>0</v>
      </c>
      <c r="K246" s="2">
        <f>R243</f>
        <v>0</v>
      </c>
      <c r="L246" s="2">
        <f>T243</f>
        <v>0</v>
      </c>
      <c r="M246" s="2">
        <f>V243</f>
        <v>0</v>
      </c>
      <c r="N246" s="501">
        <f>X243</f>
        <v>0</v>
      </c>
    </row>
    <row r="247" spans="2:26" ht="14" thickBot="1" x14ac:dyDescent="0.2">
      <c r="C247" s="520" t="s">
        <v>273</v>
      </c>
      <c r="D247" s="562">
        <f>E244</f>
        <v>0</v>
      </c>
      <c r="E247" s="522">
        <f>G244</f>
        <v>0</v>
      </c>
      <c r="F247" s="522">
        <f>I244</f>
        <v>0</v>
      </c>
      <c r="G247" s="522">
        <f>K244</f>
        <v>0</v>
      </c>
      <c r="H247" s="522">
        <f>M244</f>
        <v>0</v>
      </c>
      <c r="I247" s="522">
        <f>O244</f>
        <v>0</v>
      </c>
      <c r="J247" s="522">
        <f>Q244</f>
        <v>0</v>
      </c>
      <c r="K247" s="522">
        <f>S244</f>
        <v>0</v>
      </c>
      <c r="L247" s="522">
        <f>U244</f>
        <v>0</v>
      </c>
      <c r="M247" s="522">
        <f>W244</f>
        <v>0</v>
      </c>
      <c r="N247" s="548">
        <f>X244</f>
        <v>0</v>
      </c>
    </row>
  </sheetData>
  <sheetProtection password="AA36" sheet="1" objects="1" scenarios="1"/>
  <phoneticPr fontId="0" type="noConversion"/>
  <pageMargins left="0.75" right="0.75" top="1" bottom="1" header="0.5" footer="0.5"/>
  <pageSetup orientation="portrait" horizontalDpi="0" verticalDpi="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2"/>
  <sheetViews>
    <sheetView workbookViewId="0">
      <selection activeCell="B31" sqref="B31"/>
    </sheetView>
  </sheetViews>
  <sheetFormatPr baseColWidth="10" defaultColWidth="8.83203125" defaultRowHeight="13" x14ac:dyDescent="0.15"/>
  <sheetData>
    <row r="1" spans="1:1" ht="16" x14ac:dyDescent="0.2">
      <c r="A1" s="215" t="s">
        <v>50</v>
      </c>
    </row>
    <row r="3" spans="1:1" ht="18" x14ac:dyDescent="0.2">
      <c r="A3" s="203" t="s">
        <v>51</v>
      </c>
    </row>
    <row r="5" spans="1:1" x14ac:dyDescent="0.15">
      <c r="A5" s="721" t="s">
        <v>52</v>
      </c>
    </row>
    <row r="6" spans="1:1" x14ac:dyDescent="0.15">
      <c r="A6" s="721" t="s">
        <v>53</v>
      </c>
    </row>
    <row r="7" spans="1:1" x14ac:dyDescent="0.15">
      <c r="A7" s="721" t="s">
        <v>54</v>
      </c>
    </row>
    <row r="8" spans="1:1" x14ac:dyDescent="0.15">
      <c r="A8" s="721"/>
    </row>
    <row r="9" spans="1:1" x14ac:dyDescent="0.15">
      <c r="A9" s="721" t="s">
        <v>55</v>
      </c>
    </row>
    <row r="10" spans="1:1" x14ac:dyDescent="0.15">
      <c r="A10" s="721" t="s">
        <v>56</v>
      </c>
    </row>
    <row r="11" spans="1:1" x14ac:dyDescent="0.15">
      <c r="A11" s="721" t="s">
        <v>57</v>
      </c>
    </row>
    <row r="12" spans="1:1" x14ac:dyDescent="0.15">
      <c r="A12" s="721" t="s">
        <v>58</v>
      </c>
    </row>
    <row r="13" spans="1:1" x14ac:dyDescent="0.15">
      <c r="A13" s="721"/>
    </row>
    <row r="14" spans="1:1" x14ac:dyDescent="0.15">
      <c r="A14" s="721" t="s">
        <v>59</v>
      </c>
    </row>
    <row r="15" spans="1:1" x14ac:dyDescent="0.15">
      <c r="A15" s="721" t="s">
        <v>60</v>
      </c>
    </row>
    <row r="16" spans="1:1" x14ac:dyDescent="0.15">
      <c r="A16" s="721" t="s">
        <v>61</v>
      </c>
    </row>
    <row r="17" spans="1:3" x14ac:dyDescent="0.15">
      <c r="A17" s="721" t="s">
        <v>62</v>
      </c>
    </row>
    <row r="18" spans="1:3" x14ac:dyDescent="0.15">
      <c r="A18" s="721" t="s">
        <v>63</v>
      </c>
    </row>
    <row r="19" spans="1:3" x14ac:dyDescent="0.15">
      <c r="A19" s="721" t="s">
        <v>64</v>
      </c>
    </row>
    <row r="20" spans="1:3" x14ac:dyDescent="0.15">
      <c r="A20" s="721"/>
    </row>
    <row r="21" spans="1:3" x14ac:dyDescent="0.15">
      <c r="A21" s="721" t="s">
        <v>65</v>
      </c>
    </row>
    <row r="22" spans="1:3" x14ac:dyDescent="0.15">
      <c r="A22" s="721" t="s">
        <v>66</v>
      </c>
    </row>
    <row r="23" spans="1:3" x14ac:dyDescent="0.15">
      <c r="A23" s="721" t="s">
        <v>67</v>
      </c>
    </row>
    <row r="24" spans="1:3" x14ac:dyDescent="0.15">
      <c r="A24" s="721"/>
    </row>
    <row r="25" spans="1:3" x14ac:dyDescent="0.15">
      <c r="A25" s="721" t="s">
        <v>68</v>
      </c>
    </row>
    <row r="26" spans="1:3" x14ac:dyDescent="0.15">
      <c r="A26" s="721" t="s">
        <v>69</v>
      </c>
    </row>
    <row r="27" spans="1:3" x14ac:dyDescent="0.15">
      <c r="A27" s="721" t="s">
        <v>70</v>
      </c>
    </row>
    <row r="28" spans="1:3" x14ac:dyDescent="0.15">
      <c r="A28" s="721" t="s">
        <v>71</v>
      </c>
    </row>
    <row r="30" spans="1:3" x14ac:dyDescent="0.15">
      <c r="A30" s="1" t="s">
        <v>72</v>
      </c>
    </row>
    <row r="31" spans="1:3" x14ac:dyDescent="0.15">
      <c r="B31" s="13"/>
      <c r="C31" t="s">
        <v>73</v>
      </c>
    </row>
    <row r="32" spans="1:3" x14ac:dyDescent="0.15">
      <c r="B32" s="121"/>
      <c r="C32" t="s">
        <v>74</v>
      </c>
    </row>
    <row r="33" spans="1:10" x14ac:dyDescent="0.15">
      <c r="B33" s="115"/>
      <c r="C33" t="s">
        <v>75</v>
      </c>
    </row>
    <row r="34" spans="1:10" x14ac:dyDescent="0.15">
      <c r="B34" s="76"/>
      <c r="C34" t="s">
        <v>76</v>
      </c>
    </row>
    <row r="35" spans="1:10" x14ac:dyDescent="0.15">
      <c r="B35" s="122"/>
      <c r="C35" t="s">
        <v>77</v>
      </c>
    </row>
    <row r="36" spans="1:10" x14ac:dyDescent="0.15">
      <c r="B36" s="24"/>
      <c r="C36" t="s">
        <v>78</v>
      </c>
    </row>
    <row r="37" spans="1:10" x14ac:dyDescent="0.15">
      <c r="B37" s="57"/>
      <c r="C37" t="s">
        <v>79</v>
      </c>
    </row>
    <row r="40" spans="1:10" ht="14" thickBot="1" x14ac:dyDescent="0.2">
      <c r="A40" s="138"/>
      <c r="B40" s="138"/>
      <c r="C40" s="138"/>
      <c r="D40" s="138"/>
      <c r="E40" s="138"/>
      <c r="F40" s="138"/>
      <c r="G40" s="138"/>
      <c r="H40" s="138"/>
      <c r="I40" s="138"/>
      <c r="J40" s="138"/>
    </row>
    <row r="41" spans="1:10" ht="14" thickTop="1" x14ac:dyDescent="0.15"/>
    <row r="42" spans="1:10" ht="16" x14ac:dyDescent="0.2">
      <c r="A42" s="205" t="s">
        <v>80</v>
      </c>
    </row>
  </sheetData>
  <sheetProtection password="AA36" sheet="1" objects="1" scenarios="1"/>
  <phoneticPr fontId="0" type="noConversion"/>
  <pageMargins left="0.75" right="0.75" top="1" bottom="1" header="0.5" footer="0.5"/>
  <pageSetup orientation="portrait"/>
  <headerFooter alignWithMargins="0">
    <oddFooter>Page &amp;P of &amp;N</oddFooter>
  </headerFooter>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R224"/>
  <sheetViews>
    <sheetView zoomScale="75" workbookViewId="0"/>
  </sheetViews>
  <sheetFormatPr baseColWidth="10" defaultColWidth="8.83203125" defaultRowHeight="13" x14ac:dyDescent="0.15"/>
  <cols>
    <col min="2" max="2" width="20.83203125" customWidth="1"/>
    <col min="3" max="3" width="15.5" customWidth="1"/>
    <col min="4" max="4" width="14.1640625" customWidth="1"/>
    <col min="5" max="7" width="12.33203125" customWidth="1"/>
    <col min="8" max="8" width="12.5" customWidth="1"/>
    <col min="9" max="9" width="12.33203125" customWidth="1"/>
    <col min="10" max="10" width="12.5" customWidth="1"/>
    <col min="11" max="15" width="12.33203125" customWidth="1"/>
    <col min="16" max="17" width="11.33203125" customWidth="1"/>
    <col min="18" max="18" width="12.83203125" customWidth="1"/>
    <col min="19" max="19" width="15.83203125" customWidth="1"/>
  </cols>
  <sheetData>
    <row r="1" spans="1:7" x14ac:dyDescent="0.15">
      <c r="A1" s="1" t="s">
        <v>399</v>
      </c>
      <c r="C1" t="s">
        <v>666</v>
      </c>
    </row>
    <row r="3" spans="1:7" x14ac:dyDescent="0.15">
      <c r="A3" t="s">
        <v>259</v>
      </c>
    </row>
    <row r="4" spans="1:7" x14ac:dyDescent="0.15">
      <c r="A4" s="4"/>
      <c r="B4" s="4"/>
      <c r="D4" s="7"/>
    </row>
    <row r="5" spans="1:7" ht="14" x14ac:dyDescent="0.15">
      <c r="A5" s="4"/>
      <c r="B5" s="52" t="s">
        <v>667</v>
      </c>
      <c r="C5" s="61">
        <f>'Level Payment Fin Sens Wksht'!D4</f>
        <v>0</v>
      </c>
      <c r="D5" s="7"/>
    </row>
    <row r="6" spans="1:7" ht="14" x14ac:dyDescent="0.15">
      <c r="A6" s="4"/>
      <c r="B6" s="52" t="s">
        <v>668</v>
      </c>
      <c r="C6" s="108">
        <f>'Loan Amortization'!D6</f>
        <v>0.08</v>
      </c>
      <c r="D6" s="7"/>
    </row>
    <row r="7" spans="1:7" ht="14" x14ac:dyDescent="0.15">
      <c r="A7" s="4"/>
      <c r="B7" s="23" t="s">
        <v>261</v>
      </c>
      <c r="C7" s="76">
        <f>'Loan Amortization'!D7</f>
        <v>5</v>
      </c>
      <c r="D7" s="7"/>
    </row>
    <row r="8" spans="1:7" ht="28" x14ac:dyDescent="0.15">
      <c r="A8" s="4"/>
      <c r="B8" s="52" t="s">
        <v>262</v>
      </c>
      <c r="C8" s="76">
        <f>'Loan Amortization'!D8</f>
        <v>0</v>
      </c>
      <c r="D8" s="7"/>
    </row>
    <row r="9" spans="1:7" ht="14" x14ac:dyDescent="0.15">
      <c r="A9" s="4"/>
      <c r="B9" s="23" t="s">
        <v>263</v>
      </c>
      <c r="C9" s="12">
        <f>C7*C8</f>
        <v>0</v>
      </c>
      <c r="D9" s="7"/>
      <c r="E9" s="6"/>
    </row>
    <row r="10" spans="1:7" ht="14" x14ac:dyDescent="0.15">
      <c r="A10" s="4"/>
      <c r="B10" s="52" t="s">
        <v>669</v>
      </c>
      <c r="C10" s="53" t="e">
        <f>C6/C8</f>
        <v>#DIV/0!</v>
      </c>
      <c r="D10" s="7"/>
    </row>
    <row r="11" spans="1:7" x14ac:dyDescent="0.15">
      <c r="A11" s="4"/>
      <c r="B11" s="4"/>
      <c r="D11" s="7"/>
    </row>
    <row r="12" spans="1:7" x14ac:dyDescent="0.15">
      <c r="B12" s="28" t="s">
        <v>266</v>
      </c>
      <c r="C12" s="74" t="e">
        <f>PMT($C$10,$C$9,$C$5)</f>
        <v>#DIV/0!</v>
      </c>
    </row>
    <row r="13" spans="1:7" x14ac:dyDescent="0.15">
      <c r="B13" s="28" t="s">
        <v>670</v>
      </c>
      <c r="C13" s="74" t="e">
        <f>$C$12*$C$8</f>
        <v>#DIV/0!</v>
      </c>
    </row>
    <row r="14" spans="1:7" x14ac:dyDescent="0.15">
      <c r="B14" s="28" t="s">
        <v>671</v>
      </c>
      <c r="C14" s="74" t="e">
        <f>$C$13*$C$7</f>
        <v>#DIV/0!</v>
      </c>
    </row>
    <row r="15" spans="1:7" x14ac:dyDescent="0.15">
      <c r="C15" s="7"/>
    </row>
    <row r="16" spans="1:7" ht="14" thickBot="1" x14ac:dyDescent="0.2">
      <c r="A16" s="1" t="s">
        <v>672</v>
      </c>
      <c r="C16" s="8"/>
      <c r="G16" s="9"/>
    </row>
    <row r="17" spans="2:18" ht="14" thickBot="1" x14ac:dyDescent="0.2">
      <c r="B17" s="434" t="s">
        <v>417</v>
      </c>
    </row>
    <row r="18" spans="2:18" x14ac:dyDescent="0.15">
      <c r="B18" s="433" t="s">
        <v>270</v>
      </c>
      <c r="C18" s="26">
        <v>1</v>
      </c>
      <c r="D18" s="26">
        <v>2</v>
      </c>
      <c r="E18" s="26">
        <v>3</v>
      </c>
      <c r="F18" s="26">
        <v>4</v>
      </c>
      <c r="G18" s="26">
        <v>5</v>
      </c>
      <c r="H18" s="26">
        <v>6</v>
      </c>
      <c r="I18" s="26">
        <v>7</v>
      </c>
      <c r="J18" s="26">
        <v>8</v>
      </c>
      <c r="K18" s="26">
        <v>9</v>
      </c>
      <c r="L18" s="26">
        <v>10</v>
      </c>
      <c r="M18" s="26">
        <v>11</v>
      </c>
      <c r="N18" s="26">
        <v>12</v>
      </c>
      <c r="O18" s="26">
        <v>13</v>
      </c>
      <c r="P18" s="26">
        <v>14</v>
      </c>
      <c r="Q18" s="26">
        <v>15</v>
      </c>
      <c r="R18" s="22" t="s">
        <v>216</v>
      </c>
    </row>
    <row r="19" spans="2:18" x14ac:dyDescent="0.15">
      <c r="B19" s="28" t="s">
        <v>271</v>
      </c>
      <c r="C19" s="73">
        <f>$C$5</f>
        <v>0</v>
      </c>
      <c r="D19" s="69" t="e">
        <f>C23</f>
        <v>#DIV/0!</v>
      </c>
      <c r="E19" s="69" t="e">
        <f>IF('Loan Amortization'!F33=1,0,'Amort Sensitivity Wksht'!D23)</f>
        <v>#DIV/0!</v>
      </c>
      <c r="F19" s="69" t="e">
        <f>IF('Loan Amortization'!G33=1,0,'Amort Sensitivity Wksht'!E23)</f>
        <v>#DIV/0!</v>
      </c>
      <c r="G19" s="69" t="e">
        <f>IF('Loan Amortization'!H33=1,0,'Amort Sensitivity Wksht'!F23)</f>
        <v>#DIV/0!</v>
      </c>
      <c r="H19" s="69" t="e">
        <f>IF('Loan Amortization'!I33=1,0,'Amort Sensitivity Wksht'!G23)</f>
        <v>#DIV/0!</v>
      </c>
      <c r="I19" s="69" t="e">
        <f>IF('Loan Amortization'!J33=1,0,'Amort Sensitivity Wksht'!H23)</f>
        <v>#DIV/0!</v>
      </c>
      <c r="J19" s="69" t="e">
        <f>IF('Loan Amortization'!K33=1,0,'Amort Sensitivity Wksht'!I23)</f>
        <v>#DIV/0!</v>
      </c>
      <c r="K19" s="69" t="e">
        <f>IF('Loan Amortization'!L33=1,0,'Amort Sensitivity Wksht'!J23)</f>
        <v>#DIV/0!</v>
      </c>
      <c r="L19" s="69" t="e">
        <f>IF('Loan Amortization'!M33=1,0,'Amort Sensitivity Wksht'!K23)</f>
        <v>#DIV/0!</v>
      </c>
      <c r="M19" s="69" t="e">
        <f>IF('Loan Amortization'!N33=1,0,'Amort Sensitivity Wksht'!L23)</f>
        <v>#DIV/0!</v>
      </c>
      <c r="N19" s="69" t="e">
        <f>IF('Loan Amortization'!O33=1,0,'Amort Sensitivity Wksht'!M23)</f>
        <v>#DIV/0!</v>
      </c>
      <c r="O19" s="69" t="e">
        <f>IF('Loan Amortization'!P33=1,0,'Amort Sensitivity Wksht'!N23)</f>
        <v>#DIV/0!</v>
      </c>
      <c r="P19" s="69" t="e">
        <f>IF('Loan Amortization'!Q33=1,0,'Amort Sensitivity Wksht'!O23)</f>
        <v>#DIV/0!</v>
      </c>
      <c r="Q19" s="69" t="e">
        <f>IF('Loan Amortization'!R33=1,0,'Amort Sensitivity Wksht'!P23)</f>
        <v>#DIV/0!</v>
      </c>
      <c r="R19" s="57"/>
    </row>
    <row r="20" spans="2:18" x14ac:dyDescent="0.15">
      <c r="B20" s="56" t="s">
        <v>272</v>
      </c>
      <c r="C20" s="69" t="e">
        <f>$C$13</f>
        <v>#DIV/0!</v>
      </c>
      <c r="D20" s="69" t="e">
        <f>IF(D19&gt;(-1*$C$13),$C$13,0)</f>
        <v>#DIV/0!</v>
      </c>
      <c r="E20" s="69" t="e">
        <f>IF(E19&gt;(-1*$C$13),$C$13,0)</f>
        <v>#DIV/0!</v>
      </c>
      <c r="F20" s="69" t="e">
        <f>IF(F19&gt;(-1*$C$13),$C$13,0)</f>
        <v>#DIV/0!</v>
      </c>
      <c r="G20" s="69" t="e">
        <f t="shared" ref="G20:Q20" si="0">IF(G19&gt;(-1*$C$13),$C$13,0)</f>
        <v>#DIV/0!</v>
      </c>
      <c r="H20" s="69" t="e">
        <f t="shared" si="0"/>
        <v>#DIV/0!</v>
      </c>
      <c r="I20" s="69" t="e">
        <f t="shared" si="0"/>
        <v>#DIV/0!</v>
      </c>
      <c r="J20" s="69" t="e">
        <f t="shared" si="0"/>
        <v>#DIV/0!</v>
      </c>
      <c r="K20" s="69" t="e">
        <f t="shared" si="0"/>
        <v>#DIV/0!</v>
      </c>
      <c r="L20" s="69" t="e">
        <f t="shared" si="0"/>
        <v>#DIV/0!</v>
      </c>
      <c r="M20" s="69" t="e">
        <f t="shared" si="0"/>
        <v>#DIV/0!</v>
      </c>
      <c r="N20" s="69" t="e">
        <f t="shared" si="0"/>
        <v>#DIV/0!</v>
      </c>
      <c r="O20" s="69" t="e">
        <f t="shared" si="0"/>
        <v>#DIV/0!</v>
      </c>
      <c r="P20" s="69" t="e">
        <f t="shared" si="0"/>
        <v>#DIV/0!</v>
      </c>
      <c r="Q20" s="69" t="e">
        <f t="shared" si="0"/>
        <v>#DIV/0!</v>
      </c>
      <c r="R20" s="67" t="e">
        <f>SUM(C20:Q20)</f>
        <v>#DIV/0!</v>
      </c>
    </row>
    <row r="21" spans="2:18" x14ac:dyDescent="0.15">
      <c r="B21" s="28" t="s">
        <v>273</v>
      </c>
      <c r="C21" s="69">
        <f>'Level Payment Fin Sens Calc'!D122</f>
        <v>0</v>
      </c>
      <c r="D21" s="69">
        <f>'Level Payment Fin Sens Calc'!E122</f>
        <v>0</v>
      </c>
      <c r="E21" s="69">
        <f>'Level Payment Fin Sens Calc'!F122</f>
        <v>0</v>
      </c>
      <c r="F21" s="69">
        <f>'Level Payment Fin Sens Calc'!G122</f>
        <v>0</v>
      </c>
      <c r="G21" s="69">
        <f>'Level Payment Fin Sens Calc'!H122</f>
        <v>0</v>
      </c>
      <c r="H21" s="69">
        <f>'Level Payment Fin Sens Calc'!I122</f>
        <v>0</v>
      </c>
      <c r="I21" s="69">
        <f>'Level Payment Fin Sens Calc'!J122</f>
        <v>0</v>
      </c>
      <c r="J21" s="69">
        <f>'Level Payment Fin Sens Calc'!K122</f>
        <v>0</v>
      </c>
      <c r="K21" s="69">
        <f>'Level Payment Fin Sens Calc'!L122</f>
        <v>0</v>
      </c>
      <c r="L21" s="69">
        <f>'Level Payment Fin Sens Calc'!M122</f>
        <v>0</v>
      </c>
      <c r="M21" s="69" t="e">
        <f>IF(M20=0,0,(-M19*$C$6))</f>
        <v>#DIV/0!</v>
      </c>
      <c r="N21" s="69" t="e">
        <f>IF(N20=0,0,(-N19*$C$6))</f>
        <v>#DIV/0!</v>
      </c>
      <c r="O21" s="69" t="e">
        <f>IF(O20=0,0,(-O19*$C$6))</f>
        <v>#DIV/0!</v>
      </c>
      <c r="P21" s="69" t="e">
        <f>IF(P20=0,0,(-P19*$C$6))</f>
        <v>#DIV/0!</v>
      </c>
      <c r="Q21" s="69" t="e">
        <f>IF(Q20=0,0,(-Q19*$C$6))</f>
        <v>#DIV/0!</v>
      </c>
      <c r="R21" s="67" t="e">
        <f>SUM(C21:Q21)</f>
        <v>#DIV/0!</v>
      </c>
    </row>
    <row r="22" spans="2:18" x14ac:dyDescent="0.15">
      <c r="B22" s="28" t="s">
        <v>274</v>
      </c>
      <c r="C22" s="70" t="e">
        <f>C20-C21</f>
        <v>#DIV/0!</v>
      </c>
      <c r="D22" s="70" t="e">
        <f>D20-D21</f>
        <v>#DIV/0!</v>
      </c>
      <c r="E22" s="70" t="e">
        <f>IF(E19&lt;-$C13,-E19,(E20-E21))</f>
        <v>#DIV/0!</v>
      </c>
      <c r="F22" s="70" t="e">
        <f>IF(F19&lt;-$C13,-F19,(F20-F21))</f>
        <v>#DIV/0!</v>
      </c>
      <c r="G22" s="70" t="e">
        <f t="shared" ref="G22:Q22" si="1">IF(G19&lt;-$C13,-G19,(G20-G21))</f>
        <v>#DIV/0!</v>
      </c>
      <c r="H22" s="70" t="e">
        <f t="shared" si="1"/>
        <v>#DIV/0!</v>
      </c>
      <c r="I22" s="70" t="e">
        <f t="shared" si="1"/>
        <v>#DIV/0!</v>
      </c>
      <c r="J22" s="70" t="e">
        <f t="shared" si="1"/>
        <v>#DIV/0!</v>
      </c>
      <c r="K22" s="70" t="e">
        <f t="shared" si="1"/>
        <v>#DIV/0!</v>
      </c>
      <c r="L22" s="70" t="e">
        <f t="shared" si="1"/>
        <v>#DIV/0!</v>
      </c>
      <c r="M22" s="70" t="e">
        <f t="shared" si="1"/>
        <v>#DIV/0!</v>
      </c>
      <c r="N22" s="70" t="e">
        <f t="shared" si="1"/>
        <v>#DIV/0!</v>
      </c>
      <c r="O22" s="70" t="e">
        <f t="shared" si="1"/>
        <v>#DIV/0!</v>
      </c>
      <c r="P22" s="70" t="e">
        <f t="shared" si="1"/>
        <v>#DIV/0!</v>
      </c>
      <c r="Q22" s="70" t="e">
        <f t="shared" si="1"/>
        <v>#DIV/0!</v>
      </c>
      <c r="R22" s="68" t="e">
        <f>SUM(C22:Q22)</f>
        <v>#DIV/0!</v>
      </c>
    </row>
    <row r="23" spans="2:18" x14ac:dyDescent="0.15">
      <c r="B23" s="28" t="s">
        <v>275</v>
      </c>
      <c r="C23" s="71" t="e">
        <f>C19+C22</f>
        <v>#DIV/0!</v>
      </c>
      <c r="D23" s="71" t="e">
        <f>D19+D22</f>
        <v>#DIV/0!</v>
      </c>
      <c r="E23" s="71" t="e">
        <f>E19+E22</f>
        <v>#DIV/0!</v>
      </c>
      <c r="F23" s="71" t="e">
        <f>IF(F22=0,0,(F19+F22))</f>
        <v>#DIV/0!</v>
      </c>
      <c r="G23" s="71" t="e">
        <f t="shared" ref="G23:Q23" si="2">IF(G22=0,0,(G19+G22))</f>
        <v>#DIV/0!</v>
      </c>
      <c r="H23" s="71" t="e">
        <f t="shared" si="2"/>
        <v>#DIV/0!</v>
      </c>
      <c r="I23" s="71" t="e">
        <f t="shared" si="2"/>
        <v>#DIV/0!</v>
      </c>
      <c r="J23" s="71" t="e">
        <f t="shared" si="2"/>
        <v>#DIV/0!</v>
      </c>
      <c r="K23" s="71" t="e">
        <f t="shared" si="2"/>
        <v>#DIV/0!</v>
      </c>
      <c r="L23" s="71" t="e">
        <f t="shared" si="2"/>
        <v>#DIV/0!</v>
      </c>
      <c r="M23" s="71" t="e">
        <f t="shared" si="2"/>
        <v>#DIV/0!</v>
      </c>
      <c r="N23" s="71" t="e">
        <f t="shared" si="2"/>
        <v>#DIV/0!</v>
      </c>
      <c r="O23" s="71" t="e">
        <f t="shared" si="2"/>
        <v>#DIV/0!</v>
      </c>
      <c r="P23" s="71" t="e">
        <f t="shared" si="2"/>
        <v>#DIV/0!</v>
      </c>
      <c r="Q23" s="71" t="e">
        <f t="shared" si="2"/>
        <v>#DIV/0!</v>
      </c>
      <c r="R23" s="57"/>
    </row>
    <row r="24" spans="2:18" ht="14" thickBot="1" x14ac:dyDescent="0.2">
      <c r="B24" s="4"/>
      <c r="C24" s="3"/>
      <c r="D24" s="3"/>
      <c r="E24" s="3"/>
      <c r="F24" s="3"/>
    </row>
    <row r="25" spans="2:18" ht="14" thickBot="1" x14ac:dyDescent="0.2">
      <c r="B25" s="437">
        <v>-0.25</v>
      </c>
      <c r="C25" s="178"/>
      <c r="D25" s="432"/>
      <c r="E25" s="178"/>
      <c r="F25" s="178"/>
      <c r="G25" s="178"/>
      <c r="H25" s="178"/>
      <c r="I25" s="178"/>
      <c r="J25" s="178"/>
      <c r="K25" s="178"/>
      <c r="L25" s="178"/>
      <c r="M25" s="178"/>
      <c r="N25" s="178"/>
      <c r="O25" s="178"/>
      <c r="P25" s="178"/>
      <c r="Q25" s="178"/>
      <c r="R25" s="272"/>
    </row>
    <row r="26" spans="2:18" ht="14" x14ac:dyDescent="0.15">
      <c r="B26" s="435" t="s">
        <v>667</v>
      </c>
      <c r="C26" s="512">
        <f>'Level Payment Fin Sens Wksht'!D5</f>
        <v>0</v>
      </c>
      <c r="D26" s="7"/>
      <c r="R26" s="180"/>
    </row>
    <row r="27" spans="2:18" ht="14" x14ac:dyDescent="0.15">
      <c r="B27" s="392" t="s">
        <v>668</v>
      </c>
      <c r="C27" s="108">
        <f>'Loan Amortization'!$D$6</f>
        <v>0.08</v>
      </c>
      <c r="D27" s="7"/>
      <c r="R27" s="180"/>
    </row>
    <row r="28" spans="2:18" ht="14" x14ac:dyDescent="0.15">
      <c r="B28" s="425" t="s">
        <v>261</v>
      </c>
      <c r="C28" s="76">
        <f>'Loan Amortization'!$D$7</f>
        <v>5</v>
      </c>
      <c r="D28" s="7"/>
      <c r="R28" s="180"/>
    </row>
    <row r="29" spans="2:18" ht="28" x14ac:dyDescent="0.15">
      <c r="B29" s="392" t="s">
        <v>262</v>
      </c>
      <c r="C29" s="76">
        <f>'Loan Amortization'!$D$8</f>
        <v>0</v>
      </c>
      <c r="D29" s="7"/>
      <c r="E29" s="6"/>
      <c r="R29" s="180"/>
    </row>
    <row r="30" spans="2:18" ht="14" x14ac:dyDescent="0.15">
      <c r="B30" s="425" t="s">
        <v>263</v>
      </c>
      <c r="C30" s="12">
        <f>C28*C29</f>
        <v>0</v>
      </c>
      <c r="D30" s="7"/>
      <c r="R30" s="180"/>
    </row>
    <row r="31" spans="2:18" ht="14" x14ac:dyDescent="0.15">
      <c r="B31" s="392" t="s">
        <v>669</v>
      </c>
      <c r="C31" s="53" t="e">
        <f>C27/C29</f>
        <v>#DIV/0!</v>
      </c>
      <c r="D31" s="7"/>
      <c r="R31" s="180"/>
    </row>
    <row r="32" spans="2:18" x14ac:dyDescent="0.15">
      <c r="B32" s="426"/>
      <c r="R32" s="180"/>
    </row>
    <row r="33" spans="2:18" x14ac:dyDescent="0.15">
      <c r="B33" s="427" t="s">
        <v>266</v>
      </c>
      <c r="C33" s="74" t="e">
        <f>PMT($C31,$C30,$C26)</f>
        <v>#DIV/0!</v>
      </c>
      <c r="R33" s="180"/>
    </row>
    <row r="34" spans="2:18" x14ac:dyDescent="0.15">
      <c r="B34" s="427" t="s">
        <v>670</v>
      </c>
      <c r="C34" s="74" t="e">
        <f>$C33*$C29</f>
        <v>#DIV/0!</v>
      </c>
      <c r="R34" s="180"/>
    </row>
    <row r="35" spans="2:18" x14ac:dyDescent="0.15">
      <c r="B35" s="427" t="s">
        <v>671</v>
      </c>
      <c r="C35" s="74" t="e">
        <f>$C34*$C28</f>
        <v>#DIV/0!</v>
      </c>
      <c r="E35" s="66" t="e">
        <f>C26+C35</f>
        <v>#DIV/0!</v>
      </c>
      <c r="R35" s="180"/>
    </row>
    <row r="36" spans="2:18" ht="14" thickBot="1" x14ac:dyDescent="0.2">
      <c r="B36" s="202"/>
      <c r="C36" s="8"/>
      <c r="G36" s="9"/>
      <c r="R36" s="180"/>
    </row>
    <row r="37" spans="2:18" ht="14" thickBot="1" x14ac:dyDescent="0.2">
      <c r="B37" s="442">
        <v>-0.25</v>
      </c>
      <c r="R37" s="180"/>
    </row>
    <row r="38" spans="2:18" x14ac:dyDescent="0.15">
      <c r="B38" s="441" t="s">
        <v>270</v>
      </c>
      <c r="C38" s="26">
        <v>1</v>
      </c>
      <c r="D38" s="26">
        <v>2</v>
      </c>
      <c r="E38" s="26">
        <v>3</v>
      </c>
      <c r="F38" s="26">
        <v>4</v>
      </c>
      <c r="G38" s="26">
        <v>5</v>
      </c>
      <c r="H38" s="26">
        <v>6</v>
      </c>
      <c r="I38" s="26">
        <v>7</v>
      </c>
      <c r="J38" s="26">
        <v>8</v>
      </c>
      <c r="K38" s="26">
        <v>9</v>
      </c>
      <c r="L38" s="26">
        <v>10</v>
      </c>
      <c r="M38" s="26">
        <v>11</v>
      </c>
      <c r="N38" s="26">
        <v>12</v>
      </c>
      <c r="O38" s="26">
        <v>13</v>
      </c>
      <c r="P38" s="26">
        <v>14</v>
      </c>
      <c r="Q38" s="26">
        <v>15</v>
      </c>
      <c r="R38" s="428" t="s">
        <v>216</v>
      </c>
    </row>
    <row r="39" spans="2:18" x14ac:dyDescent="0.15">
      <c r="B39" s="427" t="s">
        <v>271</v>
      </c>
      <c r="C39" s="513">
        <f>$C26</f>
        <v>0</v>
      </c>
      <c r="D39" s="69" t="e">
        <f>C43</f>
        <v>#DIV/0!</v>
      </c>
      <c r="E39" s="69" t="e">
        <f>IF('Loan Amortization'!F$33=1,0,'Amort Sensitivity Wksht'!D43)</f>
        <v>#DIV/0!</v>
      </c>
      <c r="F39" s="69" t="e">
        <f>IF('Loan Amortization'!G33=1,0,'Amort Sensitivity Wksht'!E43)</f>
        <v>#DIV/0!</v>
      </c>
      <c r="G39" s="69" t="e">
        <f>IF('Loan Amortization'!H33=1,0,'Amort Sensitivity Wksht'!F43)</f>
        <v>#DIV/0!</v>
      </c>
      <c r="H39" s="69" t="e">
        <f>IF('Loan Amortization'!I33=1,0,'Amort Sensitivity Wksht'!G43)</f>
        <v>#DIV/0!</v>
      </c>
      <c r="I39" s="69" t="e">
        <f>IF('Loan Amortization'!J33=1,0,'Amort Sensitivity Wksht'!H43)</f>
        <v>#DIV/0!</v>
      </c>
      <c r="J39" s="69" t="e">
        <f>IF('Loan Amortization'!K33=1,0,'Amort Sensitivity Wksht'!I43)</f>
        <v>#DIV/0!</v>
      </c>
      <c r="K39" s="69" t="e">
        <f>IF('Loan Amortization'!L33=1,0,'Amort Sensitivity Wksht'!J43)</f>
        <v>#DIV/0!</v>
      </c>
      <c r="L39" s="69" t="e">
        <f>IF('Loan Amortization'!M33=1,0,'Amort Sensitivity Wksht'!K43)</f>
        <v>#DIV/0!</v>
      </c>
      <c r="M39" s="69" t="e">
        <f>IF('Loan Amortization'!N33=1,0,'Amort Sensitivity Wksht'!L43)</f>
        <v>#DIV/0!</v>
      </c>
      <c r="N39" s="69" t="e">
        <f>IF('Loan Amortization'!O33=1,0,'Amort Sensitivity Wksht'!M43)</f>
        <v>#DIV/0!</v>
      </c>
      <c r="O39" s="69" t="e">
        <f>IF('Loan Amortization'!P33=1,0,'Amort Sensitivity Wksht'!N43)</f>
        <v>#DIV/0!</v>
      </c>
      <c r="P39" s="69" t="e">
        <f>IF('Loan Amortization'!Q33=1,0,'Amort Sensitivity Wksht'!O43)</f>
        <v>#DIV/0!</v>
      </c>
      <c r="Q39" s="69" t="e">
        <f>IF('Loan Amortization'!R33=1,0,'Amort Sensitivity Wksht'!P43)</f>
        <v>#DIV/0!</v>
      </c>
      <c r="R39" s="429"/>
    </row>
    <row r="40" spans="2:18" x14ac:dyDescent="0.15">
      <c r="B40" s="430" t="s">
        <v>272</v>
      </c>
      <c r="C40" s="69" t="e">
        <f>$C34</f>
        <v>#DIV/0!</v>
      </c>
      <c r="D40" s="69" t="e">
        <f>IF(D39&gt;(-1*$C34),$C34,0)</f>
        <v>#DIV/0!</v>
      </c>
      <c r="E40" s="69" t="e">
        <f>IF(E39&gt;(-1*$C34),$C34,0)</f>
        <v>#DIV/0!</v>
      </c>
      <c r="F40" s="69" t="e">
        <f>IF(F39&gt;(-1*$C34),$C34,0)</f>
        <v>#DIV/0!</v>
      </c>
      <c r="G40" s="69" t="e">
        <f t="shared" ref="G40:Q40" si="3">IF(G39&gt;(-1*$C34),$C34,0)</f>
        <v>#DIV/0!</v>
      </c>
      <c r="H40" s="69" t="e">
        <f t="shared" si="3"/>
        <v>#DIV/0!</v>
      </c>
      <c r="I40" s="69" t="e">
        <f t="shared" si="3"/>
        <v>#DIV/0!</v>
      </c>
      <c r="J40" s="69" t="e">
        <f t="shared" si="3"/>
        <v>#DIV/0!</v>
      </c>
      <c r="K40" s="69" t="e">
        <f t="shared" si="3"/>
        <v>#DIV/0!</v>
      </c>
      <c r="L40" s="69" t="e">
        <f t="shared" si="3"/>
        <v>#DIV/0!</v>
      </c>
      <c r="M40" s="69" t="e">
        <f t="shared" si="3"/>
        <v>#DIV/0!</v>
      </c>
      <c r="N40" s="69" t="e">
        <f t="shared" si="3"/>
        <v>#DIV/0!</v>
      </c>
      <c r="O40" s="69" t="e">
        <f t="shared" si="3"/>
        <v>#DIV/0!</v>
      </c>
      <c r="P40" s="69" t="e">
        <f t="shared" si="3"/>
        <v>#DIV/0!</v>
      </c>
      <c r="Q40" s="69" t="e">
        <f t="shared" si="3"/>
        <v>#DIV/0!</v>
      </c>
      <c r="R40" s="326" t="e">
        <f>SUM(C40:Q40)</f>
        <v>#DIV/0!</v>
      </c>
    </row>
    <row r="41" spans="2:18" x14ac:dyDescent="0.15">
      <c r="B41" s="427" t="s">
        <v>273</v>
      </c>
      <c r="C41" s="69">
        <f>-C39*$C27</f>
        <v>0</v>
      </c>
      <c r="D41" s="69" t="e">
        <f>-D39*$C27</f>
        <v>#DIV/0!</v>
      </c>
      <c r="E41" s="69" t="e">
        <f>-E39*$C27</f>
        <v>#DIV/0!</v>
      </c>
      <c r="F41" s="69" t="e">
        <f>IF(F40=0,0,(-F39*$C27))</f>
        <v>#DIV/0!</v>
      </c>
      <c r="G41" s="69" t="e">
        <f t="shared" ref="G41:Q41" si="4">IF(G40=0,0,(-G39*$C27))</f>
        <v>#DIV/0!</v>
      </c>
      <c r="H41" s="69" t="e">
        <f t="shared" si="4"/>
        <v>#DIV/0!</v>
      </c>
      <c r="I41" s="69" t="e">
        <f t="shared" si="4"/>
        <v>#DIV/0!</v>
      </c>
      <c r="J41" s="69" t="e">
        <f t="shared" si="4"/>
        <v>#DIV/0!</v>
      </c>
      <c r="K41" s="69" t="e">
        <f t="shared" si="4"/>
        <v>#DIV/0!</v>
      </c>
      <c r="L41" s="69" t="e">
        <f t="shared" si="4"/>
        <v>#DIV/0!</v>
      </c>
      <c r="M41" s="69" t="e">
        <f t="shared" si="4"/>
        <v>#DIV/0!</v>
      </c>
      <c r="N41" s="69" t="e">
        <f t="shared" si="4"/>
        <v>#DIV/0!</v>
      </c>
      <c r="O41" s="69" t="e">
        <f t="shared" si="4"/>
        <v>#DIV/0!</v>
      </c>
      <c r="P41" s="69" t="e">
        <f t="shared" si="4"/>
        <v>#DIV/0!</v>
      </c>
      <c r="Q41" s="69" t="e">
        <f t="shared" si="4"/>
        <v>#DIV/0!</v>
      </c>
      <c r="R41" s="326" t="e">
        <f>SUM(C41:Q41)</f>
        <v>#DIV/0!</v>
      </c>
    </row>
    <row r="42" spans="2:18" x14ac:dyDescent="0.15">
      <c r="B42" s="427" t="s">
        <v>274</v>
      </c>
      <c r="C42" s="70" t="e">
        <f>C40-C41</f>
        <v>#DIV/0!</v>
      </c>
      <c r="D42" s="70" t="e">
        <f>D40-D41</f>
        <v>#DIV/0!</v>
      </c>
      <c r="E42" s="70" t="e">
        <f>IF(E39&lt;-$C34,-E39,(E40-E41))</f>
        <v>#DIV/0!</v>
      </c>
      <c r="F42" s="70" t="e">
        <f t="shared" ref="F42:Q42" si="5">IF(F39&lt;-$C34,-F39,(F40-F41))</f>
        <v>#DIV/0!</v>
      </c>
      <c r="G42" s="70" t="e">
        <f t="shared" si="5"/>
        <v>#DIV/0!</v>
      </c>
      <c r="H42" s="70" t="e">
        <f t="shared" si="5"/>
        <v>#DIV/0!</v>
      </c>
      <c r="I42" s="70" t="e">
        <f t="shared" si="5"/>
        <v>#DIV/0!</v>
      </c>
      <c r="J42" s="70" t="e">
        <f t="shared" si="5"/>
        <v>#DIV/0!</v>
      </c>
      <c r="K42" s="70" t="e">
        <f t="shared" si="5"/>
        <v>#DIV/0!</v>
      </c>
      <c r="L42" s="70" t="e">
        <f t="shared" si="5"/>
        <v>#DIV/0!</v>
      </c>
      <c r="M42" s="70" t="e">
        <f t="shared" si="5"/>
        <v>#DIV/0!</v>
      </c>
      <c r="N42" s="70" t="e">
        <f t="shared" si="5"/>
        <v>#DIV/0!</v>
      </c>
      <c r="O42" s="70" t="e">
        <f t="shared" si="5"/>
        <v>#DIV/0!</v>
      </c>
      <c r="P42" s="70" t="e">
        <f t="shared" si="5"/>
        <v>#DIV/0!</v>
      </c>
      <c r="Q42" s="70" t="e">
        <f t="shared" si="5"/>
        <v>#DIV/0!</v>
      </c>
      <c r="R42" s="431" t="e">
        <f>SUM(C42:Q42)</f>
        <v>#DIV/0!</v>
      </c>
    </row>
    <row r="43" spans="2:18" x14ac:dyDescent="0.15">
      <c r="B43" s="427" t="s">
        <v>275</v>
      </c>
      <c r="C43" s="71" t="e">
        <f>C39+C42</f>
        <v>#DIV/0!</v>
      </c>
      <c r="D43" s="71" t="e">
        <f>D39+D42</f>
        <v>#DIV/0!</v>
      </c>
      <c r="E43" s="71" t="e">
        <f>E39+E42</f>
        <v>#DIV/0!</v>
      </c>
      <c r="F43" s="71" t="e">
        <f t="shared" ref="F43:Q43" si="6">IF(F42=0,0,(F39+F42))</f>
        <v>#DIV/0!</v>
      </c>
      <c r="G43" s="71" t="e">
        <f t="shared" si="6"/>
        <v>#DIV/0!</v>
      </c>
      <c r="H43" s="71" t="e">
        <f t="shared" si="6"/>
        <v>#DIV/0!</v>
      </c>
      <c r="I43" s="71" t="e">
        <f t="shared" si="6"/>
        <v>#DIV/0!</v>
      </c>
      <c r="J43" s="71" t="e">
        <f t="shared" si="6"/>
        <v>#DIV/0!</v>
      </c>
      <c r="K43" s="71" t="e">
        <f t="shared" si="6"/>
        <v>#DIV/0!</v>
      </c>
      <c r="L43" s="71" t="e">
        <f t="shared" si="6"/>
        <v>#DIV/0!</v>
      </c>
      <c r="M43" s="71" t="e">
        <f t="shared" si="6"/>
        <v>#DIV/0!</v>
      </c>
      <c r="N43" s="71" t="e">
        <f t="shared" si="6"/>
        <v>#DIV/0!</v>
      </c>
      <c r="O43" s="71" t="e">
        <f t="shared" si="6"/>
        <v>#DIV/0!</v>
      </c>
      <c r="P43" s="71" t="e">
        <f t="shared" si="6"/>
        <v>#DIV/0!</v>
      </c>
      <c r="Q43" s="71" t="e">
        <f t="shared" si="6"/>
        <v>#DIV/0!</v>
      </c>
      <c r="R43" s="429"/>
    </row>
    <row r="44" spans="2:18" ht="14" thickBot="1" x14ac:dyDescent="0.2">
      <c r="B44" s="182"/>
      <c r="C44" s="174"/>
      <c r="D44" s="174"/>
      <c r="E44" s="174"/>
      <c r="F44" s="174"/>
      <c r="G44" s="174"/>
      <c r="H44" s="174"/>
      <c r="I44" s="174"/>
      <c r="J44" s="174"/>
      <c r="K44" s="174"/>
      <c r="L44" s="174"/>
      <c r="M44" s="174"/>
      <c r="N44" s="174"/>
      <c r="O44" s="174"/>
      <c r="P44" s="174"/>
      <c r="Q44" s="174"/>
      <c r="R44" s="273"/>
    </row>
    <row r="45" spans="2:18" ht="14" thickBot="1" x14ac:dyDescent="0.2">
      <c r="B45" s="437">
        <v>-0.2</v>
      </c>
      <c r="C45" s="178"/>
      <c r="D45" s="178"/>
      <c r="E45" s="178"/>
      <c r="F45" s="178"/>
      <c r="G45" s="178"/>
      <c r="H45" s="178"/>
      <c r="I45" s="178"/>
      <c r="J45" s="178"/>
      <c r="K45" s="178"/>
      <c r="L45" s="178"/>
      <c r="M45" s="178"/>
      <c r="N45" s="178"/>
      <c r="O45" s="178"/>
      <c r="P45" s="178"/>
      <c r="Q45" s="178"/>
      <c r="R45" s="272"/>
    </row>
    <row r="46" spans="2:18" ht="14" x14ac:dyDescent="0.15">
      <c r="B46" s="435" t="s">
        <v>667</v>
      </c>
      <c r="C46" s="61">
        <f>'Level Payment Fin Sens Wksht'!D6</f>
        <v>0</v>
      </c>
      <c r="D46" s="7"/>
      <c r="R46" s="180"/>
    </row>
    <row r="47" spans="2:18" ht="14" x14ac:dyDescent="0.15">
      <c r="B47" s="392" t="s">
        <v>668</v>
      </c>
      <c r="C47" s="108">
        <f>'Loan Amortization'!$D$6</f>
        <v>0.08</v>
      </c>
      <c r="D47" s="7"/>
      <c r="R47" s="180"/>
    </row>
    <row r="48" spans="2:18" ht="14" x14ac:dyDescent="0.15">
      <c r="B48" s="425" t="s">
        <v>261</v>
      </c>
      <c r="C48" s="76">
        <f>'Loan Amortization'!$D$7</f>
        <v>5</v>
      </c>
      <c r="D48" s="7"/>
      <c r="R48" s="180"/>
    </row>
    <row r="49" spans="2:18" ht="28" x14ac:dyDescent="0.15">
      <c r="B49" s="392" t="s">
        <v>262</v>
      </c>
      <c r="C49" s="76">
        <f>'Loan Amortization'!$D$8</f>
        <v>0</v>
      </c>
      <c r="D49" s="7"/>
      <c r="E49" s="6"/>
      <c r="R49" s="180"/>
    </row>
    <row r="50" spans="2:18" ht="14" x14ac:dyDescent="0.15">
      <c r="B50" s="425" t="s">
        <v>263</v>
      </c>
      <c r="C50" s="12">
        <f>C48*C49</f>
        <v>0</v>
      </c>
      <c r="D50" s="7"/>
      <c r="R50" s="180"/>
    </row>
    <row r="51" spans="2:18" ht="14" x14ac:dyDescent="0.15">
      <c r="B51" s="392" t="s">
        <v>669</v>
      </c>
      <c r="C51" s="53" t="e">
        <f>C47/C49</f>
        <v>#DIV/0!</v>
      </c>
      <c r="D51" s="7"/>
      <c r="R51" s="180"/>
    </row>
    <row r="52" spans="2:18" x14ac:dyDescent="0.15">
      <c r="B52" s="426"/>
      <c r="R52" s="180"/>
    </row>
    <row r="53" spans="2:18" x14ac:dyDescent="0.15">
      <c r="B53" s="427" t="s">
        <v>266</v>
      </c>
      <c r="C53" s="74" t="e">
        <f>PMT($C51,$C50,$C46)</f>
        <v>#DIV/0!</v>
      </c>
      <c r="R53" s="180"/>
    </row>
    <row r="54" spans="2:18" x14ac:dyDescent="0.15">
      <c r="B54" s="427" t="s">
        <v>670</v>
      </c>
      <c r="C54" s="74" t="e">
        <f>$C53*$C49</f>
        <v>#DIV/0!</v>
      </c>
      <c r="R54" s="180"/>
    </row>
    <row r="55" spans="2:18" x14ac:dyDescent="0.15">
      <c r="B55" s="427" t="s">
        <v>671</v>
      </c>
      <c r="C55" s="74" t="e">
        <f>$C54*$C48</f>
        <v>#DIV/0!</v>
      </c>
      <c r="R55" s="180"/>
    </row>
    <row r="56" spans="2:18" ht="14" thickBot="1" x14ac:dyDescent="0.2">
      <c r="B56" s="202"/>
      <c r="C56" s="8"/>
      <c r="G56" s="9"/>
      <c r="R56" s="180"/>
    </row>
    <row r="57" spans="2:18" ht="14" thickBot="1" x14ac:dyDescent="0.2">
      <c r="B57" s="436">
        <v>-0.2</v>
      </c>
      <c r="R57" s="180"/>
    </row>
    <row r="58" spans="2:18" x14ac:dyDescent="0.15">
      <c r="B58" s="441" t="s">
        <v>270</v>
      </c>
      <c r="C58" s="26">
        <v>1</v>
      </c>
      <c r="D58" s="26">
        <v>2</v>
      </c>
      <c r="E58" s="26">
        <v>3</v>
      </c>
      <c r="F58" s="26">
        <v>4</v>
      </c>
      <c r="G58" s="26">
        <v>5</v>
      </c>
      <c r="H58" s="26">
        <v>6</v>
      </c>
      <c r="I58" s="26">
        <v>7</v>
      </c>
      <c r="J58" s="26">
        <v>8</v>
      </c>
      <c r="K58" s="26">
        <v>9</v>
      </c>
      <c r="L58" s="26">
        <v>10</v>
      </c>
      <c r="M58" s="26">
        <v>11</v>
      </c>
      <c r="N58" s="26">
        <v>12</v>
      </c>
      <c r="O58" s="26">
        <v>13</v>
      </c>
      <c r="P58" s="26">
        <v>14</v>
      </c>
      <c r="Q58" s="26">
        <v>15</v>
      </c>
      <c r="R58" s="428" t="s">
        <v>216</v>
      </c>
    </row>
    <row r="59" spans="2:18" x14ac:dyDescent="0.15">
      <c r="B59" s="427" t="s">
        <v>271</v>
      </c>
      <c r="C59" s="71">
        <f>$C46</f>
        <v>0</v>
      </c>
      <c r="D59" s="69" t="e">
        <f>C63</f>
        <v>#DIV/0!</v>
      </c>
      <c r="E59" s="69" t="e">
        <f>IF('Loan Amortization'!F$33=1,0,'Amort Sensitivity Wksht'!D63)</f>
        <v>#DIV/0!</v>
      </c>
      <c r="F59" s="69" t="e">
        <f>IF('Loan Amortization'!G$33=1,0,'Amort Sensitivity Wksht'!E63)</f>
        <v>#DIV/0!</v>
      </c>
      <c r="G59" s="69" t="e">
        <f>IF('Loan Amortization'!H$33=1,0,'Amort Sensitivity Wksht'!F63)</f>
        <v>#DIV/0!</v>
      </c>
      <c r="H59" s="69" t="e">
        <f>IF('Loan Amortization'!I$33=1,0,'Amort Sensitivity Wksht'!G63)</f>
        <v>#DIV/0!</v>
      </c>
      <c r="I59" s="69" t="e">
        <f>IF('Loan Amortization'!J$33=1,0,'Amort Sensitivity Wksht'!H63)</f>
        <v>#DIV/0!</v>
      </c>
      <c r="J59" s="69" t="e">
        <f>IF('Loan Amortization'!K$33=1,0,'Amort Sensitivity Wksht'!I63)</f>
        <v>#DIV/0!</v>
      </c>
      <c r="K59" s="69" t="e">
        <f>IF('Loan Amortization'!L$33=1,0,'Amort Sensitivity Wksht'!J63)</f>
        <v>#DIV/0!</v>
      </c>
      <c r="L59" s="69" t="e">
        <f>IF('Loan Amortization'!M$33=1,0,'Amort Sensitivity Wksht'!K63)</f>
        <v>#DIV/0!</v>
      </c>
      <c r="M59" s="69" t="e">
        <f>IF('Loan Amortization'!N$33=1,0,'Amort Sensitivity Wksht'!L63)</f>
        <v>#DIV/0!</v>
      </c>
      <c r="N59" s="69" t="e">
        <f>IF('Loan Amortization'!O$33=1,0,'Amort Sensitivity Wksht'!M63)</f>
        <v>#DIV/0!</v>
      </c>
      <c r="O59" s="69" t="e">
        <f>IF('Loan Amortization'!P$33=1,0,'Amort Sensitivity Wksht'!N63)</f>
        <v>#DIV/0!</v>
      </c>
      <c r="P59" s="69" t="e">
        <f>IF('Loan Amortization'!Q$33=1,0,'Amort Sensitivity Wksht'!O63)</f>
        <v>#DIV/0!</v>
      </c>
      <c r="Q59" s="69" t="e">
        <f>IF('Loan Amortization'!R$33=1,0,'Amort Sensitivity Wksht'!P63)</f>
        <v>#DIV/0!</v>
      </c>
      <c r="R59" s="429"/>
    </row>
    <row r="60" spans="2:18" x14ac:dyDescent="0.15">
      <c r="B60" s="430" t="s">
        <v>272</v>
      </c>
      <c r="C60" s="69" t="e">
        <f>$C54</f>
        <v>#DIV/0!</v>
      </c>
      <c r="D60" s="69" t="e">
        <f>IF(D59&gt;(-1*$C54),$C54,0)</f>
        <v>#DIV/0!</v>
      </c>
      <c r="E60" s="69" t="e">
        <f>IF(E59&gt;(-1*$C54),$C54,0)</f>
        <v>#DIV/0!</v>
      </c>
      <c r="F60" s="69" t="e">
        <f t="shared" ref="F60:Q60" si="7">IF(F59&gt;(-1*$C54),$C54,0)</f>
        <v>#DIV/0!</v>
      </c>
      <c r="G60" s="69" t="e">
        <f t="shared" si="7"/>
        <v>#DIV/0!</v>
      </c>
      <c r="H60" s="69" t="e">
        <f t="shared" si="7"/>
        <v>#DIV/0!</v>
      </c>
      <c r="I60" s="69" t="e">
        <f t="shared" si="7"/>
        <v>#DIV/0!</v>
      </c>
      <c r="J60" s="69" t="e">
        <f t="shared" si="7"/>
        <v>#DIV/0!</v>
      </c>
      <c r="K60" s="69" t="e">
        <f t="shared" si="7"/>
        <v>#DIV/0!</v>
      </c>
      <c r="L60" s="69" t="e">
        <f t="shared" si="7"/>
        <v>#DIV/0!</v>
      </c>
      <c r="M60" s="69" t="e">
        <f t="shared" si="7"/>
        <v>#DIV/0!</v>
      </c>
      <c r="N60" s="69" t="e">
        <f t="shared" si="7"/>
        <v>#DIV/0!</v>
      </c>
      <c r="O60" s="69" t="e">
        <f t="shared" si="7"/>
        <v>#DIV/0!</v>
      </c>
      <c r="P60" s="69" t="e">
        <f t="shared" si="7"/>
        <v>#DIV/0!</v>
      </c>
      <c r="Q60" s="69" t="e">
        <f t="shared" si="7"/>
        <v>#DIV/0!</v>
      </c>
      <c r="R60" s="326" t="e">
        <f>SUM(C60:Q60)</f>
        <v>#DIV/0!</v>
      </c>
    </row>
    <row r="61" spans="2:18" x14ac:dyDescent="0.15">
      <c r="B61" s="427" t="s">
        <v>273</v>
      </c>
      <c r="C61" s="69">
        <f>-C59*$C47</f>
        <v>0</v>
      </c>
      <c r="D61" s="69" t="e">
        <f>-D59*$C47</f>
        <v>#DIV/0!</v>
      </c>
      <c r="E61" s="69" t="e">
        <f>-E59*$C47</f>
        <v>#DIV/0!</v>
      </c>
      <c r="F61" s="69" t="e">
        <f t="shared" ref="F61:Q61" si="8">IF(F60=0,0,(-F59*$C47))</f>
        <v>#DIV/0!</v>
      </c>
      <c r="G61" s="69" t="e">
        <f t="shared" si="8"/>
        <v>#DIV/0!</v>
      </c>
      <c r="H61" s="69" t="e">
        <f t="shared" si="8"/>
        <v>#DIV/0!</v>
      </c>
      <c r="I61" s="69" t="e">
        <f t="shared" si="8"/>
        <v>#DIV/0!</v>
      </c>
      <c r="J61" s="69" t="e">
        <f t="shared" si="8"/>
        <v>#DIV/0!</v>
      </c>
      <c r="K61" s="69" t="e">
        <f t="shared" si="8"/>
        <v>#DIV/0!</v>
      </c>
      <c r="L61" s="69" t="e">
        <f t="shared" si="8"/>
        <v>#DIV/0!</v>
      </c>
      <c r="M61" s="69" t="e">
        <f t="shared" si="8"/>
        <v>#DIV/0!</v>
      </c>
      <c r="N61" s="69" t="e">
        <f t="shared" si="8"/>
        <v>#DIV/0!</v>
      </c>
      <c r="O61" s="69" t="e">
        <f t="shared" si="8"/>
        <v>#DIV/0!</v>
      </c>
      <c r="P61" s="69" t="e">
        <f t="shared" si="8"/>
        <v>#DIV/0!</v>
      </c>
      <c r="Q61" s="69" t="e">
        <f t="shared" si="8"/>
        <v>#DIV/0!</v>
      </c>
      <c r="R61" s="326" t="e">
        <f>SUM(C61:Q61)</f>
        <v>#DIV/0!</v>
      </c>
    </row>
    <row r="62" spans="2:18" x14ac:dyDescent="0.15">
      <c r="B62" s="427" t="s">
        <v>274</v>
      </c>
      <c r="C62" s="70" t="e">
        <f>C60-C61</f>
        <v>#DIV/0!</v>
      </c>
      <c r="D62" s="70" t="e">
        <f>D60-D61</f>
        <v>#DIV/0!</v>
      </c>
      <c r="E62" s="70" t="e">
        <f>IF(E59&lt;-$C54,-E59,(E60-E61))</f>
        <v>#DIV/0!</v>
      </c>
      <c r="F62" s="70" t="e">
        <f t="shared" ref="F62:Q62" si="9">IF(F59&lt;-$C54,-F59,(F60-F61))</f>
        <v>#DIV/0!</v>
      </c>
      <c r="G62" s="70" t="e">
        <f t="shared" si="9"/>
        <v>#DIV/0!</v>
      </c>
      <c r="H62" s="70" t="e">
        <f t="shared" si="9"/>
        <v>#DIV/0!</v>
      </c>
      <c r="I62" s="70" t="e">
        <f t="shared" si="9"/>
        <v>#DIV/0!</v>
      </c>
      <c r="J62" s="70" t="e">
        <f t="shared" si="9"/>
        <v>#DIV/0!</v>
      </c>
      <c r="K62" s="70" t="e">
        <f t="shared" si="9"/>
        <v>#DIV/0!</v>
      </c>
      <c r="L62" s="70" t="e">
        <f t="shared" si="9"/>
        <v>#DIV/0!</v>
      </c>
      <c r="M62" s="70" t="e">
        <f t="shared" si="9"/>
        <v>#DIV/0!</v>
      </c>
      <c r="N62" s="70" t="e">
        <f t="shared" si="9"/>
        <v>#DIV/0!</v>
      </c>
      <c r="O62" s="70" t="e">
        <f t="shared" si="9"/>
        <v>#DIV/0!</v>
      </c>
      <c r="P62" s="70" t="e">
        <f t="shared" si="9"/>
        <v>#DIV/0!</v>
      </c>
      <c r="Q62" s="70" t="e">
        <f t="shared" si="9"/>
        <v>#DIV/0!</v>
      </c>
      <c r="R62" s="431" t="e">
        <f>SUM(C62:Q62)</f>
        <v>#DIV/0!</v>
      </c>
    </row>
    <row r="63" spans="2:18" x14ac:dyDescent="0.15">
      <c r="B63" s="427" t="s">
        <v>275</v>
      </c>
      <c r="C63" s="71" t="e">
        <f>C59+C62</f>
        <v>#DIV/0!</v>
      </c>
      <c r="D63" s="71" t="e">
        <f>D59+D62</f>
        <v>#DIV/0!</v>
      </c>
      <c r="E63" s="71" t="e">
        <f>E59+E62</f>
        <v>#DIV/0!</v>
      </c>
      <c r="F63" s="71" t="e">
        <f t="shared" ref="F63:Q63" si="10">IF(F62=0,0,(F59+F62))</f>
        <v>#DIV/0!</v>
      </c>
      <c r="G63" s="71" t="e">
        <f t="shared" si="10"/>
        <v>#DIV/0!</v>
      </c>
      <c r="H63" s="71" t="e">
        <f t="shared" si="10"/>
        <v>#DIV/0!</v>
      </c>
      <c r="I63" s="71" t="e">
        <f t="shared" si="10"/>
        <v>#DIV/0!</v>
      </c>
      <c r="J63" s="71" t="e">
        <f t="shared" si="10"/>
        <v>#DIV/0!</v>
      </c>
      <c r="K63" s="71" t="e">
        <f t="shared" si="10"/>
        <v>#DIV/0!</v>
      </c>
      <c r="L63" s="71" t="e">
        <f t="shared" si="10"/>
        <v>#DIV/0!</v>
      </c>
      <c r="M63" s="71" t="e">
        <f t="shared" si="10"/>
        <v>#DIV/0!</v>
      </c>
      <c r="N63" s="71" t="e">
        <f t="shared" si="10"/>
        <v>#DIV/0!</v>
      </c>
      <c r="O63" s="71" t="e">
        <f t="shared" si="10"/>
        <v>#DIV/0!</v>
      </c>
      <c r="P63" s="71" t="e">
        <f t="shared" si="10"/>
        <v>#DIV/0!</v>
      </c>
      <c r="Q63" s="71" t="e">
        <f t="shared" si="10"/>
        <v>#DIV/0!</v>
      </c>
      <c r="R63" s="429"/>
    </row>
    <row r="64" spans="2:18" ht="14" thickBot="1" x14ac:dyDescent="0.2">
      <c r="B64" s="182"/>
      <c r="C64" s="174"/>
      <c r="D64" s="174"/>
      <c r="E64" s="174"/>
      <c r="F64" s="174"/>
      <c r="G64" s="174"/>
      <c r="H64" s="174"/>
      <c r="I64" s="174"/>
      <c r="J64" s="174"/>
      <c r="K64" s="174"/>
      <c r="L64" s="174"/>
      <c r="M64" s="174"/>
      <c r="N64" s="174"/>
      <c r="O64" s="174"/>
      <c r="P64" s="174"/>
      <c r="Q64" s="174"/>
      <c r="R64" s="273"/>
    </row>
    <row r="65" spans="2:18" ht="14" thickBot="1" x14ac:dyDescent="0.2">
      <c r="B65" s="437">
        <v>-0.15</v>
      </c>
      <c r="C65" s="178"/>
      <c r="D65" s="178"/>
      <c r="E65" s="178"/>
      <c r="F65" s="178"/>
      <c r="G65" s="178"/>
      <c r="H65" s="178"/>
      <c r="I65" s="178"/>
      <c r="J65" s="178"/>
      <c r="K65" s="178"/>
      <c r="L65" s="178"/>
      <c r="M65" s="178"/>
      <c r="N65" s="178"/>
      <c r="O65" s="178"/>
      <c r="P65" s="178"/>
      <c r="Q65" s="178"/>
      <c r="R65" s="272"/>
    </row>
    <row r="66" spans="2:18" ht="14" x14ac:dyDescent="0.15">
      <c r="B66" s="435" t="s">
        <v>667</v>
      </c>
      <c r="C66" s="61">
        <f>'Level Payment Fin Sens Wksht'!D7</f>
        <v>0</v>
      </c>
      <c r="D66" s="7"/>
      <c r="R66" s="180"/>
    </row>
    <row r="67" spans="2:18" ht="14" x14ac:dyDescent="0.15">
      <c r="B67" s="392" t="s">
        <v>668</v>
      </c>
      <c r="C67" s="108">
        <f>'Loan Amortization'!$D$6</f>
        <v>0.08</v>
      </c>
      <c r="D67" s="7"/>
      <c r="R67" s="180"/>
    </row>
    <row r="68" spans="2:18" ht="14" x14ac:dyDescent="0.15">
      <c r="B68" s="425" t="s">
        <v>261</v>
      </c>
      <c r="C68" s="76">
        <f>'Loan Amortization'!$D$7</f>
        <v>5</v>
      </c>
      <c r="D68" s="7"/>
      <c r="R68" s="180"/>
    </row>
    <row r="69" spans="2:18" ht="28" x14ac:dyDescent="0.15">
      <c r="B69" s="392" t="s">
        <v>262</v>
      </c>
      <c r="C69" s="76">
        <f>'Loan Amortization'!$D$8</f>
        <v>0</v>
      </c>
      <c r="D69" s="7"/>
      <c r="E69" s="6"/>
      <c r="R69" s="180"/>
    </row>
    <row r="70" spans="2:18" ht="14" x14ac:dyDescent="0.15">
      <c r="B70" s="425" t="s">
        <v>263</v>
      </c>
      <c r="C70" s="12">
        <f>C68*C69</f>
        <v>0</v>
      </c>
      <c r="D70" s="7"/>
      <c r="R70" s="180"/>
    </row>
    <row r="71" spans="2:18" ht="14" x14ac:dyDescent="0.15">
      <c r="B71" s="392" t="s">
        <v>669</v>
      </c>
      <c r="C71" s="53" t="e">
        <f>C67/C69</f>
        <v>#DIV/0!</v>
      </c>
      <c r="D71" s="7"/>
      <c r="R71" s="180"/>
    </row>
    <row r="72" spans="2:18" x14ac:dyDescent="0.15">
      <c r="B72" s="426"/>
      <c r="R72" s="180"/>
    </row>
    <row r="73" spans="2:18" x14ac:dyDescent="0.15">
      <c r="B73" s="427" t="s">
        <v>266</v>
      </c>
      <c r="C73" s="74" t="e">
        <f>PMT($C71,$C70,$C66)</f>
        <v>#DIV/0!</v>
      </c>
      <c r="R73" s="180"/>
    </row>
    <row r="74" spans="2:18" x14ac:dyDescent="0.15">
      <c r="B74" s="427" t="s">
        <v>670</v>
      </c>
      <c r="C74" s="74" t="e">
        <f>$C73*$C69</f>
        <v>#DIV/0!</v>
      </c>
      <c r="R74" s="180"/>
    </row>
    <row r="75" spans="2:18" x14ac:dyDescent="0.15">
      <c r="B75" s="427" t="s">
        <v>671</v>
      </c>
      <c r="C75" s="74" t="e">
        <f>$C74*$C68</f>
        <v>#DIV/0!</v>
      </c>
      <c r="R75" s="180"/>
    </row>
    <row r="76" spans="2:18" ht="14" thickBot="1" x14ac:dyDescent="0.2">
      <c r="B76" s="202"/>
      <c r="C76" s="8"/>
      <c r="G76" s="9"/>
      <c r="R76" s="180"/>
    </row>
    <row r="77" spans="2:18" ht="14" thickBot="1" x14ac:dyDescent="0.2">
      <c r="B77" s="436">
        <v>-0.15</v>
      </c>
      <c r="R77" s="180"/>
    </row>
    <row r="78" spans="2:18" x14ac:dyDescent="0.15">
      <c r="B78" s="441" t="s">
        <v>270</v>
      </c>
      <c r="C78" s="26">
        <v>1</v>
      </c>
      <c r="D78" s="26">
        <v>2</v>
      </c>
      <c r="E78" s="26">
        <v>3</v>
      </c>
      <c r="F78" s="26">
        <v>4</v>
      </c>
      <c r="G78" s="26">
        <v>5</v>
      </c>
      <c r="H78" s="26">
        <v>6</v>
      </c>
      <c r="I78" s="26">
        <v>7</v>
      </c>
      <c r="J78" s="26">
        <v>8</v>
      </c>
      <c r="K78" s="26">
        <v>9</v>
      </c>
      <c r="L78" s="26">
        <v>10</v>
      </c>
      <c r="M78" s="26">
        <v>11</v>
      </c>
      <c r="N78" s="26">
        <v>12</v>
      </c>
      <c r="O78" s="26">
        <v>13</v>
      </c>
      <c r="P78" s="26">
        <v>14</v>
      </c>
      <c r="Q78" s="26">
        <v>15</v>
      </c>
      <c r="R78" s="428" t="s">
        <v>216</v>
      </c>
    </row>
    <row r="79" spans="2:18" x14ac:dyDescent="0.15">
      <c r="B79" s="427" t="s">
        <v>271</v>
      </c>
      <c r="C79" s="71">
        <f>$C66</f>
        <v>0</v>
      </c>
      <c r="D79" s="69" t="e">
        <f>C83</f>
        <v>#DIV/0!</v>
      </c>
      <c r="E79" s="69" t="e">
        <f>IF('Loan Amortization'!F$33=1,0,'Amort Sensitivity Wksht'!D83)</f>
        <v>#DIV/0!</v>
      </c>
      <c r="F79" s="69" t="e">
        <f>IF('Loan Amortization'!G$33=1,0,'Amort Sensitivity Wksht'!E83)</f>
        <v>#DIV/0!</v>
      </c>
      <c r="G79" s="69" t="e">
        <f>IF('Loan Amortization'!H$33=1,0,'Amort Sensitivity Wksht'!F83)</f>
        <v>#DIV/0!</v>
      </c>
      <c r="H79" s="69" t="e">
        <f>IF('Loan Amortization'!I$33=1,0,'Amort Sensitivity Wksht'!G83)</f>
        <v>#DIV/0!</v>
      </c>
      <c r="I79" s="69" t="e">
        <f>IF('Loan Amortization'!J$33=1,0,'Amort Sensitivity Wksht'!H83)</f>
        <v>#DIV/0!</v>
      </c>
      <c r="J79" s="69" t="e">
        <f>IF('Loan Amortization'!K$33=1,0,'Amort Sensitivity Wksht'!I83)</f>
        <v>#DIV/0!</v>
      </c>
      <c r="K79" s="69" t="e">
        <f>IF('Loan Amortization'!L$33=1,0,'Amort Sensitivity Wksht'!J83)</f>
        <v>#DIV/0!</v>
      </c>
      <c r="L79" s="69" t="e">
        <f>IF('Loan Amortization'!M$33=1,0,'Amort Sensitivity Wksht'!K83)</f>
        <v>#DIV/0!</v>
      </c>
      <c r="M79" s="69" t="e">
        <f>IF('Loan Amortization'!N$33=1,0,'Amort Sensitivity Wksht'!L83)</f>
        <v>#DIV/0!</v>
      </c>
      <c r="N79" s="69" t="e">
        <f>IF('Loan Amortization'!O$33=1,0,'Amort Sensitivity Wksht'!M83)</f>
        <v>#DIV/0!</v>
      </c>
      <c r="O79" s="69" t="e">
        <f>IF('Loan Amortization'!P$33=1,0,'Amort Sensitivity Wksht'!N83)</f>
        <v>#DIV/0!</v>
      </c>
      <c r="P79" s="69" t="e">
        <f>IF('Loan Amortization'!Q$33=1,0,'Amort Sensitivity Wksht'!O83)</f>
        <v>#DIV/0!</v>
      </c>
      <c r="Q79" s="69" t="e">
        <f>IF('Loan Amortization'!R$33=1,0,'Amort Sensitivity Wksht'!P83)</f>
        <v>#DIV/0!</v>
      </c>
      <c r="R79" s="429"/>
    </row>
    <row r="80" spans="2:18" x14ac:dyDescent="0.15">
      <c r="B80" s="430" t="s">
        <v>272</v>
      </c>
      <c r="C80" s="69" t="e">
        <f>$C74</f>
        <v>#DIV/0!</v>
      </c>
      <c r="D80" s="69" t="e">
        <f>IF(D79&gt;(-1*$C74),$C74,0)</f>
        <v>#DIV/0!</v>
      </c>
      <c r="E80" s="69" t="e">
        <f>IF(E79&gt;(-1*$C74),$C74,0)</f>
        <v>#DIV/0!</v>
      </c>
      <c r="F80" s="69" t="e">
        <f t="shared" ref="F80:Q80" si="11">IF(F79&gt;(-1*$C74),$C74,0)</f>
        <v>#DIV/0!</v>
      </c>
      <c r="G80" s="69" t="e">
        <f t="shared" si="11"/>
        <v>#DIV/0!</v>
      </c>
      <c r="H80" s="69" t="e">
        <f t="shared" si="11"/>
        <v>#DIV/0!</v>
      </c>
      <c r="I80" s="69" t="e">
        <f t="shared" si="11"/>
        <v>#DIV/0!</v>
      </c>
      <c r="J80" s="69" t="e">
        <f t="shared" si="11"/>
        <v>#DIV/0!</v>
      </c>
      <c r="K80" s="69" t="e">
        <f t="shared" si="11"/>
        <v>#DIV/0!</v>
      </c>
      <c r="L80" s="69" t="e">
        <f t="shared" si="11"/>
        <v>#DIV/0!</v>
      </c>
      <c r="M80" s="69" t="e">
        <f t="shared" si="11"/>
        <v>#DIV/0!</v>
      </c>
      <c r="N80" s="69" t="e">
        <f t="shared" si="11"/>
        <v>#DIV/0!</v>
      </c>
      <c r="O80" s="69" t="e">
        <f t="shared" si="11"/>
        <v>#DIV/0!</v>
      </c>
      <c r="P80" s="69" t="e">
        <f t="shared" si="11"/>
        <v>#DIV/0!</v>
      </c>
      <c r="Q80" s="69" t="e">
        <f t="shared" si="11"/>
        <v>#DIV/0!</v>
      </c>
      <c r="R80" s="326" t="e">
        <f>SUM(C80:Q80)</f>
        <v>#DIV/0!</v>
      </c>
    </row>
    <row r="81" spans="2:18" x14ac:dyDescent="0.15">
      <c r="B81" s="427" t="s">
        <v>273</v>
      </c>
      <c r="C81" s="69">
        <f>-C79*$C67</f>
        <v>0</v>
      </c>
      <c r="D81" s="69" t="e">
        <f>-D79*$C67</f>
        <v>#DIV/0!</v>
      </c>
      <c r="E81" s="69" t="e">
        <f>-E79*$C67</f>
        <v>#DIV/0!</v>
      </c>
      <c r="F81" s="69" t="e">
        <f t="shared" ref="F81:Q81" si="12">IF(F80=0,0,(-F79*$C67))</f>
        <v>#DIV/0!</v>
      </c>
      <c r="G81" s="69" t="e">
        <f t="shared" si="12"/>
        <v>#DIV/0!</v>
      </c>
      <c r="H81" s="69" t="e">
        <f t="shared" si="12"/>
        <v>#DIV/0!</v>
      </c>
      <c r="I81" s="69" t="e">
        <f t="shared" si="12"/>
        <v>#DIV/0!</v>
      </c>
      <c r="J81" s="69" t="e">
        <f t="shared" si="12"/>
        <v>#DIV/0!</v>
      </c>
      <c r="K81" s="69" t="e">
        <f t="shared" si="12"/>
        <v>#DIV/0!</v>
      </c>
      <c r="L81" s="69" t="e">
        <f t="shared" si="12"/>
        <v>#DIV/0!</v>
      </c>
      <c r="M81" s="69" t="e">
        <f t="shared" si="12"/>
        <v>#DIV/0!</v>
      </c>
      <c r="N81" s="69" t="e">
        <f t="shared" si="12"/>
        <v>#DIV/0!</v>
      </c>
      <c r="O81" s="69" t="e">
        <f t="shared" si="12"/>
        <v>#DIV/0!</v>
      </c>
      <c r="P81" s="69" t="e">
        <f t="shared" si="12"/>
        <v>#DIV/0!</v>
      </c>
      <c r="Q81" s="69" t="e">
        <f t="shared" si="12"/>
        <v>#DIV/0!</v>
      </c>
      <c r="R81" s="326" t="e">
        <f>SUM(C81:Q81)</f>
        <v>#DIV/0!</v>
      </c>
    </row>
    <row r="82" spans="2:18" x14ac:dyDescent="0.15">
      <c r="B82" s="427" t="s">
        <v>274</v>
      </c>
      <c r="C82" s="70" t="e">
        <f>C80-C81</f>
        <v>#DIV/0!</v>
      </c>
      <c r="D82" s="70" t="e">
        <f>D80-D81</f>
        <v>#DIV/0!</v>
      </c>
      <c r="E82" s="70" t="e">
        <f>IF(E79&lt;-$C74,-E79,(E80-E81))</f>
        <v>#DIV/0!</v>
      </c>
      <c r="F82" s="70" t="e">
        <f t="shared" ref="F82:Q82" si="13">IF(F79&lt;-$C74,-F79,(F80-F81))</f>
        <v>#DIV/0!</v>
      </c>
      <c r="G82" s="70" t="e">
        <f t="shared" si="13"/>
        <v>#DIV/0!</v>
      </c>
      <c r="H82" s="70" t="e">
        <f t="shared" si="13"/>
        <v>#DIV/0!</v>
      </c>
      <c r="I82" s="70" t="e">
        <f t="shared" si="13"/>
        <v>#DIV/0!</v>
      </c>
      <c r="J82" s="70" t="e">
        <f t="shared" si="13"/>
        <v>#DIV/0!</v>
      </c>
      <c r="K82" s="70" t="e">
        <f t="shared" si="13"/>
        <v>#DIV/0!</v>
      </c>
      <c r="L82" s="70" t="e">
        <f t="shared" si="13"/>
        <v>#DIV/0!</v>
      </c>
      <c r="M82" s="70" t="e">
        <f t="shared" si="13"/>
        <v>#DIV/0!</v>
      </c>
      <c r="N82" s="70" t="e">
        <f t="shared" si="13"/>
        <v>#DIV/0!</v>
      </c>
      <c r="O82" s="70" t="e">
        <f t="shared" si="13"/>
        <v>#DIV/0!</v>
      </c>
      <c r="P82" s="70" t="e">
        <f t="shared" si="13"/>
        <v>#DIV/0!</v>
      </c>
      <c r="Q82" s="70" t="e">
        <f t="shared" si="13"/>
        <v>#DIV/0!</v>
      </c>
      <c r="R82" s="431" t="e">
        <f>SUM(C82:Q82)</f>
        <v>#DIV/0!</v>
      </c>
    </row>
    <row r="83" spans="2:18" x14ac:dyDescent="0.15">
      <c r="B83" s="427" t="s">
        <v>275</v>
      </c>
      <c r="C83" s="71" t="e">
        <f>C79+C82</f>
        <v>#DIV/0!</v>
      </c>
      <c r="D83" s="71" t="e">
        <f>D79+D82</f>
        <v>#DIV/0!</v>
      </c>
      <c r="E83" s="71" t="e">
        <f>E79+E82</f>
        <v>#DIV/0!</v>
      </c>
      <c r="F83" s="71" t="e">
        <f t="shared" ref="F83:Q83" si="14">IF(F82=0,0,(F79+F82))</f>
        <v>#DIV/0!</v>
      </c>
      <c r="G83" s="71" t="e">
        <f t="shared" si="14"/>
        <v>#DIV/0!</v>
      </c>
      <c r="H83" s="71" t="e">
        <f t="shared" si="14"/>
        <v>#DIV/0!</v>
      </c>
      <c r="I83" s="71" t="e">
        <f t="shared" si="14"/>
        <v>#DIV/0!</v>
      </c>
      <c r="J83" s="71" t="e">
        <f t="shared" si="14"/>
        <v>#DIV/0!</v>
      </c>
      <c r="K83" s="71" t="e">
        <f t="shared" si="14"/>
        <v>#DIV/0!</v>
      </c>
      <c r="L83" s="71" t="e">
        <f t="shared" si="14"/>
        <v>#DIV/0!</v>
      </c>
      <c r="M83" s="71" t="e">
        <f t="shared" si="14"/>
        <v>#DIV/0!</v>
      </c>
      <c r="N83" s="71" t="e">
        <f t="shared" si="14"/>
        <v>#DIV/0!</v>
      </c>
      <c r="O83" s="71" t="e">
        <f t="shared" si="14"/>
        <v>#DIV/0!</v>
      </c>
      <c r="P83" s="71" t="e">
        <f t="shared" si="14"/>
        <v>#DIV/0!</v>
      </c>
      <c r="Q83" s="71" t="e">
        <f t="shared" si="14"/>
        <v>#DIV/0!</v>
      </c>
      <c r="R83" s="429"/>
    </row>
    <row r="84" spans="2:18" ht="14" thickBot="1" x14ac:dyDescent="0.2">
      <c r="B84" s="182"/>
      <c r="C84" s="174"/>
      <c r="D84" s="174"/>
      <c r="E84" s="174"/>
      <c r="F84" s="174"/>
      <c r="G84" s="174"/>
      <c r="H84" s="174"/>
      <c r="I84" s="174"/>
      <c r="J84" s="174"/>
      <c r="K84" s="174"/>
      <c r="L84" s="174"/>
      <c r="M84" s="174"/>
      <c r="N84" s="174"/>
      <c r="O84" s="174"/>
      <c r="P84" s="174"/>
      <c r="Q84" s="174"/>
      <c r="R84" s="273"/>
    </row>
    <row r="85" spans="2:18" ht="14" thickBot="1" x14ac:dyDescent="0.2">
      <c r="B85" s="437">
        <v>-0.1</v>
      </c>
      <c r="C85" s="178"/>
      <c r="D85" s="178"/>
      <c r="E85" s="178"/>
      <c r="F85" s="178"/>
      <c r="G85" s="178"/>
      <c r="H85" s="178"/>
      <c r="I85" s="178"/>
      <c r="J85" s="178"/>
      <c r="K85" s="178"/>
      <c r="L85" s="178"/>
      <c r="M85" s="178"/>
      <c r="N85" s="178"/>
      <c r="O85" s="178"/>
      <c r="P85" s="178"/>
      <c r="Q85" s="178"/>
      <c r="R85" s="272"/>
    </row>
    <row r="86" spans="2:18" ht="14" x14ac:dyDescent="0.15">
      <c r="B86" s="435" t="s">
        <v>667</v>
      </c>
      <c r="C86" s="61">
        <f>'Level Payment Fin Sens Wksht'!D8</f>
        <v>0</v>
      </c>
      <c r="D86" s="7"/>
      <c r="R86" s="180"/>
    </row>
    <row r="87" spans="2:18" ht="14" x14ac:dyDescent="0.15">
      <c r="B87" s="392" t="s">
        <v>668</v>
      </c>
      <c r="C87" s="108">
        <f>'Loan Amortization'!$D$6</f>
        <v>0.08</v>
      </c>
      <c r="D87" s="7"/>
      <c r="R87" s="180"/>
    </row>
    <row r="88" spans="2:18" ht="14" x14ac:dyDescent="0.15">
      <c r="B88" s="425" t="s">
        <v>261</v>
      </c>
      <c r="C88" s="76">
        <f>'Loan Amortization'!$D$7</f>
        <v>5</v>
      </c>
      <c r="D88" s="7"/>
      <c r="R88" s="180"/>
    </row>
    <row r="89" spans="2:18" ht="28" x14ac:dyDescent="0.15">
      <c r="B89" s="392" t="s">
        <v>262</v>
      </c>
      <c r="C89" s="76">
        <f>'Loan Amortization'!$D$8</f>
        <v>0</v>
      </c>
      <c r="D89" s="7"/>
      <c r="E89" s="6"/>
      <c r="R89" s="180"/>
    </row>
    <row r="90" spans="2:18" ht="14" x14ac:dyDescent="0.15">
      <c r="B90" s="425" t="s">
        <v>263</v>
      </c>
      <c r="C90" s="12">
        <f>C88*C89</f>
        <v>0</v>
      </c>
      <c r="D90" s="7"/>
      <c r="R90" s="180"/>
    </row>
    <row r="91" spans="2:18" ht="14" x14ac:dyDescent="0.15">
      <c r="B91" s="392" t="s">
        <v>669</v>
      </c>
      <c r="C91" s="53" t="e">
        <f>C87/C89</f>
        <v>#DIV/0!</v>
      </c>
      <c r="D91" s="7"/>
      <c r="R91" s="180"/>
    </row>
    <row r="92" spans="2:18" x14ac:dyDescent="0.15">
      <c r="B92" s="426"/>
      <c r="R92" s="180"/>
    </row>
    <row r="93" spans="2:18" x14ac:dyDescent="0.15">
      <c r="B93" s="427" t="s">
        <v>266</v>
      </c>
      <c r="C93" s="74" t="e">
        <f>PMT($C91,$C90,$C86)</f>
        <v>#DIV/0!</v>
      </c>
      <c r="R93" s="180"/>
    </row>
    <row r="94" spans="2:18" x14ac:dyDescent="0.15">
      <c r="B94" s="427" t="s">
        <v>670</v>
      </c>
      <c r="C94" s="74" t="e">
        <f>$C93*$C89</f>
        <v>#DIV/0!</v>
      </c>
      <c r="R94" s="180"/>
    </row>
    <row r="95" spans="2:18" x14ac:dyDescent="0.15">
      <c r="B95" s="427" t="s">
        <v>671</v>
      </c>
      <c r="C95" s="74" t="e">
        <f>$C94*$C88</f>
        <v>#DIV/0!</v>
      </c>
      <c r="R95" s="180"/>
    </row>
    <row r="96" spans="2:18" ht="14" thickBot="1" x14ac:dyDescent="0.2">
      <c r="B96" s="202"/>
      <c r="C96" s="8"/>
      <c r="G96" s="9"/>
      <c r="R96" s="180"/>
    </row>
    <row r="97" spans="2:18" ht="14" thickBot="1" x14ac:dyDescent="0.2">
      <c r="B97" s="436">
        <v>-0.1</v>
      </c>
      <c r="R97" s="180"/>
    </row>
    <row r="98" spans="2:18" x14ac:dyDescent="0.15">
      <c r="B98" s="441" t="s">
        <v>270</v>
      </c>
      <c r="C98" s="26">
        <v>1</v>
      </c>
      <c r="D98" s="26">
        <v>2</v>
      </c>
      <c r="E98" s="26">
        <v>3</v>
      </c>
      <c r="F98" s="26">
        <v>4</v>
      </c>
      <c r="G98" s="26">
        <v>5</v>
      </c>
      <c r="H98" s="26">
        <v>6</v>
      </c>
      <c r="I98" s="26">
        <v>7</v>
      </c>
      <c r="J98" s="26">
        <v>8</v>
      </c>
      <c r="K98" s="26">
        <v>9</v>
      </c>
      <c r="L98" s="26">
        <v>10</v>
      </c>
      <c r="M98" s="26">
        <v>11</v>
      </c>
      <c r="N98" s="26">
        <v>12</v>
      </c>
      <c r="O98" s="26">
        <v>13</v>
      </c>
      <c r="P98" s="26">
        <v>14</v>
      </c>
      <c r="Q98" s="26">
        <v>15</v>
      </c>
      <c r="R98" s="428" t="s">
        <v>216</v>
      </c>
    </row>
    <row r="99" spans="2:18" x14ac:dyDescent="0.15">
      <c r="B99" s="427" t="s">
        <v>271</v>
      </c>
      <c r="C99" s="71">
        <f>$C86</f>
        <v>0</v>
      </c>
      <c r="D99" s="69" t="e">
        <f>C103</f>
        <v>#DIV/0!</v>
      </c>
      <c r="E99" s="69" t="e">
        <f>IF('Loan Amortization'!F$33=1,0,'Amort Sensitivity Wksht'!D103)</f>
        <v>#DIV/0!</v>
      </c>
      <c r="F99" s="69" t="e">
        <f>IF('Loan Amortization'!G$33=1,0,'Amort Sensitivity Wksht'!E103)</f>
        <v>#DIV/0!</v>
      </c>
      <c r="G99" s="69" t="e">
        <f>IF('Loan Amortization'!H$33=1,0,'Amort Sensitivity Wksht'!F103)</f>
        <v>#DIV/0!</v>
      </c>
      <c r="H99" s="69" t="e">
        <f>IF('Loan Amortization'!I$33=1,0,'Amort Sensitivity Wksht'!G103)</f>
        <v>#DIV/0!</v>
      </c>
      <c r="I99" s="69" t="e">
        <f>IF('Loan Amortization'!J$33=1,0,'Amort Sensitivity Wksht'!H103)</f>
        <v>#DIV/0!</v>
      </c>
      <c r="J99" s="69" t="e">
        <f>IF('Loan Amortization'!K$33=1,0,'Amort Sensitivity Wksht'!I103)</f>
        <v>#DIV/0!</v>
      </c>
      <c r="K99" s="69" t="e">
        <f>IF('Loan Amortization'!L$33=1,0,'Amort Sensitivity Wksht'!J103)</f>
        <v>#DIV/0!</v>
      </c>
      <c r="L99" s="69" t="e">
        <f>IF('Loan Amortization'!M$33=1,0,'Amort Sensitivity Wksht'!K103)</f>
        <v>#DIV/0!</v>
      </c>
      <c r="M99" s="69" t="e">
        <f>IF('Loan Amortization'!N$33=1,0,'Amort Sensitivity Wksht'!L103)</f>
        <v>#DIV/0!</v>
      </c>
      <c r="N99" s="69" t="e">
        <f>IF('Loan Amortization'!O$33=1,0,'Amort Sensitivity Wksht'!M103)</f>
        <v>#DIV/0!</v>
      </c>
      <c r="O99" s="69" t="e">
        <f>IF('Loan Amortization'!P$33=1,0,'Amort Sensitivity Wksht'!N103)</f>
        <v>#DIV/0!</v>
      </c>
      <c r="P99" s="69" t="e">
        <f>IF('Loan Amortization'!Q$33=1,0,'Amort Sensitivity Wksht'!O103)</f>
        <v>#DIV/0!</v>
      </c>
      <c r="Q99" s="69" t="e">
        <f>IF('Loan Amortization'!R$33=1,0,'Amort Sensitivity Wksht'!P103)</f>
        <v>#DIV/0!</v>
      </c>
      <c r="R99" s="429"/>
    </row>
    <row r="100" spans="2:18" x14ac:dyDescent="0.15">
      <c r="B100" s="430" t="s">
        <v>272</v>
      </c>
      <c r="C100" s="69" t="e">
        <f>$C94</f>
        <v>#DIV/0!</v>
      </c>
      <c r="D100" s="69" t="e">
        <f>IF(D99&gt;(-1*$C94),$C94,0)</f>
        <v>#DIV/0!</v>
      </c>
      <c r="E100" s="69" t="e">
        <f>IF(E99&gt;(-1*$C94),$C94,0)</f>
        <v>#DIV/0!</v>
      </c>
      <c r="F100" s="69" t="e">
        <f t="shared" ref="F100:Q100" si="15">IF(F99&gt;(-1*$C94),$C94,0)</f>
        <v>#DIV/0!</v>
      </c>
      <c r="G100" s="69" t="e">
        <f t="shared" si="15"/>
        <v>#DIV/0!</v>
      </c>
      <c r="H100" s="69" t="e">
        <f t="shared" si="15"/>
        <v>#DIV/0!</v>
      </c>
      <c r="I100" s="69" t="e">
        <f t="shared" si="15"/>
        <v>#DIV/0!</v>
      </c>
      <c r="J100" s="69" t="e">
        <f t="shared" si="15"/>
        <v>#DIV/0!</v>
      </c>
      <c r="K100" s="69" t="e">
        <f t="shared" si="15"/>
        <v>#DIV/0!</v>
      </c>
      <c r="L100" s="69" t="e">
        <f t="shared" si="15"/>
        <v>#DIV/0!</v>
      </c>
      <c r="M100" s="69" t="e">
        <f t="shared" si="15"/>
        <v>#DIV/0!</v>
      </c>
      <c r="N100" s="69" t="e">
        <f t="shared" si="15"/>
        <v>#DIV/0!</v>
      </c>
      <c r="O100" s="69" t="e">
        <f t="shared" si="15"/>
        <v>#DIV/0!</v>
      </c>
      <c r="P100" s="69" t="e">
        <f t="shared" si="15"/>
        <v>#DIV/0!</v>
      </c>
      <c r="Q100" s="69" t="e">
        <f t="shared" si="15"/>
        <v>#DIV/0!</v>
      </c>
      <c r="R100" s="326" t="e">
        <f>SUM(C100:Q100)</f>
        <v>#DIV/0!</v>
      </c>
    </row>
    <row r="101" spans="2:18" x14ac:dyDescent="0.15">
      <c r="B101" s="427" t="s">
        <v>273</v>
      </c>
      <c r="C101" s="69">
        <f>-C99*$C87</f>
        <v>0</v>
      </c>
      <c r="D101" s="69" t="e">
        <f>-D99*$C87</f>
        <v>#DIV/0!</v>
      </c>
      <c r="E101" s="69" t="e">
        <f>-E99*$C87</f>
        <v>#DIV/0!</v>
      </c>
      <c r="F101" s="69" t="e">
        <f t="shared" ref="F101:Q101" si="16">IF(F100=0,0,(-F99*$C87))</f>
        <v>#DIV/0!</v>
      </c>
      <c r="G101" s="69" t="e">
        <f t="shared" si="16"/>
        <v>#DIV/0!</v>
      </c>
      <c r="H101" s="69" t="e">
        <f t="shared" si="16"/>
        <v>#DIV/0!</v>
      </c>
      <c r="I101" s="69" t="e">
        <f t="shared" si="16"/>
        <v>#DIV/0!</v>
      </c>
      <c r="J101" s="69" t="e">
        <f t="shared" si="16"/>
        <v>#DIV/0!</v>
      </c>
      <c r="K101" s="69" t="e">
        <f t="shared" si="16"/>
        <v>#DIV/0!</v>
      </c>
      <c r="L101" s="69" t="e">
        <f t="shared" si="16"/>
        <v>#DIV/0!</v>
      </c>
      <c r="M101" s="69" t="e">
        <f t="shared" si="16"/>
        <v>#DIV/0!</v>
      </c>
      <c r="N101" s="69" t="e">
        <f t="shared" si="16"/>
        <v>#DIV/0!</v>
      </c>
      <c r="O101" s="69" t="e">
        <f t="shared" si="16"/>
        <v>#DIV/0!</v>
      </c>
      <c r="P101" s="69" t="e">
        <f t="shared" si="16"/>
        <v>#DIV/0!</v>
      </c>
      <c r="Q101" s="69" t="e">
        <f t="shared" si="16"/>
        <v>#DIV/0!</v>
      </c>
      <c r="R101" s="326" t="e">
        <f>SUM(C101:Q101)</f>
        <v>#DIV/0!</v>
      </c>
    </row>
    <row r="102" spans="2:18" x14ac:dyDescent="0.15">
      <c r="B102" s="427" t="s">
        <v>274</v>
      </c>
      <c r="C102" s="70" t="e">
        <f>C100-C101</f>
        <v>#DIV/0!</v>
      </c>
      <c r="D102" s="70" t="e">
        <f>D100-D101</f>
        <v>#DIV/0!</v>
      </c>
      <c r="E102" s="70" t="e">
        <f>IF(E99&lt;-$C94,-E99,(E100-E101))</f>
        <v>#DIV/0!</v>
      </c>
      <c r="F102" s="70" t="e">
        <f t="shared" ref="F102:Q102" si="17">IF(F99&lt;-$C94,-F99,(F100-F101))</f>
        <v>#DIV/0!</v>
      </c>
      <c r="G102" s="70" t="e">
        <f t="shared" si="17"/>
        <v>#DIV/0!</v>
      </c>
      <c r="H102" s="70" t="e">
        <f t="shared" si="17"/>
        <v>#DIV/0!</v>
      </c>
      <c r="I102" s="70" t="e">
        <f t="shared" si="17"/>
        <v>#DIV/0!</v>
      </c>
      <c r="J102" s="70" t="e">
        <f t="shared" si="17"/>
        <v>#DIV/0!</v>
      </c>
      <c r="K102" s="70" t="e">
        <f t="shared" si="17"/>
        <v>#DIV/0!</v>
      </c>
      <c r="L102" s="70" t="e">
        <f t="shared" si="17"/>
        <v>#DIV/0!</v>
      </c>
      <c r="M102" s="70" t="e">
        <f t="shared" si="17"/>
        <v>#DIV/0!</v>
      </c>
      <c r="N102" s="70" t="e">
        <f t="shared" si="17"/>
        <v>#DIV/0!</v>
      </c>
      <c r="O102" s="70" t="e">
        <f t="shared" si="17"/>
        <v>#DIV/0!</v>
      </c>
      <c r="P102" s="70" t="e">
        <f t="shared" si="17"/>
        <v>#DIV/0!</v>
      </c>
      <c r="Q102" s="70" t="e">
        <f t="shared" si="17"/>
        <v>#DIV/0!</v>
      </c>
      <c r="R102" s="431" t="e">
        <f>SUM(C102:Q102)</f>
        <v>#DIV/0!</v>
      </c>
    </row>
    <row r="103" spans="2:18" x14ac:dyDescent="0.15">
      <c r="B103" s="427" t="s">
        <v>275</v>
      </c>
      <c r="C103" s="71" t="e">
        <f>C99+C102</f>
        <v>#DIV/0!</v>
      </c>
      <c r="D103" s="71" t="e">
        <f>D99+D102</f>
        <v>#DIV/0!</v>
      </c>
      <c r="E103" s="71" t="e">
        <f>E99+E102</f>
        <v>#DIV/0!</v>
      </c>
      <c r="F103" s="71" t="e">
        <f t="shared" ref="F103:Q103" si="18">IF(F102=0,0,(F99+F102))</f>
        <v>#DIV/0!</v>
      </c>
      <c r="G103" s="71" t="e">
        <f t="shared" si="18"/>
        <v>#DIV/0!</v>
      </c>
      <c r="H103" s="71" t="e">
        <f t="shared" si="18"/>
        <v>#DIV/0!</v>
      </c>
      <c r="I103" s="71" t="e">
        <f t="shared" si="18"/>
        <v>#DIV/0!</v>
      </c>
      <c r="J103" s="71" t="e">
        <f t="shared" si="18"/>
        <v>#DIV/0!</v>
      </c>
      <c r="K103" s="71" t="e">
        <f t="shared" si="18"/>
        <v>#DIV/0!</v>
      </c>
      <c r="L103" s="71" t="e">
        <f t="shared" si="18"/>
        <v>#DIV/0!</v>
      </c>
      <c r="M103" s="71" t="e">
        <f t="shared" si="18"/>
        <v>#DIV/0!</v>
      </c>
      <c r="N103" s="71" t="e">
        <f t="shared" si="18"/>
        <v>#DIV/0!</v>
      </c>
      <c r="O103" s="71" t="e">
        <f t="shared" si="18"/>
        <v>#DIV/0!</v>
      </c>
      <c r="P103" s="71" t="e">
        <f t="shared" si="18"/>
        <v>#DIV/0!</v>
      </c>
      <c r="Q103" s="71" t="e">
        <f t="shared" si="18"/>
        <v>#DIV/0!</v>
      </c>
      <c r="R103" s="429"/>
    </row>
    <row r="104" spans="2:18" ht="14" thickBot="1" x14ac:dyDescent="0.2">
      <c r="B104" s="182"/>
      <c r="C104" s="174"/>
      <c r="D104" s="174"/>
      <c r="E104" s="174"/>
      <c r="F104" s="174"/>
      <c r="G104" s="174"/>
      <c r="H104" s="174"/>
      <c r="I104" s="174"/>
      <c r="J104" s="174"/>
      <c r="K104" s="174"/>
      <c r="L104" s="174"/>
      <c r="M104" s="174"/>
      <c r="N104" s="174"/>
      <c r="O104" s="174"/>
      <c r="P104" s="174"/>
      <c r="Q104" s="174"/>
      <c r="R104" s="273"/>
    </row>
    <row r="105" spans="2:18" ht="14" thickBot="1" x14ac:dyDescent="0.2">
      <c r="B105" s="437">
        <v>-0.05</v>
      </c>
      <c r="C105" s="178"/>
      <c r="D105" s="178"/>
      <c r="E105" s="178"/>
      <c r="F105" s="178"/>
      <c r="G105" s="178"/>
      <c r="H105" s="178"/>
      <c r="I105" s="178"/>
      <c r="J105" s="178"/>
      <c r="K105" s="178"/>
      <c r="L105" s="178"/>
      <c r="M105" s="178"/>
      <c r="N105" s="178"/>
      <c r="O105" s="178"/>
      <c r="P105" s="178"/>
      <c r="Q105" s="178"/>
      <c r="R105" s="272"/>
    </row>
    <row r="106" spans="2:18" ht="14" x14ac:dyDescent="0.15">
      <c r="B106" s="435" t="s">
        <v>667</v>
      </c>
      <c r="C106" s="61">
        <f>'Level Payment Fin Sens Wksht'!D9</f>
        <v>0</v>
      </c>
      <c r="D106" s="7"/>
      <c r="R106" s="180"/>
    </row>
    <row r="107" spans="2:18" ht="14" x14ac:dyDescent="0.15">
      <c r="B107" s="392" t="s">
        <v>668</v>
      </c>
      <c r="C107" s="108">
        <f>'Loan Amortization'!$D$6</f>
        <v>0.08</v>
      </c>
      <c r="D107" s="7"/>
      <c r="R107" s="180"/>
    </row>
    <row r="108" spans="2:18" ht="14" x14ac:dyDescent="0.15">
      <c r="B108" s="425" t="s">
        <v>261</v>
      </c>
      <c r="C108" s="76">
        <f>'Loan Amortization'!$D$7</f>
        <v>5</v>
      </c>
      <c r="D108" s="7"/>
      <c r="R108" s="180"/>
    </row>
    <row r="109" spans="2:18" ht="28" x14ac:dyDescent="0.15">
      <c r="B109" s="392" t="s">
        <v>262</v>
      </c>
      <c r="C109" s="76">
        <f>'Loan Amortization'!$D$8</f>
        <v>0</v>
      </c>
      <c r="D109" s="7"/>
      <c r="E109" s="6"/>
      <c r="R109" s="180"/>
    </row>
    <row r="110" spans="2:18" ht="14" x14ac:dyDescent="0.15">
      <c r="B110" s="425" t="s">
        <v>263</v>
      </c>
      <c r="C110" s="12">
        <f>C108*C109</f>
        <v>0</v>
      </c>
      <c r="D110" s="7"/>
      <c r="R110" s="180"/>
    </row>
    <row r="111" spans="2:18" ht="14" x14ac:dyDescent="0.15">
      <c r="B111" s="392" t="s">
        <v>669</v>
      </c>
      <c r="C111" s="53" t="e">
        <f>C107/C109</f>
        <v>#DIV/0!</v>
      </c>
      <c r="D111" s="7"/>
      <c r="R111" s="180"/>
    </row>
    <row r="112" spans="2:18" x14ac:dyDescent="0.15">
      <c r="B112" s="426"/>
      <c r="R112" s="180"/>
    </row>
    <row r="113" spans="2:18" x14ac:dyDescent="0.15">
      <c r="B113" s="427" t="s">
        <v>266</v>
      </c>
      <c r="C113" s="74" t="e">
        <f>PMT($C111,$C110,$C106)</f>
        <v>#DIV/0!</v>
      </c>
      <c r="R113" s="180"/>
    </row>
    <row r="114" spans="2:18" x14ac:dyDescent="0.15">
      <c r="B114" s="427" t="s">
        <v>670</v>
      </c>
      <c r="C114" s="74" t="e">
        <f>$C113*$C109</f>
        <v>#DIV/0!</v>
      </c>
      <c r="R114" s="180"/>
    </row>
    <row r="115" spans="2:18" x14ac:dyDescent="0.15">
      <c r="B115" s="427" t="s">
        <v>671</v>
      </c>
      <c r="C115" s="74" t="e">
        <f>$C114*$C108</f>
        <v>#DIV/0!</v>
      </c>
      <c r="R115" s="180"/>
    </row>
    <row r="116" spans="2:18" ht="14" thickBot="1" x14ac:dyDescent="0.2">
      <c r="B116" s="202"/>
      <c r="C116" s="8"/>
      <c r="G116" s="9"/>
      <c r="R116" s="180"/>
    </row>
    <row r="117" spans="2:18" ht="14" thickBot="1" x14ac:dyDescent="0.2">
      <c r="B117" s="436">
        <v>-0.05</v>
      </c>
      <c r="R117" s="180"/>
    </row>
    <row r="118" spans="2:18" x14ac:dyDescent="0.15">
      <c r="B118" s="441" t="s">
        <v>270</v>
      </c>
      <c r="C118" s="26">
        <v>1</v>
      </c>
      <c r="D118" s="26">
        <v>2</v>
      </c>
      <c r="E118" s="26">
        <v>3</v>
      </c>
      <c r="F118" s="26">
        <v>4</v>
      </c>
      <c r="G118" s="26">
        <v>5</v>
      </c>
      <c r="H118" s="26">
        <v>6</v>
      </c>
      <c r="I118" s="26">
        <v>7</v>
      </c>
      <c r="J118" s="26">
        <v>8</v>
      </c>
      <c r="K118" s="26">
        <v>9</v>
      </c>
      <c r="L118" s="26">
        <v>10</v>
      </c>
      <c r="M118" s="26">
        <v>11</v>
      </c>
      <c r="N118" s="26">
        <v>12</v>
      </c>
      <c r="O118" s="26">
        <v>13</v>
      </c>
      <c r="P118" s="26">
        <v>14</v>
      </c>
      <c r="Q118" s="26">
        <v>15</v>
      </c>
      <c r="R118" s="428" t="s">
        <v>216</v>
      </c>
    </row>
    <row r="119" spans="2:18" x14ac:dyDescent="0.15">
      <c r="B119" s="427" t="s">
        <v>271</v>
      </c>
      <c r="C119" s="71">
        <f>$C106</f>
        <v>0</v>
      </c>
      <c r="D119" s="69" t="e">
        <f>C123</f>
        <v>#DIV/0!</v>
      </c>
      <c r="E119" s="69" t="e">
        <f>IF('Loan Amortization'!F$33=1,0,'Amort Sensitivity Wksht'!D123)</f>
        <v>#DIV/0!</v>
      </c>
      <c r="F119" s="69" t="e">
        <f>IF('Loan Amortization'!G$33=1,0,'Amort Sensitivity Wksht'!E123)</f>
        <v>#DIV/0!</v>
      </c>
      <c r="G119" s="69" t="e">
        <f>IF('Loan Amortization'!H$33=1,0,'Amort Sensitivity Wksht'!F123)</f>
        <v>#DIV/0!</v>
      </c>
      <c r="H119" s="69" t="e">
        <f>IF('Loan Amortization'!I$33=1,0,'Amort Sensitivity Wksht'!G123)</f>
        <v>#DIV/0!</v>
      </c>
      <c r="I119" s="69" t="e">
        <f>IF('Loan Amortization'!J$33=1,0,'Amort Sensitivity Wksht'!H123)</f>
        <v>#DIV/0!</v>
      </c>
      <c r="J119" s="69" t="e">
        <f>IF('Loan Amortization'!K$33=1,0,'Amort Sensitivity Wksht'!I123)</f>
        <v>#DIV/0!</v>
      </c>
      <c r="K119" s="69" t="e">
        <f>IF('Loan Amortization'!L$33=1,0,'Amort Sensitivity Wksht'!J123)</f>
        <v>#DIV/0!</v>
      </c>
      <c r="L119" s="69" t="e">
        <f>IF('Loan Amortization'!M$33=1,0,'Amort Sensitivity Wksht'!K123)</f>
        <v>#DIV/0!</v>
      </c>
      <c r="M119" s="69" t="e">
        <f>IF('Loan Amortization'!N$33=1,0,'Amort Sensitivity Wksht'!L123)</f>
        <v>#DIV/0!</v>
      </c>
      <c r="N119" s="69" t="e">
        <f>IF('Loan Amortization'!O$33=1,0,'Amort Sensitivity Wksht'!M123)</f>
        <v>#DIV/0!</v>
      </c>
      <c r="O119" s="69" t="e">
        <f>IF('Loan Amortization'!P$33=1,0,'Amort Sensitivity Wksht'!N123)</f>
        <v>#DIV/0!</v>
      </c>
      <c r="P119" s="69" t="e">
        <f>IF('Loan Amortization'!Q$33=1,0,'Amort Sensitivity Wksht'!O123)</f>
        <v>#DIV/0!</v>
      </c>
      <c r="Q119" s="69" t="e">
        <f>IF('Loan Amortization'!R$33=1,0,'Amort Sensitivity Wksht'!P123)</f>
        <v>#DIV/0!</v>
      </c>
      <c r="R119" s="429"/>
    </row>
    <row r="120" spans="2:18" x14ac:dyDescent="0.15">
      <c r="B120" s="430" t="s">
        <v>272</v>
      </c>
      <c r="C120" s="69" t="e">
        <f>$C114</f>
        <v>#DIV/0!</v>
      </c>
      <c r="D120" s="69" t="e">
        <f>IF(D119&gt;(-1*$C114),$C114,0)</f>
        <v>#DIV/0!</v>
      </c>
      <c r="E120" s="69" t="e">
        <f>IF(E119&gt;(-1*$C114),$C114,0)</f>
        <v>#DIV/0!</v>
      </c>
      <c r="F120" s="69" t="e">
        <f t="shared" ref="F120:Q120" si="19">IF(F119&gt;(-1*$C114),$C114,0)</f>
        <v>#DIV/0!</v>
      </c>
      <c r="G120" s="69" t="e">
        <f t="shared" si="19"/>
        <v>#DIV/0!</v>
      </c>
      <c r="H120" s="69" t="e">
        <f t="shared" si="19"/>
        <v>#DIV/0!</v>
      </c>
      <c r="I120" s="69" t="e">
        <f t="shared" si="19"/>
        <v>#DIV/0!</v>
      </c>
      <c r="J120" s="69" t="e">
        <f t="shared" si="19"/>
        <v>#DIV/0!</v>
      </c>
      <c r="K120" s="69" t="e">
        <f t="shared" si="19"/>
        <v>#DIV/0!</v>
      </c>
      <c r="L120" s="69" t="e">
        <f t="shared" si="19"/>
        <v>#DIV/0!</v>
      </c>
      <c r="M120" s="69" t="e">
        <f t="shared" si="19"/>
        <v>#DIV/0!</v>
      </c>
      <c r="N120" s="69" t="e">
        <f t="shared" si="19"/>
        <v>#DIV/0!</v>
      </c>
      <c r="O120" s="69" t="e">
        <f t="shared" si="19"/>
        <v>#DIV/0!</v>
      </c>
      <c r="P120" s="69" t="e">
        <f t="shared" si="19"/>
        <v>#DIV/0!</v>
      </c>
      <c r="Q120" s="69" t="e">
        <f t="shared" si="19"/>
        <v>#DIV/0!</v>
      </c>
      <c r="R120" s="326" t="e">
        <f>SUM(C120:Q120)</f>
        <v>#DIV/0!</v>
      </c>
    </row>
    <row r="121" spans="2:18" x14ac:dyDescent="0.15">
      <c r="B121" s="427" t="s">
        <v>273</v>
      </c>
      <c r="C121" s="69">
        <f>-C119*$C107</f>
        <v>0</v>
      </c>
      <c r="D121" s="69" t="e">
        <f>-D119*$C107</f>
        <v>#DIV/0!</v>
      </c>
      <c r="E121" s="69" t="e">
        <f>-E119*$C107</f>
        <v>#DIV/0!</v>
      </c>
      <c r="F121" s="69" t="e">
        <f t="shared" ref="F121:Q121" si="20">IF(F120=0,0,(-F119*$C107))</f>
        <v>#DIV/0!</v>
      </c>
      <c r="G121" s="69" t="e">
        <f t="shared" si="20"/>
        <v>#DIV/0!</v>
      </c>
      <c r="H121" s="69" t="e">
        <f t="shared" si="20"/>
        <v>#DIV/0!</v>
      </c>
      <c r="I121" s="69" t="e">
        <f t="shared" si="20"/>
        <v>#DIV/0!</v>
      </c>
      <c r="J121" s="69" t="e">
        <f t="shared" si="20"/>
        <v>#DIV/0!</v>
      </c>
      <c r="K121" s="69" t="e">
        <f t="shared" si="20"/>
        <v>#DIV/0!</v>
      </c>
      <c r="L121" s="69" t="e">
        <f t="shared" si="20"/>
        <v>#DIV/0!</v>
      </c>
      <c r="M121" s="69" t="e">
        <f t="shared" si="20"/>
        <v>#DIV/0!</v>
      </c>
      <c r="N121" s="69" t="e">
        <f t="shared" si="20"/>
        <v>#DIV/0!</v>
      </c>
      <c r="O121" s="69" t="e">
        <f t="shared" si="20"/>
        <v>#DIV/0!</v>
      </c>
      <c r="P121" s="69" t="e">
        <f t="shared" si="20"/>
        <v>#DIV/0!</v>
      </c>
      <c r="Q121" s="69" t="e">
        <f t="shared" si="20"/>
        <v>#DIV/0!</v>
      </c>
      <c r="R121" s="326" t="e">
        <f>SUM(C121:Q121)</f>
        <v>#DIV/0!</v>
      </c>
    </row>
    <row r="122" spans="2:18" x14ac:dyDescent="0.15">
      <c r="B122" s="427" t="s">
        <v>274</v>
      </c>
      <c r="C122" s="70" t="e">
        <f>C120-C121</f>
        <v>#DIV/0!</v>
      </c>
      <c r="D122" s="70" t="e">
        <f>D120-D121</f>
        <v>#DIV/0!</v>
      </c>
      <c r="E122" s="70" t="e">
        <f>IF(E119&lt;-$C114,-E119,(E120-E121))</f>
        <v>#DIV/0!</v>
      </c>
      <c r="F122" s="70" t="e">
        <f t="shared" ref="F122:Q122" si="21">IF(F119&lt;-$C114,-F119,(F120-F121))</f>
        <v>#DIV/0!</v>
      </c>
      <c r="G122" s="70" t="e">
        <f t="shared" si="21"/>
        <v>#DIV/0!</v>
      </c>
      <c r="H122" s="70" t="e">
        <f t="shared" si="21"/>
        <v>#DIV/0!</v>
      </c>
      <c r="I122" s="70" t="e">
        <f t="shared" si="21"/>
        <v>#DIV/0!</v>
      </c>
      <c r="J122" s="70" t="e">
        <f t="shared" si="21"/>
        <v>#DIV/0!</v>
      </c>
      <c r="K122" s="70" t="e">
        <f t="shared" si="21"/>
        <v>#DIV/0!</v>
      </c>
      <c r="L122" s="70" t="e">
        <f t="shared" si="21"/>
        <v>#DIV/0!</v>
      </c>
      <c r="M122" s="70" t="e">
        <f t="shared" si="21"/>
        <v>#DIV/0!</v>
      </c>
      <c r="N122" s="70" t="e">
        <f t="shared" si="21"/>
        <v>#DIV/0!</v>
      </c>
      <c r="O122" s="70" t="e">
        <f t="shared" si="21"/>
        <v>#DIV/0!</v>
      </c>
      <c r="P122" s="70" t="e">
        <f t="shared" si="21"/>
        <v>#DIV/0!</v>
      </c>
      <c r="Q122" s="70" t="e">
        <f t="shared" si="21"/>
        <v>#DIV/0!</v>
      </c>
      <c r="R122" s="431" t="e">
        <f>SUM(C122:Q122)</f>
        <v>#DIV/0!</v>
      </c>
    </row>
    <row r="123" spans="2:18" x14ac:dyDescent="0.15">
      <c r="B123" s="427" t="s">
        <v>275</v>
      </c>
      <c r="C123" s="71" t="e">
        <f>C119+C122</f>
        <v>#DIV/0!</v>
      </c>
      <c r="D123" s="71" t="e">
        <f>D119+D122</f>
        <v>#DIV/0!</v>
      </c>
      <c r="E123" s="71" t="e">
        <f>E119+E122</f>
        <v>#DIV/0!</v>
      </c>
      <c r="F123" s="71" t="e">
        <f t="shared" ref="F123:Q123" si="22">IF(F122=0,0,(F119+F122))</f>
        <v>#DIV/0!</v>
      </c>
      <c r="G123" s="71" t="e">
        <f t="shared" si="22"/>
        <v>#DIV/0!</v>
      </c>
      <c r="H123" s="71" t="e">
        <f t="shared" si="22"/>
        <v>#DIV/0!</v>
      </c>
      <c r="I123" s="71" t="e">
        <f t="shared" si="22"/>
        <v>#DIV/0!</v>
      </c>
      <c r="J123" s="71" t="e">
        <f t="shared" si="22"/>
        <v>#DIV/0!</v>
      </c>
      <c r="K123" s="71" t="e">
        <f t="shared" si="22"/>
        <v>#DIV/0!</v>
      </c>
      <c r="L123" s="71" t="e">
        <f t="shared" si="22"/>
        <v>#DIV/0!</v>
      </c>
      <c r="M123" s="71" t="e">
        <f t="shared" si="22"/>
        <v>#DIV/0!</v>
      </c>
      <c r="N123" s="71" t="e">
        <f t="shared" si="22"/>
        <v>#DIV/0!</v>
      </c>
      <c r="O123" s="71" t="e">
        <f t="shared" si="22"/>
        <v>#DIV/0!</v>
      </c>
      <c r="P123" s="71" t="e">
        <f t="shared" si="22"/>
        <v>#DIV/0!</v>
      </c>
      <c r="Q123" s="71" t="e">
        <f t="shared" si="22"/>
        <v>#DIV/0!</v>
      </c>
      <c r="R123" s="429"/>
    </row>
    <row r="124" spans="2:18" ht="14" thickBot="1" x14ac:dyDescent="0.2">
      <c r="B124" s="182"/>
      <c r="C124" s="174"/>
      <c r="D124" s="174"/>
      <c r="E124" s="174"/>
      <c r="F124" s="174"/>
      <c r="G124" s="174"/>
      <c r="H124" s="174"/>
      <c r="I124" s="174"/>
      <c r="J124" s="174"/>
      <c r="K124" s="174"/>
      <c r="L124" s="174"/>
      <c r="M124" s="174"/>
      <c r="N124" s="174"/>
      <c r="O124" s="174"/>
      <c r="P124" s="174"/>
      <c r="Q124" s="174"/>
      <c r="R124" s="273"/>
    </row>
    <row r="125" spans="2:18" ht="14" thickBot="1" x14ac:dyDescent="0.2">
      <c r="B125" s="437">
        <v>0.05</v>
      </c>
      <c r="C125" s="178"/>
      <c r="D125" s="178"/>
      <c r="E125" s="178"/>
      <c r="F125" s="178"/>
      <c r="G125" s="178"/>
      <c r="H125" s="178"/>
      <c r="I125" s="178"/>
      <c r="J125" s="178"/>
      <c r="K125" s="178"/>
      <c r="L125" s="178"/>
      <c r="M125" s="178"/>
      <c r="N125" s="178"/>
      <c r="O125" s="178"/>
      <c r="P125" s="178"/>
      <c r="Q125" s="178"/>
      <c r="R125" s="272"/>
    </row>
    <row r="126" spans="2:18" ht="14" x14ac:dyDescent="0.15">
      <c r="B126" s="392" t="s">
        <v>667</v>
      </c>
      <c r="C126" s="61">
        <f>'Level Payment Fin Sens Wksht'!D11</f>
        <v>0</v>
      </c>
      <c r="D126" s="7"/>
      <c r="R126" s="180"/>
    </row>
    <row r="127" spans="2:18" ht="14" x14ac:dyDescent="0.15">
      <c r="B127" s="392" t="s">
        <v>668</v>
      </c>
      <c r="C127" s="108">
        <f>'Loan Amortization'!$D$6</f>
        <v>0.08</v>
      </c>
      <c r="D127" s="7"/>
      <c r="R127" s="180"/>
    </row>
    <row r="128" spans="2:18" ht="14" x14ac:dyDescent="0.15">
      <c r="B128" s="425" t="s">
        <v>261</v>
      </c>
      <c r="C128" s="76">
        <f>'Loan Amortization'!$D$7</f>
        <v>5</v>
      </c>
      <c r="D128" s="7"/>
      <c r="R128" s="180"/>
    </row>
    <row r="129" spans="2:18" ht="28" x14ac:dyDescent="0.15">
      <c r="B129" s="392" t="s">
        <v>262</v>
      </c>
      <c r="C129" s="76">
        <f>'Loan Amortization'!$D$8</f>
        <v>0</v>
      </c>
      <c r="D129" s="7"/>
      <c r="E129" s="6"/>
      <c r="R129" s="180"/>
    </row>
    <row r="130" spans="2:18" ht="14" x14ac:dyDescent="0.15">
      <c r="B130" s="425" t="s">
        <v>263</v>
      </c>
      <c r="C130" s="12">
        <f>C128*C129</f>
        <v>0</v>
      </c>
      <c r="D130" s="7"/>
      <c r="R130" s="180"/>
    </row>
    <row r="131" spans="2:18" ht="14" x14ac:dyDescent="0.15">
      <c r="B131" s="392" t="s">
        <v>669</v>
      </c>
      <c r="C131" s="53" t="e">
        <f>C127/C129</f>
        <v>#DIV/0!</v>
      </c>
      <c r="D131" s="7"/>
      <c r="R131" s="180"/>
    </row>
    <row r="132" spans="2:18" x14ac:dyDescent="0.15">
      <c r="B132" s="426"/>
      <c r="R132" s="180"/>
    </row>
    <row r="133" spans="2:18" x14ac:dyDescent="0.15">
      <c r="B133" s="427" t="s">
        <v>266</v>
      </c>
      <c r="C133" s="74" t="e">
        <f>PMT($C131,$C130,$C126)</f>
        <v>#DIV/0!</v>
      </c>
      <c r="R133" s="180"/>
    </row>
    <row r="134" spans="2:18" x14ac:dyDescent="0.15">
      <c r="B134" s="427" t="s">
        <v>670</v>
      </c>
      <c r="C134" s="74" t="e">
        <f>$C133*$C129</f>
        <v>#DIV/0!</v>
      </c>
      <c r="R134" s="180"/>
    </row>
    <row r="135" spans="2:18" x14ac:dyDescent="0.15">
      <c r="B135" s="427" t="s">
        <v>671</v>
      </c>
      <c r="C135" s="74" t="e">
        <f>$C134*$C128</f>
        <v>#DIV/0!</v>
      </c>
      <c r="R135" s="180"/>
    </row>
    <row r="136" spans="2:18" ht="14" thickBot="1" x14ac:dyDescent="0.2">
      <c r="B136" s="202"/>
      <c r="C136" s="8"/>
      <c r="G136" s="9"/>
      <c r="R136" s="180"/>
    </row>
    <row r="137" spans="2:18" ht="14" thickBot="1" x14ac:dyDescent="0.2">
      <c r="B137" s="436">
        <v>0.05</v>
      </c>
      <c r="R137" s="180"/>
    </row>
    <row r="138" spans="2:18" x14ac:dyDescent="0.15">
      <c r="B138" s="441" t="s">
        <v>270</v>
      </c>
      <c r="C138" s="26">
        <v>1</v>
      </c>
      <c r="D138" s="26">
        <v>2</v>
      </c>
      <c r="E138" s="26">
        <v>3</v>
      </c>
      <c r="F138" s="26">
        <v>4</v>
      </c>
      <c r="G138" s="26">
        <v>5</v>
      </c>
      <c r="H138" s="26">
        <v>6</v>
      </c>
      <c r="I138" s="26">
        <v>7</v>
      </c>
      <c r="J138" s="26">
        <v>8</v>
      </c>
      <c r="K138" s="26">
        <v>9</v>
      </c>
      <c r="L138" s="26">
        <v>10</v>
      </c>
      <c r="M138" s="26">
        <v>11</v>
      </c>
      <c r="N138" s="26">
        <v>12</v>
      </c>
      <c r="O138" s="26">
        <v>13</v>
      </c>
      <c r="P138" s="26">
        <v>14</v>
      </c>
      <c r="Q138" s="26">
        <v>15</v>
      </c>
      <c r="R138" s="428" t="s">
        <v>216</v>
      </c>
    </row>
    <row r="139" spans="2:18" x14ac:dyDescent="0.15">
      <c r="B139" s="427" t="s">
        <v>271</v>
      </c>
      <c r="C139" s="71">
        <f>$C126</f>
        <v>0</v>
      </c>
      <c r="D139" s="69" t="e">
        <f>C143</f>
        <v>#DIV/0!</v>
      </c>
      <c r="E139" s="69" t="e">
        <f>IF('Loan Amortization'!F$33=1,0,'Amort Sensitivity Wksht'!D143)</f>
        <v>#DIV/0!</v>
      </c>
      <c r="F139" s="69" t="e">
        <f>IF('Loan Amortization'!G$33=1,0,'Amort Sensitivity Wksht'!E143)</f>
        <v>#DIV/0!</v>
      </c>
      <c r="G139" s="69" t="e">
        <f>IF('Loan Amortization'!H$33=1,0,'Amort Sensitivity Wksht'!F143)</f>
        <v>#DIV/0!</v>
      </c>
      <c r="H139" s="69" t="e">
        <f>IF('Loan Amortization'!I$33=1,0,'Amort Sensitivity Wksht'!G143)</f>
        <v>#DIV/0!</v>
      </c>
      <c r="I139" s="69" t="e">
        <f>IF('Loan Amortization'!J$33=1,0,'Amort Sensitivity Wksht'!H143)</f>
        <v>#DIV/0!</v>
      </c>
      <c r="J139" s="69" t="e">
        <f>IF('Loan Amortization'!K$33=1,0,'Amort Sensitivity Wksht'!I143)</f>
        <v>#DIV/0!</v>
      </c>
      <c r="K139" s="69" t="e">
        <f>IF('Loan Amortization'!L$33=1,0,'Amort Sensitivity Wksht'!J143)</f>
        <v>#DIV/0!</v>
      </c>
      <c r="L139" s="69" t="e">
        <f>IF('Loan Amortization'!M$33=1,0,'Amort Sensitivity Wksht'!K143)</f>
        <v>#DIV/0!</v>
      </c>
      <c r="M139" s="69" t="e">
        <f>IF('Loan Amortization'!N$33=1,0,'Amort Sensitivity Wksht'!L143)</f>
        <v>#DIV/0!</v>
      </c>
      <c r="N139" s="69" t="e">
        <f>IF('Loan Amortization'!O$33=1,0,'Amort Sensitivity Wksht'!M143)</f>
        <v>#DIV/0!</v>
      </c>
      <c r="O139" s="69" t="e">
        <f>IF('Loan Amortization'!P$33=1,0,'Amort Sensitivity Wksht'!N143)</f>
        <v>#DIV/0!</v>
      </c>
      <c r="P139" s="69" t="e">
        <f>IF('Loan Amortization'!Q$33=1,0,'Amort Sensitivity Wksht'!O143)</f>
        <v>#DIV/0!</v>
      </c>
      <c r="Q139" s="69" t="e">
        <f>IF('Loan Amortization'!R$33=1,0,'Amort Sensitivity Wksht'!P143)</f>
        <v>#DIV/0!</v>
      </c>
      <c r="R139" s="429"/>
    </row>
    <row r="140" spans="2:18" x14ac:dyDescent="0.15">
      <c r="B140" s="430" t="s">
        <v>272</v>
      </c>
      <c r="C140" s="69" t="e">
        <f>$C134</f>
        <v>#DIV/0!</v>
      </c>
      <c r="D140" s="69" t="e">
        <f>IF(D139&gt;(-1*$C134),$C134,0)</f>
        <v>#DIV/0!</v>
      </c>
      <c r="E140" s="69" t="e">
        <f>IF(E139&gt;(-1*$C134),$C134,0)</f>
        <v>#DIV/0!</v>
      </c>
      <c r="F140" s="69" t="e">
        <f t="shared" ref="F140:Q140" si="23">IF(F139&gt;(-1*$C134),$C134,0)</f>
        <v>#DIV/0!</v>
      </c>
      <c r="G140" s="69" t="e">
        <f t="shared" si="23"/>
        <v>#DIV/0!</v>
      </c>
      <c r="H140" s="69" t="e">
        <f t="shared" si="23"/>
        <v>#DIV/0!</v>
      </c>
      <c r="I140" s="69" t="e">
        <f t="shared" si="23"/>
        <v>#DIV/0!</v>
      </c>
      <c r="J140" s="69" t="e">
        <f t="shared" si="23"/>
        <v>#DIV/0!</v>
      </c>
      <c r="K140" s="69" t="e">
        <f t="shared" si="23"/>
        <v>#DIV/0!</v>
      </c>
      <c r="L140" s="69" t="e">
        <f t="shared" si="23"/>
        <v>#DIV/0!</v>
      </c>
      <c r="M140" s="69" t="e">
        <f t="shared" si="23"/>
        <v>#DIV/0!</v>
      </c>
      <c r="N140" s="69" t="e">
        <f t="shared" si="23"/>
        <v>#DIV/0!</v>
      </c>
      <c r="O140" s="69" t="e">
        <f t="shared" si="23"/>
        <v>#DIV/0!</v>
      </c>
      <c r="P140" s="69" t="e">
        <f t="shared" si="23"/>
        <v>#DIV/0!</v>
      </c>
      <c r="Q140" s="69" t="e">
        <f t="shared" si="23"/>
        <v>#DIV/0!</v>
      </c>
      <c r="R140" s="326" t="e">
        <f>SUM(C140:Q140)</f>
        <v>#DIV/0!</v>
      </c>
    </row>
    <row r="141" spans="2:18" x14ac:dyDescent="0.15">
      <c r="B141" s="427" t="s">
        <v>273</v>
      </c>
      <c r="C141" s="69">
        <f>-C139*$C127</f>
        <v>0</v>
      </c>
      <c r="D141" s="69" t="e">
        <f>-D139*$C127</f>
        <v>#DIV/0!</v>
      </c>
      <c r="E141" s="69" t="e">
        <f>-E139*$C127</f>
        <v>#DIV/0!</v>
      </c>
      <c r="F141" s="69" t="e">
        <f t="shared" ref="F141:Q141" si="24">IF(F140=0,0,(-F139*$C127))</f>
        <v>#DIV/0!</v>
      </c>
      <c r="G141" s="69" t="e">
        <f t="shared" si="24"/>
        <v>#DIV/0!</v>
      </c>
      <c r="H141" s="69" t="e">
        <f t="shared" si="24"/>
        <v>#DIV/0!</v>
      </c>
      <c r="I141" s="69" t="e">
        <f t="shared" si="24"/>
        <v>#DIV/0!</v>
      </c>
      <c r="J141" s="69" t="e">
        <f t="shared" si="24"/>
        <v>#DIV/0!</v>
      </c>
      <c r="K141" s="69" t="e">
        <f t="shared" si="24"/>
        <v>#DIV/0!</v>
      </c>
      <c r="L141" s="69" t="e">
        <f t="shared" si="24"/>
        <v>#DIV/0!</v>
      </c>
      <c r="M141" s="69" t="e">
        <f t="shared" si="24"/>
        <v>#DIV/0!</v>
      </c>
      <c r="N141" s="69" t="e">
        <f t="shared" si="24"/>
        <v>#DIV/0!</v>
      </c>
      <c r="O141" s="69" t="e">
        <f t="shared" si="24"/>
        <v>#DIV/0!</v>
      </c>
      <c r="P141" s="69" t="e">
        <f t="shared" si="24"/>
        <v>#DIV/0!</v>
      </c>
      <c r="Q141" s="69" t="e">
        <f t="shared" si="24"/>
        <v>#DIV/0!</v>
      </c>
      <c r="R141" s="326" t="e">
        <f>SUM(C141:Q141)</f>
        <v>#DIV/0!</v>
      </c>
    </row>
    <row r="142" spans="2:18" x14ac:dyDescent="0.15">
      <c r="B142" s="427" t="s">
        <v>274</v>
      </c>
      <c r="C142" s="70" t="e">
        <f>C140-C141</f>
        <v>#DIV/0!</v>
      </c>
      <c r="D142" s="70" t="e">
        <f>D140-D141</f>
        <v>#DIV/0!</v>
      </c>
      <c r="E142" s="70" t="e">
        <f>IF(E139&lt;-$C134,-E139,(E140-E141))</f>
        <v>#DIV/0!</v>
      </c>
      <c r="F142" s="70" t="e">
        <f t="shared" ref="F142:Q142" si="25">IF(F139&lt;-$C134,-F139,(F140-F141))</f>
        <v>#DIV/0!</v>
      </c>
      <c r="G142" s="70" t="e">
        <f t="shared" si="25"/>
        <v>#DIV/0!</v>
      </c>
      <c r="H142" s="70" t="e">
        <f t="shared" si="25"/>
        <v>#DIV/0!</v>
      </c>
      <c r="I142" s="70" t="e">
        <f t="shared" si="25"/>
        <v>#DIV/0!</v>
      </c>
      <c r="J142" s="70" t="e">
        <f t="shared" si="25"/>
        <v>#DIV/0!</v>
      </c>
      <c r="K142" s="70" t="e">
        <f t="shared" si="25"/>
        <v>#DIV/0!</v>
      </c>
      <c r="L142" s="70" t="e">
        <f t="shared" si="25"/>
        <v>#DIV/0!</v>
      </c>
      <c r="M142" s="70" t="e">
        <f t="shared" si="25"/>
        <v>#DIV/0!</v>
      </c>
      <c r="N142" s="70" t="e">
        <f t="shared" si="25"/>
        <v>#DIV/0!</v>
      </c>
      <c r="O142" s="70" t="e">
        <f t="shared" si="25"/>
        <v>#DIV/0!</v>
      </c>
      <c r="P142" s="70" t="e">
        <f t="shared" si="25"/>
        <v>#DIV/0!</v>
      </c>
      <c r="Q142" s="70" t="e">
        <f t="shared" si="25"/>
        <v>#DIV/0!</v>
      </c>
      <c r="R142" s="431" t="e">
        <f>SUM(C142:Q142)</f>
        <v>#DIV/0!</v>
      </c>
    </row>
    <row r="143" spans="2:18" x14ac:dyDescent="0.15">
      <c r="B143" s="427" t="s">
        <v>275</v>
      </c>
      <c r="C143" s="71" t="e">
        <f>C139+C142</f>
        <v>#DIV/0!</v>
      </c>
      <c r="D143" s="71" t="e">
        <f>D139+D142</f>
        <v>#DIV/0!</v>
      </c>
      <c r="E143" s="71" t="e">
        <f>E139+E142</f>
        <v>#DIV/0!</v>
      </c>
      <c r="F143" s="71" t="e">
        <f t="shared" ref="F143:Q143" si="26">IF(F142=0,0,(F139+F142))</f>
        <v>#DIV/0!</v>
      </c>
      <c r="G143" s="71" t="e">
        <f t="shared" si="26"/>
        <v>#DIV/0!</v>
      </c>
      <c r="H143" s="71" t="e">
        <f t="shared" si="26"/>
        <v>#DIV/0!</v>
      </c>
      <c r="I143" s="71" t="e">
        <f t="shared" si="26"/>
        <v>#DIV/0!</v>
      </c>
      <c r="J143" s="71" t="e">
        <f t="shared" si="26"/>
        <v>#DIV/0!</v>
      </c>
      <c r="K143" s="71" t="e">
        <f t="shared" si="26"/>
        <v>#DIV/0!</v>
      </c>
      <c r="L143" s="71" t="e">
        <f t="shared" si="26"/>
        <v>#DIV/0!</v>
      </c>
      <c r="M143" s="71" t="e">
        <f t="shared" si="26"/>
        <v>#DIV/0!</v>
      </c>
      <c r="N143" s="71" t="e">
        <f t="shared" si="26"/>
        <v>#DIV/0!</v>
      </c>
      <c r="O143" s="71" t="e">
        <f t="shared" si="26"/>
        <v>#DIV/0!</v>
      </c>
      <c r="P143" s="71" t="e">
        <f t="shared" si="26"/>
        <v>#DIV/0!</v>
      </c>
      <c r="Q143" s="71" t="e">
        <f t="shared" si="26"/>
        <v>#DIV/0!</v>
      </c>
      <c r="R143" s="429"/>
    </row>
    <row r="144" spans="2:18" ht="14" thickBot="1" x14ac:dyDescent="0.2">
      <c r="B144" s="182"/>
      <c r="C144" s="174"/>
      <c r="D144" s="174"/>
      <c r="E144" s="174"/>
      <c r="F144" s="174"/>
      <c r="G144" s="174"/>
      <c r="H144" s="174"/>
      <c r="I144" s="174"/>
      <c r="J144" s="174"/>
      <c r="K144" s="174"/>
      <c r="L144" s="174"/>
      <c r="M144" s="174"/>
      <c r="N144" s="174"/>
      <c r="O144" s="174"/>
      <c r="P144" s="174"/>
      <c r="Q144" s="174"/>
      <c r="R144" s="273"/>
    </row>
    <row r="145" spans="2:18" ht="14" thickBot="1" x14ac:dyDescent="0.2">
      <c r="B145" s="437">
        <v>0.1</v>
      </c>
      <c r="C145" s="178"/>
      <c r="D145" s="178"/>
      <c r="E145" s="178"/>
      <c r="F145" s="178"/>
      <c r="G145" s="178"/>
      <c r="H145" s="178"/>
      <c r="I145" s="178"/>
      <c r="J145" s="178"/>
      <c r="K145" s="178"/>
      <c r="L145" s="178"/>
      <c r="M145" s="178"/>
      <c r="N145" s="178"/>
      <c r="O145" s="178"/>
      <c r="P145" s="178"/>
      <c r="Q145" s="178"/>
      <c r="R145" s="272"/>
    </row>
    <row r="146" spans="2:18" ht="14" x14ac:dyDescent="0.15">
      <c r="B146" s="392" t="s">
        <v>667</v>
      </c>
      <c r="C146" s="61">
        <f>'Level Payment Fin Sens Wksht'!D12</f>
        <v>0</v>
      </c>
      <c r="D146" s="7"/>
      <c r="R146" s="180"/>
    </row>
    <row r="147" spans="2:18" ht="14" x14ac:dyDescent="0.15">
      <c r="B147" s="392" t="s">
        <v>668</v>
      </c>
      <c r="C147" s="108">
        <f>'Loan Amortization'!$D$6</f>
        <v>0.08</v>
      </c>
      <c r="D147" s="7"/>
      <c r="R147" s="180"/>
    </row>
    <row r="148" spans="2:18" ht="14" x14ac:dyDescent="0.15">
      <c r="B148" s="425" t="s">
        <v>261</v>
      </c>
      <c r="C148" s="76">
        <f>'Loan Amortization'!$D$7</f>
        <v>5</v>
      </c>
      <c r="D148" s="7"/>
      <c r="R148" s="180"/>
    </row>
    <row r="149" spans="2:18" ht="28" x14ac:dyDescent="0.15">
      <c r="B149" s="392" t="s">
        <v>262</v>
      </c>
      <c r="C149" s="76">
        <f>'Loan Amortization'!$D$8</f>
        <v>0</v>
      </c>
      <c r="D149" s="7"/>
      <c r="E149" s="6"/>
      <c r="R149" s="180"/>
    </row>
    <row r="150" spans="2:18" ht="14" x14ac:dyDescent="0.15">
      <c r="B150" s="425" t="s">
        <v>263</v>
      </c>
      <c r="C150" s="12">
        <f>C148*C149</f>
        <v>0</v>
      </c>
      <c r="D150" s="7"/>
      <c r="R150" s="180"/>
    </row>
    <row r="151" spans="2:18" ht="14" x14ac:dyDescent="0.15">
      <c r="B151" s="392" t="s">
        <v>669</v>
      </c>
      <c r="C151" s="53" t="e">
        <f>C147/C149</f>
        <v>#DIV/0!</v>
      </c>
      <c r="D151" s="7"/>
      <c r="R151" s="180"/>
    </row>
    <row r="152" spans="2:18" x14ac:dyDescent="0.15">
      <c r="B152" s="426"/>
      <c r="R152" s="180"/>
    </row>
    <row r="153" spans="2:18" x14ac:dyDescent="0.15">
      <c r="B153" s="427" t="s">
        <v>266</v>
      </c>
      <c r="C153" s="74" t="e">
        <f>PMT($C151,$C150,$C146)</f>
        <v>#DIV/0!</v>
      </c>
      <c r="R153" s="180"/>
    </row>
    <row r="154" spans="2:18" x14ac:dyDescent="0.15">
      <c r="B154" s="427" t="s">
        <v>670</v>
      </c>
      <c r="C154" s="74" t="e">
        <f>$C153*$C149</f>
        <v>#DIV/0!</v>
      </c>
      <c r="R154" s="180"/>
    </row>
    <row r="155" spans="2:18" x14ac:dyDescent="0.15">
      <c r="B155" s="427" t="s">
        <v>671</v>
      </c>
      <c r="C155" s="74" t="e">
        <f>$C154*$C148</f>
        <v>#DIV/0!</v>
      </c>
      <c r="R155" s="180"/>
    </row>
    <row r="156" spans="2:18" ht="14" thickBot="1" x14ac:dyDescent="0.2">
      <c r="B156" s="202"/>
      <c r="C156" s="8"/>
      <c r="G156" s="9"/>
      <c r="R156" s="180"/>
    </row>
    <row r="157" spans="2:18" ht="14" thickBot="1" x14ac:dyDescent="0.2">
      <c r="B157" s="436">
        <v>0.1</v>
      </c>
      <c r="R157" s="180"/>
    </row>
    <row r="158" spans="2:18" x14ac:dyDescent="0.15">
      <c r="B158" s="441" t="s">
        <v>270</v>
      </c>
      <c r="C158" s="26">
        <v>1</v>
      </c>
      <c r="D158" s="26">
        <v>2</v>
      </c>
      <c r="E158" s="26">
        <v>3</v>
      </c>
      <c r="F158" s="26">
        <v>4</v>
      </c>
      <c r="G158" s="26">
        <v>5</v>
      </c>
      <c r="H158" s="26">
        <v>6</v>
      </c>
      <c r="I158" s="26">
        <v>7</v>
      </c>
      <c r="J158" s="26">
        <v>8</v>
      </c>
      <c r="K158" s="26">
        <v>9</v>
      </c>
      <c r="L158" s="26">
        <v>10</v>
      </c>
      <c r="M158" s="26">
        <v>11</v>
      </c>
      <c r="N158" s="26">
        <v>12</v>
      </c>
      <c r="O158" s="26">
        <v>13</v>
      </c>
      <c r="P158" s="26">
        <v>14</v>
      </c>
      <c r="Q158" s="26">
        <v>15</v>
      </c>
      <c r="R158" s="428" t="s">
        <v>216</v>
      </c>
    </row>
    <row r="159" spans="2:18" x14ac:dyDescent="0.15">
      <c r="B159" s="427" t="s">
        <v>271</v>
      </c>
      <c r="C159" s="71">
        <f>$C146</f>
        <v>0</v>
      </c>
      <c r="D159" s="69" t="e">
        <f>C163</f>
        <v>#DIV/0!</v>
      </c>
      <c r="E159" s="69" t="e">
        <f>IF('Loan Amortization'!F$33=1,0,'Amort Sensitivity Wksht'!D163)</f>
        <v>#DIV/0!</v>
      </c>
      <c r="F159" s="69" t="e">
        <f>IF('Loan Amortization'!G$33=1,0,'Amort Sensitivity Wksht'!E163)</f>
        <v>#DIV/0!</v>
      </c>
      <c r="G159" s="69" t="e">
        <f>IF('Loan Amortization'!H$33=1,0,'Amort Sensitivity Wksht'!F163)</f>
        <v>#DIV/0!</v>
      </c>
      <c r="H159" s="69" t="e">
        <f>IF('Loan Amortization'!I$33=1,0,'Amort Sensitivity Wksht'!G163)</f>
        <v>#DIV/0!</v>
      </c>
      <c r="I159" s="69" t="e">
        <f>IF('Loan Amortization'!J$33=1,0,'Amort Sensitivity Wksht'!H163)</f>
        <v>#DIV/0!</v>
      </c>
      <c r="J159" s="69" t="e">
        <f>IF('Loan Amortization'!K$33=1,0,'Amort Sensitivity Wksht'!I163)</f>
        <v>#DIV/0!</v>
      </c>
      <c r="K159" s="69" t="e">
        <f>IF('Loan Amortization'!L$33=1,0,'Amort Sensitivity Wksht'!J163)</f>
        <v>#DIV/0!</v>
      </c>
      <c r="L159" s="69" t="e">
        <f>IF('Loan Amortization'!M$33=1,0,'Amort Sensitivity Wksht'!K163)</f>
        <v>#DIV/0!</v>
      </c>
      <c r="M159" s="69" t="e">
        <f>IF('Loan Amortization'!N$33=1,0,'Amort Sensitivity Wksht'!L163)</f>
        <v>#DIV/0!</v>
      </c>
      <c r="N159" s="69" t="e">
        <f>IF('Loan Amortization'!O$33=1,0,'Amort Sensitivity Wksht'!M163)</f>
        <v>#DIV/0!</v>
      </c>
      <c r="O159" s="69" t="e">
        <f>IF('Loan Amortization'!P$33=1,0,'Amort Sensitivity Wksht'!N163)</f>
        <v>#DIV/0!</v>
      </c>
      <c r="P159" s="69" t="e">
        <f>IF('Loan Amortization'!Q$33=1,0,'Amort Sensitivity Wksht'!O163)</f>
        <v>#DIV/0!</v>
      </c>
      <c r="Q159" s="69" t="e">
        <f>IF('Loan Amortization'!R$33=1,0,'Amort Sensitivity Wksht'!P163)</f>
        <v>#DIV/0!</v>
      </c>
      <c r="R159" s="429"/>
    </row>
    <row r="160" spans="2:18" x14ac:dyDescent="0.15">
      <c r="B160" s="430" t="s">
        <v>272</v>
      </c>
      <c r="C160" s="69" t="e">
        <f>$C154</f>
        <v>#DIV/0!</v>
      </c>
      <c r="D160" s="69" t="e">
        <f>IF(D159&gt;(-1*$C154),$C154,0)</f>
        <v>#DIV/0!</v>
      </c>
      <c r="E160" s="69" t="e">
        <f>IF(E159&gt;(-1*$C154),$C154,0)</f>
        <v>#DIV/0!</v>
      </c>
      <c r="F160" s="69" t="e">
        <f t="shared" ref="F160:Q160" si="27">IF(F159&gt;(-1*$C154),$C154,0)</f>
        <v>#DIV/0!</v>
      </c>
      <c r="G160" s="69" t="e">
        <f t="shared" si="27"/>
        <v>#DIV/0!</v>
      </c>
      <c r="H160" s="69" t="e">
        <f t="shared" si="27"/>
        <v>#DIV/0!</v>
      </c>
      <c r="I160" s="69" t="e">
        <f t="shared" si="27"/>
        <v>#DIV/0!</v>
      </c>
      <c r="J160" s="69" t="e">
        <f t="shared" si="27"/>
        <v>#DIV/0!</v>
      </c>
      <c r="K160" s="69" t="e">
        <f t="shared" si="27"/>
        <v>#DIV/0!</v>
      </c>
      <c r="L160" s="69" t="e">
        <f t="shared" si="27"/>
        <v>#DIV/0!</v>
      </c>
      <c r="M160" s="69" t="e">
        <f t="shared" si="27"/>
        <v>#DIV/0!</v>
      </c>
      <c r="N160" s="69" t="e">
        <f t="shared" si="27"/>
        <v>#DIV/0!</v>
      </c>
      <c r="O160" s="69" t="e">
        <f t="shared" si="27"/>
        <v>#DIV/0!</v>
      </c>
      <c r="P160" s="69" t="e">
        <f t="shared" si="27"/>
        <v>#DIV/0!</v>
      </c>
      <c r="Q160" s="69" t="e">
        <f t="shared" si="27"/>
        <v>#DIV/0!</v>
      </c>
      <c r="R160" s="326" t="e">
        <f>SUM(C160:Q160)</f>
        <v>#DIV/0!</v>
      </c>
    </row>
    <row r="161" spans="2:18" x14ac:dyDescent="0.15">
      <c r="B161" s="427" t="s">
        <v>273</v>
      </c>
      <c r="C161" s="69">
        <f>-C159*$C147</f>
        <v>0</v>
      </c>
      <c r="D161" s="69" t="e">
        <f>-D159*$C147</f>
        <v>#DIV/0!</v>
      </c>
      <c r="E161" s="69" t="e">
        <f>-E159*$C147</f>
        <v>#DIV/0!</v>
      </c>
      <c r="F161" s="69" t="e">
        <f t="shared" ref="F161:Q161" si="28">IF(F160=0,0,(-F159*$C147))</f>
        <v>#DIV/0!</v>
      </c>
      <c r="G161" s="69" t="e">
        <f t="shared" si="28"/>
        <v>#DIV/0!</v>
      </c>
      <c r="H161" s="69" t="e">
        <f t="shared" si="28"/>
        <v>#DIV/0!</v>
      </c>
      <c r="I161" s="69" t="e">
        <f t="shared" si="28"/>
        <v>#DIV/0!</v>
      </c>
      <c r="J161" s="69" t="e">
        <f t="shared" si="28"/>
        <v>#DIV/0!</v>
      </c>
      <c r="K161" s="69" t="e">
        <f t="shared" si="28"/>
        <v>#DIV/0!</v>
      </c>
      <c r="L161" s="69" t="e">
        <f t="shared" si="28"/>
        <v>#DIV/0!</v>
      </c>
      <c r="M161" s="69" t="e">
        <f t="shared" si="28"/>
        <v>#DIV/0!</v>
      </c>
      <c r="N161" s="69" t="e">
        <f t="shared" si="28"/>
        <v>#DIV/0!</v>
      </c>
      <c r="O161" s="69" t="e">
        <f t="shared" si="28"/>
        <v>#DIV/0!</v>
      </c>
      <c r="P161" s="69" t="e">
        <f t="shared" si="28"/>
        <v>#DIV/0!</v>
      </c>
      <c r="Q161" s="69" t="e">
        <f t="shared" si="28"/>
        <v>#DIV/0!</v>
      </c>
      <c r="R161" s="326" t="e">
        <f>SUM(C161:Q161)</f>
        <v>#DIV/0!</v>
      </c>
    </row>
    <row r="162" spans="2:18" x14ac:dyDescent="0.15">
      <c r="B162" s="427" t="s">
        <v>274</v>
      </c>
      <c r="C162" s="70" t="e">
        <f>C160-C161</f>
        <v>#DIV/0!</v>
      </c>
      <c r="D162" s="70" t="e">
        <f>D160-D161</f>
        <v>#DIV/0!</v>
      </c>
      <c r="E162" s="70" t="e">
        <f>IF(E159&lt;-$C154,-E159,(E160-E161))</f>
        <v>#DIV/0!</v>
      </c>
      <c r="F162" s="70" t="e">
        <f t="shared" ref="F162:Q162" si="29">IF(F159&lt;-$C154,-F159,(F160-F161))</f>
        <v>#DIV/0!</v>
      </c>
      <c r="G162" s="70" t="e">
        <f t="shared" si="29"/>
        <v>#DIV/0!</v>
      </c>
      <c r="H162" s="70" t="e">
        <f t="shared" si="29"/>
        <v>#DIV/0!</v>
      </c>
      <c r="I162" s="70" t="e">
        <f t="shared" si="29"/>
        <v>#DIV/0!</v>
      </c>
      <c r="J162" s="70" t="e">
        <f t="shared" si="29"/>
        <v>#DIV/0!</v>
      </c>
      <c r="K162" s="70" t="e">
        <f t="shared" si="29"/>
        <v>#DIV/0!</v>
      </c>
      <c r="L162" s="70" t="e">
        <f t="shared" si="29"/>
        <v>#DIV/0!</v>
      </c>
      <c r="M162" s="70" t="e">
        <f t="shared" si="29"/>
        <v>#DIV/0!</v>
      </c>
      <c r="N162" s="70" t="e">
        <f t="shared" si="29"/>
        <v>#DIV/0!</v>
      </c>
      <c r="O162" s="70" t="e">
        <f t="shared" si="29"/>
        <v>#DIV/0!</v>
      </c>
      <c r="P162" s="70" t="e">
        <f t="shared" si="29"/>
        <v>#DIV/0!</v>
      </c>
      <c r="Q162" s="70" t="e">
        <f t="shared" si="29"/>
        <v>#DIV/0!</v>
      </c>
      <c r="R162" s="431" t="e">
        <f>SUM(C162:Q162)</f>
        <v>#DIV/0!</v>
      </c>
    </row>
    <row r="163" spans="2:18" x14ac:dyDescent="0.15">
      <c r="B163" s="427" t="s">
        <v>275</v>
      </c>
      <c r="C163" s="71" t="e">
        <f>C159+C162</f>
        <v>#DIV/0!</v>
      </c>
      <c r="D163" s="71" t="e">
        <f>D159+D162</f>
        <v>#DIV/0!</v>
      </c>
      <c r="E163" s="71" t="e">
        <f>E159+E162</f>
        <v>#DIV/0!</v>
      </c>
      <c r="F163" s="71" t="e">
        <f t="shared" ref="F163:Q163" si="30">IF(F162=0,0,(F159+F162))</f>
        <v>#DIV/0!</v>
      </c>
      <c r="G163" s="71" t="e">
        <f t="shared" si="30"/>
        <v>#DIV/0!</v>
      </c>
      <c r="H163" s="71" t="e">
        <f t="shared" si="30"/>
        <v>#DIV/0!</v>
      </c>
      <c r="I163" s="71" t="e">
        <f t="shared" si="30"/>
        <v>#DIV/0!</v>
      </c>
      <c r="J163" s="71" t="e">
        <f t="shared" si="30"/>
        <v>#DIV/0!</v>
      </c>
      <c r="K163" s="71" t="e">
        <f t="shared" si="30"/>
        <v>#DIV/0!</v>
      </c>
      <c r="L163" s="71" t="e">
        <f t="shared" si="30"/>
        <v>#DIV/0!</v>
      </c>
      <c r="M163" s="71" t="e">
        <f t="shared" si="30"/>
        <v>#DIV/0!</v>
      </c>
      <c r="N163" s="71" t="e">
        <f t="shared" si="30"/>
        <v>#DIV/0!</v>
      </c>
      <c r="O163" s="71" t="e">
        <f t="shared" si="30"/>
        <v>#DIV/0!</v>
      </c>
      <c r="P163" s="71" t="e">
        <f t="shared" si="30"/>
        <v>#DIV/0!</v>
      </c>
      <c r="Q163" s="71" t="e">
        <f t="shared" si="30"/>
        <v>#DIV/0!</v>
      </c>
      <c r="R163" s="429"/>
    </row>
    <row r="164" spans="2:18" ht="14" thickBot="1" x14ac:dyDescent="0.2">
      <c r="B164" s="182"/>
      <c r="C164" s="174"/>
      <c r="D164" s="174"/>
      <c r="E164" s="174"/>
      <c r="F164" s="174"/>
      <c r="G164" s="174"/>
      <c r="H164" s="174"/>
      <c r="I164" s="174"/>
      <c r="J164" s="174"/>
      <c r="K164" s="174"/>
      <c r="L164" s="174"/>
      <c r="M164" s="174"/>
      <c r="N164" s="174"/>
      <c r="O164" s="174"/>
      <c r="P164" s="174"/>
      <c r="Q164" s="174"/>
      <c r="R164" s="273"/>
    </row>
    <row r="165" spans="2:18" ht="14" thickBot="1" x14ac:dyDescent="0.2">
      <c r="B165" s="437">
        <v>0.15</v>
      </c>
      <c r="C165" s="178"/>
      <c r="D165" s="178"/>
      <c r="E165" s="178"/>
      <c r="F165" s="178"/>
      <c r="G165" s="178"/>
      <c r="H165" s="178"/>
      <c r="I165" s="178"/>
      <c r="J165" s="178"/>
      <c r="K165" s="178"/>
      <c r="L165" s="178"/>
      <c r="M165" s="178"/>
      <c r="N165" s="178"/>
      <c r="O165" s="178"/>
      <c r="P165" s="178"/>
      <c r="Q165" s="178"/>
      <c r="R165" s="272"/>
    </row>
    <row r="166" spans="2:18" ht="14" x14ac:dyDescent="0.15">
      <c r="B166" s="392" t="s">
        <v>667</v>
      </c>
      <c r="C166" s="61">
        <f>'Level Payment Fin Sens Wksht'!D13</f>
        <v>0</v>
      </c>
      <c r="D166" s="7"/>
      <c r="R166" s="180"/>
    </row>
    <row r="167" spans="2:18" ht="14" x14ac:dyDescent="0.15">
      <c r="B167" s="392" t="s">
        <v>668</v>
      </c>
      <c r="C167" s="108">
        <f>'Loan Amortization'!$D$6</f>
        <v>0.08</v>
      </c>
      <c r="D167" s="7"/>
      <c r="R167" s="180"/>
    </row>
    <row r="168" spans="2:18" ht="14" x14ac:dyDescent="0.15">
      <c r="B168" s="425" t="s">
        <v>261</v>
      </c>
      <c r="C168" s="76">
        <f>'Loan Amortization'!$D$7</f>
        <v>5</v>
      </c>
      <c r="D168" s="7"/>
      <c r="R168" s="180"/>
    </row>
    <row r="169" spans="2:18" ht="28" x14ac:dyDescent="0.15">
      <c r="B169" s="392" t="s">
        <v>262</v>
      </c>
      <c r="C169" s="76">
        <f>'Loan Amortization'!$D$8</f>
        <v>0</v>
      </c>
      <c r="D169" s="7"/>
      <c r="E169" s="6"/>
      <c r="R169" s="180"/>
    </row>
    <row r="170" spans="2:18" ht="14" x14ac:dyDescent="0.15">
      <c r="B170" s="425" t="s">
        <v>263</v>
      </c>
      <c r="C170" s="12">
        <f>C168*C169</f>
        <v>0</v>
      </c>
      <c r="D170" s="7"/>
      <c r="R170" s="180"/>
    </row>
    <row r="171" spans="2:18" ht="14" x14ac:dyDescent="0.15">
      <c r="B171" s="392" t="s">
        <v>669</v>
      </c>
      <c r="C171" s="53" t="e">
        <f>C167/C169</f>
        <v>#DIV/0!</v>
      </c>
      <c r="D171" s="7"/>
      <c r="R171" s="180"/>
    </row>
    <row r="172" spans="2:18" x14ac:dyDescent="0.15">
      <c r="B172" s="426"/>
      <c r="R172" s="180"/>
    </row>
    <row r="173" spans="2:18" x14ac:dyDescent="0.15">
      <c r="B173" s="427" t="s">
        <v>266</v>
      </c>
      <c r="C173" s="74" t="e">
        <f>PMT($C171,$C170,$C166)</f>
        <v>#DIV/0!</v>
      </c>
      <c r="R173" s="180"/>
    </row>
    <row r="174" spans="2:18" x14ac:dyDescent="0.15">
      <c r="B174" s="427" t="s">
        <v>670</v>
      </c>
      <c r="C174" s="74" t="e">
        <f>$C173*$C169</f>
        <v>#DIV/0!</v>
      </c>
      <c r="R174" s="180"/>
    </row>
    <row r="175" spans="2:18" x14ac:dyDescent="0.15">
      <c r="B175" s="427" t="s">
        <v>671</v>
      </c>
      <c r="C175" s="74" t="e">
        <f>$C174*$C168</f>
        <v>#DIV/0!</v>
      </c>
      <c r="R175" s="180"/>
    </row>
    <row r="176" spans="2:18" ht="14" thickBot="1" x14ac:dyDescent="0.2">
      <c r="B176" s="202"/>
      <c r="C176" s="8"/>
      <c r="G176" s="9"/>
      <c r="R176" s="180"/>
    </row>
    <row r="177" spans="2:18" ht="14" thickBot="1" x14ac:dyDescent="0.2">
      <c r="B177" s="436">
        <v>0.15</v>
      </c>
      <c r="R177" s="180"/>
    </row>
    <row r="178" spans="2:18" x14ac:dyDescent="0.15">
      <c r="B178" s="441" t="s">
        <v>270</v>
      </c>
      <c r="C178" s="26">
        <v>1</v>
      </c>
      <c r="D178" s="26">
        <v>2</v>
      </c>
      <c r="E178" s="26">
        <v>3</v>
      </c>
      <c r="F178" s="26">
        <v>4</v>
      </c>
      <c r="G178" s="26">
        <v>5</v>
      </c>
      <c r="H178" s="26">
        <v>6</v>
      </c>
      <c r="I178" s="26">
        <v>7</v>
      </c>
      <c r="J178" s="26">
        <v>8</v>
      </c>
      <c r="K178" s="26">
        <v>9</v>
      </c>
      <c r="L178" s="26">
        <v>10</v>
      </c>
      <c r="M178" s="26">
        <v>11</v>
      </c>
      <c r="N178" s="26">
        <v>12</v>
      </c>
      <c r="O178" s="26">
        <v>13</v>
      </c>
      <c r="P178" s="26">
        <v>14</v>
      </c>
      <c r="Q178" s="26">
        <v>15</v>
      </c>
      <c r="R178" s="428" t="s">
        <v>216</v>
      </c>
    </row>
    <row r="179" spans="2:18" x14ac:dyDescent="0.15">
      <c r="B179" s="427" t="s">
        <v>271</v>
      </c>
      <c r="C179" s="71">
        <f>$C166</f>
        <v>0</v>
      </c>
      <c r="D179" s="69" t="e">
        <f>C183</f>
        <v>#DIV/0!</v>
      </c>
      <c r="E179" s="69" t="e">
        <f>IF('Loan Amortization'!F$33=1,0,'Amort Sensitivity Wksht'!D183)</f>
        <v>#DIV/0!</v>
      </c>
      <c r="F179" s="69" t="e">
        <f>IF('Loan Amortization'!G$33=1,0,'Amort Sensitivity Wksht'!E183)</f>
        <v>#DIV/0!</v>
      </c>
      <c r="G179" s="69" t="e">
        <f>IF('Loan Amortization'!H$33=1,0,'Amort Sensitivity Wksht'!F183)</f>
        <v>#DIV/0!</v>
      </c>
      <c r="H179" s="69" t="e">
        <f>IF('Loan Amortization'!I$33=1,0,'Amort Sensitivity Wksht'!G183)</f>
        <v>#DIV/0!</v>
      </c>
      <c r="I179" s="69" t="e">
        <f>IF('Loan Amortization'!J$33=1,0,'Amort Sensitivity Wksht'!H183)</f>
        <v>#DIV/0!</v>
      </c>
      <c r="J179" s="69" t="e">
        <f>IF('Loan Amortization'!K$33=1,0,'Amort Sensitivity Wksht'!I183)</f>
        <v>#DIV/0!</v>
      </c>
      <c r="K179" s="69" t="e">
        <f>IF('Loan Amortization'!L$33=1,0,'Amort Sensitivity Wksht'!J183)</f>
        <v>#DIV/0!</v>
      </c>
      <c r="L179" s="69" t="e">
        <f>IF('Loan Amortization'!M$33=1,0,'Amort Sensitivity Wksht'!K183)</f>
        <v>#DIV/0!</v>
      </c>
      <c r="M179" s="69" t="e">
        <f>IF('Loan Amortization'!N$33=1,0,'Amort Sensitivity Wksht'!L183)</f>
        <v>#DIV/0!</v>
      </c>
      <c r="N179" s="69" t="e">
        <f>IF('Loan Amortization'!O$33=1,0,'Amort Sensitivity Wksht'!M183)</f>
        <v>#DIV/0!</v>
      </c>
      <c r="O179" s="69" t="e">
        <f>IF('Loan Amortization'!P$33=1,0,'Amort Sensitivity Wksht'!N183)</f>
        <v>#DIV/0!</v>
      </c>
      <c r="P179" s="69" t="e">
        <f>IF('Loan Amortization'!Q$33=1,0,'Amort Sensitivity Wksht'!O183)</f>
        <v>#DIV/0!</v>
      </c>
      <c r="Q179" s="69" t="e">
        <f>IF('Loan Amortization'!R$33=1,0,'Amort Sensitivity Wksht'!P183)</f>
        <v>#DIV/0!</v>
      </c>
      <c r="R179" s="429"/>
    </row>
    <row r="180" spans="2:18" x14ac:dyDescent="0.15">
      <c r="B180" s="430" t="s">
        <v>272</v>
      </c>
      <c r="C180" s="69" t="e">
        <f>$C174</f>
        <v>#DIV/0!</v>
      </c>
      <c r="D180" s="69" t="e">
        <f>IF(D179&gt;(-1*$C174),$C174,0)</f>
        <v>#DIV/0!</v>
      </c>
      <c r="E180" s="69" t="e">
        <f>IF(E179&gt;(-1*$C174),$C174,0)</f>
        <v>#DIV/0!</v>
      </c>
      <c r="F180" s="69" t="e">
        <f t="shared" ref="F180:Q180" si="31">IF(F179&gt;(-1*$C174),$C174,0)</f>
        <v>#DIV/0!</v>
      </c>
      <c r="G180" s="69" t="e">
        <f t="shared" si="31"/>
        <v>#DIV/0!</v>
      </c>
      <c r="H180" s="69" t="e">
        <f t="shared" si="31"/>
        <v>#DIV/0!</v>
      </c>
      <c r="I180" s="69" t="e">
        <f t="shared" si="31"/>
        <v>#DIV/0!</v>
      </c>
      <c r="J180" s="69" t="e">
        <f t="shared" si="31"/>
        <v>#DIV/0!</v>
      </c>
      <c r="K180" s="69" t="e">
        <f t="shared" si="31"/>
        <v>#DIV/0!</v>
      </c>
      <c r="L180" s="69" t="e">
        <f t="shared" si="31"/>
        <v>#DIV/0!</v>
      </c>
      <c r="M180" s="69" t="e">
        <f t="shared" si="31"/>
        <v>#DIV/0!</v>
      </c>
      <c r="N180" s="69" t="e">
        <f t="shared" si="31"/>
        <v>#DIV/0!</v>
      </c>
      <c r="O180" s="69" t="e">
        <f t="shared" si="31"/>
        <v>#DIV/0!</v>
      </c>
      <c r="P180" s="69" t="e">
        <f t="shared" si="31"/>
        <v>#DIV/0!</v>
      </c>
      <c r="Q180" s="69" t="e">
        <f t="shared" si="31"/>
        <v>#DIV/0!</v>
      </c>
      <c r="R180" s="326" t="e">
        <f>SUM(C180:Q180)</f>
        <v>#DIV/0!</v>
      </c>
    </row>
    <row r="181" spans="2:18" x14ac:dyDescent="0.15">
      <c r="B181" s="427" t="s">
        <v>273</v>
      </c>
      <c r="C181" s="69">
        <f>-C179*$C167</f>
        <v>0</v>
      </c>
      <c r="D181" s="69" t="e">
        <f>-D179*$C167</f>
        <v>#DIV/0!</v>
      </c>
      <c r="E181" s="69" t="e">
        <f>-E179*$C167</f>
        <v>#DIV/0!</v>
      </c>
      <c r="F181" s="69" t="e">
        <f t="shared" ref="F181:Q181" si="32">IF(F180=0,0,(-F179*$C167))</f>
        <v>#DIV/0!</v>
      </c>
      <c r="G181" s="69" t="e">
        <f t="shared" si="32"/>
        <v>#DIV/0!</v>
      </c>
      <c r="H181" s="69" t="e">
        <f t="shared" si="32"/>
        <v>#DIV/0!</v>
      </c>
      <c r="I181" s="69" t="e">
        <f t="shared" si="32"/>
        <v>#DIV/0!</v>
      </c>
      <c r="J181" s="69" t="e">
        <f t="shared" si="32"/>
        <v>#DIV/0!</v>
      </c>
      <c r="K181" s="69" t="e">
        <f t="shared" si="32"/>
        <v>#DIV/0!</v>
      </c>
      <c r="L181" s="69" t="e">
        <f t="shared" si="32"/>
        <v>#DIV/0!</v>
      </c>
      <c r="M181" s="69" t="e">
        <f t="shared" si="32"/>
        <v>#DIV/0!</v>
      </c>
      <c r="N181" s="69" t="e">
        <f t="shared" si="32"/>
        <v>#DIV/0!</v>
      </c>
      <c r="O181" s="69" t="e">
        <f t="shared" si="32"/>
        <v>#DIV/0!</v>
      </c>
      <c r="P181" s="69" t="e">
        <f t="shared" si="32"/>
        <v>#DIV/0!</v>
      </c>
      <c r="Q181" s="69" t="e">
        <f t="shared" si="32"/>
        <v>#DIV/0!</v>
      </c>
      <c r="R181" s="326" t="e">
        <f>SUM(C181:Q181)</f>
        <v>#DIV/0!</v>
      </c>
    </row>
    <row r="182" spans="2:18" x14ac:dyDescent="0.15">
      <c r="B182" s="427" t="s">
        <v>274</v>
      </c>
      <c r="C182" s="70" t="e">
        <f>C180-C181</f>
        <v>#DIV/0!</v>
      </c>
      <c r="D182" s="70" t="e">
        <f>D180-D181</f>
        <v>#DIV/0!</v>
      </c>
      <c r="E182" s="70" t="e">
        <f>IF(E179&lt;-$C174,-E179,(E180-E181))</f>
        <v>#DIV/0!</v>
      </c>
      <c r="F182" s="70" t="e">
        <f t="shared" ref="F182:Q182" si="33">IF(F179&lt;-$C174,-F179,(F180-F181))</f>
        <v>#DIV/0!</v>
      </c>
      <c r="G182" s="70" t="e">
        <f t="shared" si="33"/>
        <v>#DIV/0!</v>
      </c>
      <c r="H182" s="70" t="e">
        <f t="shared" si="33"/>
        <v>#DIV/0!</v>
      </c>
      <c r="I182" s="70" t="e">
        <f t="shared" si="33"/>
        <v>#DIV/0!</v>
      </c>
      <c r="J182" s="70" t="e">
        <f t="shared" si="33"/>
        <v>#DIV/0!</v>
      </c>
      <c r="K182" s="70" t="e">
        <f t="shared" si="33"/>
        <v>#DIV/0!</v>
      </c>
      <c r="L182" s="70" t="e">
        <f t="shared" si="33"/>
        <v>#DIV/0!</v>
      </c>
      <c r="M182" s="70" t="e">
        <f t="shared" si="33"/>
        <v>#DIV/0!</v>
      </c>
      <c r="N182" s="70" t="e">
        <f t="shared" si="33"/>
        <v>#DIV/0!</v>
      </c>
      <c r="O182" s="70" t="e">
        <f t="shared" si="33"/>
        <v>#DIV/0!</v>
      </c>
      <c r="P182" s="70" t="e">
        <f t="shared" si="33"/>
        <v>#DIV/0!</v>
      </c>
      <c r="Q182" s="70" t="e">
        <f t="shared" si="33"/>
        <v>#DIV/0!</v>
      </c>
      <c r="R182" s="431" t="e">
        <f>SUM(C182:Q182)</f>
        <v>#DIV/0!</v>
      </c>
    </row>
    <row r="183" spans="2:18" x14ac:dyDescent="0.15">
      <c r="B183" s="427" t="s">
        <v>275</v>
      </c>
      <c r="C183" s="71" t="e">
        <f>C179+C182</f>
        <v>#DIV/0!</v>
      </c>
      <c r="D183" s="71" t="e">
        <f>D179+D182</f>
        <v>#DIV/0!</v>
      </c>
      <c r="E183" s="71" t="e">
        <f>E179+E182</f>
        <v>#DIV/0!</v>
      </c>
      <c r="F183" s="71" t="e">
        <f t="shared" ref="F183:Q183" si="34">IF(F182=0,0,(F179+F182))</f>
        <v>#DIV/0!</v>
      </c>
      <c r="G183" s="71" t="e">
        <f t="shared" si="34"/>
        <v>#DIV/0!</v>
      </c>
      <c r="H183" s="71" t="e">
        <f t="shared" si="34"/>
        <v>#DIV/0!</v>
      </c>
      <c r="I183" s="71" t="e">
        <f t="shared" si="34"/>
        <v>#DIV/0!</v>
      </c>
      <c r="J183" s="71" t="e">
        <f t="shared" si="34"/>
        <v>#DIV/0!</v>
      </c>
      <c r="K183" s="71" t="e">
        <f t="shared" si="34"/>
        <v>#DIV/0!</v>
      </c>
      <c r="L183" s="71" t="e">
        <f t="shared" si="34"/>
        <v>#DIV/0!</v>
      </c>
      <c r="M183" s="71" t="e">
        <f t="shared" si="34"/>
        <v>#DIV/0!</v>
      </c>
      <c r="N183" s="71" t="e">
        <f t="shared" si="34"/>
        <v>#DIV/0!</v>
      </c>
      <c r="O183" s="71" t="e">
        <f t="shared" si="34"/>
        <v>#DIV/0!</v>
      </c>
      <c r="P183" s="71" t="e">
        <f t="shared" si="34"/>
        <v>#DIV/0!</v>
      </c>
      <c r="Q183" s="71" t="e">
        <f t="shared" si="34"/>
        <v>#DIV/0!</v>
      </c>
      <c r="R183" s="429"/>
    </row>
    <row r="184" spans="2:18" ht="14" thickBot="1" x14ac:dyDescent="0.2">
      <c r="B184" s="182"/>
      <c r="C184" s="174"/>
      <c r="D184" s="174"/>
      <c r="E184" s="174"/>
      <c r="F184" s="174"/>
      <c r="G184" s="174"/>
      <c r="H184" s="174"/>
      <c r="I184" s="174"/>
      <c r="J184" s="174"/>
      <c r="K184" s="174"/>
      <c r="L184" s="174"/>
      <c r="M184" s="174"/>
      <c r="N184" s="174"/>
      <c r="O184" s="174"/>
      <c r="P184" s="174"/>
      <c r="Q184" s="174"/>
      <c r="R184" s="273"/>
    </row>
    <row r="185" spans="2:18" ht="14" thickBot="1" x14ac:dyDescent="0.2">
      <c r="B185" s="437">
        <v>0.2</v>
      </c>
      <c r="C185" s="178"/>
      <c r="D185" s="178"/>
      <c r="E185" s="178"/>
      <c r="F185" s="178"/>
      <c r="G185" s="178"/>
      <c r="H185" s="178"/>
      <c r="I185" s="178"/>
      <c r="J185" s="178"/>
      <c r="K185" s="178"/>
      <c r="L185" s="178"/>
      <c r="M185" s="178"/>
      <c r="N185" s="178"/>
      <c r="O185" s="178"/>
      <c r="P185" s="178"/>
      <c r="Q185" s="178"/>
      <c r="R185" s="272"/>
    </row>
    <row r="186" spans="2:18" ht="14" x14ac:dyDescent="0.15">
      <c r="B186" s="392" t="s">
        <v>667</v>
      </c>
      <c r="C186" s="61">
        <f>'Level Payment Fin Sens Wksht'!D14</f>
        <v>0</v>
      </c>
      <c r="D186" s="7"/>
      <c r="R186" s="180"/>
    </row>
    <row r="187" spans="2:18" ht="14" x14ac:dyDescent="0.15">
      <c r="B187" s="392" t="s">
        <v>668</v>
      </c>
      <c r="C187" s="108">
        <f>'Loan Amortization'!$D$6</f>
        <v>0.08</v>
      </c>
      <c r="D187" s="7"/>
      <c r="R187" s="180"/>
    </row>
    <row r="188" spans="2:18" ht="14" x14ac:dyDescent="0.15">
      <c r="B188" s="425" t="s">
        <v>261</v>
      </c>
      <c r="C188" s="76">
        <f>'Loan Amortization'!$D$7</f>
        <v>5</v>
      </c>
      <c r="D188" s="7"/>
      <c r="R188" s="180"/>
    </row>
    <row r="189" spans="2:18" ht="28" x14ac:dyDescent="0.15">
      <c r="B189" s="392" t="s">
        <v>262</v>
      </c>
      <c r="C189" s="76">
        <f>'Loan Amortization'!$D$8</f>
        <v>0</v>
      </c>
      <c r="D189" s="7"/>
      <c r="E189" s="6"/>
      <c r="R189" s="180"/>
    </row>
    <row r="190" spans="2:18" ht="14" x14ac:dyDescent="0.15">
      <c r="B190" s="425" t="s">
        <v>263</v>
      </c>
      <c r="C190" s="12">
        <f>C188*C189</f>
        <v>0</v>
      </c>
      <c r="D190" s="7"/>
      <c r="R190" s="180"/>
    </row>
    <row r="191" spans="2:18" ht="14" x14ac:dyDescent="0.15">
      <c r="B191" s="392" t="s">
        <v>669</v>
      </c>
      <c r="C191" s="53" t="e">
        <f>C187/C189</f>
        <v>#DIV/0!</v>
      </c>
      <c r="D191" s="7"/>
      <c r="R191" s="180"/>
    </row>
    <row r="192" spans="2:18" x14ac:dyDescent="0.15">
      <c r="B192" s="426"/>
      <c r="R192" s="180"/>
    </row>
    <row r="193" spans="2:18" x14ac:dyDescent="0.15">
      <c r="B193" s="427" t="s">
        <v>266</v>
      </c>
      <c r="C193" s="74" t="e">
        <f>PMT($C191,$C190,$C186)</f>
        <v>#DIV/0!</v>
      </c>
      <c r="R193" s="180"/>
    </row>
    <row r="194" spans="2:18" x14ac:dyDescent="0.15">
      <c r="B194" s="427" t="s">
        <v>670</v>
      </c>
      <c r="C194" s="74" t="e">
        <f>$C193*$C189</f>
        <v>#DIV/0!</v>
      </c>
      <c r="R194" s="180"/>
    </row>
    <row r="195" spans="2:18" x14ac:dyDescent="0.15">
      <c r="B195" s="427" t="s">
        <v>671</v>
      </c>
      <c r="C195" s="74" t="e">
        <f>$C194*$C188</f>
        <v>#DIV/0!</v>
      </c>
      <c r="R195" s="180"/>
    </row>
    <row r="196" spans="2:18" ht="14" thickBot="1" x14ac:dyDescent="0.2">
      <c r="B196" s="202"/>
      <c r="C196" s="8"/>
      <c r="G196" s="9"/>
      <c r="R196" s="180"/>
    </row>
    <row r="197" spans="2:18" ht="14" thickBot="1" x14ac:dyDescent="0.2">
      <c r="B197" s="436">
        <v>0.2</v>
      </c>
      <c r="R197" s="180"/>
    </row>
    <row r="198" spans="2:18" x14ac:dyDescent="0.15">
      <c r="B198" s="441" t="s">
        <v>270</v>
      </c>
      <c r="C198" s="26">
        <v>1</v>
      </c>
      <c r="D198" s="26">
        <v>2</v>
      </c>
      <c r="E198" s="26">
        <v>3</v>
      </c>
      <c r="F198" s="26">
        <v>4</v>
      </c>
      <c r="G198" s="26">
        <v>5</v>
      </c>
      <c r="H198" s="26">
        <v>6</v>
      </c>
      <c r="I198" s="26">
        <v>7</v>
      </c>
      <c r="J198" s="26">
        <v>8</v>
      </c>
      <c r="K198" s="26">
        <v>9</v>
      </c>
      <c r="L198" s="26">
        <v>10</v>
      </c>
      <c r="M198" s="26">
        <v>11</v>
      </c>
      <c r="N198" s="26">
        <v>12</v>
      </c>
      <c r="O198" s="26">
        <v>13</v>
      </c>
      <c r="P198" s="26">
        <v>14</v>
      </c>
      <c r="Q198" s="26">
        <v>15</v>
      </c>
      <c r="R198" s="428" t="s">
        <v>216</v>
      </c>
    </row>
    <row r="199" spans="2:18" x14ac:dyDescent="0.15">
      <c r="B199" s="427" t="s">
        <v>271</v>
      </c>
      <c r="C199" s="71">
        <f>$C186</f>
        <v>0</v>
      </c>
      <c r="D199" s="69" t="e">
        <f>C203</f>
        <v>#DIV/0!</v>
      </c>
      <c r="E199" s="69" t="e">
        <f>IF('Loan Amortization'!F$33=1,0,'Amort Sensitivity Wksht'!D203)</f>
        <v>#DIV/0!</v>
      </c>
      <c r="F199" s="69" t="e">
        <f>IF('Loan Amortization'!G$33=1,0,'Amort Sensitivity Wksht'!E203)</f>
        <v>#DIV/0!</v>
      </c>
      <c r="G199" s="69" t="e">
        <f>IF('Loan Amortization'!H$33=1,0,'Amort Sensitivity Wksht'!F203)</f>
        <v>#DIV/0!</v>
      </c>
      <c r="H199" s="69" t="e">
        <f>IF('Loan Amortization'!I$33=1,0,'Amort Sensitivity Wksht'!G203)</f>
        <v>#DIV/0!</v>
      </c>
      <c r="I199" s="69" t="e">
        <f>IF('Loan Amortization'!J$33=1,0,'Amort Sensitivity Wksht'!H203)</f>
        <v>#DIV/0!</v>
      </c>
      <c r="J199" s="69" t="e">
        <f>IF('Loan Amortization'!K$33=1,0,'Amort Sensitivity Wksht'!I203)</f>
        <v>#DIV/0!</v>
      </c>
      <c r="K199" s="69" t="e">
        <f>IF('Loan Amortization'!L$33=1,0,'Amort Sensitivity Wksht'!J203)</f>
        <v>#DIV/0!</v>
      </c>
      <c r="L199" s="69" t="e">
        <f>IF('Loan Amortization'!M$33=1,0,'Amort Sensitivity Wksht'!K203)</f>
        <v>#DIV/0!</v>
      </c>
      <c r="M199" s="69" t="e">
        <f>IF('Loan Amortization'!N$33=1,0,'Amort Sensitivity Wksht'!L203)</f>
        <v>#DIV/0!</v>
      </c>
      <c r="N199" s="69" t="e">
        <f>IF('Loan Amortization'!O$33=1,0,'Amort Sensitivity Wksht'!M203)</f>
        <v>#DIV/0!</v>
      </c>
      <c r="O199" s="69" t="e">
        <f>IF('Loan Amortization'!P$33=1,0,'Amort Sensitivity Wksht'!N203)</f>
        <v>#DIV/0!</v>
      </c>
      <c r="P199" s="69" t="e">
        <f>IF('Loan Amortization'!Q$33=1,0,'Amort Sensitivity Wksht'!O203)</f>
        <v>#DIV/0!</v>
      </c>
      <c r="Q199" s="69" t="e">
        <f>IF('Loan Amortization'!R$33=1,0,'Amort Sensitivity Wksht'!P203)</f>
        <v>#DIV/0!</v>
      </c>
      <c r="R199" s="429"/>
    </row>
    <row r="200" spans="2:18" x14ac:dyDescent="0.15">
      <c r="B200" s="430" t="s">
        <v>272</v>
      </c>
      <c r="C200" s="69" t="e">
        <f>$C194</f>
        <v>#DIV/0!</v>
      </c>
      <c r="D200" s="69" t="e">
        <f>IF(D199&gt;(-1*$C194),$C194,0)</f>
        <v>#DIV/0!</v>
      </c>
      <c r="E200" s="69" t="e">
        <f>IF(E199&gt;(-1*$C194),$C194,0)</f>
        <v>#DIV/0!</v>
      </c>
      <c r="F200" s="69" t="e">
        <f t="shared" ref="F200:Q200" si="35">IF(F199&gt;(-1*$C194),$C194,0)</f>
        <v>#DIV/0!</v>
      </c>
      <c r="G200" s="69" t="e">
        <f t="shared" si="35"/>
        <v>#DIV/0!</v>
      </c>
      <c r="H200" s="69" t="e">
        <f t="shared" si="35"/>
        <v>#DIV/0!</v>
      </c>
      <c r="I200" s="69" t="e">
        <f t="shared" si="35"/>
        <v>#DIV/0!</v>
      </c>
      <c r="J200" s="69" t="e">
        <f t="shared" si="35"/>
        <v>#DIV/0!</v>
      </c>
      <c r="K200" s="69" t="e">
        <f t="shared" si="35"/>
        <v>#DIV/0!</v>
      </c>
      <c r="L200" s="69" t="e">
        <f t="shared" si="35"/>
        <v>#DIV/0!</v>
      </c>
      <c r="M200" s="69" t="e">
        <f t="shared" si="35"/>
        <v>#DIV/0!</v>
      </c>
      <c r="N200" s="69" t="e">
        <f t="shared" si="35"/>
        <v>#DIV/0!</v>
      </c>
      <c r="O200" s="69" t="e">
        <f t="shared" si="35"/>
        <v>#DIV/0!</v>
      </c>
      <c r="P200" s="69" t="e">
        <f t="shared" si="35"/>
        <v>#DIV/0!</v>
      </c>
      <c r="Q200" s="69" t="e">
        <f t="shared" si="35"/>
        <v>#DIV/0!</v>
      </c>
      <c r="R200" s="326" t="e">
        <f>SUM(C200:Q200)</f>
        <v>#DIV/0!</v>
      </c>
    </row>
    <row r="201" spans="2:18" x14ac:dyDescent="0.15">
      <c r="B201" s="427" t="s">
        <v>273</v>
      </c>
      <c r="C201" s="69">
        <f>-C199*$C187</f>
        <v>0</v>
      </c>
      <c r="D201" s="69" t="e">
        <f>-D199*$C187</f>
        <v>#DIV/0!</v>
      </c>
      <c r="E201" s="69" t="e">
        <f>-E199*$C187</f>
        <v>#DIV/0!</v>
      </c>
      <c r="F201" s="69" t="e">
        <f t="shared" ref="F201:Q201" si="36">IF(F200=0,0,(-F199*$C187))</f>
        <v>#DIV/0!</v>
      </c>
      <c r="G201" s="69" t="e">
        <f t="shared" si="36"/>
        <v>#DIV/0!</v>
      </c>
      <c r="H201" s="69" t="e">
        <f t="shared" si="36"/>
        <v>#DIV/0!</v>
      </c>
      <c r="I201" s="69" t="e">
        <f t="shared" si="36"/>
        <v>#DIV/0!</v>
      </c>
      <c r="J201" s="69" t="e">
        <f t="shared" si="36"/>
        <v>#DIV/0!</v>
      </c>
      <c r="K201" s="69" t="e">
        <f t="shared" si="36"/>
        <v>#DIV/0!</v>
      </c>
      <c r="L201" s="69" t="e">
        <f t="shared" si="36"/>
        <v>#DIV/0!</v>
      </c>
      <c r="M201" s="69" t="e">
        <f t="shared" si="36"/>
        <v>#DIV/0!</v>
      </c>
      <c r="N201" s="69" t="e">
        <f t="shared" si="36"/>
        <v>#DIV/0!</v>
      </c>
      <c r="O201" s="69" t="e">
        <f t="shared" si="36"/>
        <v>#DIV/0!</v>
      </c>
      <c r="P201" s="69" t="e">
        <f t="shared" si="36"/>
        <v>#DIV/0!</v>
      </c>
      <c r="Q201" s="69" t="e">
        <f t="shared" si="36"/>
        <v>#DIV/0!</v>
      </c>
      <c r="R201" s="326" t="e">
        <f>SUM(C201:Q201)</f>
        <v>#DIV/0!</v>
      </c>
    </row>
    <row r="202" spans="2:18" x14ac:dyDescent="0.15">
      <c r="B202" s="427" t="s">
        <v>274</v>
      </c>
      <c r="C202" s="70" t="e">
        <f>C200-C201</f>
        <v>#DIV/0!</v>
      </c>
      <c r="D202" s="70" t="e">
        <f>D200-D201</f>
        <v>#DIV/0!</v>
      </c>
      <c r="E202" s="70" t="e">
        <f>IF(E199&lt;-$C194,-E199,(E200-E201))</f>
        <v>#DIV/0!</v>
      </c>
      <c r="F202" s="70" t="e">
        <f t="shared" ref="F202:Q202" si="37">IF(F199&lt;-$C194,-F199,(F200-F201))</f>
        <v>#DIV/0!</v>
      </c>
      <c r="G202" s="70" t="e">
        <f t="shared" si="37"/>
        <v>#DIV/0!</v>
      </c>
      <c r="H202" s="70" t="e">
        <f t="shared" si="37"/>
        <v>#DIV/0!</v>
      </c>
      <c r="I202" s="70" t="e">
        <f t="shared" si="37"/>
        <v>#DIV/0!</v>
      </c>
      <c r="J202" s="70" t="e">
        <f t="shared" si="37"/>
        <v>#DIV/0!</v>
      </c>
      <c r="K202" s="70" t="e">
        <f t="shared" si="37"/>
        <v>#DIV/0!</v>
      </c>
      <c r="L202" s="70" t="e">
        <f t="shared" si="37"/>
        <v>#DIV/0!</v>
      </c>
      <c r="M202" s="70" t="e">
        <f t="shared" si="37"/>
        <v>#DIV/0!</v>
      </c>
      <c r="N202" s="70" t="e">
        <f t="shared" si="37"/>
        <v>#DIV/0!</v>
      </c>
      <c r="O202" s="70" t="e">
        <f t="shared" si="37"/>
        <v>#DIV/0!</v>
      </c>
      <c r="P202" s="70" t="e">
        <f t="shared" si="37"/>
        <v>#DIV/0!</v>
      </c>
      <c r="Q202" s="70" t="e">
        <f t="shared" si="37"/>
        <v>#DIV/0!</v>
      </c>
      <c r="R202" s="431" t="e">
        <f>SUM(C202:Q202)</f>
        <v>#DIV/0!</v>
      </c>
    </row>
    <row r="203" spans="2:18" x14ac:dyDescent="0.15">
      <c r="B203" s="427" t="s">
        <v>275</v>
      </c>
      <c r="C203" s="71" t="e">
        <f>C199+C202</f>
        <v>#DIV/0!</v>
      </c>
      <c r="D203" s="71" t="e">
        <f>D199+D202</f>
        <v>#DIV/0!</v>
      </c>
      <c r="E203" s="71" t="e">
        <f>E199+E202</f>
        <v>#DIV/0!</v>
      </c>
      <c r="F203" s="71" t="e">
        <f t="shared" ref="F203:Q203" si="38">IF(F202=0,0,(F199+F202))</f>
        <v>#DIV/0!</v>
      </c>
      <c r="G203" s="71" t="e">
        <f t="shared" si="38"/>
        <v>#DIV/0!</v>
      </c>
      <c r="H203" s="71" t="e">
        <f t="shared" si="38"/>
        <v>#DIV/0!</v>
      </c>
      <c r="I203" s="71" t="e">
        <f t="shared" si="38"/>
        <v>#DIV/0!</v>
      </c>
      <c r="J203" s="71" t="e">
        <f t="shared" si="38"/>
        <v>#DIV/0!</v>
      </c>
      <c r="K203" s="71" t="e">
        <f t="shared" si="38"/>
        <v>#DIV/0!</v>
      </c>
      <c r="L203" s="71" t="e">
        <f t="shared" si="38"/>
        <v>#DIV/0!</v>
      </c>
      <c r="M203" s="71" t="e">
        <f t="shared" si="38"/>
        <v>#DIV/0!</v>
      </c>
      <c r="N203" s="71" t="e">
        <f t="shared" si="38"/>
        <v>#DIV/0!</v>
      </c>
      <c r="O203" s="71" t="e">
        <f t="shared" si="38"/>
        <v>#DIV/0!</v>
      </c>
      <c r="P203" s="71" t="e">
        <f t="shared" si="38"/>
        <v>#DIV/0!</v>
      </c>
      <c r="Q203" s="71" t="e">
        <f t="shared" si="38"/>
        <v>#DIV/0!</v>
      </c>
      <c r="R203" s="429"/>
    </row>
    <row r="204" spans="2:18" ht="14" thickBot="1" x14ac:dyDescent="0.2">
      <c r="B204" s="182"/>
      <c r="C204" s="174"/>
      <c r="D204" s="174"/>
      <c r="E204" s="174"/>
      <c r="F204" s="174"/>
      <c r="G204" s="174"/>
      <c r="H204" s="174"/>
      <c r="I204" s="174"/>
      <c r="J204" s="174"/>
      <c r="K204" s="174"/>
      <c r="L204" s="174"/>
      <c r="M204" s="174"/>
      <c r="N204" s="174"/>
      <c r="O204" s="174"/>
      <c r="P204" s="174"/>
      <c r="Q204" s="174"/>
      <c r="R204" s="273"/>
    </row>
    <row r="205" spans="2:18" ht="14" thickBot="1" x14ac:dyDescent="0.2">
      <c r="B205" s="437">
        <v>0.25</v>
      </c>
      <c r="C205" s="178"/>
      <c r="D205" s="178"/>
      <c r="E205" s="178"/>
      <c r="F205" s="178"/>
      <c r="G205" s="178"/>
      <c r="H205" s="178"/>
      <c r="I205" s="178"/>
      <c r="J205" s="178"/>
      <c r="K205" s="178"/>
      <c r="L205" s="178"/>
      <c r="M205" s="178"/>
      <c r="N205" s="178"/>
      <c r="O205" s="178"/>
      <c r="P205" s="178"/>
      <c r="Q205" s="178"/>
      <c r="R205" s="272"/>
    </row>
    <row r="206" spans="2:18" ht="14" x14ac:dyDescent="0.15">
      <c r="B206" s="392" t="s">
        <v>667</v>
      </c>
      <c r="C206" s="61">
        <f>'Level Payment Fin Sens Wksht'!D15</f>
        <v>0</v>
      </c>
      <c r="D206" s="7"/>
      <c r="R206" s="180"/>
    </row>
    <row r="207" spans="2:18" ht="14" x14ac:dyDescent="0.15">
      <c r="B207" s="392" t="s">
        <v>668</v>
      </c>
      <c r="C207" s="108">
        <f>'Loan Amortization'!$D$6</f>
        <v>0.08</v>
      </c>
      <c r="D207" s="7"/>
      <c r="R207" s="180"/>
    </row>
    <row r="208" spans="2:18" ht="14" x14ac:dyDescent="0.15">
      <c r="B208" s="425" t="s">
        <v>261</v>
      </c>
      <c r="C208" s="76">
        <f>'Loan Amortization'!$D$7</f>
        <v>5</v>
      </c>
      <c r="D208" s="7"/>
      <c r="R208" s="180"/>
    </row>
    <row r="209" spans="2:18" ht="28" x14ac:dyDescent="0.15">
      <c r="B209" s="392" t="s">
        <v>262</v>
      </c>
      <c r="C209" s="76">
        <f>'Loan Amortization'!$D$8</f>
        <v>0</v>
      </c>
      <c r="D209" s="7"/>
      <c r="E209" s="6"/>
      <c r="R209" s="180"/>
    </row>
    <row r="210" spans="2:18" ht="14" x14ac:dyDescent="0.15">
      <c r="B210" s="425" t="s">
        <v>263</v>
      </c>
      <c r="C210" s="12">
        <f>C208*C209</f>
        <v>0</v>
      </c>
      <c r="D210" s="7"/>
      <c r="R210" s="180"/>
    </row>
    <row r="211" spans="2:18" ht="14" x14ac:dyDescent="0.15">
      <c r="B211" s="392" t="s">
        <v>669</v>
      </c>
      <c r="C211" s="53" t="e">
        <f>C207/C209</f>
        <v>#DIV/0!</v>
      </c>
      <c r="D211" s="7"/>
      <c r="R211" s="180"/>
    </row>
    <row r="212" spans="2:18" x14ac:dyDescent="0.15">
      <c r="B212" s="426"/>
      <c r="R212" s="180"/>
    </row>
    <row r="213" spans="2:18" x14ac:dyDescent="0.15">
      <c r="B213" s="427" t="s">
        <v>266</v>
      </c>
      <c r="C213" s="74" t="e">
        <f>PMT($C211,$C210,$C206)</f>
        <v>#DIV/0!</v>
      </c>
      <c r="R213" s="180"/>
    </row>
    <row r="214" spans="2:18" x14ac:dyDescent="0.15">
      <c r="B214" s="427" t="s">
        <v>670</v>
      </c>
      <c r="C214" s="74" t="e">
        <f>$C213*$C209</f>
        <v>#DIV/0!</v>
      </c>
      <c r="R214" s="180"/>
    </row>
    <row r="215" spans="2:18" x14ac:dyDescent="0.15">
      <c r="B215" s="427" t="s">
        <v>671</v>
      </c>
      <c r="C215" s="74" t="e">
        <f>$C214*$C208</f>
        <v>#DIV/0!</v>
      </c>
      <c r="R215" s="180"/>
    </row>
    <row r="216" spans="2:18" ht="14" thickBot="1" x14ac:dyDescent="0.2">
      <c r="B216" s="202"/>
      <c r="C216" s="8"/>
      <c r="G216" s="9"/>
      <c r="R216" s="180"/>
    </row>
    <row r="217" spans="2:18" ht="14" thickBot="1" x14ac:dyDescent="0.2">
      <c r="B217" s="436">
        <v>0.25</v>
      </c>
      <c r="R217" s="180"/>
    </row>
    <row r="218" spans="2:18" x14ac:dyDescent="0.15">
      <c r="B218" s="441" t="s">
        <v>270</v>
      </c>
      <c r="C218" s="26">
        <v>1</v>
      </c>
      <c r="D218" s="26">
        <v>2</v>
      </c>
      <c r="E218" s="26">
        <v>3</v>
      </c>
      <c r="F218" s="26">
        <v>4</v>
      </c>
      <c r="G218" s="26">
        <v>5</v>
      </c>
      <c r="H218" s="26">
        <v>6</v>
      </c>
      <c r="I218" s="26">
        <v>7</v>
      </c>
      <c r="J218" s="26">
        <v>8</v>
      </c>
      <c r="K218" s="26">
        <v>9</v>
      </c>
      <c r="L218" s="26">
        <v>10</v>
      </c>
      <c r="M218" s="26">
        <v>11</v>
      </c>
      <c r="N218" s="26">
        <v>12</v>
      </c>
      <c r="O218" s="26">
        <v>13</v>
      </c>
      <c r="P218" s="26">
        <v>14</v>
      </c>
      <c r="Q218" s="26">
        <v>15</v>
      </c>
      <c r="R218" s="428" t="s">
        <v>216</v>
      </c>
    </row>
    <row r="219" spans="2:18" x14ac:dyDescent="0.15">
      <c r="B219" s="427" t="s">
        <v>271</v>
      </c>
      <c r="C219" s="71">
        <f>$C206</f>
        <v>0</v>
      </c>
      <c r="D219" s="69" t="e">
        <f>C223</f>
        <v>#DIV/0!</v>
      </c>
      <c r="E219" s="69" t="e">
        <f>IF('Loan Amortization'!F$33=1,0,'Amort Sensitivity Wksht'!D223)</f>
        <v>#DIV/0!</v>
      </c>
      <c r="F219" s="69" t="e">
        <f>IF('Loan Amortization'!G$33=1,0,'Amort Sensitivity Wksht'!E223)</f>
        <v>#DIV/0!</v>
      </c>
      <c r="G219" s="69" t="e">
        <f>IF('Loan Amortization'!H$33=1,0,'Amort Sensitivity Wksht'!F223)</f>
        <v>#DIV/0!</v>
      </c>
      <c r="H219" s="69" t="e">
        <f>IF('Loan Amortization'!I$33=1,0,'Amort Sensitivity Wksht'!G223)</f>
        <v>#DIV/0!</v>
      </c>
      <c r="I219" s="69" t="e">
        <f>IF('Loan Amortization'!J$33=1,0,'Amort Sensitivity Wksht'!H223)</f>
        <v>#DIV/0!</v>
      </c>
      <c r="J219" s="69" t="e">
        <f>IF('Loan Amortization'!K$33=1,0,'Amort Sensitivity Wksht'!I223)</f>
        <v>#DIV/0!</v>
      </c>
      <c r="K219" s="69" t="e">
        <f>IF('Loan Amortization'!L$33=1,0,'Amort Sensitivity Wksht'!J223)</f>
        <v>#DIV/0!</v>
      </c>
      <c r="L219" s="69" t="e">
        <f>IF('Loan Amortization'!M$33=1,0,'Amort Sensitivity Wksht'!K223)</f>
        <v>#DIV/0!</v>
      </c>
      <c r="M219" s="69" t="e">
        <f>IF('Loan Amortization'!N$33=1,0,'Amort Sensitivity Wksht'!L223)</f>
        <v>#DIV/0!</v>
      </c>
      <c r="N219" s="69" t="e">
        <f>IF('Loan Amortization'!O$33=1,0,'Amort Sensitivity Wksht'!M223)</f>
        <v>#DIV/0!</v>
      </c>
      <c r="O219" s="69" t="e">
        <f>IF('Loan Amortization'!P$33=1,0,'Amort Sensitivity Wksht'!N223)</f>
        <v>#DIV/0!</v>
      </c>
      <c r="P219" s="69" t="e">
        <f>IF('Loan Amortization'!Q$33=1,0,'Amort Sensitivity Wksht'!O223)</f>
        <v>#DIV/0!</v>
      </c>
      <c r="Q219" s="69" t="e">
        <f>IF('Loan Amortization'!R$33=1,0,'Amort Sensitivity Wksht'!P223)</f>
        <v>#DIV/0!</v>
      </c>
      <c r="R219" s="429"/>
    </row>
    <row r="220" spans="2:18" x14ac:dyDescent="0.15">
      <c r="B220" s="430" t="s">
        <v>272</v>
      </c>
      <c r="C220" s="69" t="e">
        <f>$C214</f>
        <v>#DIV/0!</v>
      </c>
      <c r="D220" s="69" t="e">
        <f>IF(D219&gt;(-1*$C214),$C214,0)</f>
        <v>#DIV/0!</v>
      </c>
      <c r="E220" s="69" t="e">
        <f>IF(E219&gt;(-1*$C214),$C214,0)</f>
        <v>#DIV/0!</v>
      </c>
      <c r="F220" s="69" t="e">
        <f t="shared" ref="F220:Q220" si="39">IF(F219&gt;(-1*$C214),$C214,0)</f>
        <v>#DIV/0!</v>
      </c>
      <c r="G220" s="69" t="e">
        <f t="shared" si="39"/>
        <v>#DIV/0!</v>
      </c>
      <c r="H220" s="69" t="e">
        <f t="shared" si="39"/>
        <v>#DIV/0!</v>
      </c>
      <c r="I220" s="69" t="e">
        <f t="shared" si="39"/>
        <v>#DIV/0!</v>
      </c>
      <c r="J220" s="69" t="e">
        <f t="shared" si="39"/>
        <v>#DIV/0!</v>
      </c>
      <c r="K220" s="69" t="e">
        <f t="shared" si="39"/>
        <v>#DIV/0!</v>
      </c>
      <c r="L220" s="69" t="e">
        <f t="shared" si="39"/>
        <v>#DIV/0!</v>
      </c>
      <c r="M220" s="69" t="e">
        <f t="shared" si="39"/>
        <v>#DIV/0!</v>
      </c>
      <c r="N220" s="69" t="e">
        <f t="shared" si="39"/>
        <v>#DIV/0!</v>
      </c>
      <c r="O220" s="69" t="e">
        <f t="shared" si="39"/>
        <v>#DIV/0!</v>
      </c>
      <c r="P220" s="69" t="e">
        <f t="shared" si="39"/>
        <v>#DIV/0!</v>
      </c>
      <c r="Q220" s="69" t="e">
        <f t="shared" si="39"/>
        <v>#DIV/0!</v>
      </c>
      <c r="R220" s="326" t="e">
        <f>SUM(C220:Q220)</f>
        <v>#DIV/0!</v>
      </c>
    </row>
    <row r="221" spans="2:18" x14ac:dyDescent="0.15">
      <c r="B221" s="427" t="s">
        <v>273</v>
      </c>
      <c r="C221" s="69">
        <f>-C219*$C207</f>
        <v>0</v>
      </c>
      <c r="D221" s="69" t="e">
        <f>-D219*$C207</f>
        <v>#DIV/0!</v>
      </c>
      <c r="E221" s="69" t="e">
        <f>-E219*$C207</f>
        <v>#DIV/0!</v>
      </c>
      <c r="F221" s="69" t="e">
        <f t="shared" ref="F221:Q221" si="40">IF(F220=0,0,(-F219*$C207))</f>
        <v>#DIV/0!</v>
      </c>
      <c r="G221" s="69" t="e">
        <f t="shared" si="40"/>
        <v>#DIV/0!</v>
      </c>
      <c r="H221" s="69" t="e">
        <f t="shared" si="40"/>
        <v>#DIV/0!</v>
      </c>
      <c r="I221" s="69" t="e">
        <f t="shared" si="40"/>
        <v>#DIV/0!</v>
      </c>
      <c r="J221" s="69" t="e">
        <f t="shared" si="40"/>
        <v>#DIV/0!</v>
      </c>
      <c r="K221" s="69" t="e">
        <f t="shared" si="40"/>
        <v>#DIV/0!</v>
      </c>
      <c r="L221" s="69" t="e">
        <f t="shared" si="40"/>
        <v>#DIV/0!</v>
      </c>
      <c r="M221" s="69" t="e">
        <f t="shared" si="40"/>
        <v>#DIV/0!</v>
      </c>
      <c r="N221" s="69" t="e">
        <f t="shared" si="40"/>
        <v>#DIV/0!</v>
      </c>
      <c r="O221" s="69" t="e">
        <f t="shared" si="40"/>
        <v>#DIV/0!</v>
      </c>
      <c r="P221" s="69" t="e">
        <f t="shared" si="40"/>
        <v>#DIV/0!</v>
      </c>
      <c r="Q221" s="69" t="e">
        <f t="shared" si="40"/>
        <v>#DIV/0!</v>
      </c>
      <c r="R221" s="326" t="e">
        <f>SUM(C221:Q221)</f>
        <v>#DIV/0!</v>
      </c>
    </row>
    <row r="222" spans="2:18" x14ac:dyDescent="0.15">
      <c r="B222" s="427" t="s">
        <v>274</v>
      </c>
      <c r="C222" s="70" t="e">
        <f>C220-C221</f>
        <v>#DIV/0!</v>
      </c>
      <c r="D222" s="70" t="e">
        <f>D220-D221</f>
        <v>#DIV/0!</v>
      </c>
      <c r="E222" s="70" t="e">
        <f>IF(E219&lt;-$C214,-E219,(E220-E221))</f>
        <v>#DIV/0!</v>
      </c>
      <c r="F222" s="70" t="e">
        <f t="shared" ref="F222:Q222" si="41">IF(F219&lt;-$C214,-F219,(F220-F221))</f>
        <v>#DIV/0!</v>
      </c>
      <c r="G222" s="70" t="e">
        <f t="shared" si="41"/>
        <v>#DIV/0!</v>
      </c>
      <c r="H222" s="70" t="e">
        <f t="shared" si="41"/>
        <v>#DIV/0!</v>
      </c>
      <c r="I222" s="70" t="e">
        <f t="shared" si="41"/>
        <v>#DIV/0!</v>
      </c>
      <c r="J222" s="70" t="e">
        <f t="shared" si="41"/>
        <v>#DIV/0!</v>
      </c>
      <c r="K222" s="70" t="e">
        <f t="shared" si="41"/>
        <v>#DIV/0!</v>
      </c>
      <c r="L222" s="70" t="e">
        <f t="shared" si="41"/>
        <v>#DIV/0!</v>
      </c>
      <c r="M222" s="70" t="e">
        <f t="shared" si="41"/>
        <v>#DIV/0!</v>
      </c>
      <c r="N222" s="70" t="e">
        <f t="shared" si="41"/>
        <v>#DIV/0!</v>
      </c>
      <c r="O222" s="70" t="e">
        <f t="shared" si="41"/>
        <v>#DIV/0!</v>
      </c>
      <c r="P222" s="70" t="e">
        <f t="shared" si="41"/>
        <v>#DIV/0!</v>
      </c>
      <c r="Q222" s="70" t="e">
        <f t="shared" si="41"/>
        <v>#DIV/0!</v>
      </c>
      <c r="R222" s="431" t="e">
        <f>SUM(C222:Q222)</f>
        <v>#DIV/0!</v>
      </c>
    </row>
    <row r="223" spans="2:18" x14ac:dyDescent="0.15">
      <c r="B223" s="427" t="s">
        <v>275</v>
      </c>
      <c r="C223" s="71" t="e">
        <f>C219+C222</f>
        <v>#DIV/0!</v>
      </c>
      <c r="D223" s="71" t="e">
        <f>D219+D222</f>
        <v>#DIV/0!</v>
      </c>
      <c r="E223" s="71" t="e">
        <f>E219+E222</f>
        <v>#DIV/0!</v>
      </c>
      <c r="F223" s="71" t="e">
        <f t="shared" ref="F223:Q223" si="42">IF(F222=0,0,(F219+F222))</f>
        <v>#DIV/0!</v>
      </c>
      <c r="G223" s="71" t="e">
        <f t="shared" si="42"/>
        <v>#DIV/0!</v>
      </c>
      <c r="H223" s="71" t="e">
        <f t="shared" si="42"/>
        <v>#DIV/0!</v>
      </c>
      <c r="I223" s="71" t="e">
        <f t="shared" si="42"/>
        <v>#DIV/0!</v>
      </c>
      <c r="J223" s="71" t="e">
        <f t="shared" si="42"/>
        <v>#DIV/0!</v>
      </c>
      <c r="K223" s="71" t="e">
        <f t="shared" si="42"/>
        <v>#DIV/0!</v>
      </c>
      <c r="L223" s="71" t="e">
        <f t="shared" si="42"/>
        <v>#DIV/0!</v>
      </c>
      <c r="M223" s="71" t="e">
        <f t="shared" si="42"/>
        <v>#DIV/0!</v>
      </c>
      <c r="N223" s="71" t="e">
        <f t="shared" si="42"/>
        <v>#DIV/0!</v>
      </c>
      <c r="O223" s="71" t="e">
        <f t="shared" si="42"/>
        <v>#DIV/0!</v>
      </c>
      <c r="P223" s="71" t="e">
        <f t="shared" si="42"/>
        <v>#DIV/0!</v>
      </c>
      <c r="Q223" s="71" t="e">
        <f t="shared" si="42"/>
        <v>#DIV/0!</v>
      </c>
      <c r="R223" s="429"/>
    </row>
    <row r="224" spans="2:18" ht="14" thickBot="1" x14ac:dyDescent="0.2">
      <c r="B224" s="182"/>
      <c r="C224" s="174"/>
      <c r="D224" s="174"/>
      <c r="E224" s="174"/>
      <c r="F224" s="174"/>
      <c r="G224" s="174"/>
      <c r="H224" s="174"/>
      <c r="I224" s="174"/>
      <c r="J224" s="174"/>
      <c r="K224" s="174"/>
      <c r="L224" s="174"/>
      <c r="M224" s="174"/>
      <c r="N224" s="174"/>
      <c r="O224" s="174"/>
      <c r="P224" s="174"/>
      <c r="Q224" s="174"/>
      <c r="R224" s="273"/>
    </row>
  </sheetData>
  <sheetProtection password="AA36" sheet="1" objects="1" scenarios="1"/>
  <phoneticPr fontId="0" type="noConversion"/>
  <pageMargins left="0.75" right="0.75" top="1" bottom="1" header="0.5" footer="0.5"/>
  <pageSetup scale="29" fitToHeight="2" orientation="landscape"/>
  <headerFooter alignWithMargins="0">
    <oddHeader>&amp;LEngineering Economics Model for Senior Design&amp;R&amp;"Times New Roman,Bold"&amp;14Amortization Sensitivity Wksht</oddHeader>
    <oddFooter>&amp;LJ:/EM355/Spring01/Labs/EEworkingfolder/&amp;F&amp;CPage &amp;P of &amp;N&amp;R&amp;T&amp;D</oddFooter>
  </headerFooter>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246"/>
  <sheetViews>
    <sheetView workbookViewId="0"/>
  </sheetViews>
  <sheetFormatPr baseColWidth="10" defaultColWidth="8.83203125" defaultRowHeight="13" x14ac:dyDescent="0.15"/>
  <cols>
    <col min="2" max="2" width="21.5" customWidth="1"/>
    <col min="3" max="3" width="14.5" customWidth="1"/>
    <col min="4" max="15" width="13.6640625" customWidth="1"/>
    <col min="24" max="24" width="17.6640625" customWidth="1"/>
  </cols>
  <sheetData>
    <row r="1" spans="1:16" ht="16" x14ac:dyDescent="0.2">
      <c r="A1" s="48" t="s">
        <v>673</v>
      </c>
    </row>
    <row r="2" spans="1:16" ht="18" x14ac:dyDescent="0.2">
      <c r="A2" s="525"/>
      <c r="B2" s="39" t="s">
        <v>658</v>
      </c>
    </row>
    <row r="3" spans="1:16" ht="14" thickBot="1" x14ac:dyDescent="0.2"/>
    <row r="4" spans="1:16" x14ac:dyDescent="0.15">
      <c r="B4" s="417" t="str">
        <f>'Level Payment Fin Sens Wksht'!C4</f>
        <v>Base Case Loan Proceeds</v>
      </c>
      <c r="C4" s="475">
        <f>'Level Payment Fin Sens Wksht'!D4</f>
        <v>0</v>
      </c>
      <c r="D4" s="290" t="str">
        <f>'Level Payment Fin Sens Wksht'!E4</f>
        <v>Debt Ratio</v>
      </c>
      <c r="E4" s="508" t="s">
        <v>437</v>
      </c>
      <c r="H4" s="484" t="s">
        <v>119</v>
      </c>
      <c r="I4" s="550"/>
      <c r="J4" s="485"/>
      <c r="K4" s="553"/>
      <c r="L4" s="486">
        <f>'Initial Inputs'!C35</f>
        <v>0</v>
      </c>
      <c r="M4" s="181"/>
    </row>
    <row r="5" spans="1:16" x14ac:dyDescent="0.15">
      <c r="B5" s="476">
        <f>'Level Payment Fin Sens Wksht'!C5</f>
        <v>-0.25</v>
      </c>
      <c r="C5" s="62">
        <f>C4</f>
        <v>0</v>
      </c>
      <c r="D5" s="418">
        <f>'Level Payment Fin Sens Wksht'!E5</f>
        <v>0</v>
      </c>
      <c r="E5" s="509">
        <f>$L$6*(1-B5)</f>
        <v>0.1</v>
      </c>
      <c r="H5" s="487"/>
      <c r="I5" s="551"/>
      <c r="J5" s="12"/>
      <c r="K5" s="554"/>
      <c r="L5" s="488"/>
    </row>
    <row r="6" spans="1:16" x14ac:dyDescent="0.15">
      <c r="B6" s="476">
        <f>'Level Payment Fin Sens Wksht'!C6</f>
        <v>-0.2</v>
      </c>
      <c r="C6" s="62">
        <f t="shared" ref="C6:C15" si="0">C5</f>
        <v>0</v>
      </c>
      <c r="D6" s="418">
        <f>'Level Payment Fin Sens Wksht'!E6</f>
        <v>0</v>
      </c>
      <c r="E6" s="509">
        <f t="shared" ref="E6:E15" si="1">$L$6*(1-B6)</f>
        <v>9.6000000000000002E-2</v>
      </c>
      <c r="H6" s="487" t="s">
        <v>121</v>
      </c>
      <c r="I6" s="551"/>
      <c r="J6" s="12"/>
      <c r="K6" s="554"/>
      <c r="L6" s="489">
        <f>'Initial Inputs'!C37</f>
        <v>0.08</v>
      </c>
      <c r="M6" s="8"/>
    </row>
    <row r="7" spans="1:16" x14ac:dyDescent="0.15">
      <c r="B7" s="476">
        <f>'Level Payment Fin Sens Wksht'!C7</f>
        <v>-0.15</v>
      </c>
      <c r="C7" s="62">
        <f t="shared" si="0"/>
        <v>0</v>
      </c>
      <c r="D7" s="418">
        <f>'Level Payment Fin Sens Wksht'!E7</f>
        <v>0</v>
      </c>
      <c r="E7" s="509">
        <f t="shared" si="1"/>
        <v>9.1999999999999998E-2</v>
      </c>
      <c r="H7" s="487"/>
      <c r="I7" s="551"/>
      <c r="J7" s="12"/>
      <c r="K7" s="554"/>
      <c r="L7" s="488"/>
    </row>
    <row r="8" spans="1:16" x14ac:dyDescent="0.15">
      <c r="B8" s="476">
        <f>'Level Payment Fin Sens Wksht'!C8</f>
        <v>-0.1</v>
      </c>
      <c r="C8" s="62">
        <f t="shared" si="0"/>
        <v>0</v>
      </c>
      <c r="D8" s="418">
        <f>'Level Payment Fin Sens Wksht'!E8</f>
        <v>0</v>
      </c>
      <c r="E8" s="509">
        <f t="shared" si="1"/>
        <v>8.8000000000000009E-2</v>
      </c>
      <c r="H8" s="487" t="str">
        <f>'Initial Inputs'!B7</f>
        <v>Project Life in years (10 Max) =</v>
      </c>
      <c r="L8" s="487">
        <v>5</v>
      </c>
    </row>
    <row r="9" spans="1:16" x14ac:dyDescent="0.15">
      <c r="B9" s="476">
        <f>'Level Payment Fin Sens Wksht'!C9</f>
        <v>-0.05</v>
      </c>
      <c r="C9" s="62">
        <f t="shared" si="0"/>
        <v>0</v>
      </c>
      <c r="D9" s="418">
        <f>'Level Payment Fin Sens Wksht'!E9</f>
        <v>0</v>
      </c>
      <c r="E9" s="509">
        <f t="shared" si="1"/>
        <v>8.4000000000000005E-2</v>
      </c>
      <c r="H9" s="487"/>
      <c r="I9" s="551"/>
      <c r="J9" s="12"/>
      <c r="K9" s="554"/>
      <c r="L9" s="488"/>
    </row>
    <row r="10" spans="1:16" ht="14" thickBot="1" x14ac:dyDescent="0.2">
      <c r="B10">
        <v>0</v>
      </c>
      <c r="C10" s="62">
        <f t="shared" si="0"/>
        <v>0</v>
      </c>
      <c r="D10" s="418">
        <f>'Level Payment Fin Sens Wksht'!E10</f>
        <v>0</v>
      </c>
      <c r="E10" s="509">
        <f t="shared" si="1"/>
        <v>0.08</v>
      </c>
      <c r="H10" s="490" t="s">
        <v>659</v>
      </c>
      <c r="I10" s="552"/>
      <c r="J10" s="201"/>
      <c r="K10" s="523"/>
      <c r="L10" s="491">
        <f>IF(N12=1,MIN(L8,L14),L14)</f>
        <v>5</v>
      </c>
    </row>
    <row r="11" spans="1:16" ht="14" thickBot="1" x14ac:dyDescent="0.2">
      <c r="B11" s="476">
        <f>'Level Payment Fin Sens Wksht'!C11</f>
        <v>0.05</v>
      </c>
      <c r="C11" s="62">
        <f t="shared" si="0"/>
        <v>0</v>
      </c>
      <c r="D11" s="418">
        <f>'Level Payment Fin Sens Wksht'!E11</f>
        <v>0</v>
      </c>
      <c r="E11" s="509">
        <f t="shared" si="1"/>
        <v>7.5999999999999998E-2</v>
      </c>
    </row>
    <row r="12" spans="1:16" ht="14" thickBot="1" x14ac:dyDescent="0.2">
      <c r="B12" s="476">
        <f>'Level Payment Fin Sens Wksht'!C12</f>
        <v>0.1</v>
      </c>
      <c r="C12" s="62">
        <f t="shared" si="0"/>
        <v>0</v>
      </c>
      <c r="D12" s="418">
        <f>'Level Payment Fin Sens Wksht'!E12</f>
        <v>0</v>
      </c>
      <c r="E12" s="509">
        <f t="shared" si="1"/>
        <v>7.2000000000000008E-2</v>
      </c>
      <c r="H12" s="492" t="str">
        <f>'Initial Inputs'!E37</f>
        <v>Liquidate Loan Balance at end of Project Life?</v>
      </c>
      <c r="I12" s="493"/>
      <c r="J12" s="493"/>
      <c r="K12" s="493"/>
      <c r="L12" s="494"/>
      <c r="M12" s="494"/>
      <c r="N12" s="334">
        <v>0</v>
      </c>
      <c r="P12" t="str">
        <f>'Initial Inputs'!E38</f>
        <v>(Enter "1" for YES, or "0" for NO)</v>
      </c>
    </row>
    <row r="13" spans="1:16" ht="14" thickBot="1" x14ac:dyDescent="0.2">
      <c r="B13" s="476">
        <f>'Level Payment Fin Sens Wksht'!C13</f>
        <v>0.15</v>
      </c>
      <c r="C13" s="62">
        <f t="shared" si="0"/>
        <v>0</v>
      </c>
      <c r="D13" s="418">
        <f>'Level Payment Fin Sens Wksht'!E13</f>
        <v>0</v>
      </c>
      <c r="E13" s="509">
        <f t="shared" si="1"/>
        <v>6.8000000000000005E-2</v>
      </c>
    </row>
    <row r="14" spans="1:16" ht="14" thickBot="1" x14ac:dyDescent="0.2">
      <c r="B14" s="476">
        <f>'Level Payment Fin Sens Wksht'!C14</f>
        <v>0.2</v>
      </c>
      <c r="C14" s="62">
        <f t="shared" si="0"/>
        <v>0</v>
      </c>
      <c r="D14" s="418">
        <f>'Level Payment Fin Sens Wksht'!E14</f>
        <v>0</v>
      </c>
      <c r="E14" s="509">
        <f t="shared" si="1"/>
        <v>6.4000000000000001E-2</v>
      </c>
      <c r="H14" s="492" t="str">
        <f>'Initial Inputs'!B39</f>
        <v>Loan Length (Yrs)</v>
      </c>
      <c r="I14" s="493"/>
      <c r="J14" s="494"/>
      <c r="K14" s="494"/>
      <c r="L14" s="334">
        <v>5</v>
      </c>
    </row>
    <row r="15" spans="1:16" ht="14" thickBot="1" x14ac:dyDescent="0.2">
      <c r="B15" s="477">
        <f>'Level Payment Fin Sens Wksht'!C15</f>
        <v>0.25</v>
      </c>
      <c r="C15" s="62">
        <f t="shared" si="0"/>
        <v>0</v>
      </c>
      <c r="D15" s="419">
        <f>'Level Payment Fin Sens Wksht'!E15</f>
        <v>0</v>
      </c>
      <c r="E15" s="509">
        <f t="shared" si="1"/>
        <v>0.06</v>
      </c>
    </row>
    <row r="16" spans="1:16" x14ac:dyDescent="0.15">
      <c r="C16" s="250"/>
    </row>
    <row r="17" spans="2:26" ht="14" thickBot="1" x14ac:dyDescent="0.2"/>
    <row r="18" spans="2:26" ht="14" thickBot="1" x14ac:dyDescent="0.2">
      <c r="B18" s="481" t="s">
        <v>412</v>
      </c>
      <c r="C18" s="496"/>
      <c r="D18" s="545" t="s">
        <v>133</v>
      </c>
      <c r="E18" s="555"/>
      <c r="F18" s="545" t="s">
        <v>133</v>
      </c>
      <c r="G18" s="555"/>
      <c r="H18" s="545" t="s">
        <v>133</v>
      </c>
      <c r="I18" s="555"/>
      <c r="J18" s="545" t="s">
        <v>133</v>
      </c>
      <c r="K18" s="555"/>
      <c r="L18" s="545" t="s">
        <v>133</v>
      </c>
      <c r="M18" s="555"/>
      <c r="N18" s="545" t="s">
        <v>133</v>
      </c>
      <c r="O18" s="555"/>
      <c r="P18" s="545" t="s">
        <v>133</v>
      </c>
      <c r="Q18" s="555"/>
      <c r="R18" s="545" t="s">
        <v>133</v>
      </c>
      <c r="S18" s="555"/>
      <c r="T18" s="545" t="s">
        <v>133</v>
      </c>
      <c r="U18" s="555"/>
      <c r="V18" s="545" t="s">
        <v>133</v>
      </c>
      <c r="W18" s="555"/>
      <c r="X18" s="479"/>
      <c r="Y18" s="272"/>
      <c r="Z18" s="498" t="str">
        <f>B18</f>
        <v>-25%</v>
      </c>
    </row>
    <row r="19" spans="2:26" ht="14" thickBot="1" x14ac:dyDescent="0.2">
      <c r="B19" s="426"/>
      <c r="C19" s="426" t="s">
        <v>660</v>
      </c>
      <c r="D19" s="520">
        <v>1</v>
      </c>
      <c r="E19" s="556"/>
      <c r="F19" s="520">
        <f>D19+1</f>
        <v>2</v>
      </c>
      <c r="G19" s="556"/>
      <c r="H19" s="520">
        <f>F19+1</f>
        <v>3</v>
      </c>
      <c r="I19" s="556"/>
      <c r="J19" s="520">
        <f>H19+1</f>
        <v>4</v>
      </c>
      <c r="K19" s="556"/>
      <c r="L19" s="520">
        <f>J19+1</f>
        <v>5</v>
      </c>
      <c r="M19" s="556"/>
      <c r="N19" s="520">
        <f>L19+1</f>
        <v>6</v>
      </c>
      <c r="O19" s="556"/>
      <c r="P19" s="520">
        <f>N19+1</f>
        <v>7</v>
      </c>
      <c r="Q19" s="556"/>
      <c r="R19" s="520">
        <f>P19+1</f>
        <v>8</v>
      </c>
      <c r="S19" s="556"/>
      <c r="T19" s="520">
        <f>R19+1</f>
        <v>9</v>
      </c>
      <c r="U19" s="556"/>
      <c r="V19" s="520">
        <f>T19+1</f>
        <v>10</v>
      </c>
      <c r="W19" s="556"/>
      <c r="X19" s="557" t="s">
        <v>285</v>
      </c>
      <c r="Y19" s="556"/>
      <c r="Z19" s="180"/>
    </row>
    <row r="20" spans="2:26" x14ac:dyDescent="0.15">
      <c r="B20" s="202" t="s">
        <v>661</v>
      </c>
      <c r="C20" s="426">
        <v>1</v>
      </c>
      <c r="D20" s="2">
        <f>IF(D$19&lt;($L$10+1),$B$24-((((D$19-1)*12)+$C20)*$B$25),0)</f>
        <v>0</v>
      </c>
      <c r="E20" s="2">
        <f>IF(D20&gt;0,-(D20+$B$25)*($E$5/'Loan Amortization'!$D$8),0)</f>
        <v>0</v>
      </c>
      <c r="F20" s="2">
        <f>IF(F$19&lt;($L$10+1),$B$24-((((F$19-1)*12)+$C20)*$B$25),0)</f>
        <v>0</v>
      </c>
      <c r="G20" s="2">
        <f>IF(F20&gt;0,-(F20+$B$25)*($E$5/'Loan Amortization'!$D$8),0)</f>
        <v>0</v>
      </c>
      <c r="H20" s="2">
        <f>IF(H$19&lt;($L$10+1),$B$24-((((H$19-1)*12)+$C20)*$B$25),0)</f>
        <v>0</v>
      </c>
      <c r="I20" s="2">
        <f>IF(H20&gt;0,-(H20+$B$25)*($E$5/'Loan Amortization'!$D$8),0)</f>
        <v>0</v>
      </c>
      <c r="J20" s="2">
        <f>IF(J$19&lt;($L$10+1),$B$24-((((J$19-1)*12)+$C20)*$B$25),0)</f>
        <v>0</v>
      </c>
      <c r="K20" s="2">
        <f>IF(J20&gt;0,-(J20+$B$25)*($E$5/'Loan Amortization'!$D$8),0)</f>
        <v>0</v>
      </c>
      <c r="L20" s="2">
        <f>IF(L$19&lt;($L$10+1),$B$24-((((L$19-1)*12)+$C20)*$B$25),0)</f>
        <v>0</v>
      </c>
      <c r="M20" s="2">
        <f>IF(L20&gt;0,-(L20+$B$25)*($E$5/'Loan Amortization'!$D$8),0)</f>
        <v>0</v>
      </c>
      <c r="N20" s="2">
        <f>IF(N$19&lt;($L$10+1),$B$24-((((N$19-1)*12)+$C20)*$B$25),0)</f>
        <v>0</v>
      </c>
      <c r="O20" s="2">
        <f>IF(N20&gt;0,-(N20+$B$25)*($E$5/'Loan Amortization'!$D$8),0)</f>
        <v>0</v>
      </c>
      <c r="P20" s="2">
        <f>IF(P$19&lt;($L$10+1),$B$24-((((P$19-1)*12)+$C20)*$B$25),0)</f>
        <v>0</v>
      </c>
      <c r="Q20" s="2">
        <f>IF(P20&gt;0,-(P20+$B$25)*($E$5/'Loan Amortization'!$D$8),0)</f>
        <v>0</v>
      </c>
      <c r="R20" s="2">
        <f>IF(R$19&lt;($L$10+1),$B$24-((((R$19-1)*12)+$C20)*$B$25),0)</f>
        <v>0</v>
      </c>
      <c r="S20" s="2">
        <f>IF(R20&gt;0,-(R20+$B$25)*($E$5/'Loan Amortization'!$D$8),0)</f>
        <v>0</v>
      </c>
      <c r="T20" s="2">
        <f>IF(T$19&lt;($L$10+1),$B$24-((((T$19-1)*12)+$C20)*$B$25),0)</f>
        <v>0</v>
      </c>
      <c r="U20" s="2">
        <f>IF(T20&gt;0,-(T20+$B$25)*($E$5/'Loan Amortization'!$D$8),0)</f>
        <v>0</v>
      </c>
      <c r="V20" s="2">
        <f>IF(V$19&lt;($L$10+1),$B$24-((((V$19-1)*12)+$C20)*$B$25),0)</f>
        <v>0</v>
      </c>
      <c r="W20" s="2">
        <f>IF(V20&gt;0,-(V20+$B$25)*($E$5/'Loan Amortization'!$D$8),0)</f>
        <v>0</v>
      </c>
      <c r="X20" s="501">
        <f>SUM(C20:V20)</f>
        <v>1</v>
      </c>
      <c r="Y20" s="501"/>
      <c r="Z20" s="180"/>
    </row>
    <row r="21" spans="2:26" x14ac:dyDescent="0.15">
      <c r="B21" s="511">
        <f>-PMT($L$6/12,$L$10*12,C5)</f>
        <v>0</v>
      </c>
      <c r="C21" s="426">
        <v>2</v>
      </c>
      <c r="D21" s="2">
        <f t="shared" ref="D21:V31" si="2">IF(D$19&lt;($L$10+1),$B$24-((((D$19-1)*12)+$C21)*$B$25),0)</f>
        <v>0</v>
      </c>
      <c r="E21" s="2">
        <f>IF(D21&gt;0,-(D21+$B$25)*($E$5/'Loan Amortization'!$D$8),0)</f>
        <v>0</v>
      </c>
      <c r="F21" s="2">
        <f t="shared" si="2"/>
        <v>0</v>
      </c>
      <c r="G21" s="2">
        <f>IF(F21&gt;0,-(F21+$B$25)*($E$5/'Loan Amortization'!$D$8),0)</f>
        <v>0</v>
      </c>
      <c r="H21" s="2">
        <f t="shared" si="2"/>
        <v>0</v>
      </c>
      <c r="I21" s="2">
        <f>IF(H21&gt;0,-(H21+$B$25)*($E$5/'Loan Amortization'!$D$8),0)</f>
        <v>0</v>
      </c>
      <c r="J21" s="2">
        <f t="shared" si="2"/>
        <v>0</v>
      </c>
      <c r="K21" s="2">
        <f>IF(J21&gt;0,-(J21+$B$25)*($E$5/'Loan Amortization'!$D$8),0)</f>
        <v>0</v>
      </c>
      <c r="L21" s="2">
        <f t="shared" si="2"/>
        <v>0</v>
      </c>
      <c r="M21" s="2">
        <f>IF(L21&gt;0,-(L21+$B$25)*($E$5/'Loan Amortization'!$D$8),0)</f>
        <v>0</v>
      </c>
      <c r="N21" s="2">
        <f t="shared" si="2"/>
        <v>0</v>
      </c>
      <c r="O21" s="2">
        <f>IF(N21&gt;0,-(N21+$B$25)*($E$5/'Loan Amortization'!$D$8),0)</f>
        <v>0</v>
      </c>
      <c r="P21" s="2">
        <f t="shared" si="2"/>
        <v>0</v>
      </c>
      <c r="Q21" s="2">
        <f>IF(P21&gt;0,-(P21+$B$25)*($E$5/'Loan Amortization'!$D$8),0)</f>
        <v>0</v>
      </c>
      <c r="R21" s="2">
        <f t="shared" si="2"/>
        <v>0</v>
      </c>
      <c r="S21" s="2">
        <f>IF(R21&gt;0,-(R21+$B$25)*($E$5/'Loan Amortization'!$D$8),0)</f>
        <v>0</v>
      </c>
      <c r="T21" s="2">
        <f t="shared" si="2"/>
        <v>0</v>
      </c>
      <c r="U21" s="2">
        <f>IF(T21&gt;0,-(T21+$B$25)*($E$5/'Loan Amortization'!$D$8),0)</f>
        <v>0</v>
      </c>
      <c r="V21" s="2">
        <f t="shared" si="2"/>
        <v>0</v>
      </c>
      <c r="W21" s="2">
        <f>IF(V21&gt;0,-(V21+$B$25)*($E$5/'Loan Amortization'!$D$8),0)</f>
        <v>0</v>
      </c>
      <c r="X21" s="501">
        <f t="shared" ref="X21:X33" si="3">SUM(C21:V21)</f>
        <v>2</v>
      </c>
      <c r="Y21" s="501"/>
      <c r="Z21" s="180"/>
    </row>
    <row r="22" spans="2:26" x14ac:dyDescent="0.15">
      <c r="B22" s="540">
        <f>B21*12</f>
        <v>0</v>
      </c>
      <c r="C22" s="426">
        <v>3</v>
      </c>
      <c r="D22" s="2">
        <f t="shared" si="2"/>
        <v>0</v>
      </c>
      <c r="E22" s="2">
        <f>IF(D22&gt;0,-(D22+$B$25)*($E$5/'Loan Amortization'!$D$8),0)</f>
        <v>0</v>
      </c>
      <c r="F22" s="2">
        <f t="shared" si="2"/>
        <v>0</v>
      </c>
      <c r="G22" s="2">
        <f>IF(F22&gt;0,-(F22+$B$25)*($E$5/'Loan Amortization'!$D$8),0)</f>
        <v>0</v>
      </c>
      <c r="H22" s="2">
        <f t="shared" si="2"/>
        <v>0</v>
      </c>
      <c r="I22" s="2">
        <f>IF(H22&gt;0,-(H22+$B$25)*($E$5/'Loan Amortization'!$D$8),0)</f>
        <v>0</v>
      </c>
      <c r="J22" s="2">
        <f t="shared" si="2"/>
        <v>0</v>
      </c>
      <c r="K22" s="2">
        <f>IF(J22&gt;0,-(J22+$B$25)*($E$5/'Loan Amortization'!$D$8),0)</f>
        <v>0</v>
      </c>
      <c r="L22" s="2">
        <f t="shared" si="2"/>
        <v>0</v>
      </c>
      <c r="M22" s="2">
        <f>IF(L22&gt;0,-(L22+$B$25)*($E$5/'Loan Amortization'!$D$8),0)</f>
        <v>0</v>
      </c>
      <c r="N22" s="2">
        <f t="shared" si="2"/>
        <v>0</v>
      </c>
      <c r="O22" s="2">
        <f>IF(N22&gt;0,-(N22+$B$25)*($E$5/'Loan Amortization'!$D$8),0)</f>
        <v>0</v>
      </c>
      <c r="P22" s="2">
        <f t="shared" si="2"/>
        <v>0</v>
      </c>
      <c r="Q22" s="2">
        <f>IF(P22&gt;0,-(P22+$B$25)*($E$5/'Loan Amortization'!$D$8),0)</f>
        <v>0</v>
      </c>
      <c r="R22" s="2">
        <f t="shared" si="2"/>
        <v>0</v>
      </c>
      <c r="S22" s="2">
        <f>IF(R22&gt;0,-(R22+$B$25)*($E$5/'Loan Amortization'!$D$8),0)</f>
        <v>0</v>
      </c>
      <c r="T22" s="2">
        <f t="shared" si="2"/>
        <v>0</v>
      </c>
      <c r="U22" s="2">
        <f>IF(T22&gt;0,-(T22+$B$25)*($E$5/'Loan Amortization'!$D$8),0)</f>
        <v>0</v>
      </c>
      <c r="V22" s="2">
        <f t="shared" si="2"/>
        <v>0</v>
      </c>
      <c r="W22" s="2">
        <f>IF(V22&gt;0,-(V22+$B$25)*($E$5/'Loan Amortization'!$D$8),0)</f>
        <v>0</v>
      </c>
      <c r="X22" s="501">
        <f t="shared" si="3"/>
        <v>3</v>
      </c>
      <c r="Y22" s="501"/>
      <c r="Z22" s="180"/>
    </row>
    <row r="23" spans="2:26" x14ac:dyDescent="0.15">
      <c r="B23" s="202" t="s">
        <v>662</v>
      </c>
      <c r="C23" s="426">
        <v>4</v>
      </c>
      <c r="D23" s="2">
        <f t="shared" si="2"/>
        <v>0</v>
      </c>
      <c r="E23" s="2">
        <f>IF(D23&gt;0,-(D23+$B$25)*($E$5/'Loan Amortization'!$D$8),0)</f>
        <v>0</v>
      </c>
      <c r="F23" s="2">
        <f t="shared" si="2"/>
        <v>0</v>
      </c>
      <c r="G23" s="2">
        <f>IF(F23&gt;0,-(F23+$B$25)*($E$5/'Loan Amortization'!$D$8),0)</f>
        <v>0</v>
      </c>
      <c r="H23" s="2">
        <f t="shared" si="2"/>
        <v>0</v>
      </c>
      <c r="I23" s="2">
        <f>IF(H23&gt;0,-(H23+$B$25)*($E$5/'Loan Amortization'!$D$8),0)</f>
        <v>0</v>
      </c>
      <c r="J23" s="2">
        <f t="shared" si="2"/>
        <v>0</v>
      </c>
      <c r="K23" s="2">
        <f>IF(J23&gt;0,-(J23+$B$25)*($E$5/'Loan Amortization'!$D$8),0)</f>
        <v>0</v>
      </c>
      <c r="L23" s="2">
        <f t="shared" si="2"/>
        <v>0</v>
      </c>
      <c r="M23" s="2">
        <f>IF(L23&gt;0,-(L23+$B$25)*($E$5/'Loan Amortization'!$D$8),0)</f>
        <v>0</v>
      </c>
      <c r="N23" s="2">
        <f t="shared" si="2"/>
        <v>0</v>
      </c>
      <c r="O23" s="2">
        <f>IF(N23&gt;0,-(N23+$B$25)*($E$5/'Loan Amortization'!$D$8),0)</f>
        <v>0</v>
      </c>
      <c r="P23" s="2">
        <f t="shared" si="2"/>
        <v>0</v>
      </c>
      <c r="Q23" s="2">
        <f>IF(P23&gt;0,-(P23+$B$25)*($E$5/'Loan Amortization'!$D$8),0)</f>
        <v>0</v>
      </c>
      <c r="R23" s="2">
        <f t="shared" si="2"/>
        <v>0</v>
      </c>
      <c r="S23" s="2">
        <f>IF(R23&gt;0,-(R23+$B$25)*($E$5/'Loan Amortization'!$D$8),0)</f>
        <v>0</v>
      </c>
      <c r="T23" s="2">
        <f t="shared" si="2"/>
        <v>0</v>
      </c>
      <c r="U23" s="2">
        <f>IF(T23&gt;0,-(T23+$B$25)*($E$5/'Loan Amortization'!$D$8),0)</f>
        <v>0</v>
      </c>
      <c r="V23" s="2">
        <f t="shared" si="2"/>
        <v>0</v>
      </c>
      <c r="W23" s="2">
        <f>IF(V23&gt;0,-(V23+$B$25)*($E$5/'Loan Amortization'!$D$8),0)</f>
        <v>0</v>
      </c>
      <c r="X23" s="501">
        <f t="shared" si="3"/>
        <v>4</v>
      </c>
      <c r="Y23" s="501"/>
      <c r="Z23" s="180"/>
    </row>
    <row r="24" spans="2:26" x14ac:dyDescent="0.15">
      <c r="B24" s="521">
        <f>C5</f>
        <v>0</v>
      </c>
      <c r="C24" s="426">
        <v>5</v>
      </c>
      <c r="D24" s="2">
        <f t="shared" si="2"/>
        <v>0</v>
      </c>
      <c r="E24" s="2">
        <f>IF(D24&gt;0,-(D24+$B$25)*($E$5/'Loan Amortization'!$D$8),0)</f>
        <v>0</v>
      </c>
      <c r="F24" s="2">
        <f t="shared" si="2"/>
        <v>0</v>
      </c>
      <c r="G24" s="2">
        <f>IF(F24&gt;0,-(F24+$B$25)*($E$5/'Loan Amortization'!$D$8),0)</f>
        <v>0</v>
      </c>
      <c r="H24" s="2">
        <f t="shared" si="2"/>
        <v>0</v>
      </c>
      <c r="I24" s="2">
        <f>IF(H24&gt;0,-(H24+$B$25)*($E$5/'Loan Amortization'!$D$8),0)</f>
        <v>0</v>
      </c>
      <c r="J24" s="2">
        <f t="shared" si="2"/>
        <v>0</v>
      </c>
      <c r="K24" s="2">
        <f>IF(J24&gt;0,-(J24+$B$25)*($E$5/'Loan Amortization'!$D$8),0)</f>
        <v>0</v>
      </c>
      <c r="L24" s="2">
        <f t="shared" si="2"/>
        <v>0</v>
      </c>
      <c r="M24" s="2">
        <f>IF(L24&gt;0,-(L24+$B$25)*($E$5/'Loan Amortization'!$D$8),0)</f>
        <v>0</v>
      </c>
      <c r="N24" s="2">
        <f t="shared" si="2"/>
        <v>0</v>
      </c>
      <c r="O24" s="2">
        <f>IF(N24&gt;0,-(N24+$B$25)*($E$5/'Loan Amortization'!$D$8),0)</f>
        <v>0</v>
      </c>
      <c r="P24" s="2">
        <f t="shared" si="2"/>
        <v>0</v>
      </c>
      <c r="Q24" s="2">
        <f>IF(P24&gt;0,-(P24+$B$25)*($E$5/'Loan Amortization'!$D$8),0)</f>
        <v>0</v>
      </c>
      <c r="R24" s="2">
        <f t="shared" si="2"/>
        <v>0</v>
      </c>
      <c r="S24" s="2">
        <f>IF(R24&gt;0,-(R24+$B$25)*($E$5/'Loan Amortization'!$D$8),0)</f>
        <v>0</v>
      </c>
      <c r="T24" s="2">
        <f t="shared" si="2"/>
        <v>0</v>
      </c>
      <c r="U24" s="2">
        <f>IF(T24&gt;0,-(T24+$B$25)*($E$5/'Loan Amortization'!$D$8),0)</f>
        <v>0</v>
      </c>
      <c r="V24" s="2">
        <f t="shared" si="2"/>
        <v>0</v>
      </c>
      <c r="W24" s="2">
        <f>IF(V24&gt;0,-(V24+$B$25)*($E$5/'Loan Amortization'!$D$8),0)</f>
        <v>0</v>
      </c>
      <c r="X24" s="501">
        <f t="shared" si="3"/>
        <v>5</v>
      </c>
      <c r="Y24" s="501"/>
      <c r="Z24" s="180"/>
    </row>
    <row r="25" spans="2:26" x14ac:dyDescent="0.15">
      <c r="B25" s="521">
        <f>B24/($L$10*12)</f>
        <v>0</v>
      </c>
      <c r="C25" s="426">
        <v>6</v>
      </c>
      <c r="D25" s="2">
        <f t="shared" si="2"/>
        <v>0</v>
      </c>
      <c r="E25" s="2">
        <f>IF(D25&gt;0,-(D25+$B$25)*($E$5/'Loan Amortization'!$D$8),0)</f>
        <v>0</v>
      </c>
      <c r="F25" s="2">
        <f t="shared" si="2"/>
        <v>0</v>
      </c>
      <c r="G25" s="2">
        <f>IF(F25&gt;0,-(F25+$B$25)*($E$5/'Loan Amortization'!$D$8),0)</f>
        <v>0</v>
      </c>
      <c r="H25" s="2">
        <f t="shared" si="2"/>
        <v>0</v>
      </c>
      <c r="I25" s="2">
        <f>IF(H25&gt;0,-(H25+$B$25)*($E$5/'Loan Amortization'!$D$8),0)</f>
        <v>0</v>
      </c>
      <c r="J25" s="2">
        <f t="shared" si="2"/>
        <v>0</v>
      </c>
      <c r="K25" s="2">
        <f>IF(J25&gt;0,-(J25+$B$25)*($E$5/'Loan Amortization'!$D$8),0)</f>
        <v>0</v>
      </c>
      <c r="L25" s="2">
        <f t="shared" si="2"/>
        <v>0</v>
      </c>
      <c r="M25" s="2">
        <f>IF(L25&gt;0,-(L25+$B$25)*($E$5/'Loan Amortization'!$D$8),0)</f>
        <v>0</v>
      </c>
      <c r="N25" s="2">
        <f t="shared" si="2"/>
        <v>0</v>
      </c>
      <c r="O25" s="2">
        <f>IF(N25&gt;0,-(N25+$B$25)*($E$5/'Loan Amortization'!$D$8),0)</f>
        <v>0</v>
      </c>
      <c r="P25" s="2">
        <f t="shared" si="2"/>
        <v>0</v>
      </c>
      <c r="Q25" s="2">
        <f>IF(P25&gt;0,-(P25+$B$25)*($E$5/'Loan Amortization'!$D$8),0)</f>
        <v>0</v>
      </c>
      <c r="R25" s="2">
        <f t="shared" si="2"/>
        <v>0</v>
      </c>
      <c r="S25" s="2">
        <f>IF(R25&gt;0,-(R25+$B$25)*($E$5/'Loan Amortization'!$D$8),0)</f>
        <v>0</v>
      </c>
      <c r="T25" s="2">
        <f t="shared" si="2"/>
        <v>0</v>
      </c>
      <c r="U25" s="2">
        <f>IF(T25&gt;0,-(T25+$B$25)*($E$5/'Loan Amortization'!$D$8),0)</f>
        <v>0</v>
      </c>
      <c r="V25" s="2">
        <f t="shared" si="2"/>
        <v>0</v>
      </c>
      <c r="W25" s="2">
        <f>IF(V25&gt;0,-(V25+$B$25)*($E$5/'Loan Amortization'!$D$8),0)</f>
        <v>0</v>
      </c>
      <c r="X25" s="501">
        <f t="shared" si="3"/>
        <v>6</v>
      </c>
      <c r="Y25" s="501"/>
      <c r="Z25" s="180"/>
    </row>
    <row r="26" spans="2:26" x14ac:dyDescent="0.15">
      <c r="B26" s="202"/>
      <c r="C26" s="426">
        <v>7</v>
      </c>
      <c r="D26" s="2">
        <f t="shared" si="2"/>
        <v>0</v>
      </c>
      <c r="E26" s="2">
        <f>IF(D26&gt;0,-(D26+$B$25)*($E$5/'Loan Amortization'!$D$8),0)</f>
        <v>0</v>
      </c>
      <c r="F26" s="2">
        <f t="shared" si="2"/>
        <v>0</v>
      </c>
      <c r="G26" s="2">
        <f>IF(F26&gt;0,-(F26+$B$25)*($E$5/'Loan Amortization'!$D$8),0)</f>
        <v>0</v>
      </c>
      <c r="H26" s="2">
        <f t="shared" si="2"/>
        <v>0</v>
      </c>
      <c r="I26" s="2">
        <f>IF(H26&gt;0,-(H26+$B$25)*($E$5/'Loan Amortization'!$D$8),0)</f>
        <v>0</v>
      </c>
      <c r="J26" s="2">
        <f t="shared" si="2"/>
        <v>0</v>
      </c>
      <c r="K26" s="2">
        <f>IF(J26&gt;0,-(J26+$B$25)*($E$5/'Loan Amortization'!$D$8),0)</f>
        <v>0</v>
      </c>
      <c r="L26" s="2">
        <f t="shared" si="2"/>
        <v>0</v>
      </c>
      <c r="M26" s="2">
        <f>IF(L26&gt;0,-(L26+$B$25)*($E$5/'Loan Amortization'!$D$8),0)</f>
        <v>0</v>
      </c>
      <c r="N26" s="2">
        <f t="shared" si="2"/>
        <v>0</v>
      </c>
      <c r="O26" s="2">
        <f>IF(N26&gt;0,-(N26+$B$25)*($E$5/'Loan Amortization'!$D$8),0)</f>
        <v>0</v>
      </c>
      <c r="P26" s="2">
        <f t="shared" si="2"/>
        <v>0</v>
      </c>
      <c r="Q26" s="2">
        <f>IF(P26&gt;0,-(P26+$B$25)*($E$5/'Loan Amortization'!$D$8),0)</f>
        <v>0</v>
      </c>
      <c r="R26" s="2">
        <f t="shared" si="2"/>
        <v>0</v>
      </c>
      <c r="S26" s="2">
        <f>IF(R26&gt;0,-(R26+$B$25)*($E$5/'Loan Amortization'!$D$8),0)</f>
        <v>0</v>
      </c>
      <c r="T26" s="2">
        <f t="shared" si="2"/>
        <v>0</v>
      </c>
      <c r="U26" s="2">
        <f>IF(T26&gt;0,-(T26+$B$25)*($E$5/'Loan Amortization'!$D$8),0)</f>
        <v>0</v>
      </c>
      <c r="V26" s="2">
        <f t="shared" si="2"/>
        <v>0</v>
      </c>
      <c r="W26" s="2">
        <f>IF(V26&gt;0,-(V26+$B$25)*($E$5/'Loan Amortization'!$D$8),0)</f>
        <v>0</v>
      </c>
      <c r="X26" s="501">
        <f t="shared" si="3"/>
        <v>7</v>
      </c>
      <c r="Y26" s="501"/>
      <c r="Z26" s="180"/>
    </row>
    <row r="27" spans="2:26" x14ac:dyDescent="0.15">
      <c r="B27" s="202"/>
      <c r="C27" s="426">
        <v>8</v>
      </c>
      <c r="D27" s="2">
        <f t="shared" si="2"/>
        <v>0</v>
      </c>
      <c r="E27" s="2">
        <f>IF(D27&gt;0,-(D27+$B$25)*($E$5/'Loan Amortization'!$D$8),0)</f>
        <v>0</v>
      </c>
      <c r="F27" s="2">
        <f t="shared" si="2"/>
        <v>0</v>
      </c>
      <c r="G27" s="2">
        <f>IF(F27&gt;0,-(F27+$B$25)*($E$5/'Loan Amortization'!$D$8),0)</f>
        <v>0</v>
      </c>
      <c r="H27" s="2">
        <f t="shared" si="2"/>
        <v>0</v>
      </c>
      <c r="I27" s="2">
        <f>IF(H27&gt;0,-(H27+$B$25)*($E$5/'Loan Amortization'!$D$8),0)</f>
        <v>0</v>
      </c>
      <c r="J27" s="2">
        <f t="shared" si="2"/>
        <v>0</v>
      </c>
      <c r="K27" s="2">
        <f>IF(J27&gt;0,-(J27+$B$25)*($E$5/'Loan Amortization'!$D$8),0)</f>
        <v>0</v>
      </c>
      <c r="L27" s="2">
        <f t="shared" si="2"/>
        <v>0</v>
      </c>
      <c r="M27" s="2">
        <f>IF(L27&gt;0,-(L27+$B$25)*($E$5/'Loan Amortization'!$D$8),0)</f>
        <v>0</v>
      </c>
      <c r="N27" s="2">
        <f t="shared" si="2"/>
        <v>0</v>
      </c>
      <c r="O27" s="2">
        <f>IF(N27&gt;0,-(N27+$B$25)*($E$5/'Loan Amortization'!$D$8),0)</f>
        <v>0</v>
      </c>
      <c r="P27" s="2">
        <f t="shared" si="2"/>
        <v>0</v>
      </c>
      <c r="Q27" s="2">
        <f>IF(P27&gt;0,-(P27+$B$25)*($E$5/'Loan Amortization'!$D$8),0)</f>
        <v>0</v>
      </c>
      <c r="R27" s="2">
        <f t="shared" si="2"/>
        <v>0</v>
      </c>
      <c r="S27" s="2">
        <f>IF(R27&gt;0,-(R27+$B$25)*($E$5/'Loan Amortization'!$D$8),0)</f>
        <v>0</v>
      </c>
      <c r="T27" s="2">
        <f t="shared" si="2"/>
        <v>0</v>
      </c>
      <c r="U27" s="2">
        <f>IF(T27&gt;0,-(T27+$B$25)*($E$5/'Loan Amortization'!$D$8),0)</f>
        <v>0</v>
      </c>
      <c r="V27" s="2">
        <f t="shared" si="2"/>
        <v>0</v>
      </c>
      <c r="W27" s="2">
        <f>IF(V27&gt;0,-(V27+$B$25)*($E$5/'Loan Amortization'!$D$8),0)</f>
        <v>0</v>
      </c>
      <c r="X27" s="501">
        <f t="shared" si="3"/>
        <v>8</v>
      </c>
      <c r="Y27" s="501"/>
      <c r="Z27" s="180"/>
    </row>
    <row r="28" spans="2:26" x14ac:dyDescent="0.15">
      <c r="B28" s="202"/>
      <c r="C28" s="426">
        <v>9</v>
      </c>
      <c r="D28" s="2">
        <f t="shared" si="2"/>
        <v>0</v>
      </c>
      <c r="E28" s="2">
        <f>IF(D28&gt;0,-(D28+$B$25)*($E$5/'Loan Amortization'!$D$8),0)</f>
        <v>0</v>
      </c>
      <c r="F28" s="2">
        <f t="shared" si="2"/>
        <v>0</v>
      </c>
      <c r="G28" s="2">
        <f>IF(F28&gt;0,-(F28+$B$25)*($E$5/'Loan Amortization'!$D$8),0)</f>
        <v>0</v>
      </c>
      <c r="H28" s="2">
        <f t="shared" si="2"/>
        <v>0</v>
      </c>
      <c r="I28" s="2">
        <f>IF(H28&gt;0,-(H28+$B$25)*($E$5/'Loan Amortization'!$D$8),0)</f>
        <v>0</v>
      </c>
      <c r="J28" s="2">
        <f t="shared" si="2"/>
        <v>0</v>
      </c>
      <c r="K28" s="2">
        <f>IF(J28&gt;0,-(J28+$B$25)*($E$5/'Loan Amortization'!$D$8),0)</f>
        <v>0</v>
      </c>
      <c r="L28" s="2">
        <f t="shared" si="2"/>
        <v>0</v>
      </c>
      <c r="M28" s="2">
        <f>IF(L28&gt;0,-(L28+$B$25)*($E$5/'Loan Amortization'!$D$8),0)</f>
        <v>0</v>
      </c>
      <c r="N28" s="2">
        <f t="shared" si="2"/>
        <v>0</v>
      </c>
      <c r="O28" s="2">
        <f>IF(N28&gt;0,-(N28+$B$25)*($E$5/'Loan Amortization'!$D$8),0)</f>
        <v>0</v>
      </c>
      <c r="P28" s="2">
        <f t="shared" si="2"/>
        <v>0</v>
      </c>
      <c r="Q28" s="2">
        <f>IF(P28&gt;0,-(P28+$B$25)*($E$5/'Loan Amortization'!$D$8),0)</f>
        <v>0</v>
      </c>
      <c r="R28" s="2">
        <f t="shared" si="2"/>
        <v>0</v>
      </c>
      <c r="S28" s="2">
        <f>IF(R28&gt;0,-(R28+$B$25)*($E$5/'Loan Amortization'!$D$8),0)</f>
        <v>0</v>
      </c>
      <c r="T28" s="2">
        <f t="shared" si="2"/>
        <v>0</v>
      </c>
      <c r="U28" s="2">
        <f>IF(T28&gt;0,-(T28+$B$25)*($E$5/'Loan Amortization'!$D$8),0)</f>
        <v>0</v>
      </c>
      <c r="V28" s="2">
        <f t="shared" si="2"/>
        <v>0</v>
      </c>
      <c r="W28" s="2">
        <f>IF(V28&gt;0,-(V28+$B$25)*($E$5/'Loan Amortization'!$D$8),0)</f>
        <v>0</v>
      </c>
      <c r="X28" s="501">
        <f t="shared" si="3"/>
        <v>9</v>
      </c>
      <c r="Y28" s="501"/>
      <c r="Z28" s="180"/>
    </row>
    <row r="29" spans="2:26" x14ac:dyDescent="0.15">
      <c r="B29" s="202"/>
      <c r="C29" s="426">
        <v>10</v>
      </c>
      <c r="D29" s="2">
        <f t="shared" si="2"/>
        <v>0</v>
      </c>
      <c r="E29" s="2">
        <f>IF(D29&gt;0,-(D29+$B$25)*($E$5/'Loan Amortization'!$D$8),0)</f>
        <v>0</v>
      </c>
      <c r="F29" s="2">
        <f t="shared" si="2"/>
        <v>0</v>
      </c>
      <c r="G29" s="2">
        <f>IF(F29&gt;0,-(F29+$B$25)*($E$5/'Loan Amortization'!$D$8),0)</f>
        <v>0</v>
      </c>
      <c r="H29" s="2">
        <f t="shared" si="2"/>
        <v>0</v>
      </c>
      <c r="I29" s="2">
        <f>IF(H29&gt;0,-(H29+$B$25)*($E$5/'Loan Amortization'!$D$8),0)</f>
        <v>0</v>
      </c>
      <c r="J29" s="2">
        <f t="shared" si="2"/>
        <v>0</v>
      </c>
      <c r="K29" s="2">
        <f>IF(J29&gt;0,-(J29+$B$25)*($E$5/'Loan Amortization'!$D$8),0)</f>
        <v>0</v>
      </c>
      <c r="L29" s="2">
        <f t="shared" si="2"/>
        <v>0</v>
      </c>
      <c r="M29" s="2">
        <f>IF(L29&gt;0,-(L29+$B$25)*($E$5/'Loan Amortization'!$D$8),0)</f>
        <v>0</v>
      </c>
      <c r="N29" s="2">
        <f t="shared" si="2"/>
        <v>0</v>
      </c>
      <c r="O29" s="2">
        <f>IF(N29&gt;0,-(N29+$B$25)*($E$5/'Loan Amortization'!$D$8),0)</f>
        <v>0</v>
      </c>
      <c r="P29" s="2">
        <f t="shared" si="2"/>
        <v>0</v>
      </c>
      <c r="Q29" s="2">
        <f>IF(P29&gt;0,-(P29+$B$25)*($E$5/'Loan Amortization'!$D$8),0)</f>
        <v>0</v>
      </c>
      <c r="R29" s="2">
        <f t="shared" si="2"/>
        <v>0</v>
      </c>
      <c r="S29" s="2">
        <f>IF(R29&gt;0,-(R29+$B$25)*($E$5/'Loan Amortization'!$D$8),0)</f>
        <v>0</v>
      </c>
      <c r="T29" s="2">
        <f t="shared" si="2"/>
        <v>0</v>
      </c>
      <c r="U29" s="2">
        <f>IF(T29&gt;0,-(T29+$B$25)*($E$5/'Loan Amortization'!$D$8),0)</f>
        <v>0</v>
      </c>
      <c r="V29" s="2">
        <f t="shared" si="2"/>
        <v>0</v>
      </c>
      <c r="W29" s="2">
        <f>IF(V29&gt;0,-(V29+$B$25)*($E$5/'Loan Amortization'!$D$8),0)</f>
        <v>0</v>
      </c>
      <c r="X29" s="501">
        <f t="shared" si="3"/>
        <v>10</v>
      </c>
      <c r="Y29" s="501"/>
      <c r="Z29" s="180"/>
    </row>
    <row r="30" spans="2:26" x14ac:dyDescent="0.15">
      <c r="B30" s="202"/>
      <c r="C30" s="426">
        <v>11</v>
      </c>
      <c r="D30" s="2">
        <f t="shared" si="2"/>
        <v>0</v>
      </c>
      <c r="E30" s="2">
        <f>IF(D30&gt;0,-(D30+$B$25)*($E$5/'Loan Amortization'!$D$8),0)</f>
        <v>0</v>
      </c>
      <c r="F30" s="2">
        <f t="shared" si="2"/>
        <v>0</v>
      </c>
      <c r="G30" s="2">
        <f>IF(F30&gt;0,-(F30+$B$25)*($E$5/'Loan Amortization'!$D$8),0)</f>
        <v>0</v>
      </c>
      <c r="H30" s="2">
        <f t="shared" si="2"/>
        <v>0</v>
      </c>
      <c r="I30" s="2">
        <f>IF(H30&gt;0,-(H30+$B$25)*($E$5/'Loan Amortization'!$D$8),0)</f>
        <v>0</v>
      </c>
      <c r="J30" s="2">
        <f t="shared" si="2"/>
        <v>0</v>
      </c>
      <c r="K30" s="2">
        <f>IF(J30&gt;0,-(J30+$B$25)*($E$5/'Loan Amortization'!$D$8),0)</f>
        <v>0</v>
      </c>
      <c r="L30" s="2">
        <f t="shared" si="2"/>
        <v>0</v>
      </c>
      <c r="M30" s="2">
        <f>IF(L30&gt;0,-(L30+$B$25)*($E$5/'Loan Amortization'!$D$8),0)</f>
        <v>0</v>
      </c>
      <c r="N30" s="2">
        <f t="shared" si="2"/>
        <v>0</v>
      </c>
      <c r="O30" s="2">
        <f>IF(N30&gt;0,-(N30+$B$25)*($E$5/'Loan Amortization'!$D$8),0)</f>
        <v>0</v>
      </c>
      <c r="P30" s="2">
        <f t="shared" si="2"/>
        <v>0</v>
      </c>
      <c r="Q30" s="2">
        <f>IF(P30&gt;0,-(P30+$B$25)*($E$5/'Loan Amortization'!$D$8),0)</f>
        <v>0</v>
      </c>
      <c r="R30" s="2">
        <f t="shared" si="2"/>
        <v>0</v>
      </c>
      <c r="S30" s="2">
        <f>IF(R30&gt;0,-(R30+$B$25)*($E$5/'Loan Amortization'!$D$8),0)</f>
        <v>0</v>
      </c>
      <c r="T30" s="2">
        <f t="shared" si="2"/>
        <v>0</v>
      </c>
      <c r="U30" s="2">
        <f>IF(T30&gt;0,-(T30+$B$25)*($E$5/'Loan Amortization'!$D$8),0)</f>
        <v>0</v>
      </c>
      <c r="V30" s="2">
        <f t="shared" si="2"/>
        <v>0</v>
      </c>
      <c r="W30" s="2">
        <f>IF(V30&gt;0,-(V30+$B$25)*($E$5/'Loan Amortization'!$D$8),0)</f>
        <v>0</v>
      </c>
      <c r="X30" s="501">
        <f t="shared" si="3"/>
        <v>11</v>
      </c>
      <c r="Y30" s="501"/>
      <c r="Z30" s="180"/>
    </row>
    <row r="31" spans="2:26" ht="14" thickBot="1" x14ac:dyDescent="0.2">
      <c r="B31" s="202"/>
      <c r="C31" s="426">
        <v>12</v>
      </c>
      <c r="D31" s="2">
        <f t="shared" si="2"/>
        <v>0</v>
      </c>
      <c r="E31" s="2">
        <f>IF(D31&gt;0,-(D31+$B$25)*($E$5/'Loan Amortization'!$D$8),0)</f>
        <v>0</v>
      </c>
      <c r="F31" s="2">
        <f t="shared" si="2"/>
        <v>0</v>
      </c>
      <c r="G31" s="2">
        <f>IF(F31&gt;0,-(F31+$B$25)*($E$5/'Loan Amortization'!$D$8),0)</f>
        <v>0</v>
      </c>
      <c r="H31" s="2">
        <f t="shared" si="2"/>
        <v>0</v>
      </c>
      <c r="I31" s="2">
        <f>IF(H31&gt;0,-(H31+$B$25)*($E$5/'Loan Amortization'!$D$8),0)</f>
        <v>0</v>
      </c>
      <c r="J31" s="2">
        <f t="shared" si="2"/>
        <v>0</v>
      </c>
      <c r="K31" s="2">
        <f>IF(J31&gt;0,-(J31+$B$25)*($E$5/'Loan Amortization'!$D$8),0)</f>
        <v>0</v>
      </c>
      <c r="L31" s="2">
        <f t="shared" si="2"/>
        <v>0</v>
      </c>
      <c r="M31" s="2">
        <f>IF(L31&gt;0,-(L31+$B$25)*($E$5/'Loan Amortization'!$D$8),0)</f>
        <v>0</v>
      </c>
      <c r="N31" s="2">
        <f t="shared" si="2"/>
        <v>0</v>
      </c>
      <c r="O31" s="2">
        <f>IF(N31&gt;0,-(N31+$B$25)*($E$5/'Loan Amortization'!$D$8),0)</f>
        <v>0</v>
      </c>
      <c r="P31" s="2">
        <f t="shared" si="2"/>
        <v>0</v>
      </c>
      <c r="Q31" s="2">
        <f>IF(P31&gt;0,-(P31+$B$25)*($E$5/'Loan Amortization'!$D$8),0)</f>
        <v>0</v>
      </c>
      <c r="R31" s="2">
        <f t="shared" si="2"/>
        <v>0</v>
      </c>
      <c r="S31" s="2">
        <f>IF(R31&gt;0,-(R31+$B$25)*($E$5/'Loan Amortization'!$D$8),0)</f>
        <v>0</v>
      </c>
      <c r="T31" s="2">
        <f t="shared" si="2"/>
        <v>0</v>
      </c>
      <c r="U31" s="2">
        <f>IF(T31&gt;0,-(T31+$B$25)*($E$5/'Loan Amortization'!$D$8),0)</f>
        <v>0</v>
      </c>
      <c r="V31" s="2">
        <f t="shared" si="2"/>
        <v>0</v>
      </c>
      <c r="W31" s="2">
        <f>IF(V31&gt;0,-(V31+$B$25)*($E$5/'Loan Amortization'!$D$8),0)</f>
        <v>0</v>
      </c>
      <c r="X31" s="501">
        <f t="shared" si="3"/>
        <v>12</v>
      </c>
      <c r="Y31" s="501"/>
      <c r="Z31" s="180"/>
    </row>
    <row r="32" spans="2:26" ht="14" thickBot="1" x14ac:dyDescent="0.2">
      <c r="B32" s="541" t="s">
        <v>45</v>
      </c>
      <c r="C32" s="502" t="s">
        <v>663</v>
      </c>
      <c r="D32" s="503">
        <f>'Level Prin Paymt Fin Sens Calc'!D$138</f>
        <v>0</v>
      </c>
      <c r="E32" s="503">
        <f>'Level Prin Paymt Fin Sens Calc'!E$138</f>
        <v>0</v>
      </c>
      <c r="F32" s="503">
        <f>'Level Prin Paymt Fin Sens Calc'!F$138</f>
        <v>0</v>
      </c>
      <c r="G32" s="503">
        <f>'Level Prin Paymt Fin Sens Calc'!G$138</f>
        <v>0</v>
      </c>
      <c r="H32" s="503">
        <f>'Level Prin Paymt Fin Sens Calc'!H$138</f>
        <v>0</v>
      </c>
      <c r="I32" s="503">
        <f>'Level Prin Paymt Fin Sens Calc'!I$138</f>
        <v>0</v>
      </c>
      <c r="J32" s="503">
        <f>'Level Prin Paymt Fin Sens Calc'!J$138</f>
        <v>0</v>
      </c>
      <c r="K32" s="503">
        <f>'Level Prin Paymt Fin Sens Calc'!K$138</f>
        <v>0</v>
      </c>
      <c r="L32" s="503">
        <f>'Level Prin Paymt Fin Sens Calc'!L$138</f>
        <v>0</v>
      </c>
      <c r="M32" s="503">
        <f>'Level Prin Paymt Fin Sens Calc'!M$138</f>
        <v>0</v>
      </c>
      <c r="N32" s="503">
        <f>'Level Prin Paymt Fin Sens Calc'!N$138</f>
        <v>0</v>
      </c>
      <c r="O32" s="503">
        <f>'Level Prin Paymt Fin Sens Calc'!O$138</f>
        <v>0</v>
      </c>
      <c r="P32" s="503">
        <f>'Level Prin Paymt Fin Sens Calc'!P$138</f>
        <v>0</v>
      </c>
      <c r="Q32" s="503">
        <f>'Level Prin Paymt Fin Sens Calc'!Q$138</f>
        <v>0</v>
      </c>
      <c r="R32" s="503">
        <f>'Level Prin Paymt Fin Sens Calc'!R$138</f>
        <v>0</v>
      </c>
      <c r="S32" s="503">
        <f>'Level Prin Paymt Fin Sens Calc'!S$138</f>
        <v>0</v>
      </c>
      <c r="T32" s="503">
        <f>'Level Prin Paymt Fin Sens Calc'!T$138</f>
        <v>0</v>
      </c>
      <c r="U32" s="503">
        <f>'Level Prin Paymt Fin Sens Calc'!U$138</f>
        <v>0</v>
      </c>
      <c r="V32" s="503">
        <f>'Level Prin Paymt Fin Sens Calc'!V$138</f>
        <v>0</v>
      </c>
      <c r="W32" s="503">
        <f>'Level Prin Paymt Fin Sens Calc'!W$138</f>
        <v>0</v>
      </c>
      <c r="X32" s="504">
        <f t="shared" si="3"/>
        <v>0</v>
      </c>
      <c r="Y32" s="501"/>
      <c r="Z32" s="180"/>
    </row>
    <row r="33" spans="2:26" ht="14" thickBot="1" x14ac:dyDescent="0.2">
      <c r="B33" s="478"/>
      <c r="C33" s="520" t="s">
        <v>273</v>
      </c>
      <c r="D33" s="522"/>
      <c r="E33" s="522">
        <f>IF(D19&gt;$L$10,0,IPMT($E$5,D19,$L$10,$B$234))</f>
        <v>0</v>
      </c>
      <c r="F33" s="522"/>
      <c r="G33" s="522">
        <f>IF(F19&gt;$L$10,0,IPMT($E$5,F19,$L$10,$B$234))</f>
        <v>0</v>
      </c>
      <c r="H33" s="522"/>
      <c r="I33" s="522">
        <f>IF(H19&gt;$L$10,0,IPMT($E$5,H19,$L$10,$B$234))</f>
        <v>0</v>
      </c>
      <c r="J33" s="522"/>
      <c r="K33" s="522">
        <f>IF(J19&gt;$L$10,0,IPMT($E$5,J19,$L$10,$B$234))</f>
        <v>0</v>
      </c>
      <c r="L33" s="522"/>
      <c r="M33" s="522">
        <f>IF(L19&gt;$L$10,0,IPMT($E$5,L19,$L$10,$B$234))</f>
        <v>0</v>
      </c>
      <c r="N33" s="522"/>
      <c r="O33" s="522">
        <f>IF(N19&gt;$L$10,0,IPMT($E$5,N19,$L$10,$B$234))</f>
        <v>0</v>
      </c>
      <c r="P33" s="522"/>
      <c r="Q33" s="522">
        <f>IF(P19&gt;$L$10,0,IPMT($E$5,P19,$L$10,$B$234))</f>
        <v>0</v>
      </c>
      <c r="R33" s="522"/>
      <c r="S33" s="522">
        <f>IF(R19&gt;$L$10,0,IPMT($E$5,R19,$L$10,$B$234))</f>
        <v>0</v>
      </c>
      <c r="T33" s="522"/>
      <c r="U33" s="522">
        <f>IF(T19&gt;$L$10,0,IPMT($E$5,T19,$L$10,$B$234))</f>
        <v>0</v>
      </c>
      <c r="V33" s="522"/>
      <c r="W33" s="522">
        <f>IF(V19&gt;$L$10,0,IPMT($E$5,V19,$L$10,$B$234))</f>
        <v>0</v>
      </c>
      <c r="X33" s="504">
        <f t="shared" si="3"/>
        <v>0</v>
      </c>
      <c r="Y33" s="548"/>
      <c r="Z33" s="273"/>
    </row>
    <row r="34" spans="2:26" ht="14" thickBot="1" x14ac:dyDescent="0.2">
      <c r="B34" s="8"/>
      <c r="C34" s="502" t="s">
        <v>664</v>
      </c>
      <c r="D34" s="558">
        <f>D19</f>
        <v>1</v>
      </c>
      <c r="E34" s="559">
        <f>F19</f>
        <v>2</v>
      </c>
      <c r="F34" s="559">
        <f>H19</f>
        <v>3</v>
      </c>
      <c r="G34" s="559">
        <f>J19</f>
        <v>4</v>
      </c>
      <c r="H34" s="559">
        <f>L19</f>
        <v>5</v>
      </c>
      <c r="I34" s="559">
        <f>N19</f>
        <v>6</v>
      </c>
      <c r="J34" s="559">
        <f>P19</f>
        <v>7</v>
      </c>
      <c r="K34" s="559">
        <f>R19</f>
        <v>8</v>
      </c>
      <c r="L34" s="559">
        <f>T19</f>
        <v>9</v>
      </c>
      <c r="M34" s="559">
        <f>V19</f>
        <v>10</v>
      </c>
      <c r="N34" s="560" t="str">
        <f>X19</f>
        <v>TOTAL</v>
      </c>
      <c r="O34" s="2"/>
      <c r="P34" s="2"/>
      <c r="Q34" s="2"/>
      <c r="R34" s="2"/>
      <c r="S34" s="2"/>
      <c r="T34" s="2"/>
      <c r="U34" s="2"/>
      <c r="V34" s="2"/>
      <c r="W34" s="2"/>
      <c r="X34" s="2"/>
      <c r="Y34" s="2"/>
    </row>
    <row r="35" spans="2:26" ht="14" thickBot="1" x14ac:dyDescent="0.2">
      <c r="B35" s="8"/>
      <c r="C35" s="502" t="s">
        <v>663</v>
      </c>
      <c r="D35" s="561">
        <f>D32</f>
        <v>0</v>
      </c>
      <c r="E35" s="2">
        <f>F32</f>
        <v>0</v>
      </c>
      <c r="F35" s="2">
        <f>H32</f>
        <v>0</v>
      </c>
      <c r="G35" s="2">
        <f>J32</f>
        <v>0</v>
      </c>
      <c r="H35" s="2">
        <f>L32</f>
        <v>0</v>
      </c>
      <c r="I35" s="2">
        <f>N32</f>
        <v>0</v>
      </c>
      <c r="J35" s="2">
        <f>P32</f>
        <v>0</v>
      </c>
      <c r="K35" s="2">
        <f>R32</f>
        <v>0</v>
      </c>
      <c r="L35" s="2">
        <f>T32</f>
        <v>0</v>
      </c>
      <c r="M35" s="2">
        <f>V32</f>
        <v>0</v>
      </c>
      <c r="N35" s="501">
        <f>X32</f>
        <v>0</v>
      </c>
      <c r="O35" s="2"/>
      <c r="P35" s="2"/>
      <c r="Q35" s="2"/>
      <c r="R35" s="2"/>
      <c r="S35" s="2"/>
      <c r="T35" s="2"/>
      <c r="U35" s="2"/>
      <c r="V35" s="2"/>
      <c r="W35" s="2"/>
      <c r="X35" s="2"/>
      <c r="Y35" s="2"/>
    </row>
    <row r="36" spans="2:26" ht="14" thickBot="1" x14ac:dyDescent="0.2">
      <c r="B36" s="8"/>
      <c r="C36" s="520" t="s">
        <v>273</v>
      </c>
      <c r="D36" s="562">
        <f>E33</f>
        <v>0</v>
      </c>
      <c r="E36" s="522">
        <f>G33</f>
        <v>0</v>
      </c>
      <c r="F36" s="522">
        <f>I33</f>
        <v>0</v>
      </c>
      <c r="G36" s="522">
        <f>K33</f>
        <v>0</v>
      </c>
      <c r="H36" s="522">
        <f>M33</f>
        <v>0</v>
      </c>
      <c r="I36" s="522">
        <f>O33</f>
        <v>0</v>
      </c>
      <c r="J36" s="522">
        <f>Q33</f>
        <v>0</v>
      </c>
      <c r="K36" s="522">
        <f>S33</f>
        <v>0</v>
      </c>
      <c r="L36" s="522">
        <f>U33</f>
        <v>0</v>
      </c>
      <c r="M36" s="522">
        <f>W33</f>
        <v>0</v>
      </c>
      <c r="N36" s="548">
        <f>X33</f>
        <v>0</v>
      </c>
      <c r="O36" s="2"/>
      <c r="P36" s="2"/>
      <c r="Q36" s="2"/>
      <c r="R36" s="2"/>
      <c r="S36" s="2"/>
      <c r="T36" s="2"/>
      <c r="U36" s="2"/>
      <c r="V36" s="2"/>
      <c r="W36" s="2"/>
      <c r="X36" s="2"/>
      <c r="Y36" s="2"/>
    </row>
    <row r="38" spans="2:26" ht="14" thickBot="1" x14ac:dyDescent="0.2"/>
    <row r="39" spans="2:26" ht="14" thickBot="1" x14ac:dyDescent="0.2">
      <c r="B39" s="481" t="s">
        <v>413</v>
      </c>
      <c r="C39" s="496"/>
      <c r="D39" s="483" t="s">
        <v>133</v>
      </c>
      <c r="E39" s="483"/>
      <c r="F39" s="483" t="s">
        <v>133</v>
      </c>
      <c r="G39" s="483"/>
      <c r="H39" s="483" t="s">
        <v>133</v>
      </c>
      <c r="I39" s="483"/>
      <c r="J39" s="483" t="s">
        <v>133</v>
      </c>
      <c r="K39" s="483"/>
      <c r="L39" s="483" t="s">
        <v>133</v>
      </c>
      <c r="M39" s="483"/>
      <c r="N39" s="483" t="s">
        <v>133</v>
      </c>
      <c r="O39" s="483"/>
      <c r="P39" s="483" t="s">
        <v>133</v>
      </c>
      <c r="Q39" s="483"/>
      <c r="R39" s="483" t="s">
        <v>133</v>
      </c>
      <c r="S39" s="483"/>
      <c r="T39" s="483" t="s">
        <v>133</v>
      </c>
      <c r="U39" s="483"/>
      <c r="V39" s="483" t="s">
        <v>133</v>
      </c>
      <c r="W39" s="483"/>
      <c r="X39" s="272"/>
      <c r="Y39" s="272"/>
      <c r="Z39" s="497" t="str">
        <f>B39</f>
        <v>-20%</v>
      </c>
    </row>
    <row r="40" spans="2:26" x14ac:dyDescent="0.15">
      <c r="B40" s="426"/>
      <c r="C40" s="426" t="s">
        <v>660</v>
      </c>
      <c r="D40" s="4">
        <v>1</v>
      </c>
      <c r="E40" s="4"/>
      <c r="F40" s="4">
        <f>D40+1</f>
        <v>2</v>
      </c>
      <c r="G40" s="4"/>
      <c r="H40" s="4">
        <f>F40+1</f>
        <v>3</v>
      </c>
      <c r="I40" s="4"/>
      <c r="J40" s="4">
        <f>H40+1</f>
        <v>4</v>
      </c>
      <c r="K40" s="4"/>
      <c r="L40" s="4">
        <f>J40+1</f>
        <v>5</v>
      </c>
      <c r="M40" s="4"/>
      <c r="N40" s="4">
        <f>L40+1</f>
        <v>6</v>
      </c>
      <c r="O40" s="4"/>
      <c r="P40" s="4">
        <f>N40+1</f>
        <v>7</v>
      </c>
      <c r="Q40" s="4"/>
      <c r="R40" s="4">
        <f>P40+1</f>
        <v>8</v>
      </c>
      <c r="S40" s="4"/>
      <c r="T40" s="4">
        <f>R40+1</f>
        <v>9</v>
      </c>
      <c r="U40" s="4"/>
      <c r="V40" s="4">
        <f>T40+1</f>
        <v>10</v>
      </c>
      <c r="W40" s="4"/>
      <c r="X40" s="500" t="s">
        <v>285</v>
      </c>
      <c r="Y40" s="500"/>
      <c r="Z40" s="480"/>
    </row>
    <row r="41" spans="2:26" x14ac:dyDescent="0.15">
      <c r="B41" s="202" t="s">
        <v>661</v>
      </c>
      <c r="C41" s="426">
        <v>1</v>
      </c>
      <c r="D41" s="2">
        <f>IF(D$19&lt;($L$10+1),$B$45-((((D$19-1)*12)+$C41)*$B$46),0)</f>
        <v>0</v>
      </c>
      <c r="E41" s="2">
        <f>IF(D41&gt;0,-(D41+$B$46)*($E$6/'Loan Amortization'!$D$8),0)</f>
        <v>0</v>
      </c>
      <c r="F41" s="2">
        <f>IF(F$19&lt;($L$10+1),$B$45-((((F$19-1)*12)+$C41)*$B$46),0)</f>
        <v>0</v>
      </c>
      <c r="G41" s="2">
        <f>IF(F41&gt;0,-(F41+$B$46)*($E$6/'Loan Amortization'!$D$8),0)</f>
        <v>0</v>
      </c>
      <c r="H41" s="2">
        <f>IF(H$19&lt;($L$10+1),$B$45-((((H$19-1)*12)+$C41)*$B$46),0)</f>
        <v>0</v>
      </c>
      <c r="I41" s="2">
        <f>IF(H41&gt;0,-(H41+$B$46)*($E$6/'Loan Amortization'!$D$8),0)</f>
        <v>0</v>
      </c>
      <c r="J41" s="2">
        <f>IF(J$19&lt;($L$10+1),$B$45-((((J$19-1)*12)+$C41)*$B$46),0)</f>
        <v>0</v>
      </c>
      <c r="K41" s="2">
        <f>IF(J41&gt;0,-(J41+$B$46)*($E$6/'Loan Amortization'!$D$8),0)</f>
        <v>0</v>
      </c>
      <c r="L41" s="2">
        <f>IF(L$19&lt;($L$10+1),$B$45-((((L$19-1)*12)+$C41)*$B$46),0)</f>
        <v>0</v>
      </c>
      <c r="M41" s="2">
        <f>IF(L41&gt;0,-(L41+$B$46)*($E$6/'Loan Amortization'!$D$8),0)</f>
        <v>0</v>
      </c>
      <c r="N41" s="2">
        <f>IF(N$19&lt;($L$10+1),$B$45-((((N$19-1)*12)+$C41)*$B$46),0)</f>
        <v>0</v>
      </c>
      <c r="O41" s="2">
        <f>IF(N41&gt;0,-(N41+$B$46)*($E$6/'Loan Amortization'!$D$8),0)</f>
        <v>0</v>
      </c>
      <c r="P41" s="2">
        <f>IF(P$19&lt;($L$10+1),$B$45-((((P$19-1)*12)+$C41)*$B$46),0)</f>
        <v>0</v>
      </c>
      <c r="Q41" s="2">
        <f>IF(P41&gt;0,-(P41+$B$46)*($E$6/'Loan Amortization'!$D$8),0)</f>
        <v>0</v>
      </c>
      <c r="R41" s="2">
        <f>IF(R$19&lt;($L$10+1),$B$45-((((R$19-1)*12)+$C41)*$B$46),0)</f>
        <v>0</v>
      </c>
      <c r="S41" s="2">
        <f>IF(R41&gt;0,-(R41+$B$46)*($E$6/'Loan Amortization'!$D$8),0)</f>
        <v>0</v>
      </c>
      <c r="T41" s="2">
        <f>IF(T$19&lt;($L$10+1),$B$45-((((T$19-1)*12)+$C41)*$B$46),0)</f>
        <v>0</v>
      </c>
      <c r="U41" s="2">
        <f>IF(T41&gt;0,-(T41+$B$46)*($E$6/'Loan Amortization'!$D$8),0)</f>
        <v>0</v>
      </c>
      <c r="V41" s="2">
        <f>IF(V$19&lt;($L$10+1),$B$45-((((V$19-1)*12)+$C41)*$B$46),0)</f>
        <v>0</v>
      </c>
      <c r="W41" s="2">
        <f>IF(V41&gt;0,-(V41+$B$46)*($E$6/'Loan Amortization'!$D$8),0)</f>
        <v>0</v>
      </c>
      <c r="X41" s="501">
        <f>SUM(C41:V41)</f>
        <v>1</v>
      </c>
      <c r="Y41" s="501"/>
      <c r="Z41" s="480"/>
    </row>
    <row r="42" spans="2:26" x14ac:dyDescent="0.15">
      <c r="B42" s="511">
        <f>-PMT($L$6/12,$L$10*12,C6)</f>
        <v>0</v>
      </c>
      <c r="C42" s="426">
        <v>2</v>
      </c>
      <c r="D42" s="2">
        <f t="shared" ref="D42:V52" si="4">IF(D$19&lt;($L$10+1),$B$45-((((D$19-1)*12)+$C42)*$B$46),0)</f>
        <v>0</v>
      </c>
      <c r="E42" s="2">
        <f>IF(D42&gt;0,-(D42+$B$46)*($E$6/'Loan Amortization'!$D$8),0)</f>
        <v>0</v>
      </c>
      <c r="F42" s="2">
        <f t="shared" si="4"/>
        <v>0</v>
      </c>
      <c r="G42" s="2">
        <f>IF(F42&gt;0,-(F42+$B$46)*($E$6/'Loan Amortization'!$D$8),0)</f>
        <v>0</v>
      </c>
      <c r="H42" s="2">
        <f t="shared" si="4"/>
        <v>0</v>
      </c>
      <c r="I42" s="2">
        <f>IF(H42&gt;0,-(H42+$B$46)*($E$6/'Loan Amortization'!$D$8),0)</f>
        <v>0</v>
      </c>
      <c r="J42" s="2">
        <f t="shared" si="4"/>
        <v>0</v>
      </c>
      <c r="K42" s="2">
        <f>IF(J42&gt;0,-(J42+$B$46)*($E$6/'Loan Amortization'!$D$8),0)</f>
        <v>0</v>
      </c>
      <c r="L42" s="2">
        <f t="shared" si="4"/>
        <v>0</v>
      </c>
      <c r="M42" s="2">
        <f>IF(L42&gt;0,-(L42+$B$46)*($E$6/'Loan Amortization'!$D$8),0)</f>
        <v>0</v>
      </c>
      <c r="N42" s="2">
        <f t="shared" si="4"/>
        <v>0</v>
      </c>
      <c r="O42" s="2">
        <f>IF(N42&gt;0,-(N42+$B$46)*($E$6/'Loan Amortization'!$D$8),0)</f>
        <v>0</v>
      </c>
      <c r="P42" s="2">
        <f t="shared" si="4"/>
        <v>0</v>
      </c>
      <c r="Q42" s="2">
        <f>IF(P42&gt;0,-(P42+$B$46)*($E$6/'Loan Amortization'!$D$8),0)</f>
        <v>0</v>
      </c>
      <c r="R42" s="2">
        <f t="shared" si="4"/>
        <v>0</v>
      </c>
      <c r="S42" s="2">
        <f>IF(R42&gt;0,-(R42+$B$46)*($E$6/'Loan Amortization'!$D$8),0)</f>
        <v>0</v>
      </c>
      <c r="T42" s="2">
        <f t="shared" si="4"/>
        <v>0</v>
      </c>
      <c r="U42" s="2">
        <f>IF(T42&gt;0,-(T42+$B$46)*($E$6/'Loan Amortization'!$D$8),0)</f>
        <v>0</v>
      </c>
      <c r="V42" s="2">
        <f t="shared" si="4"/>
        <v>0</v>
      </c>
      <c r="W42" s="2">
        <f>IF(V42&gt;0,-(V42+$B$46)*($E$6/'Loan Amortization'!$D$8),0)</f>
        <v>0</v>
      </c>
      <c r="X42" s="501">
        <f t="shared" ref="X42:X54" si="5">SUM(C42:V42)</f>
        <v>2</v>
      </c>
      <c r="Y42" s="501"/>
      <c r="Z42" s="480"/>
    </row>
    <row r="43" spans="2:26" x14ac:dyDescent="0.15">
      <c r="B43" s="540">
        <f>B42*12</f>
        <v>0</v>
      </c>
      <c r="C43" s="426">
        <v>3</v>
      </c>
      <c r="D43" s="2">
        <f t="shared" si="4"/>
        <v>0</v>
      </c>
      <c r="E43" s="2">
        <f>IF(D43&gt;0,-(D43+$B$46)*($E$6/'Loan Amortization'!$D$8),0)</f>
        <v>0</v>
      </c>
      <c r="F43" s="2">
        <f t="shared" si="4"/>
        <v>0</v>
      </c>
      <c r="G43" s="2">
        <f>IF(F43&gt;0,-(F43+$B$46)*($E$6/'Loan Amortization'!$D$8),0)</f>
        <v>0</v>
      </c>
      <c r="H43" s="2">
        <f t="shared" si="4"/>
        <v>0</v>
      </c>
      <c r="I43" s="2">
        <f>IF(H43&gt;0,-(H43+$B$46)*($E$6/'Loan Amortization'!$D$8),0)</f>
        <v>0</v>
      </c>
      <c r="J43" s="2">
        <f t="shared" si="4"/>
        <v>0</v>
      </c>
      <c r="K43" s="2">
        <f>IF(J43&gt;0,-(J43+$B$46)*($E$6/'Loan Amortization'!$D$8),0)</f>
        <v>0</v>
      </c>
      <c r="L43" s="2">
        <f t="shared" si="4"/>
        <v>0</v>
      </c>
      <c r="M43" s="2">
        <f>IF(L43&gt;0,-(L43+$B$46)*($E$6/'Loan Amortization'!$D$8),0)</f>
        <v>0</v>
      </c>
      <c r="N43" s="2">
        <f t="shared" si="4"/>
        <v>0</v>
      </c>
      <c r="O43" s="2">
        <f>IF(N43&gt;0,-(N43+$B$46)*($E$6/'Loan Amortization'!$D$8),0)</f>
        <v>0</v>
      </c>
      <c r="P43" s="2">
        <f t="shared" si="4"/>
        <v>0</v>
      </c>
      <c r="Q43" s="2">
        <f>IF(P43&gt;0,-(P43+$B$46)*($E$6/'Loan Amortization'!$D$8),0)</f>
        <v>0</v>
      </c>
      <c r="R43" s="2">
        <f t="shared" si="4"/>
        <v>0</v>
      </c>
      <c r="S43" s="2">
        <f>IF(R43&gt;0,-(R43+$B$46)*($E$6/'Loan Amortization'!$D$8),0)</f>
        <v>0</v>
      </c>
      <c r="T43" s="2">
        <f t="shared" si="4"/>
        <v>0</v>
      </c>
      <c r="U43" s="2">
        <f>IF(T43&gt;0,-(T43+$B$46)*($E$6/'Loan Amortization'!$D$8),0)</f>
        <v>0</v>
      </c>
      <c r="V43" s="2">
        <f t="shared" si="4"/>
        <v>0</v>
      </c>
      <c r="W43" s="2">
        <f>IF(V43&gt;0,-(V43+$B$46)*($E$6/'Loan Amortization'!$D$8),0)</f>
        <v>0</v>
      </c>
      <c r="X43" s="501">
        <f t="shared" si="5"/>
        <v>3</v>
      </c>
      <c r="Y43" s="501"/>
      <c r="Z43" s="480"/>
    </row>
    <row r="44" spans="2:26" x14ac:dyDescent="0.15">
      <c r="B44" s="202" t="s">
        <v>662</v>
      </c>
      <c r="C44" s="426">
        <v>4</v>
      </c>
      <c r="D44" s="2">
        <f t="shared" si="4"/>
        <v>0</v>
      </c>
      <c r="E44" s="2">
        <f>IF(D44&gt;0,-(D44+$B$46)*($E$6/'Loan Amortization'!$D$8),0)</f>
        <v>0</v>
      </c>
      <c r="F44" s="2">
        <f t="shared" si="4"/>
        <v>0</v>
      </c>
      <c r="G44" s="2">
        <f>IF(F44&gt;0,-(F44+$B$46)*($E$6/'Loan Amortization'!$D$8),0)</f>
        <v>0</v>
      </c>
      <c r="H44" s="2">
        <f t="shared" si="4"/>
        <v>0</v>
      </c>
      <c r="I44" s="2">
        <f>IF(H44&gt;0,-(H44+$B$46)*($E$6/'Loan Amortization'!$D$8),0)</f>
        <v>0</v>
      </c>
      <c r="J44" s="2">
        <f t="shared" si="4"/>
        <v>0</v>
      </c>
      <c r="K44" s="2">
        <f>IF(J44&gt;0,-(J44+$B$46)*($E$6/'Loan Amortization'!$D$8),0)</f>
        <v>0</v>
      </c>
      <c r="L44" s="2">
        <f t="shared" si="4"/>
        <v>0</v>
      </c>
      <c r="M44" s="2">
        <f>IF(L44&gt;0,-(L44+$B$46)*($E$6/'Loan Amortization'!$D$8),0)</f>
        <v>0</v>
      </c>
      <c r="N44" s="2">
        <f t="shared" si="4"/>
        <v>0</v>
      </c>
      <c r="O44" s="2">
        <f>IF(N44&gt;0,-(N44+$B$46)*($E$6/'Loan Amortization'!$D$8),0)</f>
        <v>0</v>
      </c>
      <c r="P44" s="2">
        <f t="shared" si="4"/>
        <v>0</v>
      </c>
      <c r="Q44" s="2">
        <f>IF(P44&gt;0,-(P44+$B$46)*($E$6/'Loan Amortization'!$D$8),0)</f>
        <v>0</v>
      </c>
      <c r="R44" s="2">
        <f t="shared" si="4"/>
        <v>0</v>
      </c>
      <c r="S44" s="2">
        <f>IF(R44&gt;0,-(R44+$B$46)*($E$6/'Loan Amortization'!$D$8),0)</f>
        <v>0</v>
      </c>
      <c r="T44" s="2">
        <f t="shared" si="4"/>
        <v>0</v>
      </c>
      <c r="U44" s="2">
        <f>IF(T44&gt;0,-(T44+$B$46)*($E$6/'Loan Amortization'!$D$8),0)</f>
        <v>0</v>
      </c>
      <c r="V44" s="2">
        <f t="shared" si="4"/>
        <v>0</v>
      </c>
      <c r="W44" s="2">
        <f>IF(V44&gt;0,-(V44+$B$46)*($E$6/'Loan Amortization'!$D$8),0)</f>
        <v>0</v>
      </c>
      <c r="X44" s="501">
        <f t="shared" si="5"/>
        <v>4</v>
      </c>
      <c r="Y44" s="501"/>
      <c r="Z44" s="480"/>
    </row>
    <row r="45" spans="2:26" x14ac:dyDescent="0.15">
      <c r="B45" s="521">
        <f>C6</f>
        <v>0</v>
      </c>
      <c r="C45" s="426">
        <v>5</v>
      </c>
      <c r="D45" s="2">
        <f t="shared" si="4"/>
        <v>0</v>
      </c>
      <c r="E45" s="2">
        <f>IF(D45&gt;0,-(D45+$B$46)*($E$6/'Loan Amortization'!$D$8),0)</f>
        <v>0</v>
      </c>
      <c r="F45" s="2">
        <f t="shared" si="4"/>
        <v>0</v>
      </c>
      <c r="G45" s="2">
        <f>IF(F45&gt;0,-(F45+$B$46)*($E$6/'Loan Amortization'!$D$8),0)</f>
        <v>0</v>
      </c>
      <c r="H45" s="2">
        <f t="shared" si="4"/>
        <v>0</v>
      </c>
      <c r="I45" s="2">
        <f>IF(H45&gt;0,-(H45+$B$46)*($E$6/'Loan Amortization'!$D$8),0)</f>
        <v>0</v>
      </c>
      <c r="J45" s="2">
        <f t="shared" si="4"/>
        <v>0</v>
      </c>
      <c r="K45" s="2">
        <f>IF(J45&gt;0,-(J45+$B$46)*($E$6/'Loan Amortization'!$D$8),0)</f>
        <v>0</v>
      </c>
      <c r="L45" s="2">
        <f t="shared" si="4"/>
        <v>0</v>
      </c>
      <c r="M45" s="2">
        <f>IF(L45&gt;0,-(L45+$B$46)*($E$6/'Loan Amortization'!$D$8),0)</f>
        <v>0</v>
      </c>
      <c r="N45" s="2">
        <f t="shared" si="4"/>
        <v>0</v>
      </c>
      <c r="O45" s="2">
        <f>IF(N45&gt;0,-(N45+$B$46)*($E$6/'Loan Amortization'!$D$8),0)</f>
        <v>0</v>
      </c>
      <c r="P45" s="2">
        <f t="shared" si="4"/>
        <v>0</v>
      </c>
      <c r="Q45" s="2">
        <f>IF(P45&gt;0,-(P45+$B$46)*($E$6/'Loan Amortization'!$D$8),0)</f>
        <v>0</v>
      </c>
      <c r="R45" s="2">
        <f t="shared" si="4"/>
        <v>0</v>
      </c>
      <c r="S45" s="2">
        <f>IF(R45&gt;0,-(R45+$B$46)*($E$6/'Loan Amortization'!$D$8),0)</f>
        <v>0</v>
      </c>
      <c r="T45" s="2">
        <f t="shared" si="4"/>
        <v>0</v>
      </c>
      <c r="U45" s="2">
        <f>IF(T45&gt;0,-(T45+$B$46)*($E$6/'Loan Amortization'!$D$8),0)</f>
        <v>0</v>
      </c>
      <c r="V45" s="2">
        <f t="shared" si="4"/>
        <v>0</v>
      </c>
      <c r="W45" s="2">
        <f>IF(V45&gt;0,-(V45+$B$46)*($E$6/'Loan Amortization'!$D$8),0)</f>
        <v>0</v>
      </c>
      <c r="X45" s="501">
        <f t="shared" si="5"/>
        <v>5</v>
      </c>
      <c r="Y45" s="501"/>
      <c r="Z45" s="480"/>
    </row>
    <row r="46" spans="2:26" x14ac:dyDescent="0.15">
      <c r="B46" s="521">
        <f>B45/($L$10*12)</f>
        <v>0</v>
      </c>
      <c r="C46" s="426">
        <v>6</v>
      </c>
      <c r="D46" s="2">
        <f t="shared" si="4"/>
        <v>0</v>
      </c>
      <c r="E46" s="2">
        <f>IF(D46&gt;0,-(D46+$B$46)*($E$6/'Loan Amortization'!$D$8),0)</f>
        <v>0</v>
      </c>
      <c r="F46" s="2">
        <f t="shared" si="4"/>
        <v>0</v>
      </c>
      <c r="G46" s="2">
        <f>IF(F46&gt;0,-(F46+$B$46)*($E$6/'Loan Amortization'!$D$8),0)</f>
        <v>0</v>
      </c>
      <c r="H46" s="2">
        <f t="shared" si="4"/>
        <v>0</v>
      </c>
      <c r="I46" s="2">
        <f>IF(H46&gt;0,-(H46+$B$46)*($E$6/'Loan Amortization'!$D$8),0)</f>
        <v>0</v>
      </c>
      <c r="J46" s="2">
        <f t="shared" si="4"/>
        <v>0</v>
      </c>
      <c r="K46" s="2">
        <f>IF(J46&gt;0,-(J46+$B$46)*($E$6/'Loan Amortization'!$D$8),0)</f>
        <v>0</v>
      </c>
      <c r="L46" s="2">
        <f t="shared" si="4"/>
        <v>0</v>
      </c>
      <c r="M46" s="2">
        <f>IF(L46&gt;0,-(L46+$B$46)*($E$6/'Loan Amortization'!$D$8),0)</f>
        <v>0</v>
      </c>
      <c r="N46" s="2">
        <f t="shared" si="4"/>
        <v>0</v>
      </c>
      <c r="O46" s="2">
        <f>IF(N46&gt;0,-(N46+$B$46)*($E$6/'Loan Amortization'!$D$8),0)</f>
        <v>0</v>
      </c>
      <c r="P46" s="2">
        <f t="shared" si="4"/>
        <v>0</v>
      </c>
      <c r="Q46" s="2">
        <f>IF(P46&gt;0,-(P46+$B$46)*($E$6/'Loan Amortization'!$D$8),0)</f>
        <v>0</v>
      </c>
      <c r="R46" s="2">
        <f t="shared" si="4"/>
        <v>0</v>
      </c>
      <c r="S46" s="2">
        <f>IF(R46&gt;0,-(R46+$B$46)*($E$6/'Loan Amortization'!$D$8),0)</f>
        <v>0</v>
      </c>
      <c r="T46" s="2">
        <f t="shared" si="4"/>
        <v>0</v>
      </c>
      <c r="U46" s="2">
        <f>IF(T46&gt;0,-(T46+$B$46)*($E$6/'Loan Amortization'!$D$8),0)</f>
        <v>0</v>
      </c>
      <c r="V46" s="2">
        <f t="shared" si="4"/>
        <v>0</v>
      </c>
      <c r="W46" s="2">
        <f>IF(V46&gt;0,-(V46+$B$46)*($E$6/'Loan Amortization'!$D$8),0)</f>
        <v>0</v>
      </c>
      <c r="X46" s="501">
        <f t="shared" si="5"/>
        <v>6</v>
      </c>
      <c r="Y46" s="501"/>
      <c r="Z46" s="480"/>
    </row>
    <row r="47" spans="2:26" x14ac:dyDescent="0.15">
      <c r="B47" s="202"/>
      <c r="C47" s="426">
        <v>7</v>
      </c>
      <c r="D47" s="2">
        <f t="shared" si="4"/>
        <v>0</v>
      </c>
      <c r="E47" s="2">
        <f>IF(D47&gt;0,-(D47+$B$46)*($E$6/'Loan Amortization'!$D$8),0)</f>
        <v>0</v>
      </c>
      <c r="F47" s="2">
        <f t="shared" si="4"/>
        <v>0</v>
      </c>
      <c r="G47" s="2">
        <f>IF(F47&gt;0,-(F47+$B$46)*($E$6/'Loan Amortization'!$D$8),0)</f>
        <v>0</v>
      </c>
      <c r="H47" s="2">
        <f t="shared" si="4"/>
        <v>0</v>
      </c>
      <c r="I47" s="2">
        <f>IF(H47&gt;0,-(H47+$B$46)*($E$6/'Loan Amortization'!$D$8),0)</f>
        <v>0</v>
      </c>
      <c r="J47" s="2">
        <f t="shared" si="4"/>
        <v>0</v>
      </c>
      <c r="K47" s="2">
        <f>IF(J47&gt;0,-(J47+$B$46)*($E$6/'Loan Amortization'!$D$8),0)</f>
        <v>0</v>
      </c>
      <c r="L47" s="2">
        <f t="shared" si="4"/>
        <v>0</v>
      </c>
      <c r="M47" s="2">
        <f>IF(L47&gt;0,-(L47+$B$46)*($E$6/'Loan Amortization'!$D$8),0)</f>
        <v>0</v>
      </c>
      <c r="N47" s="2">
        <f t="shared" si="4"/>
        <v>0</v>
      </c>
      <c r="O47" s="2">
        <f>IF(N47&gt;0,-(N47+$B$46)*($E$6/'Loan Amortization'!$D$8),0)</f>
        <v>0</v>
      </c>
      <c r="P47" s="2">
        <f t="shared" si="4"/>
        <v>0</v>
      </c>
      <c r="Q47" s="2">
        <f>IF(P47&gt;0,-(P47+$B$46)*($E$6/'Loan Amortization'!$D$8),0)</f>
        <v>0</v>
      </c>
      <c r="R47" s="2">
        <f t="shared" si="4"/>
        <v>0</v>
      </c>
      <c r="S47" s="2">
        <f>IF(R47&gt;0,-(R47+$B$46)*($E$6/'Loan Amortization'!$D$8),0)</f>
        <v>0</v>
      </c>
      <c r="T47" s="2">
        <f t="shared" si="4"/>
        <v>0</v>
      </c>
      <c r="U47" s="2">
        <f>IF(T47&gt;0,-(T47+$B$46)*($E$6/'Loan Amortization'!$D$8),0)</f>
        <v>0</v>
      </c>
      <c r="V47" s="2">
        <f t="shared" si="4"/>
        <v>0</v>
      </c>
      <c r="W47" s="2">
        <f>IF(V47&gt;0,-(V47+$B$46)*($E$6/'Loan Amortization'!$D$8),0)</f>
        <v>0</v>
      </c>
      <c r="X47" s="501">
        <f t="shared" si="5"/>
        <v>7</v>
      </c>
      <c r="Y47" s="501"/>
      <c r="Z47" s="480"/>
    </row>
    <row r="48" spans="2:26" x14ac:dyDescent="0.15">
      <c r="B48" s="202"/>
      <c r="C48" s="426">
        <v>8</v>
      </c>
      <c r="D48" s="2">
        <f t="shared" si="4"/>
        <v>0</v>
      </c>
      <c r="E48" s="2">
        <f>IF(D48&gt;0,-(D48+$B$46)*($E$6/'Loan Amortization'!$D$8),0)</f>
        <v>0</v>
      </c>
      <c r="F48" s="2">
        <f t="shared" si="4"/>
        <v>0</v>
      </c>
      <c r="G48" s="2">
        <f>IF(F48&gt;0,-(F48+$B$46)*($E$6/'Loan Amortization'!$D$8),0)</f>
        <v>0</v>
      </c>
      <c r="H48" s="2">
        <f t="shared" si="4"/>
        <v>0</v>
      </c>
      <c r="I48" s="2">
        <f>IF(H48&gt;0,-(H48+$B$46)*($E$6/'Loan Amortization'!$D$8),0)</f>
        <v>0</v>
      </c>
      <c r="J48" s="2">
        <f t="shared" si="4"/>
        <v>0</v>
      </c>
      <c r="K48" s="2">
        <f>IF(J48&gt;0,-(J48+$B$46)*($E$6/'Loan Amortization'!$D$8),0)</f>
        <v>0</v>
      </c>
      <c r="L48" s="2">
        <f t="shared" si="4"/>
        <v>0</v>
      </c>
      <c r="M48" s="2">
        <f>IF(L48&gt;0,-(L48+$B$46)*($E$6/'Loan Amortization'!$D$8),0)</f>
        <v>0</v>
      </c>
      <c r="N48" s="2">
        <f t="shared" si="4"/>
        <v>0</v>
      </c>
      <c r="O48" s="2">
        <f>IF(N48&gt;0,-(N48+$B$46)*($E$6/'Loan Amortization'!$D$8),0)</f>
        <v>0</v>
      </c>
      <c r="P48" s="2">
        <f t="shared" si="4"/>
        <v>0</v>
      </c>
      <c r="Q48" s="2">
        <f>IF(P48&gt;0,-(P48+$B$46)*($E$6/'Loan Amortization'!$D$8),0)</f>
        <v>0</v>
      </c>
      <c r="R48" s="2">
        <f t="shared" si="4"/>
        <v>0</v>
      </c>
      <c r="S48" s="2">
        <f>IF(R48&gt;0,-(R48+$B$46)*($E$6/'Loan Amortization'!$D$8),0)</f>
        <v>0</v>
      </c>
      <c r="T48" s="2">
        <f t="shared" si="4"/>
        <v>0</v>
      </c>
      <c r="U48" s="2">
        <f>IF(T48&gt;0,-(T48+$B$46)*($E$6/'Loan Amortization'!$D$8),0)</f>
        <v>0</v>
      </c>
      <c r="V48" s="2">
        <f t="shared" si="4"/>
        <v>0</v>
      </c>
      <c r="W48" s="2">
        <f>IF(V48&gt;0,-(V48+$B$46)*($E$6/'Loan Amortization'!$D$8),0)</f>
        <v>0</v>
      </c>
      <c r="X48" s="501">
        <f t="shared" si="5"/>
        <v>8</v>
      </c>
      <c r="Y48" s="501"/>
      <c r="Z48" s="480"/>
    </row>
    <row r="49" spans="2:26" x14ac:dyDescent="0.15">
      <c r="B49" s="202"/>
      <c r="C49" s="426">
        <v>9</v>
      </c>
      <c r="D49" s="2">
        <f t="shared" si="4"/>
        <v>0</v>
      </c>
      <c r="E49" s="2">
        <f>IF(D49&gt;0,-(D49+$B$46)*($E$6/'Loan Amortization'!$D$8),0)</f>
        <v>0</v>
      </c>
      <c r="F49" s="2">
        <f t="shared" si="4"/>
        <v>0</v>
      </c>
      <c r="G49" s="2">
        <f>IF(F49&gt;0,-(F49+$B$46)*($E$6/'Loan Amortization'!$D$8),0)</f>
        <v>0</v>
      </c>
      <c r="H49" s="2">
        <f t="shared" si="4"/>
        <v>0</v>
      </c>
      <c r="I49" s="2">
        <f>IF(H49&gt;0,-(H49+$B$46)*($E$6/'Loan Amortization'!$D$8),0)</f>
        <v>0</v>
      </c>
      <c r="J49" s="2">
        <f t="shared" si="4"/>
        <v>0</v>
      </c>
      <c r="K49" s="2">
        <f>IF(J49&gt;0,-(J49+$B$46)*($E$6/'Loan Amortization'!$D$8),0)</f>
        <v>0</v>
      </c>
      <c r="L49" s="2">
        <f t="shared" si="4"/>
        <v>0</v>
      </c>
      <c r="M49" s="2">
        <f>IF(L49&gt;0,-(L49+$B$46)*($E$6/'Loan Amortization'!$D$8),0)</f>
        <v>0</v>
      </c>
      <c r="N49" s="2">
        <f t="shared" si="4"/>
        <v>0</v>
      </c>
      <c r="O49" s="2">
        <f>IF(N49&gt;0,-(N49+$B$46)*($E$6/'Loan Amortization'!$D$8),0)</f>
        <v>0</v>
      </c>
      <c r="P49" s="2">
        <f t="shared" si="4"/>
        <v>0</v>
      </c>
      <c r="Q49" s="2">
        <f>IF(P49&gt;0,-(P49+$B$46)*($E$6/'Loan Amortization'!$D$8),0)</f>
        <v>0</v>
      </c>
      <c r="R49" s="2">
        <f t="shared" si="4"/>
        <v>0</v>
      </c>
      <c r="S49" s="2">
        <f>IF(R49&gt;0,-(R49+$B$46)*($E$6/'Loan Amortization'!$D$8),0)</f>
        <v>0</v>
      </c>
      <c r="T49" s="2">
        <f t="shared" si="4"/>
        <v>0</v>
      </c>
      <c r="U49" s="2">
        <f>IF(T49&gt;0,-(T49+$B$46)*($E$6/'Loan Amortization'!$D$8),0)</f>
        <v>0</v>
      </c>
      <c r="V49" s="2">
        <f t="shared" si="4"/>
        <v>0</v>
      </c>
      <c r="W49" s="2">
        <f>IF(V49&gt;0,-(V49+$B$46)*($E$6/'Loan Amortization'!$D$8),0)</f>
        <v>0</v>
      </c>
      <c r="X49" s="501">
        <f t="shared" si="5"/>
        <v>9</v>
      </c>
      <c r="Y49" s="501"/>
      <c r="Z49" s="480"/>
    </row>
    <row r="50" spans="2:26" x14ac:dyDescent="0.15">
      <c r="B50" s="202"/>
      <c r="C50" s="426">
        <v>10</v>
      </c>
      <c r="D50" s="2">
        <f t="shared" si="4"/>
        <v>0</v>
      </c>
      <c r="E50" s="2">
        <f>IF(D50&gt;0,-(D50+$B$46)*($E$6/'Loan Amortization'!$D$8),0)</f>
        <v>0</v>
      </c>
      <c r="F50" s="2">
        <f t="shared" si="4"/>
        <v>0</v>
      </c>
      <c r="G50" s="2">
        <f>IF(F50&gt;0,-(F50+$B$46)*($E$6/'Loan Amortization'!$D$8),0)</f>
        <v>0</v>
      </c>
      <c r="H50" s="2">
        <f t="shared" si="4"/>
        <v>0</v>
      </c>
      <c r="I50" s="2">
        <f>IF(H50&gt;0,-(H50+$B$46)*($E$6/'Loan Amortization'!$D$8),0)</f>
        <v>0</v>
      </c>
      <c r="J50" s="2">
        <f t="shared" si="4"/>
        <v>0</v>
      </c>
      <c r="K50" s="2">
        <f>IF(J50&gt;0,-(J50+$B$46)*($E$6/'Loan Amortization'!$D$8),0)</f>
        <v>0</v>
      </c>
      <c r="L50" s="2">
        <f t="shared" si="4"/>
        <v>0</v>
      </c>
      <c r="M50" s="2">
        <f>IF(L50&gt;0,-(L50+$B$46)*($E$6/'Loan Amortization'!$D$8),0)</f>
        <v>0</v>
      </c>
      <c r="N50" s="2">
        <f t="shared" si="4"/>
        <v>0</v>
      </c>
      <c r="O50" s="2">
        <f>IF(N50&gt;0,-(N50+$B$46)*($E$6/'Loan Amortization'!$D$8),0)</f>
        <v>0</v>
      </c>
      <c r="P50" s="2">
        <f t="shared" si="4"/>
        <v>0</v>
      </c>
      <c r="Q50" s="2">
        <f>IF(P50&gt;0,-(P50+$B$46)*($E$6/'Loan Amortization'!$D$8),0)</f>
        <v>0</v>
      </c>
      <c r="R50" s="2">
        <f t="shared" si="4"/>
        <v>0</v>
      </c>
      <c r="S50" s="2">
        <f>IF(R50&gt;0,-(R50+$B$46)*($E$6/'Loan Amortization'!$D$8),0)</f>
        <v>0</v>
      </c>
      <c r="T50" s="2">
        <f t="shared" si="4"/>
        <v>0</v>
      </c>
      <c r="U50" s="2">
        <f>IF(T50&gt;0,-(T50+$B$46)*($E$6/'Loan Amortization'!$D$8),0)</f>
        <v>0</v>
      </c>
      <c r="V50" s="2">
        <f t="shared" si="4"/>
        <v>0</v>
      </c>
      <c r="W50" s="2">
        <f>IF(V50&gt;0,-(V50+$B$46)*($E$6/'Loan Amortization'!$D$8),0)</f>
        <v>0</v>
      </c>
      <c r="X50" s="501">
        <f t="shared" si="5"/>
        <v>10</v>
      </c>
      <c r="Y50" s="501"/>
      <c r="Z50" s="480"/>
    </row>
    <row r="51" spans="2:26" x14ac:dyDescent="0.15">
      <c r="B51" s="202"/>
      <c r="C51" s="426">
        <v>11</v>
      </c>
      <c r="D51" s="2">
        <f t="shared" si="4"/>
        <v>0</v>
      </c>
      <c r="E51" s="2">
        <f>IF(D51&gt;0,-(D51+$B$46)*($E$6/'Loan Amortization'!$D$8),0)</f>
        <v>0</v>
      </c>
      <c r="F51" s="2">
        <f t="shared" si="4"/>
        <v>0</v>
      </c>
      <c r="G51" s="2">
        <f>IF(F51&gt;0,-(F51+$B$46)*($E$6/'Loan Amortization'!$D$8),0)</f>
        <v>0</v>
      </c>
      <c r="H51" s="2">
        <f t="shared" si="4"/>
        <v>0</v>
      </c>
      <c r="I51" s="2">
        <f>IF(H51&gt;0,-(H51+$B$46)*($E$6/'Loan Amortization'!$D$8),0)</f>
        <v>0</v>
      </c>
      <c r="J51" s="2">
        <f t="shared" si="4"/>
        <v>0</v>
      </c>
      <c r="K51" s="2">
        <f>IF(J51&gt;0,-(J51+$B$46)*($E$6/'Loan Amortization'!$D$8),0)</f>
        <v>0</v>
      </c>
      <c r="L51" s="2">
        <f t="shared" si="4"/>
        <v>0</v>
      </c>
      <c r="M51" s="2">
        <f>IF(L51&gt;0,-(L51+$B$46)*($E$6/'Loan Amortization'!$D$8),0)</f>
        <v>0</v>
      </c>
      <c r="N51" s="2">
        <f t="shared" si="4"/>
        <v>0</v>
      </c>
      <c r="O51" s="2">
        <f>IF(N51&gt;0,-(N51+$B$46)*($E$6/'Loan Amortization'!$D$8),0)</f>
        <v>0</v>
      </c>
      <c r="P51" s="2">
        <f t="shared" si="4"/>
        <v>0</v>
      </c>
      <c r="Q51" s="2">
        <f>IF(P51&gt;0,-(P51+$B$46)*($E$6/'Loan Amortization'!$D$8),0)</f>
        <v>0</v>
      </c>
      <c r="R51" s="2">
        <f t="shared" si="4"/>
        <v>0</v>
      </c>
      <c r="S51" s="2">
        <f>IF(R51&gt;0,-(R51+$B$46)*($E$6/'Loan Amortization'!$D$8),0)</f>
        <v>0</v>
      </c>
      <c r="T51" s="2">
        <f t="shared" si="4"/>
        <v>0</v>
      </c>
      <c r="U51" s="2">
        <f>IF(T51&gt;0,-(T51+$B$46)*($E$6/'Loan Amortization'!$D$8),0)</f>
        <v>0</v>
      </c>
      <c r="V51" s="2">
        <f t="shared" si="4"/>
        <v>0</v>
      </c>
      <c r="W51" s="2">
        <f>IF(V51&gt;0,-(V51+$B$46)*($E$6/'Loan Amortization'!$D$8),0)</f>
        <v>0</v>
      </c>
      <c r="X51" s="501">
        <f t="shared" si="5"/>
        <v>11</v>
      </c>
      <c r="Y51" s="501"/>
      <c r="Z51" s="480"/>
    </row>
    <row r="52" spans="2:26" ht="14" thickBot="1" x14ac:dyDescent="0.2">
      <c r="B52" s="202"/>
      <c r="C52" s="426">
        <v>12</v>
      </c>
      <c r="D52" s="2">
        <f t="shared" si="4"/>
        <v>0</v>
      </c>
      <c r="E52" s="2">
        <f>IF(D52&gt;0,-(D52+$B$46)*($E$6/'Loan Amortization'!$D$8),0)</f>
        <v>0</v>
      </c>
      <c r="F52" s="2">
        <f t="shared" si="4"/>
        <v>0</v>
      </c>
      <c r="G52" s="2">
        <f>IF(F52&gt;0,-(F52+$B$46)*($E$6/'Loan Amortization'!$D$8),0)</f>
        <v>0</v>
      </c>
      <c r="H52" s="2">
        <f t="shared" si="4"/>
        <v>0</v>
      </c>
      <c r="I52" s="2">
        <f>IF(H52&gt;0,-(H52+$B$46)*($E$6/'Loan Amortization'!$D$8),0)</f>
        <v>0</v>
      </c>
      <c r="J52" s="2">
        <f t="shared" si="4"/>
        <v>0</v>
      </c>
      <c r="K52" s="2">
        <f>IF(J52&gt;0,-(J52+$B$46)*($E$6/'Loan Amortization'!$D$8),0)</f>
        <v>0</v>
      </c>
      <c r="L52" s="2">
        <f t="shared" si="4"/>
        <v>0</v>
      </c>
      <c r="M52" s="2">
        <f>IF(L52&gt;0,-(L52+$B$46)*($E$6/'Loan Amortization'!$D$8),0)</f>
        <v>0</v>
      </c>
      <c r="N52" s="2">
        <f t="shared" si="4"/>
        <v>0</v>
      </c>
      <c r="O52" s="2">
        <f>IF(N52&gt;0,-(N52+$B$46)*($E$6/'Loan Amortization'!$D$8),0)</f>
        <v>0</v>
      </c>
      <c r="P52" s="2">
        <f t="shared" si="4"/>
        <v>0</v>
      </c>
      <c r="Q52" s="2">
        <f>IF(P52&gt;0,-(P52+$B$46)*($E$6/'Loan Amortization'!$D$8),0)</f>
        <v>0</v>
      </c>
      <c r="R52" s="2">
        <f t="shared" si="4"/>
        <v>0</v>
      </c>
      <c r="S52" s="2">
        <f>IF(R52&gt;0,-(R52+$B$46)*($E$6/'Loan Amortization'!$D$8),0)</f>
        <v>0</v>
      </c>
      <c r="T52" s="2">
        <f t="shared" si="4"/>
        <v>0</v>
      </c>
      <c r="U52" s="2">
        <f>IF(T52&gt;0,-(T52+$B$46)*($E$6/'Loan Amortization'!$D$8),0)</f>
        <v>0</v>
      </c>
      <c r="V52" s="2">
        <f t="shared" si="4"/>
        <v>0</v>
      </c>
      <c r="W52" s="2">
        <f>IF(V52&gt;0,-(V52+$B$46)*($E$6/'Loan Amortization'!$D$8),0)</f>
        <v>0</v>
      </c>
      <c r="X52" s="501">
        <f t="shared" si="5"/>
        <v>12</v>
      </c>
      <c r="Y52" s="501"/>
      <c r="Z52" s="480"/>
    </row>
    <row r="53" spans="2:26" ht="14" thickBot="1" x14ac:dyDescent="0.2">
      <c r="B53" s="541" t="s">
        <v>45</v>
      </c>
      <c r="C53" s="502" t="s">
        <v>663</v>
      </c>
      <c r="D53" s="503">
        <f>'Level Prin Paymt Fin Sens Calc'!D$138</f>
        <v>0</v>
      </c>
      <c r="E53" s="503">
        <f>'Level Prin Paymt Fin Sens Calc'!E$138</f>
        <v>0</v>
      </c>
      <c r="F53" s="503">
        <f>'Level Prin Paymt Fin Sens Calc'!F$138</f>
        <v>0</v>
      </c>
      <c r="G53" s="503">
        <f>'Level Prin Paymt Fin Sens Calc'!G$138</f>
        <v>0</v>
      </c>
      <c r="H53" s="503">
        <f>'Level Prin Paymt Fin Sens Calc'!H$138</f>
        <v>0</v>
      </c>
      <c r="I53" s="503">
        <f>'Level Prin Paymt Fin Sens Calc'!I$138</f>
        <v>0</v>
      </c>
      <c r="J53" s="503">
        <f>'Level Prin Paymt Fin Sens Calc'!J$138</f>
        <v>0</v>
      </c>
      <c r="K53" s="503">
        <f>'Level Prin Paymt Fin Sens Calc'!K$138</f>
        <v>0</v>
      </c>
      <c r="L53" s="503">
        <f>'Level Prin Paymt Fin Sens Calc'!L$138</f>
        <v>0</v>
      </c>
      <c r="M53" s="503">
        <f>'Level Prin Paymt Fin Sens Calc'!M$138</f>
        <v>0</v>
      </c>
      <c r="N53" s="503">
        <f>'Level Prin Paymt Fin Sens Calc'!N$138</f>
        <v>0</v>
      </c>
      <c r="O53" s="503">
        <f>'Level Prin Paymt Fin Sens Calc'!O$138</f>
        <v>0</v>
      </c>
      <c r="P53" s="503">
        <f>'Level Prin Paymt Fin Sens Calc'!P$138</f>
        <v>0</v>
      </c>
      <c r="Q53" s="503">
        <f>'Level Prin Paymt Fin Sens Calc'!Q$138</f>
        <v>0</v>
      </c>
      <c r="R53" s="503">
        <f>'Level Prin Paymt Fin Sens Calc'!R$138</f>
        <v>0</v>
      </c>
      <c r="S53" s="503">
        <f>'Level Prin Paymt Fin Sens Calc'!S$138</f>
        <v>0</v>
      </c>
      <c r="T53" s="503">
        <f>'Level Prin Paymt Fin Sens Calc'!T$138</f>
        <v>0</v>
      </c>
      <c r="U53" s="503">
        <f>'Level Prin Paymt Fin Sens Calc'!U$138</f>
        <v>0</v>
      </c>
      <c r="V53" s="503">
        <f>'Level Prin Paymt Fin Sens Calc'!V$138</f>
        <v>0</v>
      </c>
      <c r="W53" s="503">
        <f>'Level Prin Paymt Fin Sens Calc'!W$138</f>
        <v>0</v>
      </c>
      <c r="X53" s="504">
        <f t="shared" si="5"/>
        <v>0</v>
      </c>
      <c r="Y53" s="501"/>
      <c r="Z53" s="480"/>
    </row>
    <row r="54" spans="2:26" ht="14" thickBot="1" x14ac:dyDescent="0.2">
      <c r="B54" s="478"/>
      <c r="C54" s="520" t="s">
        <v>273</v>
      </c>
      <c r="D54" s="522"/>
      <c r="E54" s="522">
        <f>IF(D40&gt;$L$10,0,IPMT($E$6,D40,$L$10,$B$234))</f>
        <v>0</v>
      </c>
      <c r="F54" s="522"/>
      <c r="G54" s="522">
        <f>IF(F40&gt;$L$10,0,IPMT($E$6,F40,$L$10,$B$234))</f>
        <v>0</v>
      </c>
      <c r="H54" s="522"/>
      <c r="I54" s="522">
        <f>IF(H40&gt;$L$10,0,IPMT($E$6,H40,$L$10,$B$234))</f>
        <v>0</v>
      </c>
      <c r="J54" s="522"/>
      <c r="K54" s="522">
        <f>IF(J40&gt;$L$10,0,IPMT($E$6,J40,$L$10,$B$234))</f>
        <v>0</v>
      </c>
      <c r="L54" s="522"/>
      <c r="M54" s="522">
        <f>IF(L40&gt;$L$10,0,IPMT($E$6,L40,$L$10,$B$234))</f>
        <v>0</v>
      </c>
      <c r="N54" s="522"/>
      <c r="O54" s="522">
        <f>IF(N40&gt;$L$10,0,IPMT($E$6,N40,$L$10,$B$234))</f>
        <v>0</v>
      </c>
      <c r="P54" s="522"/>
      <c r="Q54" s="522">
        <f>IF(P40&gt;$L$10,0,IPMT($E$6,P40,$L$10,$B$234))</f>
        <v>0</v>
      </c>
      <c r="R54" s="522"/>
      <c r="S54" s="522">
        <f>IF(R40&gt;$L$10,0,IPMT($E$6,R40,$L$10,$B$234))</f>
        <v>0</v>
      </c>
      <c r="T54" s="522"/>
      <c r="U54" s="522">
        <f>IF(T40&gt;$L$10,0,IPMT($E$6,T40,$L$10,$B$234))</f>
        <v>0</v>
      </c>
      <c r="V54" s="522"/>
      <c r="W54" s="522">
        <f>IF(V40&gt;$L$10,0,IPMT($E$6,V40,$L$10,$B$234))</f>
        <v>0</v>
      </c>
      <c r="X54" s="504">
        <f t="shared" si="5"/>
        <v>0</v>
      </c>
      <c r="Y54" s="548"/>
      <c r="Z54" s="482"/>
    </row>
    <row r="55" spans="2:26" ht="14" thickBot="1" x14ac:dyDescent="0.2">
      <c r="B55" s="8"/>
      <c r="C55" s="502" t="s">
        <v>664</v>
      </c>
      <c r="D55" s="558">
        <f>D40</f>
        <v>1</v>
      </c>
      <c r="E55" s="559">
        <f>F40</f>
        <v>2</v>
      </c>
      <c r="F55" s="559">
        <f>H40</f>
        <v>3</v>
      </c>
      <c r="G55" s="559">
        <f>J40</f>
        <v>4</v>
      </c>
      <c r="H55" s="559">
        <f>L40</f>
        <v>5</v>
      </c>
      <c r="I55" s="559">
        <f>N40</f>
        <v>6</v>
      </c>
      <c r="J55" s="559">
        <f>P40</f>
        <v>7</v>
      </c>
      <c r="K55" s="559">
        <f>R40</f>
        <v>8</v>
      </c>
      <c r="L55" s="559">
        <f>T40</f>
        <v>9</v>
      </c>
      <c r="M55" s="559">
        <f>V40</f>
        <v>10</v>
      </c>
      <c r="N55" s="560" t="str">
        <f>X40</f>
        <v>TOTAL</v>
      </c>
      <c r="O55" s="2"/>
      <c r="P55" s="2"/>
      <c r="Q55" s="2"/>
      <c r="R55" s="2"/>
      <c r="S55" s="2"/>
      <c r="T55" s="2"/>
      <c r="U55" s="2"/>
      <c r="V55" s="2"/>
      <c r="W55" s="2"/>
      <c r="X55" s="2"/>
      <c r="Y55" s="2"/>
    </row>
    <row r="56" spans="2:26" ht="14" thickBot="1" x14ac:dyDescent="0.2">
      <c r="B56" s="8"/>
      <c r="C56" s="502" t="s">
        <v>663</v>
      </c>
      <c r="D56" s="561">
        <f>D53</f>
        <v>0</v>
      </c>
      <c r="E56" s="2">
        <f>F53</f>
        <v>0</v>
      </c>
      <c r="F56" s="2">
        <f>H53</f>
        <v>0</v>
      </c>
      <c r="G56" s="2">
        <f>J53</f>
        <v>0</v>
      </c>
      <c r="H56" s="2">
        <f>L53</f>
        <v>0</v>
      </c>
      <c r="I56" s="2">
        <f>N53</f>
        <v>0</v>
      </c>
      <c r="J56" s="2">
        <f>P53</f>
        <v>0</v>
      </c>
      <c r="K56" s="2">
        <f>R53</f>
        <v>0</v>
      </c>
      <c r="L56" s="2">
        <f>T53</f>
        <v>0</v>
      </c>
      <c r="M56" s="2">
        <f>V53</f>
        <v>0</v>
      </c>
      <c r="N56" s="501">
        <f>X53</f>
        <v>0</v>
      </c>
      <c r="O56" s="2"/>
      <c r="P56" s="2"/>
      <c r="Q56" s="2"/>
      <c r="R56" s="2"/>
      <c r="S56" s="2"/>
      <c r="T56" s="2"/>
      <c r="U56" s="2"/>
      <c r="V56" s="2"/>
      <c r="W56" s="2"/>
      <c r="X56" s="2"/>
      <c r="Y56" s="2"/>
    </row>
    <row r="57" spans="2:26" ht="14" thickBot="1" x14ac:dyDescent="0.2">
      <c r="B57" s="8"/>
      <c r="C57" s="520" t="s">
        <v>273</v>
      </c>
      <c r="D57" s="562">
        <f>E54</f>
        <v>0</v>
      </c>
      <c r="E57" s="522">
        <f>G54</f>
        <v>0</v>
      </c>
      <c r="F57" s="522">
        <f>I54</f>
        <v>0</v>
      </c>
      <c r="G57" s="522">
        <f>K54</f>
        <v>0</v>
      </c>
      <c r="H57" s="522">
        <f>M54</f>
        <v>0</v>
      </c>
      <c r="I57" s="522">
        <f>O54</f>
        <v>0</v>
      </c>
      <c r="J57" s="522">
        <f>Q54</f>
        <v>0</v>
      </c>
      <c r="K57" s="522">
        <f>S54</f>
        <v>0</v>
      </c>
      <c r="L57" s="522">
        <f>U54</f>
        <v>0</v>
      </c>
      <c r="M57" s="522">
        <f>W54</f>
        <v>0</v>
      </c>
      <c r="N57" s="548">
        <f>X54</f>
        <v>0</v>
      </c>
      <c r="O57" s="2"/>
      <c r="P57" s="2"/>
      <c r="Q57" s="2"/>
      <c r="R57" s="2"/>
      <c r="S57" s="2"/>
      <c r="T57" s="2"/>
      <c r="U57" s="2"/>
      <c r="V57" s="2"/>
      <c r="W57" s="2"/>
      <c r="X57" s="2"/>
      <c r="Y57" s="2"/>
    </row>
    <row r="58" spans="2:26" x14ac:dyDescent="0.15">
      <c r="D58" s="66"/>
    </row>
    <row r="59" spans="2:26" ht="14" thickBot="1" x14ac:dyDescent="0.2"/>
    <row r="60" spans="2:26" ht="14" thickBot="1" x14ac:dyDescent="0.2">
      <c r="B60" s="495" t="s">
        <v>414</v>
      </c>
      <c r="C60" s="178"/>
      <c r="D60" s="483" t="s">
        <v>133</v>
      </c>
      <c r="E60" s="483"/>
      <c r="F60" s="483" t="s">
        <v>133</v>
      </c>
      <c r="G60" s="483"/>
      <c r="H60" s="483" t="s">
        <v>133</v>
      </c>
      <c r="I60" s="483"/>
      <c r="J60" s="483" t="s">
        <v>133</v>
      </c>
      <c r="K60" s="483"/>
      <c r="L60" s="483" t="s">
        <v>133</v>
      </c>
      <c r="M60" s="483"/>
      <c r="N60" s="483" t="s">
        <v>133</v>
      </c>
      <c r="O60" s="483"/>
      <c r="P60" s="483" t="s">
        <v>133</v>
      </c>
      <c r="Q60" s="483"/>
      <c r="R60" s="483" t="s">
        <v>133</v>
      </c>
      <c r="S60" s="483"/>
      <c r="T60" s="483" t="s">
        <v>133</v>
      </c>
      <c r="U60" s="483"/>
      <c r="V60" s="483" t="s">
        <v>133</v>
      </c>
      <c r="W60" s="483"/>
      <c r="X60" s="178"/>
      <c r="Y60" s="178"/>
      <c r="Z60" s="497" t="str">
        <f>B60</f>
        <v>-15%</v>
      </c>
    </row>
    <row r="61" spans="2:26" x14ac:dyDescent="0.15">
      <c r="B61" s="426"/>
      <c r="C61" s="4" t="s">
        <v>660</v>
      </c>
      <c r="D61" s="4">
        <v>1</v>
      </c>
      <c r="E61" s="4"/>
      <c r="F61" s="4">
        <f>D61+1</f>
        <v>2</v>
      </c>
      <c r="G61" s="4"/>
      <c r="H61" s="4">
        <f>F61+1</f>
        <v>3</v>
      </c>
      <c r="I61" s="4"/>
      <c r="J61" s="4">
        <f>H61+1</f>
        <v>4</v>
      </c>
      <c r="K61" s="4"/>
      <c r="L61" s="4">
        <f>J61+1</f>
        <v>5</v>
      </c>
      <c r="M61" s="4"/>
      <c r="N61" s="4">
        <f>L61+1</f>
        <v>6</v>
      </c>
      <c r="O61" s="4"/>
      <c r="P61" s="4">
        <f>N61+1</f>
        <v>7</v>
      </c>
      <c r="Q61" s="4"/>
      <c r="R61" s="4">
        <f>P61+1</f>
        <v>8</v>
      </c>
      <c r="S61" s="4"/>
      <c r="T61" s="4">
        <f>R61+1</f>
        <v>9</v>
      </c>
      <c r="U61" s="4"/>
      <c r="V61" s="4">
        <f>T61+1</f>
        <v>10</v>
      </c>
      <c r="W61" s="4"/>
      <c r="X61" s="4" t="s">
        <v>285</v>
      </c>
      <c r="Y61" s="4"/>
      <c r="Z61" s="479"/>
    </row>
    <row r="62" spans="2:26" x14ac:dyDescent="0.15">
      <c r="B62" s="202" t="s">
        <v>661</v>
      </c>
      <c r="C62" s="4">
        <v>1</v>
      </c>
      <c r="D62" s="2">
        <f>IF(D$19&lt;($L$10+1),$B$66-((((D$19-1)*12)+$C62)*$B$67),0)</f>
        <v>0</v>
      </c>
      <c r="E62" s="2">
        <f>IF(D62&gt;0,-(D62+$B$67)*($E$7/'Loan Amortization'!$D$8),0)</f>
        <v>0</v>
      </c>
      <c r="F62" s="2">
        <f>IF(F$19&lt;($L$10+1),$B$66-((((F$19-1)*12)+$C62)*$B$67),0)</f>
        <v>0</v>
      </c>
      <c r="G62" s="2">
        <f>IF(F62&gt;0,-(F62+$B$67)*($E$7/'Loan Amortization'!$D$8),0)</f>
        <v>0</v>
      </c>
      <c r="H62" s="2">
        <f>IF(H$19&lt;($L$10+1),$B$66-((((H$19-1)*12)+$C62)*$B$67),0)</f>
        <v>0</v>
      </c>
      <c r="I62" s="2">
        <f>IF(H62&gt;0,-(H62+$B$67)*($E$7/'Loan Amortization'!$D$8),0)</f>
        <v>0</v>
      </c>
      <c r="J62" s="2">
        <f>IF(J$19&lt;($L$10+1),$B$66-((((J$19-1)*12)+$C62)*$B$67),0)</f>
        <v>0</v>
      </c>
      <c r="K62" s="2">
        <f>IF(J62&gt;0,-(J62+$B$67)*($E$7/'Loan Amortization'!$D$8),0)</f>
        <v>0</v>
      </c>
      <c r="L62" s="2">
        <f>IF(L$19&lt;($L$10+1),$B$66-((((L$19-1)*12)+$C62)*$B$67),0)</f>
        <v>0</v>
      </c>
      <c r="M62" s="2">
        <f>IF(L62&gt;0,-(L62+$B$67)*($E$7/'Loan Amortization'!$D$8),0)</f>
        <v>0</v>
      </c>
      <c r="N62" s="2">
        <f>IF(N$19&lt;($L$10+1),$B$66-((((N$19-1)*12)+$C62)*$B$67),0)</f>
        <v>0</v>
      </c>
      <c r="O62" s="2">
        <f>IF(N62&gt;0,-(N62+$B$67)*($E$7/'Loan Amortization'!$D$8),0)</f>
        <v>0</v>
      </c>
      <c r="P62" s="2">
        <f>IF(P$19&lt;($L$10+1),$B$66-((((P$19-1)*12)+$C62)*$B$67),0)</f>
        <v>0</v>
      </c>
      <c r="Q62" s="2">
        <f>IF(P62&gt;0,-(P62+$B$67)*($E$7/'Loan Amortization'!$D$8),0)</f>
        <v>0</v>
      </c>
      <c r="R62" s="2">
        <f>IF(R$19&lt;($L$10+1),$B$66-((((R$19-1)*12)+$C62)*$B$67),0)</f>
        <v>0</v>
      </c>
      <c r="S62" s="2">
        <f>IF(R62&gt;0,-(R62+$B$67)*($E$7/'Loan Amortization'!$D$8),0)</f>
        <v>0</v>
      </c>
      <c r="T62" s="2">
        <f>IF(T$19&lt;($L$10+1),$B$66-((((T$19-1)*12)+$C62)*$B$67),0)</f>
        <v>0</v>
      </c>
      <c r="U62" s="2">
        <f>IF(T62&gt;0,-(T62+$B$67)*($E$7/'Loan Amortization'!$D$8),0)</f>
        <v>0</v>
      </c>
      <c r="V62" s="2">
        <f>IF(V$19&lt;($L$10+1),$B$66-((((V$19-1)*12)+$C62)*$B$67),0)</f>
        <v>0</v>
      </c>
      <c r="W62" s="2">
        <f>IF(V62&gt;0,-(V62+$B$67)*($E$7/'Loan Amortization'!$D$8),0)</f>
        <v>0</v>
      </c>
      <c r="X62" s="2">
        <f>SUM(C62:V62)</f>
        <v>1</v>
      </c>
      <c r="Y62" s="2"/>
      <c r="Z62" s="480"/>
    </row>
    <row r="63" spans="2:26" x14ac:dyDescent="0.15">
      <c r="B63" s="511">
        <f>-PMT($L$6/12,$L$10*12,C7)</f>
        <v>0</v>
      </c>
      <c r="C63" s="4">
        <v>2</v>
      </c>
      <c r="D63" s="2">
        <f t="shared" ref="D63:V73" si="6">IF(D$19&lt;($L$10+1),$B$66-((((D$19-1)*12)+$C63)*$B$67),0)</f>
        <v>0</v>
      </c>
      <c r="E63" s="2">
        <f>IF(D63&gt;0,-(D63+$B$67)*($E$7/'Loan Amortization'!$D$8),0)</f>
        <v>0</v>
      </c>
      <c r="F63" s="2">
        <f t="shared" si="6"/>
        <v>0</v>
      </c>
      <c r="G63" s="2">
        <f>IF(F63&gt;0,-(F63+$B$67)*($E$7/'Loan Amortization'!$D$8),0)</f>
        <v>0</v>
      </c>
      <c r="H63" s="2">
        <f t="shared" si="6"/>
        <v>0</v>
      </c>
      <c r="I63" s="2">
        <f>IF(H63&gt;0,-(H63+$B$67)*($E$7/'Loan Amortization'!$D$8),0)</f>
        <v>0</v>
      </c>
      <c r="J63" s="2">
        <f t="shared" si="6"/>
        <v>0</v>
      </c>
      <c r="K63" s="2">
        <f>IF(J63&gt;0,-(J63+$B$67)*($E$7/'Loan Amortization'!$D$8),0)</f>
        <v>0</v>
      </c>
      <c r="L63" s="2">
        <f t="shared" si="6"/>
        <v>0</v>
      </c>
      <c r="M63" s="2">
        <f>IF(L63&gt;0,-(L63+$B$67)*($E$7/'Loan Amortization'!$D$8),0)</f>
        <v>0</v>
      </c>
      <c r="N63" s="2">
        <f t="shared" si="6"/>
        <v>0</v>
      </c>
      <c r="O63" s="2">
        <f>IF(N63&gt;0,-(N63+$B$67)*($E$7/'Loan Amortization'!$D$8),0)</f>
        <v>0</v>
      </c>
      <c r="P63" s="2">
        <f t="shared" si="6"/>
        <v>0</v>
      </c>
      <c r="Q63" s="2">
        <f>IF(P63&gt;0,-(P63+$B$67)*($E$7/'Loan Amortization'!$D$8),0)</f>
        <v>0</v>
      </c>
      <c r="R63" s="2">
        <f t="shared" si="6"/>
        <v>0</v>
      </c>
      <c r="S63" s="2">
        <f>IF(R63&gt;0,-(R63+$B$67)*($E$7/'Loan Amortization'!$D$8),0)</f>
        <v>0</v>
      </c>
      <c r="T63" s="2">
        <f t="shared" si="6"/>
        <v>0</v>
      </c>
      <c r="U63" s="2">
        <f>IF(T63&gt;0,-(T63+$B$67)*($E$7/'Loan Amortization'!$D$8),0)</f>
        <v>0</v>
      </c>
      <c r="V63" s="2">
        <f t="shared" si="6"/>
        <v>0</v>
      </c>
      <c r="W63" s="2">
        <f>IF(V63&gt;0,-(V63+$B$67)*($E$7/'Loan Amortization'!$D$8),0)</f>
        <v>0</v>
      </c>
      <c r="X63" s="2">
        <f t="shared" ref="X63:X75" si="7">SUM(C63:V63)</f>
        <v>2</v>
      </c>
      <c r="Y63" s="2"/>
      <c r="Z63" s="480"/>
    </row>
    <row r="64" spans="2:26" x14ac:dyDescent="0.15">
      <c r="B64" s="540">
        <f>B63*12</f>
        <v>0</v>
      </c>
      <c r="C64" s="4">
        <v>3</v>
      </c>
      <c r="D64" s="2">
        <f t="shared" si="6"/>
        <v>0</v>
      </c>
      <c r="E64" s="2">
        <f>IF(D64&gt;0,-(D64+$B$67)*($E$7/'Loan Amortization'!$D$8),0)</f>
        <v>0</v>
      </c>
      <c r="F64" s="2">
        <f t="shared" si="6"/>
        <v>0</v>
      </c>
      <c r="G64" s="2">
        <f>IF(F64&gt;0,-(F64+$B$67)*($E$7/'Loan Amortization'!$D$8),0)</f>
        <v>0</v>
      </c>
      <c r="H64" s="2">
        <f t="shared" si="6"/>
        <v>0</v>
      </c>
      <c r="I64" s="2">
        <f>IF(H64&gt;0,-(H64+$B$67)*($E$7/'Loan Amortization'!$D$8),0)</f>
        <v>0</v>
      </c>
      <c r="J64" s="2">
        <f t="shared" si="6"/>
        <v>0</v>
      </c>
      <c r="K64" s="2">
        <f>IF(J64&gt;0,-(J64+$B$67)*($E$7/'Loan Amortization'!$D$8),0)</f>
        <v>0</v>
      </c>
      <c r="L64" s="2">
        <f t="shared" si="6"/>
        <v>0</v>
      </c>
      <c r="M64" s="2">
        <f>IF(L64&gt;0,-(L64+$B$67)*($E$7/'Loan Amortization'!$D$8),0)</f>
        <v>0</v>
      </c>
      <c r="N64" s="2">
        <f t="shared" si="6"/>
        <v>0</v>
      </c>
      <c r="O64" s="2">
        <f>IF(N64&gt;0,-(N64+$B$67)*($E$7/'Loan Amortization'!$D$8),0)</f>
        <v>0</v>
      </c>
      <c r="P64" s="2">
        <f t="shared" si="6"/>
        <v>0</v>
      </c>
      <c r="Q64" s="2">
        <f>IF(P64&gt;0,-(P64+$B$67)*($E$7/'Loan Amortization'!$D$8),0)</f>
        <v>0</v>
      </c>
      <c r="R64" s="2">
        <f t="shared" si="6"/>
        <v>0</v>
      </c>
      <c r="S64" s="2">
        <f>IF(R64&gt;0,-(R64+$B$67)*($E$7/'Loan Amortization'!$D$8),0)</f>
        <v>0</v>
      </c>
      <c r="T64" s="2">
        <f t="shared" si="6"/>
        <v>0</v>
      </c>
      <c r="U64" s="2">
        <f>IF(T64&gt;0,-(T64+$B$67)*($E$7/'Loan Amortization'!$D$8),0)</f>
        <v>0</v>
      </c>
      <c r="V64" s="2">
        <f t="shared" si="6"/>
        <v>0</v>
      </c>
      <c r="W64" s="2">
        <f>IF(V64&gt;0,-(V64+$B$67)*($E$7/'Loan Amortization'!$D$8),0)</f>
        <v>0</v>
      </c>
      <c r="X64" s="2">
        <f t="shared" si="7"/>
        <v>3</v>
      </c>
      <c r="Y64" s="2"/>
      <c r="Z64" s="480"/>
    </row>
    <row r="65" spans="2:26" x14ac:dyDescent="0.15">
      <c r="B65" s="202" t="s">
        <v>662</v>
      </c>
      <c r="C65" s="4">
        <v>4</v>
      </c>
      <c r="D65" s="2">
        <f t="shared" si="6"/>
        <v>0</v>
      </c>
      <c r="E65" s="2">
        <f>IF(D65&gt;0,-(D65+$B$67)*($E$7/'Loan Amortization'!$D$8),0)</f>
        <v>0</v>
      </c>
      <c r="F65" s="2">
        <f t="shared" si="6"/>
        <v>0</v>
      </c>
      <c r="G65" s="2">
        <f>IF(F65&gt;0,-(F65+$B$67)*($E$7/'Loan Amortization'!$D$8),0)</f>
        <v>0</v>
      </c>
      <c r="H65" s="2">
        <f t="shared" si="6"/>
        <v>0</v>
      </c>
      <c r="I65" s="2">
        <f>IF(H65&gt;0,-(H65+$B$67)*($E$7/'Loan Amortization'!$D$8),0)</f>
        <v>0</v>
      </c>
      <c r="J65" s="2">
        <f t="shared" si="6"/>
        <v>0</v>
      </c>
      <c r="K65" s="2">
        <f>IF(J65&gt;0,-(J65+$B$67)*($E$7/'Loan Amortization'!$D$8),0)</f>
        <v>0</v>
      </c>
      <c r="L65" s="2">
        <f t="shared" si="6"/>
        <v>0</v>
      </c>
      <c r="M65" s="2">
        <f>IF(L65&gt;0,-(L65+$B$67)*($E$7/'Loan Amortization'!$D$8),0)</f>
        <v>0</v>
      </c>
      <c r="N65" s="2">
        <f t="shared" si="6"/>
        <v>0</v>
      </c>
      <c r="O65" s="2">
        <f>IF(N65&gt;0,-(N65+$B$67)*($E$7/'Loan Amortization'!$D$8),0)</f>
        <v>0</v>
      </c>
      <c r="P65" s="2">
        <f t="shared" si="6"/>
        <v>0</v>
      </c>
      <c r="Q65" s="2">
        <f>IF(P65&gt;0,-(P65+$B$67)*($E$7/'Loan Amortization'!$D$8),0)</f>
        <v>0</v>
      </c>
      <c r="R65" s="2">
        <f t="shared" si="6"/>
        <v>0</v>
      </c>
      <c r="S65" s="2">
        <f>IF(R65&gt;0,-(R65+$B$67)*($E$7/'Loan Amortization'!$D$8),0)</f>
        <v>0</v>
      </c>
      <c r="T65" s="2">
        <f t="shared" si="6"/>
        <v>0</v>
      </c>
      <c r="U65" s="2">
        <f>IF(T65&gt;0,-(T65+$B$67)*($E$7/'Loan Amortization'!$D$8),0)</f>
        <v>0</v>
      </c>
      <c r="V65" s="2">
        <f t="shared" si="6"/>
        <v>0</v>
      </c>
      <c r="W65" s="2">
        <f>IF(V65&gt;0,-(V65+$B$67)*($E$7/'Loan Amortization'!$D$8),0)</f>
        <v>0</v>
      </c>
      <c r="X65" s="2">
        <f t="shared" si="7"/>
        <v>4</v>
      </c>
      <c r="Y65" s="2"/>
      <c r="Z65" s="480"/>
    </row>
    <row r="66" spans="2:26" x14ac:dyDescent="0.15">
      <c r="B66" s="521">
        <f>C7</f>
        <v>0</v>
      </c>
      <c r="C66" s="4">
        <v>5</v>
      </c>
      <c r="D66" s="2">
        <f t="shared" si="6"/>
        <v>0</v>
      </c>
      <c r="E66" s="2">
        <f>IF(D66&gt;0,-(D66+$B$67)*($E$7/'Loan Amortization'!$D$8),0)</f>
        <v>0</v>
      </c>
      <c r="F66" s="2">
        <f t="shared" si="6"/>
        <v>0</v>
      </c>
      <c r="G66" s="2">
        <f>IF(F66&gt;0,-(F66+$B$67)*($E$7/'Loan Amortization'!$D$8),0)</f>
        <v>0</v>
      </c>
      <c r="H66" s="2">
        <f t="shared" si="6"/>
        <v>0</v>
      </c>
      <c r="I66" s="2">
        <f>IF(H66&gt;0,-(H66+$B$67)*($E$7/'Loan Amortization'!$D$8),0)</f>
        <v>0</v>
      </c>
      <c r="J66" s="2">
        <f t="shared" si="6"/>
        <v>0</v>
      </c>
      <c r="K66" s="2">
        <f>IF(J66&gt;0,-(J66+$B$67)*($E$7/'Loan Amortization'!$D$8),0)</f>
        <v>0</v>
      </c>
      <c r="L66" s="2">
        <f t="shared" si="6"/>
        <v>0</v>
      </c>
      <c r="M66" s="2">
        <f>IF(L66&gt;0,-(L66+$B$67)*($E$7/'Loan Amortization'!$D$8),0)</f>
        <v>0</v>
      </c>
      <c r="N66" s="2">
        <f t="shared" si="6"/>
        <v>0</v>
      </c>
      <c r="O66" s="2">
        <f>IF(N66&gt;0,-(N66+$B$67)*($E$7/'Loan Amortization'!$D$8),0)</f>
        <v>0</v>
      </c>
      <c r="P66" s="2">
        <f t="shared" si="6"/>
        <v>0</v>
      </c>
      <c r="Q66" s="2">
        <f>IF(P66&gt;0,-(P66+$B$67)*($E$7/'Loan Amortization'!$D$8),0)</f>
        <v>0</v>
      </c>
      <c r="R66" s="2">
        <f t="shared" si="6"/>
        <v>0</v>
      </c>
      <c r="S66" s="2">
        <f>IF(R66&gt;0,-(R66+$B$67)*($E$7/'Loan Amortization'!$D$8),0)</f>
        <v>0</v>
      </c>
      <c r="T66" s="2">
        <f t="shared" si="6"/>
        <v>0</v>
      </c>
      <c r="U66" s="2">
        <f>IF(T66&gt;0,-(T66+$B$67)*($E$7/'Loan Amortization'!$D$8),0)</f>
        <v>0</v>
      </c>
      <c r="V66" s="2">
        <f t="shared" si="6"/>
        <v>0</v>
      </c>
      <c r="W66" s="2">
        <f>IF(V66&gt;0,-(V66+$B$67)*($E$7/'Loan Amortization'!$D$8),0)</f>
        <v>0</v>
      </c>
      <c r="X66" s="2">
        <f t="shared" si="7"/>
        <v>5</v>
      </c>
      <c r="Y66" s="2"/>
      <c r="Z66" s="480"/>
    </row>
    <row r="67" spans="2:26" x14ac:dyDescent="0.15">
      <c r="B67" s="521">
        <f>B66/($L$10*12)</f>
        <v>0</v>
      </c>
      <c r="C67" s="4">
        <v>6</v>
      </c>
      <c r="D67" s="2">
        <f t="shared" si="6"/>
        <v>0</v>
      </c>
      <c r="E67" s="2">
        <f>IF(D67&gt;0,-(D67+$B$67)*($E$7/'Loan Amortization'!$D$8),0)</f>
        <v>0</v>
      </c>
      <c r="F67" s="2">
        <f t="shared" si="6"/>
        <v>0</v>
      </c>
      <c r="G67" s="2">
        <f>IF(F67&gt;0,-(F67+$B$67)*($E$7/'Loan Amortization'!$D$8),0)</f>
        <v>0</v>
      </c>
      <c r="H67" s="2">
        <f t="shared" si="6"/>
        <v>0</v>
      </c>
      <c r="I67" s="2">
        <f>IF(H67&gt;0,-(H67+$B$67)*($E$7/'Loan Amortization'!$D$8),0)</f>
        <v>0</v>
      </c>
      <c r="J67" s="2">
        <f t="shared" si="6"/>
        <v>0</v>
      </c>
      <c r="K67" s="2">
        <f>IF(J67&gt;0,-(J67+$B$67)*($E$7/'Loan Amortization'!$D$8),0)</f>
        <v>0</v>
      </c>
      <c r="L67" s="2">
        <f t="shared" si="6"/>
        <v>0</v>
      </c>
      <c r="M67" s="2">
        <f>IF(L67&gt;0,-(L67+$B$67)*($E$7/'Loan Amortization'!$D$8),0)</f>
        <v>0</v>
      </c>
      <c r="N67" s="2">
        <f t="shared" si="6"/>
        <v>0</v>
      </c>
      <c r="O67" s="2">
        <f>IF(N67&gt;0,-(N67+$B$67)*($E$7/'Loan Amortization'!$D$8),0)</f>
        <v>0</v>
      </c>
      <c r="P67" s="2">
        <f t="shared" si="6"/>
        <v>0</v>
      </c>
      <c r="Q67" s="2">
        <f>IF(P67&gt;0,-(P67+$B$67)*($E$7/'Loan Amortization'!$D$8),0)</f>
        <v>0</v>
      </c>
      <c r="R67" s="2">
        <f t="shared" si="6"/>
        <v>0</v>
      </c>
      <c r="S67" s="2">
        <f>IF(R67&gt;0,-(R67+$B$67)*($E$7/'Loan Amortization'!$D$8),0)</f>
        <v>0</v>
      </c>
      <c r="T67" s="2">
        <f t="shared" si="6"/>
        <v>0</v>
      </c>
      <c r="U67" s="2">
        <f>IF(T67&gt;0,-(T67+$B$67)*($E$7/'Loan Amortization'!$D$8),0)</f>
        <v>0</v>
      </c>
      <c r="V67" s="2">
        <f t="shared" si="6"/>
        <v>0</v>
      </c>
      <c r="W67" s="2">
        <f>IF(V67&gt;0,-(V67+$B$67)*($E$7/'Loan Amortization'!$D$8),0)</f>
        <v>0</v>
      </c>
      <c r="X67" s="2">
        <f t="shared" si="7"/>
        <v>6</v>
      </c>
      <c r="Y67" s="2"/>
      <c r="Z67" s="480"/>
    </row>
    <row r="68" spans="2:26" x14ac:dyDescent="0.15">
      <c r="B68" s="202"/>
      <c r="C68" s="4">
        <v>7</v>
      </c>
      <c r="D68" s="2">
        <f t="shared" si="6"/>
        <v>0</v>
      </c>
      <c r="E68" s="2">
        <f>IF(D68&gt;0,-(D68+$B$67)*($E$7/'Loan Amortization'!$D$8),0)</f>
        <v>0</v>
      </c>
      <c r="F68" s="2">
        <f t="shared" si="6"/>
        <v>0</v>
      </c>
      <c r="G68" s="2">
        <f>IF(F68&gt;0,-(F68+$B$67)*($E$7/'Loan Amortization'!$D$8),0)</f>
        <v>0</v>
      </c>
      <c r="H68" s="2">
        <f t="shared" si="6"/>
        <v>0</v>
      </c>
      <c r="I68" s="2">
        <f>IF(H68&gt;0,-(H68+$B$67)*($E$7/'Loan Amortization'!$D$8),0)</f>
        <v>0</v>
      </c>
      <c r="J68" s="2">
        <f t="shared" si="6"/>
        <v>0</v>
      </c>
      <c r="K68" s="2">
        <f>IF(J68&gt;0,-(J68+$B$67)*($E$7/'Loan Amortization'!$D$8),0)</f>
        <v>0</v>
      </c>
      <c r="L68" s="2">
        <f t="shared" si="6"/>
        <v>0</v>
      </c>
      <c r="M68" s="2">
        <f>IF(L68&gt;0,-(L68+$B$67)*($E$7/'Loan Amortization'!$D$8),0)</f>
        <v>0</v>
      </c>
      <c r="N68" s="2">
        <f t="shared" si="6"/>
        <v>0</v>
      </c>
      <c r="O68" s="2">
        <f>IF(N68&gt;0,-(N68+$B$67)*($E$7/'Loan Amortization'!$D$8),0)</f>
        <v>0</v>
      </c>
      <c r="P68" s="2">
        <f t="shared" si="6"/>
        <v>0</v>
      </c>
      <c r="Q68" s="2">
        <f>IF(P68&gt;0,-(P68+$B$67)*($E$7/'Loan Amortization'!$D$8),0)</f>
        <v>0</v>
      </c>
      <c r="R68" s="2">
        <f t="shared" si="6"/>
        <v>0</v>
      </c>
      <c r="S68" s="2">
        <f>IF(R68&gt;0,-(R68+$B$67)*($E$7/'Loan Amortization'!$D$8),0)</f>
        <v>0</v>
      </c>
      <c r="T68" s="2">
        <f t="shared" si="6"/>
        <v>0</v>
      </c>
      <c r="U68" s="2">
        <f>IF(T68&gt;0,-(T68+$B$67)*($E$7/'Loan Amortization'!$D$8),0)</f>
        <v>0</v>
      </c>
      <c r="V68" s="2">
        <f t="shared" si="6"/>
        <v>0</v>
      </c>
      <c r="W68" s="2">
        <f>IF(V68&gt;0,-(V68+$B$67)*($E$7/'Loan Amortization'!$D$8),0)</f>
        <v>0</v>
      </c>
      <c r="X68" s="2">
        <f t="shared" si="7"/>
        <v>7</v>
      </c>
      <c r="Y68" s="2"/>
      <c r="Z68" s="480"/>
    </row>
    <row r="69" spans="2:26" x14ac:dyDescent="0.15">
      <c r="B69" s="202"/>
      <c r="C69" s="4">
        <v>8</v>
      </c>
      <c r="D69" s="2">
        <f t="shared" si="6"/>
        <v>0</v>
      </c>
      <c r="E69" s="2">
        <f>IF(D69&gt;0,-(D69+$B$67)*($E$7/'Loan Amortization'!$D$8),0)</f>
        <v>0</v>
      </c>
      <c r="F69" s="2">
        <f t="shared" si="6"/>
        <v>0</v>
      </c>
      <c r="G69" s="2">
        <f>IF(F69&gt;0,-(F69+$B$67)*($E$7/'Loan Amortization'!$D$8),0)</f>
        <v>0</v>
      </c>
      <c r="H69" s="2">
        <f t="shared" si="6"/>
        <v>0</v>
      </c>
      <c r="I69" s="2">
        <f>IF(H69&gt;0,-(H69+$B$67)*($E$7/'Loan Amortization'!$D$8),0)</f>
        <v>0</v>
      </c>
      <c r="J69" s="2">
        <f t="shared" si="6"/>
        <v>0</v>
      </c>
      <c r="K69" s="2">
        <f>IF(J69&gt;0,-(J69+$B$67)*($E$7/'Loan Amortization'!$D$8),0)</f>
        <v>0</v>
      </c>
      <c r="L69" s="2">
        <f t="shared" si="6"/>
        <v>0</v>
      </c>
      <c r="M69" s="2">
        <f>IF(L69&gt;0,-(L69+$B$67)*($E$7/'Loan Amortization'!$D$8),0)</f>
        <v>0</v>
      </c>
      <c r="N69" s="2">
        <f t="shared" si="6"/>
        <v>0</v>
      </c>
      <c r="O69" s="2">
        <f>IF(N69&gt;0,-(N69+$B$67)*($E$7/'Loan Amortization'!$D$8),0)</f>
        <v>0</v>
      </c>
      <c r="P69" s="2">
        <f t="shared" si="6"/>
        <v>0</v>
      </c>
      <c r="Q69" s="2">
        <f>IF(P69&gt;0,-(P69+$B$67)*($E$7/'Loan Amortization'!$D$8),0)</f>
        <v>0</v>
      </c>
      <c r="R69" s="2">
        <f t="shared" si="6"/>
        <v>0</v>
      </c>
      <c r="S69" s="2">
        <f>IF(R69&gt;0,-(R69+$B$67)*($E$7/'Loan Amortization'!$D$8),0)</f>
        <v>0</v>
      </c>
      <c r="T69" s="2">
        <f t="shared" si="6"/>
        <v>0</v>
      </c>
      <c r="U69" s="2">
        <f>IF(T69&gt;0,-(T69+$B$67)*($E$7/'Loan Amortization'!$D$8),0)</f>
        <v>0</v>
      </c>
      <c r="V69" s="2">
        <f t="shared" si="6"/>
        <v>0</v>
      </c>
      <c r="W69" s="2">
        <f>IF(V69&gt;0,-(V69+$B$67)*($E$7/'Loan Amortization'!$D$8),0)</f>
        <v>0</v>
      </c>
      <c r="X69" s="2">
        <f t="shared" si="7"/>
        <v>8</v>
      </c>
      <c r="Y69" s="2"/>
      <c r="Z69" s="480"/>
    </row>
    <row r="70" spans="2:26" x14ac:dyDescent="0.15">
      <c r="B70" s="202"/>
      <c r="C70" s="4">
        <v>9</v>
      </c>
      <c r="D70" s="2">
        <f t="shared" si="6"/>
        <v>0</v>
      </c>
      <c r="E70" s="2">
        <f>IF(D70&gt;0,-(D70+$B$67)*($E$7/'Loan Amortization'!$D$8),0)</f>
        <v>0</v>
      </c>
      <c r="F70" s="2">
        <f t="shared" si="6"/>
        <v>0</v>
      </c>
      <c r="G70" s="2">
        <f>IF(F70&gt;0,-(F70+$B$67)*($E$7/'Loan Amortization'!$D$8),0)</f>
        <v>0</v>
      </c>
      <c r="H70" s="2">
        <f t="shared" si="6"/>
        <v>0</v>
      </c>
      <c r="I70" s="2">
        <f>IF(H70&gt;0,-(H70+$B$67)*($E$7/'Loan Amortization'!$D$8),0)</f>
        <v>0</v>
      </c>
      <c r="J70" s="2">
        <f t="shared" si="6"/>
        <v>0</v>
      </c>
      <c r="K70" s="2">
        <f>IF(J70&gt;0,-(J70+$B$67)*($E$7/'Loan Amortization'!$D$8),0)</f>
        <v>0</v>
      </c>
      <c r="L70" s="2">
        <f t="shared" si="6"/>
        <v>0</v>
      </c>
      <c r="M70" s="2">
        <f>IF(L70&gt;0,-(L70+$B$67)*($E$7/'Loan Amortization'!$D$8),0)</f>
        <v>0</v>
      </c>
      <c r="N70" s="2">
        <f t="shared" si="6"/>
        <v>0</v>
      </c>
      <c r="O70" s="2">
        <f>IF(N70&gt;0,-(N70+$B$67)*($E$7/'Loan Amortization'!$D$8),0)</f>
        <v>0</v>
      </c>
      <c r="P70" s="2">
        <f t="shared" si="6"/>
        <v>0</v>
      </c>
      <c r="Q70" s="2">
        <f>IF(P70&gt;0,-(P70+$B$67)*($E$7/'Loan Amortization'!$D$8),0)</f>
        <v>0</v>
      </c>
      <c r="R70" s="2">
        <f t="shared" si="6"/>
        <v>0</v>
      </c>
      <c r="S70" s="2">
        <f>IF(R70&gt;0,-(R70+$B$67)*($E$7/'Loan Amortization'!$D$8),0)</f>
        <v>0</v>
      </c>
      <c r="T70" s="2">
        <f t="shared" si="6"/>
        <v>0</v>
      </c>
      <c r="U70" s="2">
        <f>IF(T70&gt;0,-(T70+$B$67)*($E$7/'Loan Amortization'!$D$8),0)</f>
        <v>0</v>
      </c>
      <c r="V70" s="2">
        <f t="shared" si="6"/>
        <v>0</v>
      </c>
      <c r="W70" s="2">
        <f>IF(V70&gt;0,-(V70+$B$67)*($E$7/'Loan Amortization'!$D$8),0)</f>
        <v>0</v>
      </c>
      <c r="X70" s="2">
        <f t="shared" si="7"/>
        <v>9</v>
      </c>
      <c r="Y70" s="2"/>
      <c r="Z70" s="480"/>
    </row>
    <row r="71" spans="2:26" x14ac:dyDescent="0.15">
      <c r="B71" s="202"/>
      <c r="C71" s="4">
        <v>10</v>
      </c>
      <c r="D71" s="2">
        <f t="shared" si="6"/>
        <v>0</v>
      </c>
      <c r="E71" s="2">
        <f>IF(D71&gt;0,-(D71+$B$67)*($E$7/'Loan Amortization'!$D$8),0)</f>
        <v>0</v>
      </c>
      <c r="F71" s="2">
        <f t="shared" si="6"/>
        <v>0</v>
      </c>
      <c r="G71" s="2">
        <f>IF(F71&gt;0,-(F71+$B$67)*($E$7/'Loan Amortization'!$D$8),0)</f>
        <v>0</v>
      </c>
      <c r="H71" s="2">
        <f t="shared" si="6"/>
        <v>0</v>
      </c>
      <c r="I71" s="2">
        <f>IF(H71&gt;0,-(H71+$B$67)*($E$7/'Loan Amortization'!$D$8),0)</f>
        <v>0</v>
      </c>
      <c r="J71" s="2">
        <f t="shared" si="6"/>
        <v>0</v>
      </c>
      <c r="K71" s="2">
        <f>IF(J71&gt;0,-(J71+$B$67)*($E$7/'Loan Amortization'!$D$8),0)</f>
        <v>0</v>
      </c>
      <c r="L71" s="2">
        <f t="shared" si="6"/>
        <v>0</v>
      </c>
      <c r="M71" s="2">
        <f>IF(L71&gt;0,-(L71+$B$67)*($E$7/'Loan Amortization'!$D$8),0)</f>
        <v>0</v>
      </c>
      <c r="N71" s="2">
        <f t="shared" si="6"/>
        <v>0</v>
      </c>
      <c r="O71" s="2">
        <f>IF(N71&gt;0,-(N71+$B$67)*($E$7/'Loan Amortization'!$D$8),0)</f>
        <v>0</v>
      </c>
      <c r="P71" s="2">
        <f t="shared" si="6"/>
        <v>0</v>
      </c>
      <c r="Q71" s="2">
        <f>IF(P71&gt;0,-(P71+$B$67)*($E$7/'Loan Amortization'!$D$8),0)</f>
        <v>0</v>
      </c>
      <c r="R71" s="2">
        <f t="shared" si="6"/>
        <v>0</v>
      </c>
      <c r="S71" s="2">
        <f>IF(R71&gt;0,-(R71+$B$67)*($E$7/'Loan Amortization'!$D$8),0)</f>
        <v>0</v>
      </c>
      <c r="T71" s="2">
        <f t="shared" si="6"/>
        <v>0</v>
      </c>
      <c r="U71" s="2">
        <f>IF(T71&gt;0,-(T71+$B$67)*($E$7/'Loan Amortization'!$D$8),0)</f>
        <v>0</v>
      </c>
      <c r="V71" s="2">
        <f t="shared" si="6"/>
        <v>0</v>
      </c>
      <c r="W71" s="2">
        <f>IF(V71&gt;0,-(V71+$B$67)*($E$7/'Loan Amortization'!$D$8),0)</f>
        <v>0</v>
      </c>
      <c r="X71" s="2">
        <f t="shared" si="7"/>
        <v>10</v>
      </c>
      <c r="Y71" s="2"/>
      <c r="Z71" s="480"/>
    </row>
    <row r="72" spans="2:26" x14ac:dyDescent="0.15">
      <c r="B72" s="202"/>
      <c r="C72" s="4">
        <v>11</v>
      </c>
      <c r="D72" s="2">
        <f t="shared" si="6"/>
        <v>0</v>
      </c>
      <c r="E72" s="2">
        <f>IF(D72&gt;0,-(D72+$B$67)*($E$7/'Loan Amortization'!$D$8),0)</f>
        <v>0</v>
      </c>
      <c r="F72" s="2">
        <f t="shared" si="6"/>
        <v>0</v>
      </c>
      <c r="G72" s="2">
        <f>IF(F72&gt;0,-(F72+$B$67)*($E$7/'Loan Amortization'!$D$8),0)</f>
        <v>0</v>
      </c>
      <c r="H72" s="2">
        <f t="shared" si="6"/>
        <v>0</v>
      </c>
      <c r="I72" s="2">
        <f>IF(H72&gt;0,-(H72+$B$67)*($E$7/'Loan Amortization'!$D$8),0)</f>
        <v>0</v>
      </c>
      <c r="J72" s="2">
        <f t="shared" si="6"/>
        <v>0</v>
      </c>
      <c r="K72" s="2">
        <f>IF(J72&gt;0,-(J72+$B$67)*($E$7/'Loan Amortization'!$D$8),0)</f>
        <v>0</v>
      </c>
      <c r="L72" s="2">
        <f t="shared" si="6"/>
        <v>0</v>
      </c>
      <c r="M72" s="2">
        <f>IF(L72&gt;0,-(L72+$B$67)*($E$7/'Loan Amortization'!$D$8),0)</f>
        <v>0</v>
      </c>
      <c r="N72" s="2">
        <f t="shared" si="6"/>
        <v>0</v>
      </c>
      <c r="O72" s="2">
        <f>IF(N72&gt;0,-(N72+$B$67)*($E$7/'Loan Amortization'!$D$8),0)</f>
        <v>0</v>
      </c>
      <c r="P72" s="2">
        <f t="shared" si="6"/>
        <v>0</v>
      </c>
      <c r="Q72" s="2">
        <f>IF(P72&gt;0,-(P72+$B$67)*($E$7/'Loan Amortization'!$D$8),0)</f>
        <v>0</v>
      </c>
      <c r="R72" s="2">
        <f t="shared" si="6"/>
        <v>0</v>
      </c>
      <c r="S72" s="2">
        <f>IF(R72&gt;0,-(R72+$B$67)*($E$7/'Loan Amortization'!$D$8),0)</f>
        <v>0</v>
      </c>
      <c r="T72" s="2">
        <f t="shared" si="6"/>
        <v>0</v>
      </c>
      <c r="U72" s="2">
        <f>IF(T72&gt;0,-(T72+$B$67)*($E$7/'Loan Amortization'!$D$8),0)</f>
        <v>0</v>
      </c>
      <c r="V72" s="2">
        <f t="shared" si="6"/>
        <v>0</v>
      </c>
      <c r="W72" s="2">
        <f>IF(V72&gt;0,-(V72+$B$67)*($E$7/'Loan Amortization'!$D$8),0)</f>
        <v>0</v>
      </c>
      <c r="X72" s="2">
        <f t="shared" si="7"/>
        <v>11</v>
      </c>
      <c r="Y72" s="2"/>
      <c r="Z72" s="480"/>
    </row>
    <row r="73" spans="2:26" ht="14" thickBot="1" x14ac:dyDescent="0.2">
      <c r="B73" s="202"/>
      <c r="C73" s="4">
        <v>12</v>
      </c>
      <c r="D73" s="2">
        <f t="shared" si="6"/>
        <v>0</v>
      </c>
      <c r="E73" s="2">
        <f>IF(D73&gt;0,-(D73+$B$67)*($E$7/'Loan Amortization'!$D$8),0)</f>
        <v>0</v>
      </c>
      <c r="F73" s="2">
        <f t="shared" si="6"/>
        <v>0</v>
      </c>
      <c r="G73" s="2">
        <f>IF(F73&gt;0,-(F73+$B$67)*($E$7/'Loan Amortization'!$D$8),0)</f>
        <v>0</v>
      </c>
      <c r="H73" s="2">
        <f t="shared" si="6"/>
        <v>0</v>
      </c>
      <c r="I73" s="2">
        <f>IF(H73&gt;0,-(H73+$B$67)*($E$7/'Loan Amortization'!$D$8),0)</f>
        <v>0</v>
      </c>
      <c r="J73" s="2">
        <f t="shared" si="6"/>
        <v>0</v>
      </c>
      <c r="K73" s="2">
        <f>IF(J73&gt;0,-(J73+$B$67)*($E$7/'Loan Amortization'!$D$8),0)</f>
        <v>0</v>
      </c>
      <c r="L73" s="2">
        <f t="shared" si="6"/>
        <v>0</v>
      </c>
      <c r="M73" s="2">
        <f>IF(L73&gt;0,-(L73+$B$67)*($E$7/'Loan Amortization'!$D$8),0)</f>
        <v>0</v>
      </c>
      <c r="N73" s="2">
        <f t="shared" si="6"/>
        <v>0</v>
      </c>
      <c r="O73" s="2">
        <f>IF(N73&gt;0,-(N73+$B$67)*($E$7/'Loan Amortization'!$D$8),0)</f>
        <v>0</v>
      </c>
      <c r="P73" s="2">
        <f t="shared" si="6"/>
        <v>0</v>
      </c>
      <c r="Q73" s="2">
        <f>IF(P73&gt;0,-(P73+$B$67)*($E$7/'Loan Amortization'!$D$8),0)</f>
        <v>0</v>
      </c>
      <c r="R73" s="2">
        <f t="shared" si="6"/>
        <v>0</v>
      </c>
      <c r="S73" s="2">
        <f>IF(R73&gt;0,-(R73+$B$67)*($E$7/'Loan Amortization'!$D$8),0)</f>
        <v>0</v>
      </c>
      <c r="T73" s="2">
        <f t="shared" si="6"/>
        <v>0</v>
      </c>
      <c r="U73" s="2">
        <f>IF(T73&gt;0,-(T73+$B$67)*($E$7/'Loan Amortization'!$D$8),0)</f>
        <v>0</v>
      </c>
      <c r="V73" s="2">
        <f t="shared" si="6"/>
        <v>0</v>
      </c>
      <c r="W73" s="2">
        <f>IF(V73&gt;0,-(V73+$B$67)*($E$7/'Loan Amortization'!$D$8),0)</f>
        <v>0</v>
      </c>
      <c r="X73" s="2">
        <f t="shared" si="7"/>
        <v>12</v>
      </c>
      <c r="Y73" s="2"/>
      <c r="Z73" s="480"/>
    </row>
    <row r="74" spans="2:26" ht="14" thickBot="1" x14ac:dyDescent="0.2">
      <c r="B74" s="541" t="s">
        <v>45</v>
      </c>
      <c r="C74" s="502" t="s">
        <v>663</v>
      </c>
      <c r="D74" s="503">
        <f>'Level Prin Paymt Fin Sens Calc'!D$138</f>
        <v>0</v>
      </c>
      <c r="E74" s="503">
        <f>'Level Prin Paymt Fin Sens Calc'!E$138</f>
        <v>0</v>
      </c>
      <c r="F74" s="503">
        <f>'Level Prin Paymt Fin Sens Calc'!F$138</f>
        <v>0</v>
      </c>
      <c r="G74" s="503">
        <f>'Level Prin Paymt Fin Sens Calc'!G$138</f>
        <v>0</v>
      </c>
      <c r="H74" s="503">
        <f>'Level Prin Paymt Fin Sens Calc'!H$138</f>
        <v>0</v>
      </c>
      <c r="I74" s="503">
        <f>'Level Prin Paymt Fin Sens Calc'!I$138</f>
        <v>0</v>
      </c>
      <c r="J74" s="503">
        <f>'Level Prin Paymt Fin Sens Calc'!J$138</f>
        <v>0</v>
      </c>
      <c r="K74" s="503">
        <f>'Level Prin Paymt Fin Sens Calc'!K$138</f>
        <v>0</v>
      </c>
      <c r="L74" s="503">
        <f>'Level Prin Paymt Fin Sens Calc'!L$138</f>
        <v>0</v>
      </c>
      <c r="M74" s="503">
        <f>'Level Prin Paymt Fin Sens Calc'!M$138</f>
        <v>0</v>
      </c>
      <c r="N74" s="503">
        <f>'Level Prin Paymt Fin Sens Calc'!N$138</f>
        <v>0</v>
      </c>
      <c r="O74" s="503">
        <f>'Level Prin Paymt Fin Sens Calc'!O$138</f>
        <v>0</v>
      </c>
      <c r="P74" s="503">
        <f>'Level Prin Paymt Fin Sens Calc'!P$138</f>
        <v>0</v>
      </c>
      <c r="Q74" s="503">
        <f>'Level Prin Paymt Fin Sens Calc'!Q$138</f>
        <v>0</v>
      </c>
      <c r="R74" s="503">
        <f>'Level Prin Paymt Fin Sens Calc'!R$138</f>
        <v>0</v>
      </c>
      <c r="S74" s="503">
        <f>'Level Prin Paymt Fin Sens Calc'!S$138</f>
        <v>0</v>
      </c>
      <c r="T74" s="503">
        <f>'Level Prin Paymt Fin Sens Calc'!T$138</f>
        <v>0</v>
      </c>
      <c r="U74" s="503">
        <f>'Level Prin Paymt Fin Sens Calc'!U$138</f>
        <v>0</v>
      </c>
      <c r="V74" s="503">
        <f>'Level Prin Paymt Fin Sens Calc'!V$138</f>
        <v>0</v>
      </c>
      <c r="W74" s="503">
        <f>'Level Prin Paymt Fin Sens Calc'!W$138</f>
        <v>0</v>
      </c>
      <c r="X74" s="504">
        <f t="shared" si="7"/>
        <v>0</v>
      </c>
      <c r="Y74" s="501"/>
      <c r="Z74" s="480"/>
    </row>
    <row r="75" spans="2:26" ht="14" thickBot="1" x14ac:dyDescent="0.2">
      <c r="B75" s="478"/>
      <c r="C75" s="520" t="s">
        <v>273</v>
      </c>
      <c r="D75" s="522"/>
      <c r="E75" s="522">
        <f>IF(D61&gt;$L$10,0,IPMT($E$7,D61,$L$10,$B$234))</f>
        <v>0</v>
      </c>
      <c r="F75" s="522"/>
      <c r="G75" s="522">
        <f>IF(F61&gt;$L$10,0,IPMT($E$7,F61,$L$10,$B$234))</f>
        <v>0</v>
      </c>
      <c r="H75" s="522"/>
      <c r="I75" s="522">
        <f>IF(H61&gt;$L$10,0,IPMT($E$7,H61,$L$10,$B$234))</f>
        <v>0</v>
      </c>
      <c r="J75" s="522"/>
      <c r="K75" s="522">
        <f>IF(J61&gt;$L$10,0,IPMT($E$7,J61,$L$10,$B$234))</f>
        <v>0</v>
      </c>
      <c r="L75" s="522"/>
      <c r="M75" s="522">
        <f>IF(L61&gt;$L$10,0,IPMT($E$7,L61,$L$10,$B$234))</f>
        <v>0</v>
      </c>
      <c r="N75" s="522"/>
      <c r="O75" s="522">
        <f>IF(N61&gt;$L$10,0,IPMT($E$7,N61,$L$10,$B$234))</f>
        <v>0</v>
      </c>
      <c r="P75" s="522"/>
      <c r="Q75" s="522">
        <f>IF(P61&gt;$L$10,0,IPMT($E$7,P61,$L$10,$B$234))</f>
        <v>0</v>
      </c>
      <c r="R75" s="522"/>
      <c r="S75" s="522">
        <f>IF(R61&gt;$L$10,0,IPMT($E$7,R61,$L$10,$B$234))</f>
        <v>0</v>
      </c>
      <c r="T75" s="522"/>
      <c r="U75" s="522">
        <f>IF(T61&gt;$L$10,0,IPMT($E$7,T61,$L$10,$B$234))</f>
        <v>0</v>
      </c>
      <c r="V75" s="522"/>
      <c r="W75" s="522">
        <f>IF(V61&gt;$L$10,0,IPMT($E$7,V61,$L$10,$B$234))</f>
        <v>0</v>
      </c>
      <c r="X75" s="504">
        <f t="shared" si="7"/>
        <v>0</v>
      </c>
      <c r="Y75" s="548"/>
      <c r="Z75" s="482"/>
    </row>
    <row r="76" spans="2:26" ht="14" thickBot="1" x14ac:dyDescent="0.2">
      <c r="B76" s="8"/>
      <c r="C76" s="502" t="s">
        <v>664</v>
      </c>
      <c r="D76" s="558">
        <f>D61</f>
        <v>1</v>
      </c>
      <c r="E76" s="559">
        <f>F61</f>
        <v>2</v>
      </c>
      <c r="F76" s="559">
        <f>H61</f>
        <v>3</v>
      </c>
      <c r="G76" s="559">
        <f>J61</f>
        <v>4</v>
      </c>
      <c r="H76" s="559">
        <f>L61</f>
        <v>5</v>
      </c>
      <c r="I76" s="559">
        <f>N61</f>
        <v>6</v>
      </c>
      <c r="J76" s="559">
        <f>P61</f>
        <v>7</v>
      </c>
      <c r="K76" s="559">
        <f>R61</f>
        <v>8</v>
      </c>
      <c r="L76" s="559">
        <f>T61</f>
        <v>9</v>
      </c>
      <c r="M76" s="559">
        <f>V61</f>
        <v>10</v>
      </c>
      <c r="N76" s="560" t="str">
        <f>X61</f>
        <v>TOTAL</v>
      </c>
      <c r="O76" s="2"/>
      <c r="P76" s="2"/>
      <c r="Q76" s="2"/>
      <c r="R76" s="2"/>
      <c r="S76" s="2"/>
      <c r="T76" s="2"/>
      <c r="U76" s="2"/>
      <c r="V76" s="2"/>
      <c r="W76" s="2"/>
      <c r="X76" s="2"/>
      <c r="Y76" s="2"/>
    </row>
    <row r="77" spans="2:26" ht="14" thickBot="1" x14ac:dyDescent="0.2">
      <c r="B77" s="8"/>
      <c r="C77" s="502" t="s">
        <v>663</v>
      </c>
      <c r="D77" s="561">
        <f>D74</f>
        <v>0</v>
      </c>
      <c r="E77" s="2">
        <f>F74</f>
        <v>0</v>
      </c>
      <c r="F77" s="2">
        <f>H74</f>
        <v>0</v>
      </c>
      <c r="G77" s="2">
        <f>J74</f>
        <v>0</v>
      </c>
      <c r="H77" s="2">
        <f>L74</f>
        <v>0</v>
      </c>
      <c r="I77" s="2">
        <f>N74</f>
        <v>0</v>
      </c>
      <c r="J77" s="2">
        <f>P74</f>
        <v>0</v>
      </c>
      <c r="K77" s="2">
        <f>R74</f>
        <v>0</v>
      </c>
      <c r="L77" s="2">
        <f>T74</f>
        <v>0</v>
      </c>
      <c r="M77" s="2">
        <f>V74</f>
        <v>0</v>
      </c>
      <c r="N77" s="501">
        <f>X74</f>
        <v>0</v>
      </c>
      <c r="O77" s="2"/>
      <c r="P77" s="2"/>
      <c r="Q77" s="2"/>
      <c r="R77" s="2"/>
      <c r="S77" s="2"/>
      <c r="T77" s="2"/>
      <c r="U77" s="2"/>
      <c r="V77" s="2"/>
      <c r="W77" s="2"/>
      <c r="X77" s="2"/>
      <c r="Y77" s="2"/>
    </row>
    <row r="78" spans="2:26" ht="14" thickBot="1" x14ac:dyDescent="0.2">
      <c r="B78" s="8"/>
      <c r="C78" s="520" t="s">
        <v>273</v>
      </c>
      <c r="D78" s="562">
        <f>E75</f>
        <v>0</v>
      </c>
      <c r="E78" s="522">
        <f>G75</f>
        <v>0</v>
      </c>
      <c r="F78" s="522">
        <f>I75</f>
        <v>0</v>
      </c>
      <c r="G78" s="522">
        <f>K75</f>
        <v>0</v>
      </c>
      <c r="H78" s="522">
        <f>M75</f>
        <v>0</v>
      </c>
      <c r="I78" s="522">
        <f>O75</f>
        <v>0</v>
      </c>
      <c r="J78" s="522">
        <f>Q75</f>
        <v>0</v>
      </c>
      <c r="K78" s="522">
        <f>S75</f>
        <v>0</v>
      </c>
      <c r="L78" s="522">
        <f>U75</f>
        <v>0</v>
      </c>
      <c r="M78" s="522">
        <f>W75</f>
        <v>0</v>
      </c>
      <c r="N78" s="548">
        <f>X75</f>
        <v>0</v>
      </c>
      <c r="O78" s="2"/>
      <c r="P78" s="2"/>
      <c r="Q78" s="2"/>
      <c r="R78" s="2"/>
      <c r="S78" s="2"/>
      <c r="T78" s="2"/>
      <c r="U78" s="2"/>
      <c r="V78" s="2"/>
      <c r="W78" s="2"/>
      <c r="X78" s="2"/>
      <c r="Y78" s="2"/>
    </row>
    <row r="80" spans="2:26" ht="14" thickBot="1" x14ac:dyDescent="0.2"/>
    <row r="81" spans="2:26" ht="14" thickBot="1" x14ac:dyDescent="0.2">
      <c r="B81" s="495" t="s">
        <v>415</v>
      </c>
      <c r="C81" s="178"/>
      <c r="D81" s="483" t="s">
        <v>133</v>
      </c>
      <c r="E81" s="483"/>
      <c r="F81" s="483" t="s">
        <v>133</v>
      </c>
      <c r="G81" s="483"/>
      <c r="H81" s="483" t="s">
        <v>133</v>
      </c>
      <c r="I81" s="483"/>
      <c r="J81" s="483" t="s">
        <v>133</v>
      </c>
      <c r="K81" s="483"/>
      <c r="L81" s="483" t="s">
        <v>133</v>
      </c>
      <c r="M81" s="483"/>
      <c r="N81" s="483" t="s">
        <v>133</v>
      </c>
      <c r="O81" s="483"/>
      <c r="P81" s="483" t="s">
        <v>133</v>
      </c>
      <c r="Q81" s="483"/>
      <c r="R81" s="483" t="s">
        <v>133</v>
      </c>
      <c r="S81" s="483"/>
      <c r="T81" s="483" t="s">
        <v>133</v>
      </c>
      <c r="U81" s="483"/>
      <c r="V81" s="483" t="s">
        <v>133</v>
      </c>
      <c r="W81" s="483"/>
      <c r="X81" s="178"/>
      <c r="Y81" s="178"/>
      <c r="Z81" s="499" t="str">
        <f>B81</f>
        <v>-10%</v>
      </c>
    </row>
    <row r="82" spans="2:26" x14ac:dyDescent="0.15">
      <c r="B82" s="426"/>
      <c r="C82" s="4" t="s">
        <v>660</v>
      </c>
      <c r="D82" s="4">
        <v>1</v>
      </c>
      <c r="E82" s="4"/>
      <c r="F82" s="4">
        <f>D82+1</f>
        <v>2</v>
      </c>
      <c r="G82" s="4"/>
      <c r="H82" s="4">
        <f>F82+1</f>
        <v>3</v>
      </c>
      <c r="I82" s="4"/>
      <c r="J82" s="4">
        <f>H82+1</f>
        <v>4</v>
      </c>
      <c r="K82" s="4"/>
      <c r="L82" s="4">
        <f>J82+1</f>
        <v>5</v>
      </c>
      <c r="M82" s="4"/>
      <c r="N82" s="4">
        <f>L82+1</f>
        <v>6</v>
      </c>
      <c r="O82" s="4"/>
      <c r="P82" s="4">
        <f>N82+1</f>
        <v>7</v>
      </c>
      <c r="Q82" s="4"/>
      <c r="R82" s="4">
        <f>P82+1</f>
        <v>8</v>
      </c>
      <c r="S82" s="4"/>
      <c r="T82" s="4">
        <f>R82+1</f>
        <v>9</v>
      </c>
      <c r="U82" s="4"/>
      <c r="V82" s="4">
        <f>T82+1</f>
        <v>10</v>
      </c>
      <c r="W82" s="4"/>
      <c r="X82" s="4" t="s">
        <v>285</v>
      </c>
      <c r="Y82" s="4"/>
      <c r="Z82" s="480"/>
    </row>
    <row r="83" spans="2:26" x14ac:dyDescent="0.15">
      <c r="B83" s="202" t="s">
        <v>661</v>
      </c>
      <c r="C83" s="4">
        <v>1</v>
      </c>
      <c r="D83" s="2">
        <f>IF(D$19&lt;($L$10+1),$B$87-((((D$19-1)*12)+$C83)*$B$88),0)</f>
        <v>0</v>
      </c>
      <c r="E83" s="2">
        <f>IF(D83&gt;0,-(D83+$B$88)*($E$8/'Loan Amortization'!$D$8),0)</f>
        <v>0</v>
      </c>
      <c r="F83" s="2">
        <f>IF(F$19&lt;($L$10+1),$B$87-((((F$19-1)*12)+$C83)*$B$88),0)</f>
        <v>0</v>
      </c>
      <c r="G83" s="2">
        <f>IF(F83&gt;0,-(F83+$B$88)*($E$8/'Loan Amortization'!$D$8),0)</f>
        <v>0</v>
      </c>
      <c r="H83" s="2">
        <f>IF(H$19&lt;($L$10+1),$B$87-((((H$19-1)*12)+$C83)*$B$88),0)</f>
        <v>0</v>
      </c>
      <c r="I83" s="2">
        <f>IF(H83&gt;0,-(H83+$B$88)*($E$8/'Loan Amortization'!$D$8),0)</f>
        <v>0</v>
      </c>
      <c r="J83" s="2">
        <f>IF(J$19&lt;($L$10+1),$B$87-((((J$19-1)*12)+$C83)*$B$88),0)</f>
        <v>0</v>
      </c>
      <c r="K83" s="2">
        <f>IF(J83&gt;0,-(J83+$B$88)*($E$8/'Loan Amortization'!$D$8),0)</f>
        <v>0</v>
      </c>
      <c r="L83" s="2">
        <f>IF(L$19&lt;($L$10+1),$B$87-((((L$19-1)*12)+$C83)*$B$88),0)</f>
        <v>0</v>
      </c>
      <c r="M83" s="2">
        <f>IF(L83&gt;0,-(L83+$B$88)*($E$8/'Loan Amortization'!$D$8),0)</f>
        <v>0</v>
      </c>
      <c r="N83" s="2">
        <f>IF(N$19&lt;($L$10+1),$B$87-((((N$19-1)*12)+$C83)*$B$88),0)</f>
        <v>0</v>
      </c>
      <c r="O83" s="2">
        <f>IF(N83&gt;0,-(N83+$B$88)*($E$8/'Loan Amortization'!$D$8),0)</f>
        <v>0</v>
      </c>
      <c r="P83" s="2">
        <f>IF(P$19&lt;($L$10+1),$B$87-((((P$19-1)*12)+$C83)*$B$88),0)</f>
        <v>0</v>
      </c>
      <c r="Q83" s="2">
        <f>IF(P83&gt;0,-(P83+$B$88)*($E$8/'Loan Amortization'!$D$8),0)</f>
        <v>0</v>
      </c>
      <c r="R83" s="2">
        <f>IF(R$19&lt;($L$10+1),$B$87-((((R$19-1)*12)+$C83)*$B$88),0)</f>
        <v>0</v>
      </c>
      <c r="S83" s="2">
        <f>IF(R83&gt;0,-(R83+$B$88)*($E$8/'Loan Amortization'!$D$8),0)</f>
        <v>0</v>
      </c>
      <c r="T83" s="2">
        <f>IF(T$19&lt;($L$10+1),$B$87-((((T$19-1)*12)+$C83)*$B$88),0)</f>
        <v>0</v>
      </c>
      <c r="U83" s="2">
        <f>IF(T83&gt;0,-(T83+$B$88)*($E$8/'Loan Amortization'!$D$8),0)</f>
        <v>0</v>
      </c>
      <c r="V83" s="2">
        <f>IF(V$19&lt;($L$10+1),$B$87-((((V$19-1)*12)+$C83)*$B$88),0)</f>
        <v>0</v>
      </c>
      <c r="W83" s="2">
        <f>IF(V83&gt;0,-(V83+$B$88)*($E$8/'Loan Amortization'!$D$8),0)</f>
        <v>0</v>
      </c>
      <c r="X83" s="2">
        <f>SUM(C83:V83)</f>
        <v>1</v>
      </c>
      <c r="Y83" s="2"/>
      <c r="Z83" s="480"/>
    </row>
    <row r="84" spans="2:26" x14ac:dyDescent="0.15">
      <c r="B84" s="511">
        <f>-PMT($L$6/12,$L$10*12,C8)</f>
        <v>0</v>
      </c>
      <c r="C84" s="4">
        <v>2</v>
      </c>
      <c r="D84" s="2">
        <f t="shared" ref="D84:V94" si="8">IF(D$19&lt;($L$10+1),$B$87-((((D$19-1)*12)+$C84)*$B$88),0)</f>
        <v>0</v>
      </c>
      <c r="E84" s="2">
        <f>IF(D84&gt;0,-(D84+$B$88)*($E$8/'Loan Amortization'!$D$8),0)</f>
        <v>0</v>
      </c>
      <c r="F84" s="2">
        <f t="shared" si="8"/>
        <v>0</v>
      </c>
      <c r="G84" s="2">
        <f>IF(F84&gt;0,-(F84+$B$88)*($E$8/'Loan Amortization'!$D$8),0)</f>
        <v>0</v>
      </c>
      <c r="H84" s="2">
        <f t="shared" si="8"/>
        <v>0</v>
      </c>
      <c r="I84" s="2">
        <f>IF(H84&gt;0,-(H84+$B$88)*($E$8/'Loan Amortization'!$D$8),0)</f>
        <v>0</v>
      </c>
      <c r="J84" s="2">
        <f t="shared" si="8"/>
        <v>0</v>
      </c>
      <c r="K84" s="2">
        <f>IF(J84&gt;0,-(J84+$B$88)*($E$8/'Loan Amortization'!$D$8),0)</f>
        <v>0</v>
      </c>
      <c r="L84" s="2">
        <f t="shared" si="8"/>
        <v>0</v>
      </c>
      <c r="M84" s="2">
        <f>IF(L84&gt;0,-(L84+$B$88)*($E$8/'Loan Amortization'!$D$8),0)</f>
        <v>0</v>
      </c>
      <c r="N84" s="2">
        <f t="shared" si="8"/>
        <v>0</v>
      </c>
      <c r="O84" s="2">
        <f>IF(N84&gt;0,-(N84+$B$88)*($E$8/'Loan Amortization'!$D$8),0)</f>
        <v>0</v>
      </c>
      <c r="P84" s="2">
        <f t="shared" si="8"/>
        <v>0</v>
      </c>
      <c r="Q84" s="2">
        <f>IF(P84&gt;0,-(P84+$B$88)*($E$8/'Loan Amortization'!$D$8),0)</f>
        <v>0</v>
      </c>
      <c r="R84" s="2">
        <f t="shared" si="8"/>
        <v>0</v>
      </c>
      <c r="S84" s="2">
        <f>IF(R84&gt;0,-(R84+$B$88)*($E$8/'Loan Amortization'!$D$8),0)</f>
        <v>0</v>
      </c>
      <c r="T84" s="2">
        <f t="shared" si="8"/>
        <v>0</v>
      </c>
      <c r="U84" s="2">
        <f>IF(T84&gt;0,-(T84+$B$88)*($E$8/'Loan Amortization'!$D$8),0)</f>
        <v>0</v>
      </c>
      <c r="V84" s="2">
        <f t="shared" si="8"/>
        <v>0</v>
      </c>
      <c r="W84" s="2">
        <f>IF(V84&gt;0,-(V84+$B$88)*($E$8/'Loan Amortization'!$D$8),0)</f>
        <v>0</v>
      </c>
      <c r="X84" s="2">
        <f t="shared" ref="X84:X96" si="9">SUM(C84:V84)</f>
        <v>2</v>
      </c>
      <c r="Y84" s="2"/>
      <c r="Z84" s="480"/>
    </row>
    <row r="85" spans="2:26" x14ac:dyDescent="0.15">
      <c r="B85" s="540">
        <f>B84*12</f>
        <v>0</v>
      </c>
      <c r="C85" s="4">
        <v>3</v>
      </c>
      <c r="D85" s="2">
        <f t="shared" si="8"/>
        <v>0</v>
      </c>
      <c r="E85" s="2">
        <f>IF(D85&gt;0,-(D85+$B$88)*($E$8/'Loan Amortization'!$D$8),0)</f>
        <v>0</v>
      </c>
      <c r="F85" s="2">
        <f t="shared" si="8"/>
        <v>0</v>
      </c>
      <c r="G85" s="2">
        <f>IF(F85&gt;0,-(F85+$B$88)*($E$8/'Loan Amortization'!$D$8),0)</f>
        <v>0</v>
      </c>
      <c r="H85" s="2">
        <f t="shared" si="8"/>
        <v>0</v>
      </c>
      <c r="I85" s="2">
        <f>IF(H85&gt;0,-(H85+$B$88)*($E$8/'Loan Amortization'!$D$8),0)</f>
        <v>0</v>
      </c>
      <c r="J85" s="2">
        <f t="shared" si="8"/>
        <v>0</v>
      </c>
      <c r="K85" s="2">
        <f>IF(J85&gt;0,-(J85+$B$88)*($E$8/'Loan Amortization'!$D$8),0)</f>
        <v>0</v>
      </c>
      <c r="L85" s="2">
        <f t="shared" si="8"/>
        <v>0</v>
      </c>
      <c r="M85" s="2">
        <f>IF(L85&gt;0,-(L85+$B$88)*($E$8/'Loan Amortization'!$D$8),0)</f>
        <v>0</v>
      </c>
      <c r="N85" s="2">
        <f t="shared" si="8"/>
        <v>0</v>
      </c>
      <c r="O85" s="2">
        <f>IF(N85&gt;0,-(N85+$B$88)*($E$8/'Loan Amortization'!$D$8),0)</f>
        <v>0</v>
      </c>
      <c r="P85" s="2">
        <f t="shared" si="8"/>
        <v>0</v>
      </c>
      <c r="Q85" s="2">
        <f>IF(P85&gt;0,-(P85+$B$88)*($E$8/'Loan Amortization'!$D$8),0)</f>
        <v>0</v>
      </c>
      <c r="R85" s="2">
        <f t="shared" si="8"/>
        <v>0</v>
      </c>
      <c r="S85" s="2">
        <f>IF(R85&gt;0,-(R85+$B$88)*($E$8/'Loan Amortization'!$D$8),0)</f>
        <v>0</v>
      </c>
      <c r="T85" s="2">
        <f t="shared" si="8"/>
        <v>0</v>
      </c>
      <c r="U85" s="2">
        <f>IF(T85&gt;0,-(T85+$B$88)*($E$8/'Loan Amortization'!$D$8),0)</f>
        <v>0</v>
      </c>
      <c r="V85" s="2">
        <f t="shared" si="8"/>
        <v>0</v>
      </c>
      <c r="W85" s="2">
        <f>IF(V85&gt;0,-(V85+$B$88)*($E$8/'Loan Amortization'!$D$8),0)</f>
        <v>0</v>
      </c>
      <c r="X85" s="2">
        <f t="shared" si="9"/>
        <v>3</v>
      </c>
      <c r="Y85" s="2"/>
      <c r="Z85" s="480"/>
    </row>
    <row r="86" spans="2:26" x14ac:dyDescent="0.15">
      <c r="B86" s="202" t="s">
        <v>662</v>
      </c>
      <c r="C86" s="4">
        <v>4</v>
      </c>
      <c r="D86" s="2">
        <f t="shared" si="8"/>
        <v>0</v>
      </c>
      <c r="E86" s="2">
        <f>IF(D86&gt;0,-(D86+$B$88)*($E$8/'Loan Amortization'!$D$8),0)</f>
        <v>0</v>
      </c>
      <c r="F86" s="2">
        <f t="shared" si="8"/>
        <v>0</v>
      </c>
      <c r="G86" s="2">
        <f>IF(F86&gt;0,-(F86+$B$88)*($E$8/'Loan Amortization'!$D$8),0)</f>
        <v>0</v>
      </c>
      <c r="H86" s="2">
        <f t="shared" si="8"/>
        <v>0</v>
      </c>
      <c r="I86" s="2">
        <f>IF(H86&gt;0,-(H86+$B$88)*($E$8/'Loan Amortization'!$D$8),0)</f>
        <v>0</v>
      </c>
      <c r="J86" s="2">
        <f t="shared" si="8"/>
        <v>0</v>
      </c>
      <c r="K86" s="2">
        <f>IF(J86&gt;0,-(J86+$B$88)*($E$8/'Loan Amortization'!$D$8),0)</f>
        <v>0</v>
      </c>
      <c r="L86" s="2">
        <f t="shared" si="8"/>
        <v>0</v>
      </c>
      <c r="M86" s="2">
        <f>IF(L86&gt;0,-(L86+$B$88)*($E$8/'Loan Amortization'!$D$8),0)</f>
        <v>0</v>
      </c>
      <c r="N86" s="2">
        <f t="shared" si="8"/>
        <v>0</v>
      </c>
      <c r="O86" s="2">
        <f>IF(N86&gt;0,-(N86+$B$88)*($E$8/'Loan Amortization'!$D$8),0)</f>
        <v>0</v>
      </c>
      <c r="P86" s="2">
        <f t="shared" si="8"/>
        <v>0</v>
      </c>
      <c r="Q86" s="2">
        <f>IF(P86&gt;0,-(P86+$B$88)*($E$8/'Loan Amortization'!$D$8),0)</f>
        <v>0</v>
      </c>
      <c r="R86" s="2">
        <f t="shared" si="8"/>
        <v>0</v>
      </c>
      <c r="S86" s="2">
        <f>IF(R86&gt;0,-(R86+$B$88)*($E$8/'Loan Amortization'!$D$8),0)</f>
        <v>0</v>
      </c>
      <c r="T86" s="2">
        <f t="shared" si="8"/>
        <v>0</v>
      </c>
      <c r="U86" s="2">
        <f>IF(T86&gt;0,-(T86+$B$88)*($E$8/'Loan Amortization'!$D$8),0)</f>
        <v>0</v>
      </c>
      <c r="V86" s="2">
        <f t="shared" si="8"/>
        <v>0</v>
      </c>
      <c r="W86" s="2">
        <f>IF(V86&gt;0,-(V86+$B$88)*($E$8/'Loan Amortization'!$D$8),0)</f>
        <v>0</v>
      </c>
      <c r="X86" s="2">
        <f t="shared" si="9"/>
        <v>4</v>
      </c>
      <c r="Y86" s="2"/>
      <c r="Z86" s="480"/>
    </row>
    <row r="87" spans="2:26" x14ac:dyDescent="0.15">
      <c r="B87" s="521">
        <f>C8</f>
        <v>0</v>
      </c>
      <c r="C87" s="4">
        <v>5</v>
      </c>
      <c r="D87" s="2">
        <f t="shared" si="8"/>
        <v>0</v>
      </c>
      <c r="E87" s="2">
        <f>IF(D87&gt;0,-(D87+$B$88)*($E$8/'Loan Amortization'!$D$8),0)</f>
        <v>0</v>
      </c>
      <c r="F87" s="2">
        <f t="shared" si="8"/>
        <v>0</v>
      </c>
      <c r="G87" s="2">
        <f>IF(F87&gt;0,-(F87+$B$88)*($E$8/'Loan Amortization'!$D$8),0)</f>
        <v>0</v>
      </c>
      <c r="H87" s="2">
        <f t="shared" si="8"/>
        <v>0</v>
      </c>
      <c r="I87" s="2">
        <f>IF(H87&gt;0,-(H87+$B$88)*($E$8/'Loan Amortization'!$D$8),0)</f>
        <v>0</v>
      </c>
      <c r="J87" s="2">
        <f t="shared" si="8"/>
        <v>0</v>
      </c>
      <c r="K87" s="2">
        <f>IF(J87&gt;0,-(J87+$B$88)*($E$8/'Loan Amortization'!$D$8),0)</f>
        <v>0</v>
      </c>
      <c r="L87" s="2">
        <f t="shared" si="8"/>
        <v>0</v>
      </c>
      <c r="M87" s="2">
        <f>IF(L87&gt;0,-(L87+$B$88)*($E$8/'Loan Amortization'!$D$8),0)</f>
        <v>0</v>
      </c>
      <c r="N87" s="2">
        <f t="shared" si="8"/>
        <v>0</v>
      </c>
      <c r="O87" s="2">
        <f>IF(N87&gt;0,-(N87+$B$88)*($E$8/'Loan Amortization'!$D$8),0)</f>
        <v>0</v>
      </c>
      <c r="P87" s="2">
        <f t="shared" si="8"/>
        <v>0</v>
      </c>
      <c r="Q87" s="2">
        <f>IF(P87&gt;0,-(P87+$B$88)*($E$8/'Loan Amortization'!$D$8),0)</f>
        <v>0</v>
      </c>
      <c r="R87" s="2">
        <f t="shared" si="8"/>
        <v>0</v>
      </c>
      <c r="S87" s="2">
        <f>IF(R87&gt;0,-(R87+$B$88)*($E$8/'Loan Amortization'!$D$8),0)</f>
        <v>0</v>
      </c>
      <c r="T87" s="2">
        <f t="shared" si="8"/>
        <v>0</v>
      </c>
      <c r="U87" s="2">
        <f>IF(T87&gt;0,-(T87+$B$88)*($E$8/'Loan Amortization'!$D$8),0)</f>
        <v>0</v>
      </c>
      <c r="V87" s="2">
        <f t="shared" si="8"/>
        <v>0</v>
      </c>
      <c r="W87" s="2">
        <f>IF(V87&gt;0,-(V87+$B$88)*($E$8/'Loan Amortization'!$D$8),0)</f>
        <v>0</v>
      </c>
      <c r="X87" s="2">
        <f t="shared" si="9"/>
        <v>5</v>
      </c>
      <c r="Y87" s="2"/>
      <c r="Z87" s="480"/>
    </row>
    <row r="88" spans="2:26" x14ac:dyDescent="0.15">
      <c r="B88" s="521">
        <f>B87/($L$10*12)</f>
        <v>0</v>
      </c>
      <c r="C88" s="4">
        <v>6</v>
      </c>
      <c r="D88" s="2">
        <f t="shared" si="8"/>
        <v>0</v>
      </c>
      <c r="E88" s="2">
        <f>IF(D88&gt;0,-(D88+$B$88)*($E$8/'Loan Amortization'!$D$8),0)</f>
        <v>0</v>
      </c>
      <c r="F88" s="2">
        <f t="shared" si="8"/>
        <v>0</v>
      </c>
      <c r="G88" s="2">
        <f>IF(F88&gt;0,-(F88+$B$88)*($E$8/'Loan Amortization'!$D$8),0)</f>
        <v>0</v>
      </c>
      <c r="H88" s="2">
        <f t="shared" si="8"/>
        <v>0</v>
      </c>
      <c r="I88" s="2">
        <f>IF(H88&gt;0,-(H88+$B$88)*($E$8/'Loan Amortization'!$D$8),0)</f>
        <v>0</v>
      </c>
      <c r="J88" s="2">
        <f t="shared" si="8"/>
        <v>0</v>
      </c>
      <c r="K88" s="2">
        <f>IF(J88&gt;0,-(J88+$B$88)*($E$8/'Loan Amortization'!$D$8),0)</f>
        <v>0</v>
      </c>
      <c r="L88" s="2">
        <f t="shared" si="8"/>
        <v>0</v>
      </c>
      <c r="M88" s="2">
        <f>IF(L88&gt;0,-(L88+$B$88)*($E$8/'Loan Amortization'!$D$8),0)</f>
        <v>0</v>
      </c>
      <c r="N88" s="2">
        <f t="shared" si="8"/>
        <v>0</v>
      </c>
      <c r="O88" s="2">
        <f>IF(N88&gt;0,-(N88+$B$88)*($E$8/'Loan Amortization'!$D$8),0)</f>
        <v>0</v>
      </c>
      <c r="P88" s="2">
        <f t="shared" si="8"/>
        <v>0</v>
      </c>
      <c r="Q88" s="2">
        <f>IF(P88&gt;0,-(P88+$B$88)*($E$8/'Loan Amortization'!$D$8),0)</f>
        <v>0</v>
      </c>
      <c r="R88" s="2">
        <f t="shared" si="8"/>
        <v>0</v>
      </c>
      <c r="S88" s="2">
        <f>IF(R88&gt;0,-(R88+$B$88)*($E$8/'Loan Amortization'!$D$8),0)</f>
        <v>0</v>
      </c>
      <c r="T88" s="2">
        <f t="shared" si="8"/>
        <v>0</v>
      </c>
      <c r="U88" s="2">
        <f>IF(T88&gt;0,-(T88+$B$88)*($E$8/'Loan Amortization'!$D$8),0)</f>
        <v>0</v>
      </c>
      <c r="V88" s="2">
        <f t="shared" si="8"/>
        <v>0</v>
      </c>
      <c r="W88" s="2">
        <f>IF(V88&gt;0,-(V88+$B$88)*($E$8/'Loan Amortization'!$D$8),0)</f>
        <v>0</v>
      </c>
      <c r="X88" s="2">
        <f t="shared" si="9"/>
        <v>6</v>
      </c>
      <c r="Y88" s="2"/>
      <c r="Z88" s="480"/>
    </row>
    <row r="89" spans="2:26" x14ac:dyDescent="0.15">
      <c r="B89" s="202"/>
      <c r="C89" s="4">
        <v>7</v>
      </c>
      <c r="D89" s="2">
        <f t="shared" si="8"/>
        <v>0</v>
      </c>
      <c r="E89" s="2">
        <f>IF(D89&gt;0,-(D89+$B$88)*($E$8/'Loan Amortization'!$D$8),0)</f>
        <v>0</v>
      </c>
      <c r="F89" s="2">
        <f t="shared" si="8"/>
        <v>0</v>
      </c>
      <c r="G89" s="2">
        <f>IF(F89&gt;0,-(F89+$B$88)*($E$8/'Loan Amortization'!$D$8),0)</f>
        <v>0</v>
      </c>
      <c r="H89" s="2">
        <f t="shared" si="8"/>
        <v>0</v>
      </c>
      <c r="I89" s="2">
        <f>IF(H89&gt;0,-(H89+$B$88)*($E$8/'Loan Amortization'!$D$8),0)</f>
        <v>0</v>
      </c>
      <c r="J89" s="2">
        <f t="shared" si="8"/>
        <v>0</v>
      </c>
      <c r="K89" s="2">
        <f>IF(J89&gt;0,-(J89+$B$88)*($E$8/'Loan Amortization'!$D$8),0)</f>
        <v>0</v>
      </c>
      <c r="L89" s="2">
        <f t="shared" si="8"/>
        <v>0</v>
      </c>
      <c r="M89" s="2">
        <f>IF(L89&gt;0,-(L89+$B$88)*($E$8/'Loan Amortization'!$D$8),0)</f>
        <v>0</v>
      </c>
      <c r="N89" s="2">
        <f t="shared" si="8"/>
        <v>0</v>
      </c>
      <c r="O89" s="2">
        <f>IF(N89&gt;0,-(N89+$B$88)*($E$8/'Loan Amortization'!$D$8),0)</f>
        <v>0</v>
      </c>
      <c r="P89" s="2">
        <f t="shared" si="8"/>
        <v>0</v>
      </c>
      <c r="Q89" s="2">
        <f>IF(P89&gt;0,-(P89+$B$88)*($E$8/'Loan Amortization'!$D$8),0)</f>
        <v>0</v>
      </c>
      <c r="R89" s="2">
        <f t="shared" si="8"/>
        <v>0</v>
      </c>
      <c r="S89" s="2">
        <f>IF(R89&gt;0,-(R89+$B$88)*($E$8/'Loan Amortization'!$D$8),0)</f>
        <v>0</v>
      </c>
      <c r="T89" s="2">
        <f t="shared" si="8"/>
        <v>0</v>
      </c>
      <c r="U89" s="2">
        <f>IF(T89&gt;0,-(T89+$B$88)*($E$8/'Loan Amortization'!$D$8),0)</f>
        <v>0</v>
      </c>
      <c r="V89" s="2">
        <f t="shared" si="8"/>
        <v>0</v>
      </c>
      <c r="W89" s="2">
        <f>IF(V89&gt;0,-(V89+$B$88)*($E$8/'Loan Amortization'!$D$8),0)</f>
        <v>0</v>
      </c>
      <c r="X89" s="2">
        <f t="shared" si="9"/>
        <v>7</v>
      </c>
      <c r="Y89" s="2"/>
      <c r="Z89" s="480"/>
    </row>
    <row r="90" spans="2:26" x14ac:dyDescent="0.15">
      <c r="B90" s="202"/>
      <c r="C90" s="4">
        <v>8</v>
      </c>
      <c r="D90" s="2">
        <f t="shared" si="8"/>
        <v>0</v>
      </c>
      <c r="E90" s="2">
        <f>IF(D90&gt;0,-(D90+$B$88)*($E$8/'Loan Amortization'!$D$8),0)</f>
        <v>0</v>
      </c>
      <c r="F90" s="2">
        <f t="shared" si="8"/>
        <v>0</v>
      </c>
      <c r="G90" s="2">
        <f>IF(F90&gt;0,-(F90+$B$88)*($E$8/'Loan Amortization'!$D$8),0)</f>
        <v>0</v>
      </c>
      <c r="H90" s="2">
        <f t="shared" si="8"/>
        <v>0</v>
      </c>
      <c r="I90" s="2">
        <f>IF(H90&gt;0,-(H90+$B$88)*($E$8/'Loan Amortization'!$D$8),0)</f>
        <v>0</v>
      </c>
      <c r="J90" s="2">
        <f t="shared" si="8"/>
        <v>0</v>
      </c>
      <c r="K90" s="2">
        <f>IF(J90&gt;0,-(J90+$B$88)*($E$8/'Loan Amortization'!$D$8),0)</f>
        <v>0</v>
      </c>
      <c r="L90" s="2">
        <f t="shared" si="8"/>
        <v>0</v>
      </c>
      <c r="M90" s="2">
        <f>IF(L90&gt;0,-(L90+$B$88)*($E$8/'Loan Amortization'!$D$8),0)</f>
        <v>0</v>
      </c>
      <c r="N90" s="2">
        <f t="shared" si="8"/>
        <v>0</v>
      </c>
      <c r="O90" s="2">
        <f>IF(N90&gt;0,-(N90+$B$88)*($E$8/'Loan Amortization'!$D$8),0)</f>
        <v>0</v>
      </c>
      <c r="P90" s="2">
        <f t="shared" si="8"/>
        <v>0</v>
      </c>
      <c r="Q90" s="2">
        <f>IF(P90&gt;0,-(P90+$B$88)*($E$8/'Loan Amortization'!$D$8),0)</f>
        <v>0</v>
      </c>
      <c r="R90" s="2">
        <f t="shared" si="8"/>
        <v>0</v>
      </c>
      <c r="S90" s="2">
        <f>IF(R90&gt;0,-(R90+$B$88)*($E$8/'Loan Amortization'!$D$8),0)</f>
        <v>0</v>
      </c>
      <c r="T90" s="2">
        <f t="shared" si="8"/>
        <v>0</v>
      </c>
      <c r="U90" s="2">
        <f>IF(T90&gt;0,-(T90+$B$88)*($E$8/'Loan Amortization'!$D$8),0)</f>
        <v>0</v>
      </c>
      <c r="V90" s="2">
        <f t="shared" si="8"/>
        <v>0</v>
      </c>
      <c r="W90" s="2">
        <f>IF(V90&gt;0,-(V90+$B$88)*($E$8/'Loan Amortization'!$D$8),0)</f>
        <v>0</v>
      </c>
      <c r="X90" s="2">
        <f t="shared" si="9"/>
        <v>8</v>
      </c>
      <c r="Y90" s="2"/>
      <c r="Z90" s="480"/>
    </row>
    <row r="91" spans="2:26" x14ac:dyDescent="0.15">
      <c r="B91" s="202"/>
      <c r="C91" s="4">
        <v>9</v>
      </c>
      <c r="D91" s="2">
        <f t="shared" si="8"/>
        <v>0</v>
      </c>
      <c r="E91" s="2">
        <f>IF(D91&gt;0,-(D91+$B$88)*($E$8/'Loan Amortization'!$D$8),0)</f>
        <v>0</v>
      </c>
      <c r="F91" s="2">
        <f t="shared" si="8"/>
        <v>0</v>
      </c>
      <c r="G91" s="2">
        <f>IF(F91&gt;0,-(F91+$B$88)*($E$8/'Loan Amortization'!$D$8),0)</f>
        <v>0</v>
      </c>
      <c r="H91" s="2">
        <f t="shared" si="8"/>
        <v>0</v>
      </c>
      <c r="I91" s="2">
        <f>IF(H91&gt;0,-(H91+$B$88)*($E$8/'Loan Amortization'!$D$8),0)</f>
        <v>0</v>
      </c>
      <c r="J91" s="2">
        <f t="shared" si="8"/>
        <v>0</v>
      </c>
      <c r="K91" s="2">
        <f>IF(J91&gt;0,-(J91+$B$88)*($E$8/'Loan Amortization'!$D$8),0)</f>
        <v>0</v>
      </c>
      <c r="L91" s="2">
        <f t="shared" si="8"/>
        <v>0</v>
      </c>
      <c r="M91" s="2">
        <f>IF(L91&gt;0,-(L91+$B$88)*($E$8/'Loan Amortization'!$D$8),0)</f>
        <v>0</v>
      </c>
      <c r="N91" s="2">
        <f t="shared" si="8"/>
        <v>0</v>
      </c>
      <c r="O91" s="2">
        <f>IF(N91&gt;0,-(N91+$B$88)*($E$8/'Loan Amortization'!$D$8),0)</f>
        <v>0</v>
      </c>
      <c r="P91" s="2">
        <f t="shared" si="8"/>
        <v>0</v>
      </c>
      <c r="Q91" s="2">
        <f>IF(P91&gt;0,-(P91+$B$88)*($E$8/'Loan Amortization'!$D$8),0)</f>
        <v>0</v>
      </c>
      <c r="R91" s="2">
        <f t="shared" si="8"/>
        <v>0</v>
      </c>
      <c r="S91" s="2">
        <f>IF(R91&gt;0,-(R91+$B$88)*($E$8/'Loan Amortization'!$D$8),0)</f>
        <v>0</v>
      </c>
      <c r="T91" s="2">
        <f t="shared" si="8"/>
        <v>0</v>
      </c>
      <c r="U91" s="2">
        <f>IF(T91&gt;0,-(T91+$B$88)*($E$8/'Loan Amortization'!$D$8),0)</f>
        <v>0</v>
      </c>
      <c r="V91" s="2">
        <f t="shared" si="8"/>
        <v>0</v>
      </c>
      <c r="W91" s="2">
        <f>IF(V91&gt;0,-(V91+$B$88)*($E$8/'Loan Amortization'!$D$8),0)</f>
        <v>0</v>
      </c>
      <c r="X91" s="2">
        <f t="shared" si="9"/>
        <v>9</v>
      </c>
      <c r="Y91" s="2"/>
      <c r="Z91" s="480"/>
    </row>
    <row r="92" spans="2:26" x14ac:dyDescent="0.15">
      <c r="B92" s="202"/>
      <c r="C92" s="4">
        <v>10</v>
      </c>
      <c r="D92" s="2">
        <f t="shared" si="8"/>
        <v>0</v>
      </c>
      <c r="E92" s="2">
        <f>IF(D92&gt;0,-(D92+$B$88)*($E$8/'Loan Amortization'!$D$8),0)</f>
        <v>0</v>
      </c>
      <c r="F92" s="2">
        <f t="shared" si="8"/>
        <v>0</v>
      </c>
      <c r="G92" s="2">
        <f>IF(F92&gt;0,-(F92+$B$88)*($E$8/'Loan Amortization'!$D$8),0)</f>
        <v>0</v>
      </c>
      <c r="H92" s="2">
        <f t="shared" si="8"/>
        <v>0</v>
      </c>
      <c r="I92" s="2">
        <f>IF(H92&gt;0,-(H92+$B$88)*($E$8/'Loan Amortization'!$D$8),0)</f>
        <v>0</v>
      </c>
      <c r="J92" s="2">
        <f t="shared" si="8"/>
        <v>0</v>
      </c>
      <c r="K92" s="2">
        <f>IF(J92&gt;0,-(J92+$B$88)*($E$8/'Loan Amortization'!$D$8),0)</f>
        <v>0</v>
      </c>
      <c r="L92" s="2">
        <f t="shared" si="8"/>
        <v>0</v>
      </c>
      <c r="M92" s="2">
        <f>IF(L92&gt;0,-(L92+$B$88)*($E$8/'Loan Amortization'!$D$8),0)</f>
        <v>0</v>
      </c>
      <c r="N92" s="2">
        <f t="shared" si="8"/>
        <v>0</v>
      </c>
      <c r="O92" s="2">
        <f>IF(N92&gt;0,-(N92+$B$88)*($E$8/'Loan Amortization'!$D$8),0)</f>
        <v>0</v>
      </c>
      <c r="P92" s="2">
        <f t="shared" si="8"/>
        <v>0</v>
      </c>
      <c r="Q92" s="2">
        <f>IF(P92&gt;0,-(P92+$B$88)*($E$8/'Loan Amortization'!$D$8),0)</f>
        <v>0</v>
      </c>
      <c r="R92" s="2">
        <f t="shared" si="8"/>
        <v>0</v>
      </c>
      <c r="S92" s="2">
        <f>IF(R92&gt;0,-(R92+$B$88)*($E$8/'Loan Amortization'!$D$8),0)</f>
        <v>0</v>
      </c>
      <c r="T92" s="2">
        <f t="shared" si="8"/>
        <v>0</v>
      </c>
      <c r="U92" s="2">
        <f>IF(T92&gt;0,-(T92+$B$88)*($E$8/'Loan Amortization'!$D$8),0)</f>
        <v>0</v>
      </c>
      <c r="V92" s="2">
        <f t="shared" si="8"/>
        <v>0</v>
      </c>
      <c r="W92" s="2">
        <f>IF(V92&gt;0,-(V92+$B$88)*($E$8/'Loan Amortization'!$D$8),0)</f>
        <v>0</v>
      </c>
      <c r="X92" s="2">
        <f t="shared" si="9"/>
        <v>10</v>
      </c>
      <c r="Y92" s="2"/>
      <c r="Z92" s="480"/>
    </row>
    <row r="93" spans="2:26" x14ac:dyDescent="0.15">
      <c r="B93" s="202"/>
      <c r="C93" s="4">
        <v>11</v>
      </c>
      <c r="D93" s="2">
        <f t="shared" si="8"/>
        <v>0</v>
      </c>
      <c r="E93" s="2">
        <f>IF(D93&gt;0,-(D93+$B$88)*($E$8/'Loan Amortization'!$D$8),0)</f>
        <v>0</v>
      </c>
      <c r="F93" s="2">
        <f t="shared" si="8"/>
        <v>0</v>
      </c>
      <c r="G93" s="2">
        <f>IF(F93&gt;0,-(F93+$B$88)*($E$8/'Loan Amortization'!$D$8),0)</f>
        <v>0</v>
      </c>
      <c r="H93" s="2">
        <f t="shared" si="8"/>
        <v>0</v>
      </c>
      <c r="I93" s="2">
        <f>IF(H93&gt;0,-(H93+$B$88)*($E$8/'Loan Amortization'!$D$8),0)</f>
        <v>0</v>
      </c>
      <c r="J93" s="2">
        <f t="shared" si="8"/>
        <v>0</v>
      </c>
      <c r="K93" s="2">
        <f>IF(J93&gt;0,-(J93+$B$88)*($E$8/'Loan Amortization'!$D$8),0)</f>
        <v>0</v>
      </c>
      <c r="L93" s="2">
        <f t="shared" si="8"/>
        <v>0</v>
      </c>
      <c r="M93" s="2">
        <f>IF(L93&gt;0,-(L93+$B$88)*($E$8/'Loan Amortization'!$D$8),0)</f>
        <v>0</v>
      </c>
      <c r="N93" s="2">
        <f t="shared" si="8"/>
        <v>0</v>
      </c>
      <c r="O93" s="2">
        <f>IF(N93&gt;0,-(N93+$B$88)*($E$8/'Loan Amortization'!$D$8),0)</f>
        <v>0</v>
      </c>
      <c r="P93" s="2">
        <f t="shared" si="8"/>
        <v>0</v>
      </c>
      <c r="Q93" s="2">
        <f>IF(P93&gt;0,-(P93+$B$88)*($E$8/'Loan Amortization'!$D$8),0)</f>
        <v>0</v>
      </c>
      <c r="R93" s="2">
        <f t="shared" si="8"/>
        <v>0</v>
      </c>
      <c r="S93" s="2">
        <f>IF(R93&gt;0,-(R93+$B$88)*($E$8/'Loan Amortization'!$D$8),0)</f>
        <v>0</v>
      </c>
      <c r="T93" s="2">
        <f t="shared" si="8"/>
        <v>0</v>
      </c>
      <c r="U93" s="2">
        <f>IF(T93&gt;0,-(T93+$B$88)*($E$8/'Loan Amortization'!$D$8),0)</f>
        <v>0</v>
      </c>
      <c r="V93" s="2">
        <f t="shared" si="8"/>
        <v>0</v>
      </c>
      <c r="W93" s="2">
        <f>IF(V93&gt;0,-(V93+$B$88)*($E$8/'Loan Amortization'!$D$8),0)</f>
        <v>0</v>
      </c>
      <c r="X93" s="2">
        <f t="shared" si="9"/>
        <v>11</v>
      </c>
      <c r="Y93" s="2"/>
      <c r="Z93" s="480"/>
    </row>
    <row r="94" spans="2:26" ht="14" thickBot="1" x14ac:dyDescent="0.2">
      <c r="B94" s="202"/>
      <c r="C94" s="4">
        <v>12</v>
      </c>
      <c r="D94" s="2">
        <f t="shared" si="8"/>
        <v>0</v>
      </c>
      <c r="E94" s="2">
        <f>IF(D94&gt;0,-(D94+$B$88)*($E$8/'Loan Amortization'!$D$8),0)</f>
        <v>0</v>
      </c>
      <c r="F94" s="2">
        <f t="shared" si="8"/>
        <v>0</v>
      </c>
      <c r="G94" s="2">
        <f>IF(F94&gt;0,-(F94+$B$88)*($E$8/'Loan Amortization'!$D$8),0)</f>
        <v>0</v>
      </c>
      <c r="H94" s="2">
        <f t="shared" si="8"/>
        <v>0</v>
      </c>
      <c r="I94" s="2">
        <f>IF(H94&gt;0,-(H94+$B$88)*($E$8/'Loan Amortization'!$D$8),0)</f>
        <v>0</v>
      </c>
      <c r="J94" s="2">
        <f t="shared" si="8"/>
        <v>0</v>
      </c>
      <c r="K94" s="2">
        <f>IF(J94&gt;0,-(J94+$B$88)*($E$8/'Loan Amortization'!$D$8),0)</f>
        <v>0</v>
      </c>
      <c r="L94" s="2">
        <f t="shared" si="8"/>
        <v>0</v>
      </c>
      <c r="M94" s="2">
        <f>IF(L94&gt;0,-(L94+$B$88)*($E$8/'Loan Amortization'!$D$8),0)</f>
        <v>0</v>
      </c>
      <c r="N94" s="2">
        <f t="shared" si="8"/>
        <v>0</v>
      </c>
      <c r="O94" s="2">
        <f>IF(N94&gt;0,-(N94+$B$88)*($E$8/'Loan Amortization'!$D$8),0)</f>
        <v>0</v>
      </c>
      <c r="P94" s="2">
        <f t="shared" si="8"/>
        <v>0</v>
      </c>
      <c r="Q94" s="2">
        <f>IF(P94&gt;0,-(P94+$B$88)*($E$8/'Loan Amortization'!$D$8),0)</f>
        <v>0</v>
      </c>
      <c r="R94" s="2">
        <f t="shared" si="8"/>
        <v>0</v>
      </c>
      <c r="S94" s="2">
        <f>IF(R94&gt;0,-(R94+$B$88)*($E$8/'Loan Amortization'!$D$8),0)</f>
        <v>0</v>
      </c>
      <c r="T94" s="2">
        <f t="shared" si="8"/>
        <v>0</v>
      </c>
      <c r="U94" s="2">
        <f>IF(T94&gt;0,-(T94+$B$88)*($E$8/'Loan Amortization'!$D$8),0)</f>
        <v>0</v>
      </c>
      <c r="V94" s="2">
        <f t="shared" si="8"/>
        <v>0</v>
      </c>
      <c r="W94" s="2">
        <f>IF(V94&gt;0,-(V94+$B$88)*($E$8/'Loan Amortization'!$D$8),0)</f>
        <v>0</v>
      </c>
      <c r="X94" s="2">
        <f t="shared" si="9"/>
        <v>12</v>
      </c>
      <c r="Y94" s="2"/>
      <c r="Z94" s="480"/>
    </row>
    <row r="95" spans="2:26" ht="14" thickBot="1" x14ac:dyDescent="0.2">
      <c r="B95" s="541" t="s">
        <v>45</v>
      </c>
      <c r="C95" s="502" t="s">
        <v>663</v>
      </c>
      <c r="D95" s="503">
        <f>'Level Prin Paymt Fin Sens Calc'!D$138</f>
        <v>0</v>
      </c>
      <c r="E95" s="503">
        <f>'Level Prin Paymt Fin Sens Calc'!E$138</f>
        <v>0</v>
      </c>
      <c r="F95" s="503">
        <f>'Level Prin Paymt Fin Sens Calc'!F$138</f>
        <v>0</v>
      </c>
      <c r="G95" s="503">
        <f>'Level Prin Paymt Fin Sens Calc'!G$138</f>
        <v>0</v>
      </c>
      <c r="H95" s="503">
        <f>'Level Prin Paymt Fin Sens Calc'!H$138</f>
        <v>0</v>
      </c>
      <c r="I95" s="503">
        <f>'Level Prin Paymt Fin Sens Calc'!I$138</f>
        <v>0</v>
      </c>
      <c r="J95" s="503">
        <f>'Level Prin Paymt Fin Sens Calc'!J$138</f>
        <v>0</v>
      </c>
      <c r="K95" s="503">
        <f>'Level Prin Paymt Fin Sens Calc'!K$138</f>
        <v>0</v>
      </c>
      <c r="L95" s="503">
        <f>'Level Prin Paymt Fin Sens Calc'!L$138</f>
        <v>0</v>
      </c>
      <c r="M95" s="503">
        <f>'Level Prin Paymt Fin Sens Calc'!M$138</f>
        <v>0</v>
      </c>
      <c r="N95" s="503">
        <f>'Level Prin Paymt Fin Sens Calc'!N$138</f>
        <v>0</v>
      </c>
      <c r="O95" s="503">
        <f>'Level Prin Paymt Fin Sens Calc'!O$138</f>
        <v>0</v>
      </c>
      <c r="P95" s="503">
        <f>'Level Prin Paymt Fin Sens Calc'!P$138</f>
        <v>0</v>
      </c>
      <c r="Q95" s="503">
        <f>'Level Prin Paymt Fin Sens Calc'!Q$138</f>
        <v>0</v>
      </c>
      <c r="R95" s="503">
        <f>'Level Prin Paymt Fin Sens Calc'!R$138</f>
        <v>0</v>
      </c>
      <c r="S95" s="503">
        <f>'Level Prin Paymt Fin Sens Calc'!S$138</f>
        <v>0</v>
      </c>
      <c r="T95" s="503">
        <f>'Level Prin Paymt Fin Sens Calc'!T$138</f>
        <v>0</v>
      </c>
      <c r="U95" s="503">
        <f>'Level Prin Paymt Fin Sens Calc'!U$138</f>
        <v>0</v>
      </c>
      <c r="V95" s="503">
        <f>'Level Prin Paymt Fin Sens Calc'!V$138</f>
        <v>0</v>
      </c>
      <c r="W95" s="503">
        <f>'Level Prin Paymt Fin Sens Calc'!W$138</f>
        <v>0</v>
      </c>
      <c r="X95" s="504">
        <f t="shared" si="9"/>
        <v>0</v>
      </c>
      <c r="Y95" s="501"/>
      <c r="Z95" s="480"/>
    </row>
    <row r="96" spans="2:26" ht="14" thickBot="1" x14ac:dyDescent="0.2">
      <c r="B96" s="478"/>
      <c r="C96" s="520" t="s">
        <v>273</v>
      </c>
      <c r="D96" s="522"/>
      <c r="E96" s="522">
        <f>IF(D82&gt;$L$10,0,IPMT($E$8,D82,$L$10,$B$234))</f>
        <v>0</v>
      </c>
      <c r="F96" s="522"/>
      <c r="G96" s="522">
        <f>IF(F82&gt;$L$10,0,IPMT($E$8,F82,$L$10,$B$234))</f>
        <v>0</v>
      </c>
      <c r="H96" s="522"/>
      <c r="I96" s="522">
        <f>IF(H82&gt;$L$10,0,IPMT($E$8,H82,$L$10,$B$234))</f>
        <v>0</v>
      </c>
      <c r="J96" s="522"/>
      <c r="K96" s="522">
        <f>IF(J82&gt;$L$10,0,IPMT($E$8,J82,$L$10,$B$234))</f>
        <v>0</v>
      </c>
      <c r="L96" s="522"/>
      <c r="M96" s="522">
        <f>IF(L82&gt;$L$10,0,IPMT($E$8,L82,$L$10,$B$234))</f>
        <v>0</v>
      </c>
      <c r="N96" s="522"/>
      <c r="O96" s="522">
        <f>IF(N82&gt;$L$10,0,IPMT($E$8,N82,$L$10,$B$234))</f>
        <v>0</v>
      </c>
      <c r="P96" s="522"/>
      <c r="Q96" s="522">
        <f>IF(P82&gt;$L$10,0,IPMT($E$8,P82,$L$10,$B$234))</f>
        <v>0</v>
      </c>
      <c r="R96" s="522"/>
      <c r="S96" s="522">
        <f>IF(R82&gt;$L$10,0,IPMT($E$8,R82,$L$10,$B$234))</f>
        <v>0</v>
      </c>
      <c r="T96" s="522"/>
      <c r="U96" s="522">
        <f>IF(T82&gt;$L$10,0,IPMT($E$8,T82,$L$10,$B$234))</f>
        <v>0</v>
      </c>
      <c r="V96" s="522"/>
      <c r="W96" s="522">
        <f>IF(V82&gt;$L$10,0,IPMT($E$8,V82,$L$10,$B$234))</f>
        <v>0</v>
      </c>
      <c r="X96" s="504">
        <f t="shared" si="9"/>
        <v>0</v>
      </c>
      <c r="Y96" s="548"/>
      <c r="Z96" s="482"/>
    </row>
    <row r="97" spans="2:26" ht="14" thickBot="1" x14ac:dyDescent="0.2">
      <c r="B97" s="8"/>
      <c r="C97" s="502" t="s">
        <v>664</v>
      </c>
      <c r="D97" s="558">
        <f>D82</f>
        <v>1</v>
      </c>
      <c r="E97" s="559">
        <f>F82</f>
        <v>2</v>
      </c>
      <c r="F97" s="559">
        <f>H82</f>
        <v>3</v>
      </c>
      <c r="G97" s="559">
        <f>J82</f>
        <v>4</v>
      </c>
      <c r="H97" s="559">
        <f>L82</f>
        <v>5</v>
      </c>
      <c r="I97" s="559">
        <f>N82</f>
        <v>6</v>
      </c>
      <c r="J97" s="559">
        <f>P82</f>
        <v>7</v>
      </c>
      <c r="K97" s="559">
        <f>R82</f>
        <v>8</v>
      </c>
      <c r="L97" s="559">
        <f>T82</f>
        <v>9</v>
      </c>
      <c r="M97" s="559">
        <f>V82</f>
        <v>10</v>
      </c>
      <c r="N97" s="560" t="str">
        <f>X82</f>
        <v>TOTAL</v>
      </c>
      <c r="O97" s="2"/>
      <c r="P97" s="2"/>
      <c r="Q97" s="2"/>
      <c r="R97" s="2"/>
      <c r="S97" s="2"/>
      <c r="T97" s="2"/>
      <c r="U97" s="2"/>
      <c r="V97" s="2"/>
      <c r="W97" s="2"/>
      <c r="X97" s="2"/>
      <c r="Y97" s="2"/>
    </row>
    <row r="98" spans="2:26" ht="14" thickBot="1" x14ac:dyDescent="0.2">
      <c r="B98" s="8"/>
      <c r="C98" s="502" t="s">
        <v>663</v>
      </c>
      <c r="D98" s="561">
        <f>D95</f>
        <v>0</v>
      </c>
      <c r="E98" s="2">
        <f>F95</f>
        <v>0</v>
      </c>
      <c r="F98" s="2">
        <f>H95</f>
        <v>0</v>
      </c>
      <c r="G98" s="2">
        <f>J95</f>
        <v>0</v>
      </c>
      <c r="H98" s="2">
        <f>L95</f>
        <v>0</v>
      </c>
      <c r="I98" s="2">
        <f>N95</f>
        <v>0</v>
      </c>
      <c r="J98" s="2">
        <f>P95</f>
        <v>0</v>
      </c>
      <c r="K98" s="2">
        <f>R95</f>
        <v>0</v>
      </c>
      <c r="L98" s="2">
        <f>T95</f>
        <v>0</v>
      </c>
      <c r="M98" s="2">
        <f>V95</f>
        <v>0</v>
      </c>
      <c r="N98" s="501">
        <f>X95</f>
        <v>0</v>
      </c>
      <c r="O98" s="2"/>
      <c r="P98" s="2"/>
      <c r="Q98" s="2"/>
      <c r="R98" s="2"/>
      <c r="S98" s="2"/>
      <c r="T98" s="2"/>
      <c r="U98" s="2"/>
      <c r="V98" s="2"/>
      <c r="W98" s="2"/>
      <c r="X98" s="2"/>
      <c r="Y98" s="2"/>
    </row>
    <row r="99" spans="2:26" ht="14" thickBot="1" x14ac:dyDescent="0.2">
      <c r="B99" s="8"/>
      <c r="C99" s="520" t="s">
        <v>273</v>
      </c>
      <c r="D99" s="562">
        <f>E96</f>
        <v>0</v>
      </c>
      <c r="E99" s="522">
        <f>G96</f>
        <v>0</v>
      </c>
      <c r="F99" s="522">
        <f>I96</f>
        <v>0</v>
      </c>
      <c r="G99" s="522">
        <f>K96</f>
        <v>0</v>
      </c>
      <c r="H99" s="522">
        <f>M96</f>
        <v>0</v>
      </c>
      <c r="I99" s="522">
        <f>O96</f>
        <v>0</v>
      </c>
      <c r="J99" s="522">
        <f>Q96</f>
        <v>0</v>
      </c>
      <c r="K99" s="522">
        <f>S96</f>
        <v>0</v>
      </c>
      <c r="L99" s="522">
        <f>U96</f>
        <v>0</v>
      </c>
      <c r="M99" s="522">
        <f>W96</f>
        <v>0</v>
      </c>
      <c r="N99" s="548">
        <f>X96</f>
        <v>0</v>
      </c>
      <c r="O99" s="2"/>
      <c r="P99" s="2"/>
      <c r="Q99" s="2"/>
      <c r="R99" s="2"/>
      <c r="S99" s="2"/>
      <c r="T99" s="2"/>
      <c r="U99" s="2"/>
      <c r="V99" s="2"/>
      <c r="W99" s="2"/>
      <c r="X99" s="2"/>
      <c r="Y99" s="2"/>
    </row>
    <row r="101" spans="2:26" ht="14" thickBot="1" x14ac:dyDescent="0.2"/>
    <row r="102" spans="2:26" ht="14" thickBot="1" x14ac:dyDescent="0.2">
      <c r="B102" s="495" t="s">
        <v>416</v>
      </c>
      <c r="C102" s="178"/>
      <c r="D102" s="483" t="s">
        <v>133</v>
      </c>
      <c r="E102" s="483"/>
      <c r="F102" s="483" t="s">
        <v>133</v>
      </c>
      <c r="G102" s="483"/>
      <c r="H102" s="483" t="s">
        <v>133</v>
      </c>
      <c r="I102" s="483"/>
      <c r="J102" s="483" t="s">
        <v>133</v>
      </c>
      <c r="K102" s="483"/>
      <c r="L102" s="483" t="s">
        <v>133</v>
      </c>
      <c r="M102" s="483"/>
      <c r="N102" s="483" t="s">
        <v>133</v>
      </c>
      <c r="O102" s="483"/>
      <c r="P102" s="483" t="s">
        <v>133</v>
      </c>
      <c r="Q102" s="483"/>
      <c r="R102" s="483" t="s">
        <v>133</v>
      </c>
      <c r="S102" s="483"/>
      <c r="T102" s="483" t="s">
        <v>133</v>
      </c>
      <c r="U102" s="483"/>
      <c r="V102" s="483" t="s">
        <v>133</v>
      </c>
      <c r="W102" s="483"/>
      <c r="X102" s="178"/>
      <c r="Y102" s="178"/>
      <c r="Z102" s="499" t="str">
        <f>B102</f>
        <v>-5%</v>
      </c>
    </row>
    <row r="103" spans="2:26" x14ac:dyDescent="0.15">
      <c r="B103" s="426"/>
      <c r="C103" s="4" t="s">
        <v>660</v>
      </c>
      <c r="D103" s="4">
        <v>1</v>
      </c>
      <c r="E103" s="4"/>
      <c r="F103" s="4">
        <f>D103+1</f>
        <v>2</v>
      </c>
      <c r="G103" s="4"/>
      <c r="H103" s="4">
        <f>F103+1</f>
        <v>3</v>
      </c>
      <c r="I103" s="4"/>
      <c r="J103" s="4">
        <f>H103+1</f>
        <v>4</v>
      </c>
      <c r="K103" s="4"/>
      <c r="L103" s="4">
        <f>J103+1</f>
        <v>5</v>
      </c>
      <c r="M103" s="4"/>
      <c r="N103" s="4">
        <f>L103+1</f>
        <v>6</v>
      </c>
      <c r="O103" s="4"/>
      <c r="P103" s="4">
        <f>N103+1</f>
        <v>7</v>
      </c>
      <c r="Q103" s="4"/>
      <c r="R103" s="4">
        <f>P103+1</f>
        <v>8</v>
      </c>
      <c r="S103" s="4"/>
      <c r="T103" s="4">
        <f>R103+1</f>
        <v>9</v>
      </c>
      <c r="U103" s="4"/>
      <c r="V103" s="4">
        <f>T103+1</f>
        <v>10</v>
      </c>
      <c r="W103" s="4"/>
      <c r="X103" s="4" t="s">
        <v>285</v>
      </c>
      <c r="Y103" s="4"/>
      <c r="Z103" s="480"/>
    </row>
    <row r="104" spans="2:26" x14ac:dyDescent="0.15">
      <c r="B104" s="202" t="s">
        <v>661</v>
      </c>
      <c r="C104" s="4">
        <v>1</v>
      </c>
      <c r="D104" s="2">
        <f>IF(D$19&lt;($L$10+1),$B$108-((((D$19-1)*12)+$C104)*$B$109),0)</f>
        <v>0</v>
      </c>
      <c r="E104" s="2">
        <f>IF(D104&gt;0,-(D104+$B$109)*($E$9/'Loan Amortization'!$D$8),0)</f>
        <v>0</v>
      </c>
      <c r="F104" s="2">
        <f>IF(F$19&lt;($L$10+1),$B$108-((((F$19-1)*12)+$C104)*$B$109),0)</f>
        <v>0</v>
      </c>
      <c r="G104" s="2">
        <f>IF(F104&gt;0,-(F104+$B$109)*($E$9/'Loan Amortization'!$D$8),0)</f>
        <v>0</v>
      </c>
      <c r="H104" s="2">
        <f>IF(H$19&lt;($L$10+1),$B$108-((((H$19-1)*12)+$C104)*$B$109),0)</f>
        <v>0</v>
      </c>
      <c r="I104" s="2">
        <f>IF(H104&gt;0,-(H104+$B$109)*($E$9/'Loan Amortization'!$D$8),0)</f>
        <v>0</v>
      </c>
      <c r="J104" s="2">
        <f>IF(J$19&lt;($L$10+1),$B$108-((((J$19-1)*12)+$C104)*$B$109),0)</f>
        <v>0</v>
      </c>
      <c r="K104" s="2">
        <f>IF(J104&gt;0,-(J104+$B$109)*($E$9/'Loan Amortization'!$D$8),0)</f>
        <v>0</v>
      </c>
      <c r="L104" s="2">
        <f>IF(L$19&lt;($L$10+1),$B$108-((((L$19-1)*12)+$C104)*$B$109),0)</f>
        <v>0</v>
      </c>
      <c r="M104" s="2">
        <f>IF(L104&gt;0,-(L104+$B$109)*($E$9/'Loan Amortization'!$D$8),0)</f>
        <v>0</v>
      </c>
      <c r="N104" s="2">
        <f>IF(N$19&lt;($L$10+1),$B$108-((((N$19-1)*12)+$C104)*$B$109),0)</f>
        <v>0</v>
      </c>
      <c r="O104" s="2">
        <f>IF(N104&gt;0,-(N104+$B$109)*($E$9/'Loan Amortization'!$D$8),0)</f>
        <v>0</v>
      </c>
      <c r="P104" s="2">
        <f>IF(P$19&lt;($L$10+1),$B$108-((((P$19-1)*12)+$C104)*$B$109),0)</f>
        <v>0</v>
      </c>
      <c r="Q104" s="2">
        <f>IF(P104&gt;0,-(P104+$B$109)*($E$9/'Loan Amortization'!$D$8),0)</f>
        <v>0</v>
      </c>
      <c r="R104" s="2">
        <f>IF(R$19&lt;($L$10+1),$B$108-((((R$19-1)*12)+$C104)*$B$109),0)</f>
        <v>0</v>
      </c>
      <c r="S104" s="2">
        <f>IF(R104&gt;0,-(R104+$B$109)*($E$9/'Loan Amortization'!$D$8),0)</f>
        <v>0</v>
      </c>
      <c r="T104" s="2">
        <f>IF(T$19&lt;($L$10+1),$B$108-((((T$19-1)*12)+$C104)*$B$109),0)</f>
        <v>0</v>
      </c>
      <c r="U104" s="2">
        <f>IF(T104&gt;0,-(T104+$B$109)*($E$9/'Loan Amortization'!$D$8),0)</f>
        <v>0</v>
      </c>
      <c r="V104" s="2">
        <f>IF(V$19&lt;($L$10+1),$B$108-((((V$19-1)*12)+$C104)*$B$109),0)</f>
        <v>0</v>
      </c>
      <c r="W104" s="2">
        <f>IF(V104&gt;0,-(V104+$B$109)*($E$9/'Loan Amortization'!$D$8),0)</f>
        <v>0</v>
      </c>
      <c r="X104" s="2">
        <f>SUM(C104:V104)</f>
        <v>1</v>
      </c>
      <c r="Y104" s="2"/>
      <c r="Z104" s="480"/>
    </row>
    <row r="105" spans="2:26" x14ac:dyDescent="0.15">
      <c r="B105" s="511">
        <f>-PMT($L$6/12,$L$10*12,C9)</f>
        <v>0</v>
      </c>
      <c r="C105" s="4">
        <v>2</v>
      </c>
      <c r="D105" s="2">
        <f t="shared" ref="D105:V115" si="10">IF(D$19&lt;($L$10+1),$B$108-((((D$19-1)*12)+$C105)*$B$109),0)</f>
        <v>0</v>
      </c>
      <c r="E105" s="2">
        <f>IF(D105&gt;0,-(D105+$B$109)*($E$9/'Loan Amortization'!$D$8),0)</f>
        <v>0</v>
      </c>
      <c r="F105" s="2">
        <f t="shared" si="10"/>
        <v>0</v>
      </c>
      <c r="G105" s="2">
        <f>IF(F105&gt;0,-(F105+$B$109)*($E$9/'Loan Amortization'!$D$8),0)</f>
        <v>0</v>
      </c>
      <c r="H105" s="2">
        <f t="shared" si="10"/>
        <v>0</v>
      </c>
      <c r="I105" s="2">
        <f>IF(H105&gt;0,-(H105+$B$109)*($E$9/'Loan Amortization'!$D$8),0)</f>
        <v>0</v>
      </c>
      <c r="J105" s="2">
        <f t="shared" si="10"/>
        <v>0</v>
      </c>
      <c r="K105" s="2">
        <f>IF(J105&gt;0,-(J105+$B$109)*($E$9/'Loan Amortization'!$D$8),0)</f>
        <v>0</v>
      </c>
      <c r="L105" s="2">
        <f t="shared" si="10"/>
        <v>0</v>
      </c>
      <c r="M105" s="2">
        <f>IF(L105&gt;0,-(L105+$B$109)*($E$9/'Loan Amortization'!$D$8),0)</f>
        <v>0</v>
      </c>
      <c r="N105" s="2">
        <f t="shared" si="10"/>
        <v>0</v>
      </c>
      <c r="O105" s="2">
        <f>IF(N105&gt;0,-(N105+$B$109)*($E$9/'Loan Amortization'!$D$8),0)</f>
        <v>0</v>
      </c>
      <c r="P105" s="2">
        <f t="shared" si="10"/>
        <v>0</v>
      </c>
      <c r="Q105" s="2">
        <f>IF(P105&gt;0,-(P105+$B$109)*($E$9/'Loan Amortization'!$D$8),0)</f>
        <v>0</v>
      </c>
      <c r="R105" s="2">
        <f t="shared" si="10"/>
        <v>0</v>
      </c>
      <c r="S105" s="2">
        <f>IF(R105&gt;0,-(R105+$B$109)*($E$9/'Loan Amortization'!$D$8),0)</f>
        <v>0</v>
      </c>
      <c r="T105" s="2">
        <f t="shared" si="10"/>
        <v>0</v>
      </c>
      <c r="U105" s="2">
        <f>IF(T105&gt;0,-(T105+$B$109)*($E$9/'Loan Amortization'!$D$8),0)</f>
        <v>0</v>
      </c>
      <c r="V105" s="2">
        <f t="shared" si="10"/>
        <v>0</v>
      </c>
      <c r="W105" s="2">
        <f>IF(V105&gt;0,-(V105+$B$109)*($E$9/'Loan Amortization'!$D$8),0)</f>
        <v>0</v>
      </c>
      <c r="X105" s="2">
        <f t="shared" ref="X105:X117" si="11">SUM(C105:V105)</f>
        <v>2</v>
      </c>
      <c r="Y105" s="2"/>
      <c r="Z105" s="480"/>
    </row>
    <row r="106" spans="2:26" x14ac:dyDescent="0.15">
      <c r="B106" s="540">
        <f>B105*12</f>
        <v>0</v>
      </c>
      <c r="C106" s="4">
        <v>3</v>
      </c>
      <c r="D106" s="2">
        <f t="shared" si="10"/>
        <v>0</v>
      </c>
      <c r="E106" s="2">
        <f>IF(D106&gt;0,-(D106+$B$109)*($E$9/'Loan Amortization'!$D$8),0)</f>
        <v>0</v>
      </c>
      <c r="F106" s="2">
        <f t="shared" si="10"/>
        <v>0</v>
      </c>
      <c r="G106" s="2">
        <f>IF(F106&gt;0,-(F106+$B$109)*($E$9/'Loan Amortization'!$D$8),0)</f>
        <v>0</v>
      </c>
      <c r="H106" s="2">
        <f t="shared" si="10"/>
        <v>0</v>
      </c>
      <c r="I106" s="2">
        <f>IF(H106&gt;0,-(H106+$B$109)*($E$9/'Loan Amortization'!$D$8),0)</f>
        <v>0</v>
      </c>
      <c r="J106" s="2">
        <f t="shared" si="10"/>
        <v>0</v>
      </c>
      <c r="K106" s="2">
        <f>IF(J106&gt;0,-(J106+$B$109)*($E$9/'Loan Amortization'!$D$8),0)</f>
        <v>0</v>
      </c>
      <c r="L106" s="2">
        <f t="shared" si="10"/>
        <v>0</v>
      </c>
      <c r="M106" s="2">
        <f>IF(L106&gt;0,-(L106+$B$109)*($E$9/'Loan Amortization'!$D$8),0)</f>
        <v>0</v>
      </c>
      <c r="N106" s="2">
        <f t="shared" si="10"/>
        <v>0</v>
      </c>
      <c r="O106" s="2">
        <f>IF(N106&gt;0,-(N106+$B$109)*($E$9/'Loan Amortization'!$D$8),0)</f>
        <v>0</v>
      </c>
      <c r="P106" s="2">
        <f t="shared" si="10"/>
        <v>0</v>
      </c>
      <c r="Q106" s="2">
        <f>IF(P106&gt;0,-(P106+$B$109)*($E$9/'Loan Amortization'!$D$8),0)</f>
        <v>0</v>
      </c>
      <c r="R106" s="2">
        <f t="shared" si="10"/>
        <v>0</v>
      </c>
      <c r="S106" s="2">
        <f>IF(R106&gt;0,-(R106+$B$109)*($E$9/'Loan Amortization'!$D$8),0)</f>
        <v>0</v>
      </c>
      <c r="T106" s="2">
        <f t="shared" si="10"/>
        <v>0</v>
      </c>
      <c r="U106" s="2">
        <f>IF(T106&gt;0,-(T106+$B$109)*($E$9/'Loan Amortization'!$D$8),0)</f>
        <v>0</v>
      </c>
      <c r="V106" s="2">
        <f t="shared" si="10"/>
        <v>0</v>
      </c>
      <c r="W106" s="2">
        <f>IF(V106&gt;0,-(V106+$B$109)*($E$9/'Loan Amortization'!$D$8),0)</f>
        <v>0</v>
      </c>
      <c r="X106" s="2">
        <f t="shared" si="11"/>
        <v>3</v>
      </c>
      <c r="Y106" s="2"/>
      <c r="Z106" s="480"/>
    </row>
    <row r="107" spans="2:26" x14ac:dyDescent="0.15">
      <c r="B107" s="202" t="s">
        <v>662</v>
      </c>
      <c r="C107" s="4">
        <v>4</v>
      </c>
      <c r="D107" s="2">
        <f t="shared" si="10"/>
        <v>0</v>
      </c>
      <c r="E107" s="2">
        <f>IF(D107&gt;0,-(D107+$B$109)*($E$9/'Loan Amortization'!$D$8),0)</f>
        <v>0</v>
      </c>
      <c r="F107" s="2">
        <f t="shared" si="10"/>
        <v>0</v>
      </c>
      <c r="G107" s="2">
        <f>IF(F107&gt;0,-(F107+$B$109)*($E$9/'Loan Amortization'!$D$8),0)</f>
        <v>0</v>
      </c>
      <c r="H107" s="2">
        <f t="shared" si="10"/>
        <v>0</v>
      </c>
      <c r="I107" s="2">
        <f>IF(H107&gt;0,-(H107+$B$109)*($E$9/'Loan Amortization'!$D$8),0)</f>
        <v>0</v>
      </c>
      <c r="J107" s="2">
        <f t="shared" si="10"/>
        <v>0</v>
      </c>
      <c r="K107" s="2">
        <f>IF(J107&gt;0,-(J107+$B$109)*($E$9/'Loan Amortization'!$D$8),0)</f>
        <v>0</v>
      </c>
      <c r="L107" s="2">
        <f t="shared" si="10"/>
        <v>0</v>
      </c>
      <c r="M107" s="2">
        <f>IF(L107&gt;0,-(L107+$B$109)*($E$9/'Loan Amortization'!$D$8),0)</f>
        <v>0</v>
      </c>
      <c r="N107" s="2">
        <f t="shared" si="10"/>
        <v>0</v>
      </c>
      <c r="O107" s="2">
        <f>IF(N107&gt;0,-(N107+$B$109)*($E$9/'Loan Amortization'!$D$8),0)</f>
        <v>0</v>
      </c>
      <c r="P107" s="2">
        <f t="shared" si="10"/>
        <v>0</v>
      </c>
      <c r="Q107" s="2">
        <f>IF(P107&gt;0,-(P107+$B$109)*($E$9/'Loan Amortization'!$D$8),0)</f>
        <v>0</v>
      </c>
      <c r="R107" s="2">
        <f t="shared" si="10"/>
        <v>0</v>
      </c>
      <c r="S107" s="2">
        <f>IF(R107&gt;0,-(R107+$B$109)*($E$9/'Loan Amortization'!$D$8),0)</f>
        <v>0</v>
      </c>
      <c r="T107" s="2">
        <f t="shared" si="10"/>
        <v>0</v>
      </c>
      <c r="U107" s="2">
        <f>IF(T107&gt;0,-(T107+$B$109)*($E$9/'Loan Amortization'!$D$8),0)</f>
        <v>0</v>
      </c>
      <c r="V107" s="2">
        <f t="shared" si="10"/>
        <v>0</v>
      </c>
      <c r="W107" s="2">
        <f>IF(V107&gt;0,-(V107+$B$109)*($E$9/'Loan Amortization'!$D$8),0)</f>
        <v>0</v>
      </c>
      <c r="X107" s="2">
        <f t="shared" si="11"/>
        <v>4</v>
      </c>
      <c r="Y107" s="2"/>
      <c r="Z107" s="480"/>
    </row>
    <row r="108" spans="2:26" x14ac:dyDescent="0.15">
      <c r="B108" s="521">
        <f>C9</f>
        <v>0</v>
      </c>
      <c r="C108" s="4">
        <v>5</v>
      </c>
      <c r="D108" s="2">
        <f t="shared" si="10"/>
        <v>0</v>
      </c>
      <c r="E108" s="2">
        <f>IF(D108&gt;0,-(D108+$B$109)*($E$9/'Loan Amortization'!$D$8),0)</f>
        <v>0</v>
      </c>
      <c r="F108" s="2">
        <f t="shared" si="10"/>
        <v>0</v>
      </c>
      <c r="G108" s="2">
        <f>IF(F108&gt;0,-(F108+$B$109)*($E$9/'Loan Amortization'!$D$8),0)</f>
        <v>0</v>
      </c>
      <c r="H108" s="2">
        <f t="shared" si="10"/>
        <v>0</v>
      </c>
      <c r="I108" s="2">
        <f>IF(H108&gt;0,-(H108+$B$109)*($E$9/'Loan Amortization'!$D$8),0)</f>
        <v>0</v>
      </c>
      <c r="J108" s="2">
        <f t="shared" si="10"/>
        <v>0</v>
      </c>
      <c r="K108" s="2">
        <f>IF(J108&gt;0,-(J108+$B$109)*($E$9/'Loan Amortization'!$D$8),0)</f>
        <v>0</v>
      </c>
      <c r="L108" s="2">
        <f t="shared" si="10"/>
        <v>0</v>
      </c>
      <c r="M108" s="2">
        <f>IF(L108&gt;0,-(L108+$B$109)*($E$9/'Loan Amortization'!$D$8),0)</f>
        <v>0</v>
      </c>
      <c r="N108" s="2">
        <f t="shared" si="10"/>
        <v>0</v>
      </c>
      <c r="O108" s="2">
        <f>IF(N108&gt;0,-(N108+$B$109)*($E$9/'Loan Amortization'!$D$8),0)</f>
        <v>0</v>
      </c>
      <c r="P108" s="2">
        <f t="shared" si="10"/>
        <v>0</v>
      </c>
      <c r="Q108" s="2">
        <f>IF(P108&gt;0,-(P108+$B$109)*($E$9/'Loan Amortization'!$D$8),0)</f>
        <v>0</v>
      </c>
      <c r="R108" s="2">
        <f t="shared" si="10"/>
        <v>0</v>
      </c>
      <c r="S108" s="2">
        <f>IF(R108&gt;0,-(R108+$B$109)*($E$9/'Loan Amortization'!$D$8),0)</f>
        <v>0</v>
      </c>
      <c r="T108" s="2">
        <f t="shared" si="10"/>
        <v>0</v>
      </c>
      <c r="U108" s="2">
        <f>IF(T108&gt;0,-(T108+$B$109)*($E$9/'Loan Amortization'!$D$8),0)</f>
        <v>0</v>
      </c>
      <c r="V108" s="2">
        <f t="shared" si="10"/>
        <v>0</v>
      </c>
      <c r="W108" s="2">
        <f>IF(V108&gt;0,-(V108+$B$109)*($E$9/'Loan Amortization'!$D$8),0)</f>
        <v>0</v>
      </c>
      <c r="X108" s="2">
        <f t="shared" si="11"/>
        <v>5</v>
      </c>
      <c r="Y108" s="2"/>
      <c r="Z108" s="480"/>
    </row>
    <row r="109" spans="2:26" x14ac:dyDescent="0.15">
      <c r="B109" s="521">
        <f>B108/($L$10*12)</f>
        <v>0</v>
      </c>
      <c r="C109" s="4">
        <v>6</v>
      </c>
      <c r="D109" s="2">
        <f t="shared" si="10"/>
        <v>0</v>
      </c>
      <c r="E109" s="2">
        <f>IF(D109&gt;0,-(D109+$B$109)*($E$9/'Loan Amortization'!$D$8),0)</f>
        <v>0</v>
      </c>
      <c r="F109" s="2">
        <f t="shared" si="10"/>
        <v>0</v>
      </c>
      <c r="G109" s="2">
        <f>IF(F109&gt;0,-(F109+$B$109)*($E$9/'Loan Amortization'!$D$8),0)</f>
        <v>0</v>
      </c>
      <c r="H109" s="2">
        <f t="shared" si="10"/>
        <v>0</v>
      </c>
      <c r="I109" s="2">
        <f>IF(H109&gt;0,-(H109+$B$109)*($E$9/'Loan Amortization'!$D$8),0)</f>
        <v>0</v>
      </c>
      <c r="J109" s="2">
        <f t="shared" si="10"/>
        <v>0</v>
      </c>
      <c r="K109" s="2">
        <f>IF(J109&gt;0,-(J109+$B$109)*($E$9/'Loan Amortization'!$D$8),0)</f>
        <v>0</v>
      </c>
      <c r="L109" s="2">
        <f t="shared" si="10"/>
        <v>0</v>
      </c>
      <c r="M109" s="2">
        <f>IF(L109&gt;0,-(L109+$B$109)*($E$9/'Loan Amortization'!$D$8),0)</f>
        <v>0</v>
      </c>
      <c r="N109" s="2">
        <f t="shared" si="10"/>
        <v>0</v>
      </c>
      <c r="O109" s="2">
        <f>IF(N109&gt;0,-(N109+$B$109)*($E$9/'Loan Amortization'!$D$8),0)</f>
        <v>0</v>
      </c>
      <c r="P109" s="2">
        <f t="shared" si="10"/>
        <v>0</v>
      </c>
      <c r="Q109" s="2">
        <f>IF(P109&gt;0,-(P109+$B$109)*($E$9/'Loan Amortization'!$D$8),0)</f>
        <v>0</v>
      </c>
      <c r="R109" s="2">
        <f t="shared" si="10"/>
        <v>0</v>
      </c>
      <c r="S109" s="2">
        <f>IF(R109&gt;0,-(R109+$B$109)*($E$9/'Loan Amortization'!$D$8),0)</f>
        <v>0</v>
      </c>
      <c r="T109" s="2">
        <f t="shared" si="10"/>
        <v>0</v>
      </c>
      <c r="U109" s="2">
        <f>IF(T109&gt;0,-(T109+$B$109)*($E$9/'Loan Amortization'!$D$8),0)</f>
        <v>0</v>
      </c>
      <c r="V109" s="2">
        <f t="shared" si="10"/>
        <v>0</v>
      </c>
      <c r="W109" s="2">
        <f>IF(V109&gt;0,-(V109+$B$109)*($E$9/'Loan Amortization'!$D$8),0)</f>
        <v>0</v>
      </c>
      <c r="X109" s="2">
        <f t="shared" si="11"/>
        <v>6</v>
      </c>
      <c r="Y109" s="2"/>
      <c r="Z109" s="480"/>
    </row>
    <row r="110" spans="2:26" x14ac:dyDescent="0.15">
      <c r="B110" s="202"/>
      <c r="C110" s="4">
        <v>7</v>
      </c>
      <c r="D110" s="2">
        <f t="shared" si="10"/>
        <v>0</v>
      </c>
      <c r="E110" s="2">
        <f>IF(D110&gt;0,-(D110+$B$109)*($E$9/'Loan Amortization'!$D$8),0)</f>
        <v>0</v>
      </c>
      <c r="F110" s="2">
        <f t="shared" si="10"/>
        <v>0</v>
      </c>
      <c r="G110" s="2">
        <f>IF(F110&gt;0,-(F110+$B$109)*($E$9/'Loan Amortization'!$D$8),0)</f>
        <v>0</v>
      </c>
      <c r="H110" s="2">
        <f t="shared" si="10"/>
        <v>0</v>
      </c>
      <c r="I110" s="2">
        <f>IF(H110&gt;0,-(H110+$B$109)*($E$9/'Loan Amortization'!$D$8),0)</f>
        <v>0</v>
      </c>
      <c r="J110" s="2">
        <f t="shared" si="10"/>
        <v>0</v>
      </c>
      <c r="K110" s="2">
        <f>IF(J110&gt;0,-(J110+$B$109)*($E$9/'Loan Amortization'!$D$8),0)</f>
        <v>0</v>
      </c>
      <c r="L110" s="2">
        <f t="shared" si="10"/>
        <v>0</v>
      </c>
      <c r="M110" s="2">
        <f>IF(L110&gt;0,-(L110+$B$109)*($E$9/'Loan Amortization'!$D$8),0)</f>
        <v>0</v>
      </c>
      <c r="N110" s="2">
        <f t="shared" si="10"/>
        <v>0</v>
      </c>
      <c r="O110" s="2">
        <f>IF(N110&gt;0,-(N110+$B$109)*($E$9/'Loan Amortization'!$D$8),0)</f>
        <v>0</v>
      </c>
      <c r="P110" s="2">
        <f t="shared" si="10"/>
        <v>0</v>
      </c>
      <c r="Q110" s="2">
        <f>IF(P110&gt;0,-(P110+$B$109)*($E$9/'Loan Amortization'!$D$8),0)</f>
        <v>0</v>
      </c>
      <c r="R110" s="2">
        <f t="shared" si="10"/>
        <v>0</v>
      </c>
      <c r="S110" s="2">
        <f>IF(R110&gt;0,-(R110+$B$109)*($E$9/'Loan Amortization'!$D$8),0)</f>
        <v>0</v>
      </c>
      <c r="T110" s="2">
        <f t="shared" si="10"/>
        <v>0</v>
      </c>
      <c r="U110" s="2">
        <f>IF(T110&gt;0,-(T110+$B$109)*($E$9/'Loan Amortization'!$D$8),0)</f>
        <v>0</v>
      </c>
      <c r="V110" s="2">
        <f t="shared" si="10"/>
        <v>0</v>
      </c>
      <c r="W110" s="2">
        <f>IF(V110&gt;0,-(V110+$B$109)*($E$9/'Loan Amortization'!$D$8),0)</f>
        <v>0</v>
      </c>
      <c r="X110" s="2">
        <f t="shared" si="11"/>
        <v>7</v>
      </c>
      <c r="Y110" s="2"/>
      <c r="Z110" s="480"/>
    </row>
    <row r="111" spans="2:26" x14ac:dyDescent="0.15">
      <c r="B111" s="202"/>
      <c r="C111" s="4">
        <v>8</v>
      </c>
      <c r="D111" s="2">
        <f t="shared" si="10"/>
        <v>0</v>
      </c>
      <c r="E111" s="2">
        <f>IF(D111&gt;0,-(D111+$B$109)*($E$9/'Loan Amortization'!$D$8),0)</f>
        <v>0</v>
      </c>
      <c r="F111" s="2">
        <f t="shared" si="10"/>
        <v>0</v>
      </c>
      <c r="G111" s="2">
        <f>IF(F111&gt;0,-(F111+$B$109)*($E$9/'Loan Amortization'!$D$8),0)</f>
        <v>0</v>
      </c>
      <c r="H111" s="2">
        <f t="shared" si="10"/>
        <v>0</v>
      </c>
      <c r="I111" s="2">
        <f>IF(H111&gt;0,-(H111+$B$109)*($E$9/'Loan Amortization'!$D$8),0)</f>
        <v>0</v>
      </c>
      <c r="J111" s="2">
        <f t="shared" si="10"/>
        <v>0</v>
      </c>
      <c r="K111" s="2">
        <f>IF(J111&gt;0,-(J111+$B$109)*($E$9/'Loan Amortization'!$D$8),0)</f>
        <v>0</v>
      </c>
      <c r="L111" s="2">
        <f t="shared" si="10"/>
        <v>0</v>
      </c>
      <c r="M111" s="2">
        <f>IF(L111&gt;0,-(L111+$B$109)*($E$9/'Loan Amortization'!$D$8),0)</f>
        <v>0</v>
      </c>
      <c r="N111" s="2">
        <f t="shared" si="10"/>
        <v>0</v>
      </c>
      <c r="O111" s="2">
        <f>IF(N111&gt;0,-(N111+$B$109)*($E$9/'Loan Amortization'!$D$8),0)</f>
        <v>0</v>
      </c>
      <c r="P111" s="2">
        <f t="shared" si="10"/>
        <v>0</v>
      </c>
      <c r="Q111" s="2">
        <f>IF(P111&gt;0,-(P111+$B$109)*($E$9/'Loan Amortization'!$D$8),0)</f>
        <v>0</v>
      </c>
      <c r="R111" s="2">
        <f t="shared" si="10"/>
        <v>0</v>
      </c>
      <c r="S111" s="2">
        <f>IF(R111&gt;0,-(R111+$B$109)*($E$9/'Loan Amortization'!$D$8),0)</f>
        <v>0</v>
      </c>
      <c r="T111" s="2">
        <f t="shared" si="10"/>
        <v>0</v>
      </c>
      <c r="U111" s="2">
        <f>IF(T111&gt;0,-(T111+$B$109)*($E$9/'Loan Amortization'!$D$8),0)</f>
        <v>0</v>
      </c>
      <c r="V111" s="2">
        <f t="shared" si="10"/>
        <v>0</v>
      </c>
      <c r="W111" s="2">
        <f>IF(V111&gt;0,-(V111+$B$109)*($E$9/'Loan Amortization'!$D$8),0)</f>
        <v>0</v>
      </c>
      <c r="X111" s="2">
        <f t="shared" si="11"/>
        <v>8</v>
      </c>
      <c r="Y111" s="2"/>
      <c r="Z111" s="480"/>
    </row>
    <row r="112" spans="2:26" x14ac:dyDescent="0.15">
      <c r="B112" s="202"/>
      <c r="C112" s="4">
        <v>9</v>
      </c>
      <c r="D112" s="2">
        <f t="shared" si="10"/>
        <v>0</v>
      </c>
      <c r="E112" s="2">
        <f>IF(D112&gt;0,-(D112+$B$109)*($E$9/'Loan Amortization'!$D$8),0)</f>
        <v>0</v>
      </c>
      <c r="F112" s="2">
        <f t="shared" si="10"/>
        <v>0</v>
      </c>
      <c r="G112" s="2">
        <f>IF(F112&gt;0,-(F112+$B$109)*($E$9/'Loan Amortization'!$D$8),0)</f>
        <v>0</v>
      </c>
      <c r="H112" s="2">
        <f t="shared" si="10"/>
        <v>0</v>
      </c>
      <c r="I112" s="2">
        <f>IF(H112&gt;0,-(H112+$B$109)*($E$9/'Loan Amortization'!$D$8),0)</f>
        <v>0</v>
      </c>
      <c r="J112" s="2">
        <f t="shared" si="10"/>
        <v>0</v>
      </c>
      <c r="K112" s="2">
        <f>IF(J112&gt;0,-(J112+$B$109)*($E$9/'Loan Amortization'!$D$8),0)</f>
        <v>0</v>
      </c>
      <c r="L112" s="2">
        <f t="shared" si="10"/>
        <v>0</v>
      </c>
      <c r="M112" s="2">
        <f>IF(L112&gt;0,-(L112+$B$109)*($E$9/'Loan Amortization'!$D$8),0)</f>
        <v>0</v>
      </c>
      <c r="N112" s="2">
        <f t="shared" si="10"/>
        <v>0</v>
      </c>
      <c r="O112" s="2">
        <f>IF(N112&gt;0,-(N112+$B$109)*($E$9/'Loan Amortization'!$D$8),0)</f>
        <v>0</v>
      </c>
      <c r="P112" s="2">
        <f t="shared" si="10"/>
        <v>0</v>
      </c>
      <c r="Q112" s="2">
        <f>IF(P112&gt;0,-(P112+$B$109)*($E$9/'Loan Amortization'!$D$8),0)</f>
        <v>0</v>
      </c>
      <c r="R112" s="2">
        <f t="shared" si="10"/>
        <v>0</v>
      </c>
      <c r="S112" s="2">
        <f>IF(R112&gt;0,-(R112+$B$109)*($E$9/'Loan Amortization'!$D$8),0)</f>
        <v>0</v>
      </c>
      <c r="T112" s="2">
        <f t="shared" si="10"/>
        <v>0</v>
      </c>
      <c r="U112" s="2">
        <f>IF(T112&gt;0,-(T112+$B$109)*($E$9/'Loan Amortization'!$D$8),0)</f>
        <v>0</v>
      </c>
      <c r="V112" s="2">
        <f t="shared" si="10"/>
        <v>0</v>
      </c>
      <c r="W112" s="2">
        <f>IF(V112&gt;0,-(V112+$B$109)*($E$9/'Loan Amortization'!$D$8),0)</f>
        <v>0</v>
      </c>
      <c r="X112" s="2">
        <f t="shared" si="11"/>
        <v>9</v>
      </c>
      <c r="Y112" s="2"/>
      <c r="Z112" s="480"/>
    </row>
    <row r="113" spans="2:26" x14ac:dyDescent="0.15">
      <c r="B113" s="202"/>
      <c r="C113" s="4">
        <v>10</v>
      </c>
      <c r="D113" s="2">
        <f t="shared" si="10"/>
        <v>0</v>
      </c>
      <c r="E113" s="2">
        <f>IF(D113&gt;0,-(D113+$B$109)*($E$9/'Loan Amortization'!$D$8),0)</f>
        <v>0</v>
      </c>
      <c r="F113" s="2">
        <f t="shared" si="10"/>
        <v>0</v>
      </c>
      <c r="G113" s="2">
        <f>IF(F113&gt;0,-(F113+$B$109)*($E$9/'Loan Amortization'!$D$8),0)</f>
        <v>0</v>
      </c>
      <c r="H113" s="2">
        <f t="shared" si="10"/>
        <v>0</v>
      </c>
      <c r="I113" s="2">
        <f>IF(H113&gt;0,-(H113+$B$109)*($E$9/'Loan Amortization'!$D$8),0)</f>
        <v>0</v>
      </c>
      <c r="J113" s="2">
        <f t="shared" si="10"/>
        <v>0</v>
      </c>
      <c r="K113" s="2">
        <f>IF(J113&gt;0,-(J113+$B$109)*($E$9/'Loan Amortization'!$D$8),0)</f>
        <v>0</v>
      </c>
      <c r="L113" s="2">
        <f t="shared" si="10"/>
        <v>0</v>
      </c>
      <c r="M113" s="2">
        <f>IF(L113&gt;0,-(L113+$B$109)*($E$9/'Loan Amortization'!$D$8),0)</f>
        <v>0</v>
      </c>
      <c r="N113" s="2">
        <f t="shared" si="10"/>
        <v>0</v>
      </c>
      <c r="O113" s="2">
        <f>IF(N113&gt;0,-(N113+$B$109)*($E$9/'Loan Amortization'!$D$8),0)</f>
        <v>0</v>
      </c>
      <c r="P113" s="2">
        <f t="shared" si="10"/>
        <v>0</v>
      </c>
      <c r="Q113" s="2">
        <f>IF(P113&gt;0,-(P113+$B$109)*($E$9/'Loan Amortization'!$D$8),0)</f>
        <v>0</v>
      </c>
      <c r="R113" s="2">
        <f t="shared" si="10"/>
        <v>0</v>
      </c>
      <c r="S113" s="2">
        <f>IF(R113&gt;0,-(R113+$B$109)*($E$9/'Loan Amortization'!$D$8),0)</f>
        <v>0</v>
      </c>
      <c r="T113" s="2">
        <f t="shared" si="10"/>
        <v>0</v>
      </c>
      <c r="U113" s="2">
        <f>IF(T113&gt;0,-(T113+$B$109)*($E$9/'Loan Amortization'!$D$8),0)</f>
        <v>0</v>
      </c>
      <c r="V113" s="2">
        <f t="shared" si="10"/>
        <v>0</v>
      </c>
      <c r="W113" s="2">
        <f>IF(V113&gt;0,-(V113+$B$109)*($E$9/'Loan Amortization'!$D$8),0)</f>
        <v>0</v>
      </c>
      <c r="X113" s="2">
        <f t="shared" si="11"/>
        <v>10</v>
      </c>
      <c r="Y113" s="2"/>
      <c r="Z113" s="480"/>
    </row>
    <row r="114" spans="2:26" x14ac:dyDescent="0.15">
      <c r="B114" s="202"/>
      <c r="C114" s="4">
        <v>11</v>
      </c>
      <c r="D114" s="2">
        <f t="shared" si="10"/>
        <v>0</v>
      </c>
      <c r="E114" s="2">
        <f>IF(D114&gt;0,-(D114+$B$109)*($E$9/'Loan Amortization'!$D$8),0)</f>
        <v>0</v>
      </c>
      <c r="F114" s="2">
        <f t="shared" si="10"/>
        <v>0</v>
      </c>
      <c r="G114" s="2">
        <f>IF(F114&gt;0,-(F114+$B$109)*($E$9/'Loan Amortization'!$D$8),0)</f>
        <v>0</v>
      </c>
      <c r="H114" s="2">
        <f t="shared" si="10"/>
        <v>0</v>
      </c>
      <c r="I114" s="2">
        <f>IF(H114&gt;0,-(H114+$B$109)*($E$9/'Loan Amortization'!$D$8),0)</f>
        <v>0</v>
      </c>
      <c r="J114" s="2">
        <f t="shared" si="10"/>
        <v>0</v>
      </c>
      <c r="K114" s="2">
        <f>IF(J114&gt;0,-(J114+$B$109)*($E$9/'Loan Amortization'!$D$8),0)</f>
        <v>0</v>
      </c>
      <c r="L114" s="2">
        <f t="shared" si="10"/>
        <v>0</v>
      </c>
      <c r="M114" s="2">
        <f>IF(L114&gt;0,-(L114+$B$109)*($E$9/'Loan Amortization'!$D$8),0)</f>
        <v>0</v>
      </c>
      <c r="N114" s="2">
        <f t="shared" si="10"/>
        <v>0</v>
      </c>
      <c r="O114" s="2">
        <f>IF(N114&gt;0,-(N114+$B$109)*($E$9/'Loan Amortization'!$D$8),0)</f>
        <v>0</v>
      </c>
      <c r="P114" s="2">
        <f t="shared" si="10"/>
        <v>0</v>
      </c>
      <c r="Q114" s="2">
        <f>IF(P114&gt;0,-(P114+$B$109)*($E$9/'Loan Amortization'!$D$8),0)</f>
        <v>0</v>
      </c>
      <c r="R114" s="2">
        <f t="shared" si="10"/>
        <v>0</v>
      </c>
      <c r="S114" s="2">
        <f>IF(R114&gt;0,-(R114+$B$109)*($E$9/'Loan Amortization'!$D$8),0)</f>
        <v>0</v>
      </c>
      <c r="T114" s="2">
        <f t="shared" si="10"/>
        <v>0</v>
      </c>
      <c r="U114" s="2">
        <f>IF(T114&gt;0,-(T114+$B$109)*($E$9/'Loan Amortization'!$D$8),0)</f>
        <v>0</v>
      </c>
      <c r="V114" s="2">
        <f t="shared" si="10"/>
        <v>0</v>
      </c>
      <c r="W114" s="2">
        <f>IF(V114&gt;0,-(V114+$B$109)*($E$9/'Loan Amortization'!$D$8),0)</f>
        <v>0</v>
      </c>
      <c r="X114" s="2">
        <f t="shared" si="11"/>
        <v>11</v>
      </c>
      <c r="Y114" s="2"/>
      <c r="Z114" s="480"/>
    </row>
    <row r="115" spans="2:26" ht="14" thickBot="1" x14ac:dyDescent="0.2">
      <c r="B115" s="202"/>
      <c r="C115" s="4">
        <v>12</v>
      </c>
      <c r="D115" s="2">
        <f t="shared" si="10"/>
        <v>0</v>
      </c>
      <c r="E115" s="2">
        <f>IF(D115&gt;0,-(D115+$B$109)*($E$9/'Loan Amortization'!$D$8),0)</f>
        <v>0</v>
      </c>
      <c r="F115" s="2">
        <f t="shared" si="10"/>
        <v>0</v>
      </c>
      <c r="G115" s="2">
        <f>IF(F115&gt;0,-(F115+$B$109)*($E$9/'Loan Amortization'!$D$8),0)</f>
        <v>0</v>
      </c>
      <c r="H115" s="2">
        <f t="shared" si="10"/>
        <v>0</v>
      </c>
      <c r="I115" s="2">
        <f>IF(H115&gt;0,-(H115+$B$109)*($E$9/'Loan Amortization'!$D$8),0)</f>
        <v>0</v>
      </c>
      <c r="J115" s="2">
        <f t="shared" si="10"/>
        <v>0</v>
      </c>
      <c r="K115" s="2">
        <f>IF(J115&gt;0,-(J115+$B$109)*($E$9/'Loan Amortization'!$D$8),0)</f>
        <v>0</v>
      </c>
      <c r="L115" s="2">
        <f t="shared" si="10"/>
        <v>0</v>
      </c>
      <c r="M115" s="2">
        <f>IF(L115&gt;0,-(L115+$B$109)*($E$9/'Loan Amortization'!$D$8),0)</f>
        <v>0</v>
      </c>
      <c r="N115" s="2">
        <f t="shared" si="10"/>
        <v>0</v>
      </c>
      <c r="O115" s="2">
        <f>IF(N115&gt;0,-(N115+$B$109)*($E$9/'Loan Amortization'!$D$8),0)</f>
        <v>0</v>
      </c>
      <c r="P115" s="2">
        <f t="shared" si="10"/>
        <v>0</v>
      </c>
      <c r="Q115" s="2">
        <f>IF(P115&gt;0,-(P115+$B$109)*($E$9/'Loan Amortization'!$D$8),0)</f>
        <v>0</v>
      </c>
      <c r="R115" s="2">
        <f t="shared" si="10"/>
        <v>0</v>
      </c>
      <c r="S115" s="2">
        <f>IF(R115&gt;0,-(R115+$B$109)*($E$9/'Loan Amortization'!$D$8),0)</f>
        <v>0</v>
      </c>
      <c r="T115" s="2">
        <f t="shared" si="10"/>
        <v>0</v>
      </c>
      <c r="U115" s="2">
        <f>IF(T115&gt;0,-(T115+$B$109)*($E$9/'Loan Amortization'!$D$8),0)</f>
        <v>0</v>
      </c>
      <c r="V115" s="2">
        <f t="shared" si="10"/>
        <v>0</v>
      </c>
      <c r="W115" s="2">
        <f>IF(V115&gt;0,-(V115+$B$109)*($E$9/'Loan Amortization'!$D$8),0)</f>
        <v>0</v>
      </c>
      <c r="X115" s="2">
        <f t="shared" si="11"/>
        <v>12</v>
      </c>
      <c r="Y115" s="2"/>
      <c r="Z115" s="480"/>
    </row>
    <row r="116" spans="2:26" ht="14" thickBot="1" x14ac:dyDescent="0.2">
      <c r="B116" s="541"/>
      <c r="C116" s="502" t="s">
        <v>663</v>
      </c>
      <c r="D116" s="503">
        <f>'Level Prin Paymt Fin Sens Calc'!D$138</f>
        <v>0</v>
      </c>
      <c r="E116" s="503">
        <f>'Level Prin Paymt Fin Sens Calc'!E$138</f>
        <v>0</v>
      </c>
      <c r="F116" s="503">
        <f>'Level Prin Paymt Fin Sens Calc'!F$138</f>
        <v>0</v>
      </c>
      <c r="G116" s="503">
        <f>'Level Prin Paymt Fin Sens Calc'!G$138</f>
        <v>0</v>
      </c>
      <c r="H116" s="503">
        <f>'Level Prin Paymt Fin Sens Calc'!H$138</f>
        <v>0</v>
      </c>
      <c r="I116" s="503">
        <f>'Level Prin Paymt Fin Sens Calc'!I$138</f>
        <v>0</v>
      </c>
      <c r="J116" s="503">
        <f>'Level Prin Paymt Fin Sens Calc'!J$138</f>
        <v>0</v>
      </c>
      <c r="K116" s="503">
        <f>'Level Prin Paymt Fin Sens Calc'!K$138</f>
        <v>0</v>
      </c>
      <c r="L116" s="503">
        <f>'Level Prin Paymt Fin Sens Calc'!L$138</f>
        <v>0</v>
      </c>
      <c r="M116" s="503">
        <f>'Level Prin Paymt Fin Sens Calc'!M$138</f>
        <v>0</v>
      </c>
      <c r="N116" s="503">
        <f>'Level Prin Paymt Fin Sens Calc'!N$138</f>
        <v>0</v>
      </c>
      <c r="O116" s="503">
        <f>'Level Prin Paymt Fin Sens Calc'!O$138</f>
        <v>0</v>
      </c>
      <c r="P116" s="503">
        <f>'Level Prin Paymt Fin Sens Calc'!P$138</f>
        <v>0</v>
      </c>
      <c r="Q116" s="503">
        <f>'Level Prin Paymt Fin Sens Calc'!Q$138</f>
        <v>0</v>
      </c>
      <c r="R116" s="503">
        <f>'Level Prin Paymt Fin Sens Calc'!R$138</f>
        <v>0</v>
      </c>
      <c r="S116" s="503">
        <f>'Level Prin Paymt Fin Sens Calc'!S$138</f>
        <v>0</v>
      </c>
      <c r="T116" s="503">
        <f>'Level Prin Paymt Fin Sens Calc'!T$138</f>
        <v>0</v>
      </c>
      <c r="U116" s="503">
        <f>'Level Prin Paymt Fin Sens Calc'!U$138</f>
        <v>0</v>
      </c>
      <c r="V116" s="503">
        <f>'Level Prin Paymt Fin Sens Calc'!V$138</f>
        <v>0</v>
      </c>
      <c r="W116" s="503">
        <f>'Level Prin Paymt Fin Sens Calc'!W$138</f>
        <v>0</v>
      </c>
      <c r="X116" s="504">
        <f t="shared" si="11"/>
        <v>0</v>
      </c>
      <c r="Y116" s="501"/>
      <c r="Z116" s="480"/>
    </row>
    <row r="117" spans="2:26" ht="14" thickBot="1" x14ac:dyDescent="0.2">
      <c r="B117" s="478"/>
      <c r="C117" s="520" t="s">
        <v>273</v>
      </c>
      <c r="D117" s="522"/>
      <c r="E117" s="522">
        <f>IF(D103&gt;$L$10,0,IPMT($E$9,D103,$L$10,$B$234))</f>
        <v>0</v>
      </c>
      <c r="F117" s="522"/>
      <c r="G117" s="522">
        <f>IF(F103&gt;$L$10,0,IPMT($E$9,F103,$L$10,$B$234))</f>
        <v>0</v>
      </c>
      <c r="H117" s="522"/>
      <c r="I117" s="522">
        <f>IF(H103&gt;$L$10,0,IPMT($E$9,H103,$L$10,$B$234))</f>
        <v>0</v>
      </c>
      <c r="J117" s="522"/>
      <c r="K117" s="522">
        <f>IF(J103&gt;$L$10,0,IPMT($E$9,J103,$L$10,$B$234))</f>
        <v>0</v>
      </c>
      <c r="L117" s="522"/>
      <c r="M117" s="522">
        <f>IF(L103&gt;$L$10,0,IPMT($E$9,L103,$L$10,$B$234))</f>
        <v>0</v>
      </c>
      <c r="N117" s="522"/>
      <c r="O117" s="522">
        <f>IF(N103&gt;$L$10,0,IPMT($E$9,N103,$L$10,$B$234))</f>
        <v>0</v>
      </c>
      <c r="P117" s="522"/>
      <c r="Q117" s="522">
        <f>IF(P103&gt;$L$10,0,IPMT($E$9,P103,$L$10,$B$234))</f>
        <v>0</v>
      </c>
      <c r="R117" s="522"/>
      <c r="S117" s="522">
        <f>IF(R103&gt;$L$10,0,IPMT($E$9,R103,$L$10,$B$234))</f>
        <v>0</v>
      </c>
      <c r="T117" s="522"/>
      <c r="U117" s="522">
        <f>IF(T103&gt;$L$10,0,IPMT($E$9,T103,$L$10,$B$234))</f>
        <v>0</v>
      </c>
      <c r="V117" s="522"/>
      <c r="W117" s="522">
        <f>IF(V103&gt;$L$10,0,IPMT($E$9,V103,$L$10,$B$234))</f>
        <v>0</v>
      </c>
      <c r="X117" s="504">
        <f t="shared" si="11"/>
        <v>0</v>
      </c>
      <c r="Y117" s="548"/>
      <c r="Z117" s="482"/>
    </row>
    <row r="118" spans="2:26" ht="14" thickBot="1" x14ac:dyDescent="0.2">
      <c r="B118" s="8"/>
      <c r="C118" s="502" t="s">
        <v>664</v>
      </c>
      <c r="D118" s="558">
        <f>D103</f>
        <v>1</v>
      </c>
      <c r="E118" s="559">
        <f>F103</f>
        <v>2</v>
      </c>
      <c r="F118" s="559">
        <f>H103</f>
        <v>3</v>
      </c>
      <c r="G118" s="559">
        <f>J103</f>
        <v>4</v>
      </c>
      <c r="H118" s="559">
        <f>L103</f>
        <v>5</v>
      </c>
      <c r="I118" s="559">
        <f>N103</f>
        <v>6</v>
      </c>
      <c r="J118" s="559">
        <f>P103</f>
        <v>7</v>
      </c>
      <c r="K118" s="559">
        <f>R103</f>
        <v>8</v>
      </c>
      <c r="L118" s="559">
        <f>T103</f>
        <v>9</v>
      </c>
      <c r="M118" s="559">
        <f>V103</f>
        <v>10</v>
      </c>
      <c r="N118" s="560" t="str">
        <f>X103</f>
        <v>TOTAL</v>
      </c>
      <c r="O118" s="2"/>
      <c r="P118" s="2"/>
      <c r="Q118" s="2"/>
      <c r="R118" s="2"/>
      <c r="S118" s="2"/>
      <c r="T118" s="2"/>
      <c r="U118" s="2"/>
      <c r="V118" s="2"/>
      <c r="W118" s="2"/>
      <c r="X118" s="2"/>
      <c r="Y118" s="2"/>
    </row>
    <row r="119" spans="2:26" ht="14" thickBot="1" x14ac:dyDescent="0.2">
      <c r="B119" s="8"/>
      <c r="C119" s="502" t="s">
        <v>663</v>
      </c>
      <c r="D119" s="561">
        <f>D116</f>
        <v>0</v>
      </c>
      <c r="E119" s="2">
        <f>F116</f>
        <v>0</v>
      </c>
      <c r="F119" s="2">
        <f>H116</f>
        <v>0</v>
      </c>
      <c r="G119" s="2">
        <f>J116</f>
        <v>0</v>
      </c>
      <c r="H119" s="2">
        <f>L116</f>
        <v>0</v>
      </c>
      <c r="I119" s="2">
        <f>N116</f>
        <v>0</v>
      </c>
      <c r="J119" s="2">
        <f>P116</f>
        <v>0</v>
      </c>
      <c r="K119" s="2">
        <f>R116</f>
        <v>0</v>
      </c>
      <c r="L119" s="2">
        <f>T116</f>
        <v>0</v>
      </c>
      <c r="M119" s="2">
        <f>V116</f>
        <v>0</v>
      </c>
      <c r="N119" s="501">
        <f>X116</f>
        <v>0</v>
      </c>
      <c r="O119" s="2"/>
      <c r="P119" s="2"/>
      <c r="Q119" s="2"/>
      <c r="R119" s="2"/>
      <c r="S119" s="2"/>
      <c r="T119" s="2"/>
      <c r="U119" s="2"/>
      <c r="V119" s="2"/>
      <c r="W119" s="2"/>
      <c r="X119" s="2"/>
      <c r="Y119" s="2"/>
    </row>
    <row r="120" spans="2:26" ht="14" thickBot="1" x14ac:dyDescent="0.2">
      <c r="B120" s="8"/>
      <c r="C120" s="520" t="s">
        <v>273</v>
      </c>
      <c r="D120" s="562">
        <f>E117</f>
        <v>0</v>
      </c>
      <c r="E120" s="522">
        <f>G117</f>
        <v>0</v>
      </c>
      <c r="F120" s="522">
        <f>I117</f>
        <v>0</v>
      </c>
      <c r="G120" s="522">
        <f>K117</f>
        <v>0</v>
      </c>
      <c r="H120" s="522">
        <f>M117</f>
        <v>0</v>
      </c>
      <c r="I120" s="522">
        <f>O117</f>
        <v>0</v>
      </c>
      <c r="J120" s="522">
        <f>Q117</f>
        <v>0</v>
      </c>
      <c r="K120" s="522">
        <f>S117</f>
        <v>0</v>
      </c>
      <c r="L120" s="522">
        <f>U117</f>
        <v>0</v>
      </c>
      <c r="M120" s="522">
        <f>W117</f>
        <v>0</v>
      </c>
      <c r="N120" s="548">
        <f>X117</f>
        <v>0</v>
      </c>
      <c r="O120" s="2"/>
      <c r="P120" s="2"/>
      <c r="Q120" s="2"/>
      <c r="R120" s="2"/>
      <c r="S120" s="2"/>
      <c r="T120" s="2"/>
      <c r="U120" s="2"/>
      <c r="V120" s="2"/>
      <c r="W120" s="2"/>
      <c r="X120" s="2"/>
      <c r="Y120" s="2"/>
    </row>
    <row r="122" spans="2:26" ht="14" thickBot="1" x14ac:dyDescent="0.2"/>
    <row r="123" spans="2:26" ht="14" thickBot="1" x14ac:dyDescent="0.2">
      <c r="B123" s="495" t="s">
        <v>417</v>
      </c>
      <c r="C123" s="178"/>
      <c r="D123" s="483" t="s">
        <v>133</v>
      </c>
      <c r="E123" s="483"/>
      <c r="F123" s="483" t="s">
        <v>133</v>
      </c>
      <c r="G123" s="483"/>
      <c r="H123" s="483" t="s">
        <v>133</v>
      </c>
      <c r="I123" s="483"/>
      <c r="J123" s="483" t="s">
        <v>133</v>
      </c>
      <c r="K123" s="483"/>
      <c r="L123" s="483" t="s">
        <v>133</v>
      </c>
      <c r="M123" s="483"/>
      <c r="N123" s="483" t="s">
        <v>133</v>
      </c>
      <c r="O123" s="483"/>
      <c r="P123" s="483" t="s">
        <v>133</v>
      </c>
      <c r="Q123" s="483"/>
      <c r="R123" s="483" t="s">
        <v>133</v>
      </c>
      <c r="S123" s="483"/>
      <c r="T123" s="483" t="s">
        <v>133</v>
      </c>
      <c r="U123" s="483"/>
      <c r="V123" s="483" t="s">
        <v>133</v>
      </c>
      <c r="W123" s="483"/>
      <c r="X123" s="178"/>
      <c r="Y123" s="178"/>
      <c r="Z123" s="499" t="str">
        <f>B123</f>
        <v>Base Case</v>
      </c>
    </row>
    <row r="124" spans="2:26" x14ac:dyDescent="0.15">
      <c r="B124" s="514"/>
      <c r="C124" s="4" t="s">
        <v>660</v>
      </c>
      <c r="D124" s="4">
        <v>1</v>
      </c>
      <c r="E124" s="4"/>
      <c r="F124" s="4">
        <f>D124+1</f>
        <v>2</v>
      </c>
      <c r="G124" s="4"/>
      <c r="H124" s="4">
        <f>F124+1</f>
        <v>3</v>
      </c>
      <c r="I124" s="4"/>
      <c r="J124" s="4">
        <f>H124+1</f>
        <v>4</v>
      </c>
      <c r="K124" s="4"/>
      <c r="L124" s="4">
        <f>J124+1</f>
        <v>5</v>
      </c>
      <c r="M124" s="4"/>
      <c r="N124" s="4">
        <f>L124+1</f>
        <v>6</v>
      </c>
      <c r="O124" s="4"/>
      <c r="P124" s="4">
        <f>N124+1</f>
        <v>7</v>
      </c>
      <c r="Q124" s="4"/>
      <c r="R124" s="4">
        <f>P124+1</f>
        <v>8</v>
      </c>
      <c r="S124" s="4"/>
      <c r="T124" s="4">
        <f>R124+1</f>
        <v>9</v>
      </c>
      <c r="U124" s="4"/>
      <c r="V124" s="4">
        <f>T124+1</f>
        <v>10</v>
      </c>
      <c r="W124" s="4"/>
      <c r="X124" s="4" t="s">
        <v>285</v>
      </c>
      <c r="Y124" s="4"/>
      <c r="Z124" s="480"/>
    </row>
    <row r="125" spans="2:26" x14ac:dyDescent="0.15">
      <c r="B125" s="480" t="s">
        <v>661</v>
      </c>
      <c r="C125" s="4">
        <v>1</v>
      </c>
      <c r="D125" s="2">
        <f>IF(D$19&lt;($L$10+1),$B$129-((((D$19-1)*12)+$C125)*$B$130),0)</f>
        <v>0</v>
      </c>
      <c r="E125" s="2">
        <f>IF(D125&gt;0,-(D125+$B$130)*($E$10/'Loan Amortization'!$D$8),0)</f>
        <v>0</v>
      </c>
      <c r="F125" s="2">
        <f>IF(F$19&lt;($L$10+1),$B$129-((((F$19-1)*12)+$C125)*$B$130),0)</f>
        <v>0</v>
      </c>
      <c r="G125" s="2">
        <f>IF(F125&gt;0,-(F125+$B$130)*($E$10/'Loan Amortization'!$D$8),0)</f>
        <v>0</v>
      </c>
      <c r="H125" s="2">
        <f>IF(H$19&lt;($L$10+1),$B$129-((((H$19-1)*12)+$C125)*$B$130),0)</f>
        <v>0</v>
      </c>
      <c r="I125" s="2">
        <f>IF(H125&gt;0,-(H125+$B$130)*($E$10/'Loan Amortization'!$D$8),0)</f>
        <v>0</v>
      </c>
      <c r="J125" s="2">
        <f>IF(J$19&lt;($L$10+1),$B$129-((((J$19-1)*12)+$C125)*$B$130),0)</f>
        <v>0</v>
      </c>
      <c r="K125" s="2">
        <f>IF(J125&gt;0,-(J125+$B$130)*($E$10/'Loan Amortization'!$D$8),0)</f>
        <v>0</v>
      </c>
      <c r="L125" s="2">
        <f>IF(L$19&lt;($L$10+1),$B$129-((((L$19-1)*12)+$C125)*$B$130),0)</f>
        <v>0</v>
      </c>
      <c r="M125" s="2">
        <f>IF(L125&gt;0,-(L125+$B$130)*($E$10/'Loan Amortization'!$D$8),0)</f>
        <v>0</v>
      </c>
      <c r="N125" s="2">
        <f>IF(N$19&lt;($L$10+1),$B$129-((((N$19-1)*12)+$C125)*$B$130),0)</f>
        <v>0</v>
      </c>
      <c r="O125" s="2">
        <f>IF(N125&gt;0,-(N125+$B$130)*($E$10/'Loan Amortization'!$D$8),0)</f>
        <v>0</v>
      </c>
      <c r="P125" s="2">
        <f>IF(P$19&lt;($L$10+1),$B$129-((((P$19-1)*12)+$C125)*$B$130),0)</f>
        <v>0</v>
      </c>
      <c r="Q125" s="2">
        <f>IF(P125&gt;0,-(P125+$B$130)*($E$10/'Loan Amortization'!$D$8),0)</f>
        <v>0</v>
      </c>
      <c r="R125" s="2">
        <f>IF(R$19&lt;($L$10+1),$B$129-((((R$19-1)*12)+$C125)*$B$130),0)</f>
        <v>0</v>
      </c>
      <c r="S125" s="2">
        <f>IF(R125&gt;0,-(R125+$B$130)*($E$10/'Loan Amortization'!$D$8),0)</f>
        <v>0</v>
      </c>
      <c r="T125" s="2">
        <f>IF(T$19&lt;($L$10+1),$B$129-((((T$19-1)*12)+$C125)*$B$130),0)</f>
        <v>0</v>
      </c>
      <c r="U125" s="2">
        <f>IF(T125&gt;0,-(T125+$B$130)*($E$10/'Loan Amortization'!$D$8),0)</f>
        <v>0</v>
      </c>
      <c r="V125" s="2">
        <f>IF(V$19&lt;($L$10+1),$B$129-((((V$19-1)*12)+$C125)*$B$130),0)</f>
        <v>0</v>
      </c>
      <c r="W125" s="2">
        <f>IF(V125&gt;0,-(V125+$B$130)*($E$10/'Loan Amortization'!$D$8),0)</f>
        <v>0</v>
      </c>
      <c r="X125" s="2">
        <f>SUM(C125:V125)</f>
        <v>1</v>
      </c>
      <c r="Y125" s="2"/>
      <c r="Z125" s="480"/>
    </row>
    <row r="126" spans="2:26" x14ac:dyDescent="0.15">
      <c r="B126" s="515">
        <f>-PMT($L$6/12,$L$10*12,C4)</f>
        <v>0</v>
      </c>
      <c r="C126" s="4">
        <v>2</v>
      </c>
      <c r="D126" s="2">
        <f t="shared" ref="D126:V136" si="12">IF(D$19&lt;($L$10+1),$B$129-((((D$19-1)*12)+$C126)*$B$130),0)</f>
        <v>0</v>
      </c>
      <c r="E126" s="2">
        <f>IF(D126&gt;0,-(D126+$B$130)*($E$10/'Loan Amortization'!$D$8),0)</f>
        <v>0</v>
      </c>
      <c r="F126" s="2">
        <f t="shared" si="12"/>
        <v>0</v>
      </c>
      <c r="G126" s="2">
        <f>IF(F126&gt;0,-(F126+$B$130)*($E$10/'Loan Amortization'!$D$8),0)</f>
        <v>0</v>
      </c>
      <c r="H126" s="2">
        <f t="shared" si="12"/>
        <v>0</v>
      </c>
      <c r="I126" s="2">
        <f>IF(H126&gt;0,-(H126+$B$130)*($E$10/'Loan Amortization'!$D$8),0)</f>
        <v>0</v>
      </c>
      <c r="J126" s="2">
        <f t="shared" si="12"/>
        <v>0</v>
      </c>
      <c r="K126" s="2">
        <f>IF(J126&gt;0,-(J126+$B$130)*($E$10/'Loan Amortization'!$D$8),0)</f>
        <v>0</v>
      </c>
      <c r="L126" s="2">
        <f t="shared" si="12"/>
        <v>0</v>
      </c>
      <c r="M126" s="2">
        <f>IF(L126&gt;0,-(L126+$B$130)*($E$10/'Loan Amortization'!$D$8),0)</f>
        <v>0</v>
      </c>
      <c r="N126" s="2">
        <f t="shared" si="12"/>
        <v>0</v>
      </c>
      <c r="O126" s="2">
        <f>IF(N126&gt;0,-(N126+$B$130)*($E$10/'Loan Amortization'!$D$8),0)</f>
        <v>0</v>
      </c>
      <c r="P126" s="2">
        <f t="shared" si="12"/>
        <v>0</v>
      </c>
      <c r="Q126" s="2">
        <f>IF(P126&gt;0,-(P126+$B$130)*($E$10/'Loan Amortization'!$D$8),0)</f>
        <v>0</v>
      </c>
      <c r="R126" s="2">
        <f t="shared" si="12"/>
        <v>0</v>
      </c>
      <c r="S126" s="2">
        <f>IF(R126&gt;0,-(R126+$B$130)*($E$10/'Loan Amortization'!$D$8),0)</f>
        <v>0</v>
      </c>
      <c r="T126" s="2">
        <f t="shared" si="12"/>
        <v>0</v>
      </c>
      <c r="U126" s="2">
        <f>IF(T126&gt;0,-(T126+$B$130)*($E$10/'Loan Amortization'!$D$8),0)</f>
        <v>0</v>
      </c>
      <c r="V126" s="2">
        <f t="shared" si="12"/>
        <v>0</v>
      </c>
      <c r="W126" s="2">
        <f>IF(V126&gt;0,-(V126+$B$130)*($E$10/'Loan Amortization'!$D$8),0)</f>
        <v>0</v>
      </c>
      <c r="X126" s="2">
        <f t="shared" ref="X126:X138" si="13">SUM(C126:V126)</f>
        <v>2</v>
      </c>
      <c r="Y126" s="2"/>
      <c r="Z126" s="480"/>
    </row>
    <row r="127" spans="2:26" x14ac:dyDescent="0.15">
      <c r="B127" s="544">
        <f>B126*12</f>
        <v>0</v>
      </c>
      <c r="C127" s="4">
        <v>3</v>
      </c>
      <c r="D127" s="2">
        <f t="shared" si="12"/>
        <v>0</v>
      </c>
      <c r="E127" s="2">
        <f>IF(D127&gt;0,-(D127+$B$130)*($E$10/'Loan Amortization'!$D$8),0)</f>
        <v>0</v>
      </c>
      <c r="F127" s="2">
        <f t="shared" si="12"/>
        <v>0</v>
      </c>
      <c r="G127" s="2">
        <f>IF(F127&gt;0,-(F127+$B$130)*($E$10/'Loan Amortization'!$D$8),0)</f>
        <v>0</v>
      </c>
      <c r="H127" s="2">
        <f t="shared" si="12"/>
        <v>0</v>
      </c>
      <c r="I127" s="2">
        <f>IF(H127&gt;0,-(H127+$B$130)*($E$10/'Loan Amortization'!$D$8),0)</f>
        <v>0</v>
      </c>
      <c r="J127" s="2">
        <f t="shared" si="12"/>
        <v>0</v>
      </c>
      <c r="K127" s="2">
        <f>IF(J127&gt;0,-(J127+$B$130)*($E$10/'Loan Amortization'!$D$8),0)</f>
        <v>0</v>
      </c>
      <c r="L127" s="2">
        <f t="shared" si="12"/>
        <v>0</v>
      </c>
      <c r="M127" s="2">
        <f>IF(L127&gt;0,-(L127+$B$130)*($E$10/'Loan Amortization'!$D$8),0)</f>
        <v>0</v>
      </c>
      <c r="N127" s="2">
        <f t="shared" si="12"/>
        <v>0</v>
      </c>
      <c r="O127" s="2">
        <f>IF(N127&gt;0,-(N127+$B$130)*($E$10/'Loan Amortization'!$D$8),0)</f>
        <v>0</v>
      </c>
      <c r="P127" s="2">
        <f t="shared" si="12"/>
        <v>0</v>
      </c>
      <c r="Q127" s="2">
        <f>IF(P127&gt;0,-(P127+$B$130)*($E$10/'Loan Amortization'!$D$8),0)</f>
        <v>0</v>
      </c>
      <c r="R127" s="2">
        <f t="shared" si="12"/>
        <v>0</v>
      </c>
      <c r="S127" s="2">
        <f>IF(R127&gt;0,-(R127+$B$130)*($E$10/'Loan Amortization'!$D$8),0)</f>
        <v>0</v>
      </c>
      <c r="T127" s="2">
        <f t="shared" si="12"/>
        <v>0</v>
      </c>
      <c r="U127" s="2">
        <f>IF(T127&gt;0,-(T127+$B$130)*($E$10/'Loan Amortization'!$D$8),0)</f>
        <v>0</v>
      </c>
      <c r="V127" s="2">
        <f t="shared" si="12"/>
        <v>0</v>
      </c>
      <c r="W127" s="2">
        <f>IF(V127&gt;0,-(V127+$B$130)*($E$10/'Loan Amortization'!$D$8),0)</f>
        <v>0</v>
      </c>
      <c r="X127" s="2">
        <f t="shared" si="13"/>
        <v>3</v>
      </c>
      <c r="Y127" s="2"/>
      <c r="Z127" s="480"/>
    </row>
    <row r="128" spans="2:26" x14ac:dyDescent="0.15">
      <c r="B128" s="480" t="s">
        <v>665</v>
      </c>
      <c r="C128" s="4">
        <v>4</v>
      </c>
      <c r="D128" s="2">
        <f t="shared" si="12"/>
        <v>0</v>
      </c>
      <c r="E128" s="2">
        <f>IF(D128&gt;0,-(D128+$B$130)*($E$10/'Loan Amortization'!$D$8),0)</f>
        <v>0</v>
      </c>
      <c r="F128" s="2">
        <f t="shared" si="12"/>
        <v>0</v>
      </c>
      <c r="G128" s="2">
        <f>IF(F128&gt;0,-(F128+$B$130)*($E$10/'Loan Amortization'!$D$8),0)</f>
        <v>0</v>
      </c>
      <c r="H128" s="2">
        <f t="shared" si="12"/>
        <v>0</v>
      </c>
      <c r="I128" s="2">
        <f>IF(H128&gt;0,-(H128+$B$130)*($E$10/'Loan Amortization'!$D$8),0)</f>
        <v>0</v>
      </c>
      <c r="J128" s="2">
        <f t="shared" si="12"/>
        <v>0</v>
      </c>
      <c r="K128" s="2">
        <f>IF(J128&gt;0,-(J128+$B$130)*($E$10/'Loan Amortization'!$D$8),0)</f>
        <v>0</v>
      </c>
      <c r="L128" s="2">
        <f t="shared" si="12"/>
        <v>0</v>
      </c>
      <c r="M128" s="2">
        <f>IF(L128&gt;0,-(L128+$B$130)*($E$10/'Loan Amortization'!$D$8),0)</f>
        <v>0</v>
      </c>
      <c r="N128" s="2">
        <f t="shared" si="12"/>
        <v>0</v>
      </c>
      <c r="O128" s="2">
        <f>IF(N128&gt;0,-(N128+$B$130)*($E$10/'Loan Amortization'!$D$8),0)</f>
        <v>0</v>
      </c>
      <c r="P128" s="2">
        <f t="shared" si="12"/>
        <v>0</v>
      </c>
      <c r="Q128" s="2">
        <f>IF(P128&gt;0,-(P128+$B$130)*($E$10/'Loan Amortization'!$D$8),0)</f>
        <v>0</v>
      </c>
      <c r="R128" s="2">
        <f t="shared" si="12"/>
        <v>0</v>
      </c>
      <c r="S128" s="2">
        <f>IF(R128&gt;0,-(R128+$B$130)*($E$10/'Loan Amortization'!$D$8),0)</f>
        <v>0</v>
      </c>
      <c r="T128" s="2">
        <f t="shared" si="12"/>
        <v>0</v>
      </c>
      <c r="U128" s="2">
        <f>IF(T128&gt;0,-(T128+$B$130)*($E$10/'Loan Amortization'!$D$8),0)</f>
        <v>0</v>
      </c>
      <c r="V128" s="2">
        <f t="shared" si="12"/>
        <v>0</v>
      </c>
      <c r="W128" s="2">
        <f>IF(V128&gt;0,-(V128+$B$130)*($E$10/'Loan Amortization'!$D$8),0)</f>
        <v>0</v>
      </c>
      <c r="X128" s="2">
        <f t="shared" si="13"/>
        <v>4</v>
      </c>
      <c r="Y128" s="2"/>
      <c r="Z128" s="480"/>
    </row>
    <row r="129" spans="2:26" x14ac:dyDescent="0.15">
      <c r="B129" s="543">
        <f>C4</f>
        <v>0</v>
      </c>
      <c r="C129" s="4">
        <v>5</v>
      </c>
      <c r="D129" s="2">
        <f t="shared" si="12"/>
        <v>0</v>
      </c>
      <c r="E129" s="2">
        <f>IF(D129&gt;0,-(D129+$B$130)*($E$10/'Loan Amortization'!$D$8),0)</f>
        <v>0</v>
      </c>
      <c r="F129" s="2">
        <f t="shared" si="12"/>
        <v>0</v>
      </c>
      <c r="G129" s="2">
        <f>IF(F129&gt;0,-(F129+$B$130)*($E$10/'Loan Amortization'!$D$8),0)</f>
        <v>0</v>
      </c>
      <c r="H129" s="2">
        <f t="shared" si="12"/>
        <v>0</v>
      </c>
      <c r="I129" s="2">
        <f>IF(H129&gt;0,-(H129+$B$130)*($E$10/'Loan Amortization'!$D$8),0)</f>
        <v>0</v>
      </c>
      <c r="J129" s="2">
        <f t="shared" si="12"/>
        <v>0</v>
      </c>
      <c r="K129" s="2">
        <f>IF(J129&gt;0,-(J129+$B$130)*($E$10/'Loan Amortization'!$D$8),0)</f>
        <v>0</v>
      </c>
      <c r="L129" s="2">
        <f t="shared" si="12"/>
        <v>0</v>
      </c>
      <c r="M129" s="2">
        <f>IF(L129&gt;0,-(L129+$B$130)*($E$10/'Loan Amortization'!$D$8),0)</f>
        <v>0</v>
      </c>
      <c r="N129" s="2">
        <f t="shared" si="12"/>
        <v>0</v>
      </c>
      <c r="O129" s="2">
        <f>IF(N129&gt;0,-(N129+$B$130)*($E$10/'Loan Amortization'!$D$8),0)</f>
        <v>0</v>
      </c>
      <c r="P129" s="2">
        <f t="shared" si="12"/>
        <v>0</v>
      </c>
      <c r="Q129" s="2">
        <f>IF(P129&gt;0,-(P129+$B$130)*($E$10/'Loan Amortization'!$D$8),0)</f>
        <v>0</v>
      </c>
      <c r="R129" s="2">
        <f t="shared" si="12"/>
        <v>0</v>
      </c>
      <c r="S129" s="2">
        <f>IF(R129&gt;0,-(R129+$B$130)*($E$10/'Loan Amortization'!$D$8),0)</f>
        <v>0</v>
      </c>
      <c r="T129" s="2">
        <f t="shared" si="12"/>
        <v>0</v>
      </c>
      <c r="U129" s="2">
        <f>IF(T129&gt;0,-(T129+$B$130)*($E$10/'Loan Amortization'!$D$8),0)</f>
        <v>0</v>
      </c>
      <c r="V129" s="2">
        <f t="shared" si="12"/>
        <v>0</v>
      </c>
      <c r="W129" s="2">
        <f>IF(V129&gt;0,-(V129+$B$130)*($E$10/'Loan Amortization'!$D$8),0)</f>
        <v>0</v>
      </c>
      <c r="X129" s="2">
        <f t="shared" si="13"/>
        <v>5</v>
      </c>
      <c r="Y129" s="2"/>
      <c r="Z129" s="480"/>
    </row>
    <row r="130" spans="2:26" x14ac:dyDescent="0.15">
      <c r="B130" s="543">
        <f>B129/($L$10*12)</f>
        <v>0</v>
      </c>
      <c r="C130" s="4">
        <v>6</v>
      </c>
      <c r="D130" s="2">
        <f t="shared" si="12"/>
        <v>0</v>
      </c>
      <c r="E130" s="2">
        <f>IF(D130&gt;0,-(D130+$B$130)*($E$10/'Loan Amortization'!$D$8),0)</f>
        <v>0</v>
      </c>
      <c r="F130" s="2">
        <f t="shared" si="12"/>
        <v>0</v>
      </c>
      <c r="G130" s="2">
        <f>IF(F130&gt;0,-(F130+$B$130)*($E$10/'Loan Amortization'!$D$8),0)</f>
        <v>0</v>
      </c>
      <c r="H130" s="2">
        <f t="shared" si="12"/>
        <v>0</v>
      </c>
      <c r="I130" s="2">
        <f>IF(H130&gt;0,-(H130+$B$130)*($E$10/'Loan Amortization'!$D$8),0)</f>
        <v>0</v>
      </c>
      <c r="J130" s="2">
        <f t="shared" si="12"/>
        <v>0</v>
      </c>
      <c r="K130" s="2">
        <f>IF(J130&gt;0,-(J130+$B$130)*($E$10/'Loan Amortization'!$D$8),0)</f>
        <v>0</v>
      </c>
      <c r="L130" s="2">
        <f t="shared" si="12"/>
        <v>0</v>
      </c>
      <c r="M130" s="2">
        <f>IF(L130&gt;0,-(L130+$B$130)*($E$10/'Loan Amortization'!$D$8),0)</f>
        <v>0</v>
      </c>
      <c r="N130" s="2">
        <f t="shared" si="12"/>
        <v>0</v>
      </c>
      <c r="O130" s="2">
        <f>IF(N130&gt;0,-(N130+$B$130)*($E$10/'Loan Amortization'!$D$8),0)</f>
        <v>0</v>
      </c>
      <c r="P130" s="2">
        <f t="shared" si="12"/>
        <v>0</v>
      </c>
      <c r="Q130" s="2">
        <f>IF(P130&gt;0,-(P130+$B$130)*($E$10/'Loan Amortization'!$D$8),0)</f>
        <v>0</v>
      </c>
      <c r="R130" s="2">
        <f t="shared" si="12"/>
        <v>0</v>
      </c>
      <c r="S130" s="2">
        <f>IF(R130&gt;0,-(R130+$B$130)*($E$10/'Loan Amortization'!$D$8),0)</f>
        <v>0</v>
      </c>
      <c r="T130" s="2">
        <f t="shared" si="12"/>
        <v>0</v>
      </c>
      <c r="U130" s="2">
        <f>IF(T130&gt;0,-(T130+$B$130)*($E$10/'Loan Amortization'!$D$8),0)</f>
        <v>0</v>
      </c>
      <c r="V130" s="2">
        <f t="shared" si="12"/>
        <v>0</v>
      </c>
      <c r="W130" s="2">
        <f>IF(V130&gt;0,-(V130+$B$130)*($E$10/'Loan Amortization'!$D$8),0)</f>
        <v>0</v>
      </c>
      <c r="X130" s="2">
        <f t="shared" si="13"/>
        <v>6</v>
      </c>
      <c r="Y130" s="2"/>
      <c r="Z130" s="480"/>
    </row>
    <row r="131" spans="2:26" x14ac:dyDescent="0.15">
      <c r="B131" s="480"/>
      <c r="C131" s="4">
        <v>7</v>
      </c>
      <c r="D131" s="2">
        <f t="shared" si="12"/>
        <v>0</v>
      </c>
      <c r="E131" s="2">
        <f>IF(D131&gt;0,-(D131+$B$130)*($E$10/'Loan Amortization'!$D$8),0)</f>
        <v>0</v>
      </c>
      <c r="F131" s="2">
        <f t="shared" si="12"/>
        <v>0</v>
      </c>
      <c r="G131" s="2">
        <f>IF(F131&gt;0,-(F131+$B$130)*($E$10/'Loan Amortization'!$D$8),0)</f>
        <v>0</v>
      </c>
      <c r="H131" s="2">
        <f t="shared" si="12"/>
        <v>0</v>
      </c>
      <c r="I131" s="2">
        <f>IF(H131&gt;0,-(H131+$B$130)*($E$10/'Loan Amortization'!$D$8),0)</f>
        <v>0</v>
      </c>
      <c r="J131" s="2">
        <f t="shared" si="12"/>
        <v>0</v>
      </c>
      <c r="K131" s="2">
        <f>IF(J131&gt;0,-(J131+$B$130)*($E$10/'Loan Amortization'!$D$8),0)</f>
        <v>0</v>
      </c>
      <c r="L131" s="2">
        <f t="shared" si="12"/>
        <v>0</v>
      </c>
      <c r="M131" s="2">
        <f>IF(L131&gt;0,-(L131+$B$130)*($E$10/'Loan Amortization'!$D$8),0)</f>
        <v>0</v>
      </c>
      <c r="N131" s="2">
        <f t="shared" si="12"/>
        <v>0</v>
      </c>
      <c r="O131" s="2">
        <f>IF(N131&gt;0,-(N131+$B$130)*($E$10/'Loan Amortization'!$D$8),0)</f>
        <v>0</v>
      </c>
      <c r="P131" s="2">
        <f t="shared" si="12"/>
        <v>0</v>
      </c>
      <c r="Q131" s="2">
        <f>IF(P131&gt;0,-(P131+$B$130)*($E$10/'Loan Amortization'!$D$8),0)</f>
        <v>0</v>
      </c>
      <c r="R131" s="2">
        <f t="shared" si="12"/>
        <v>0</v>
      </c>
      <c r="S131" s="2">
        <f>IF(R131&gt;0,-(R131+$B$130)*($E$10/'Loan Amortization'!$D$8),0)</f>
        <v>0</v>
      </c>
      <c r="T131" s="2">
        <f t="shared" si="12"/>
        <v>0</v>
      </c>
      <c r="U131" s="2">
        <f>IF(T131&gt;0,-(T131+$B$130)*($E$10/'Loan Amortization'!$D$8),0)</f>
        <v>0</v>
      </c>
      <c r="V131" s="2">
        <f t="shared" si="12"/>
        <v>0</v>
      </c>
      <c r="W131" s="2">
        <f>IF(V131&gt;0,-(V131+$B$130)*($E$10/'Loan Amortization'!$D$8),0)</f>
        <v>0</v>
      </c>
      <c r="X131" s="2">
        <f t="shared" si="13"/>
        <v>7</v>
      </c>
      <c r="Y131" s="2"/>
      <c r="Z131" s="480"/>
    </row>
    <row r="132" spans="2:26" x14ac:dyDescent="0.15">
      <c r="B132" s="480"/>
      <c r="C132" s="4">
        <v>8</v>
      </c>
      <c r="D132" s="2">
        <f t="shared" si="12"/>
        <v>0</v>
      </c>
      <c r="E132" s="2">
        <f>IF(D132&gt;0,-(D132+$B$130)*($E$10/'Loan Amortization'!$D$8),0)</f>
        <v>0</v>
      </c>
      <c r="F132" s="2">
        <f t="shared" si="12"/>
        <v>0</v>
      </c>
      <c r="G132" s="2">
        <f>IF(F132&gt;0,-(F132+$B$130)*($E$10/'Loan Amortization'!$D$8),0)</f>
        <v>0</v>
      </c>
      <c r="H132" s="2">
        <f t="shared" si="12"/>
        <v>0</v>
      </c>
      <c r="I132" s="2">
        <f>IF(H132&gt;0,-(H132+$B$130)*($E$10/'Loan Amortization'!$D$8),0)</f>
        <v>0</v>
      </c>
      <c r="J132" s="2">
        <f t="shared" si="12"/>
        <v>0</v>
      </c>
      <c r="K132" s="2">
        <f>IF(J132&gt;0,-(J132+$B$130)*($E$10/'Loan Amortization'!$D$8),0)</f>
        <v>0</v>
      </c>
      <c r="L132" s="2">
        <f t="shared" si="12"/>
        <v>0</v>
      </c>
      <c r="M132" s="2">
        <f>IF(L132&gt;0,-(L132+$B$130)*($E$10/'Loan Amortization'!$D$8),0)</f>
        <v>0</v>
      </c>
      <c r="N132" s="2">
        <f t="shared" si="12"/>
        <v>0</v>
      </c>
      <c r="O132" s="2">
        <f>IF(N132&gt;0,-(N132+$B$130)*($E$10/'Loan Amortization'!$D$8),0)</f>
        <v>0</v>
      </c>
      <c r="P132" s="2">
        <f t="shared" si="12"/>
        <v>0</v>
      </c>
      <c r="Q132" s="2">
        <f>IF(P132&gt;0,-(P132+$B$130)*($E$10/'Loan Amortization'!$D$8),0)</f>
        <v>0</v>
      </c>
      <c r="R132" s="2">
        <f t="shared" si="12"/>
        <v>0</v>
      </c>
      <c r="S132" s="2">
        <f>IF(R132&gt;0,-(R132+$B$130)*($E$10/'Loan Amortization'!$D$8),0)</f>
        <v>0</v>
      </c>
      <c r="T132" s="2">
        <f t="shared" si="12"/>
        <v>0</v>
      </c>
      <c r="U132" s="2">
        <f>IF(T132&gt;0,-(T132+$B$130)*($E$10/'Loan Amortization'!$D$8),0)</f>
        <v>0</v>
      </c>
      <c r="V132" s="2">
        <f t="shared" si="12"/>
        <v>0</v>
      </c>
      <c r="W132" s="2">
        <f>IF(V132&gt;0,-(V132+$B$130)*($E$10/'Loan Amortization'!$D$8),0)</f>
        <v>0</v>
      </c>
      <c r="X132" s="2">
        <f t="shared" si="13"/>
        <v>8</v>
      </c>
      <c r="Y132" s="2"/>
      <c r="Z132" s="480"/>
    </row>
    <row r="133" spans="2:26" x14ac:dyDescent="0.15">
      <c r="B133" s="480"/>
      <c r="C133" s="4">
        <v>9</v>
      </c>
      <c r="D133" s="2">
        <f t="shared" si="12"/>
        <v>0</v>
      </c>
      <c r="E133" s="2">
        <f>IF(D133&gt;0,-(D133+$B$130)*($E$10/'Loan Amortization'!$D$8),0)</f>
        <v>0</v>
      </c>
      <c r="F133" s="2">
        <f t="shared" si="12"/>
        <v>0</v>
      </c>
      <c r="G133" s="2">
        <f>IF(F133&gt;0,-(F133+$B$130)*($E$10/'Loan Amortization'!$D$8),0)</f>
        <v>0</v>
      </c>
      <c r="H133" s="2">
        <f t="shared" si="12"/>
        <v>0</v>
      </c>
      <c r="I133" s="2">
        <f>IF(H133&gt;0,-(H133+$B$130)*($E$10/'Loan Amortization'!$D$8),0)</f>
        <v>0</v>
      </c>
      <c r="J133" s="2">
        <f t="shared" si="12"/>
        <v>0</v>
      </c>
      <c r="K133" s="2">
        <f>IF(J133&gt;0,-(J133+$B$130)*($E$10/'Loan Amortization'!$D$8),0)</f>
        <v>0</v>
      </c>
      <c r="L133" s="2">
        <f t="shared" si="12"/>
        <v>0</v>
      </c>
      <c r="M133" s="2">
        <f>IF(L133&gt;0,-(L133+$B$130)*($E$10/'Loan Amortization'!$D$8),0)</f>
        <v>0</v>
      </c>
      <c r="N133" s="2">
        <f t="shared" si="12"/>
        <v>0</v>
      </c>
      <c r="O133" s="2">
        <f>IF(N133&gt;0,-(N133+$B$130)*($E$10/'Loan Amortization'!$D$8),0)</f>
        <v>0</v>
      </c>
      <c r="P133" s="2">
        <f t="shared" si="12"/>
        <v>0</v>
      </c>
      <c r="Q133" s="2">
        <f>IF(P133&gt;0,-(P133+$B$130)*($E$10/'Loan Amortization'!$D$8),0)</f>
        <v>0</v>
      </c>
      <c r="R133" s="2">
        <f t="shared" si="12"/>
        <v>0</v>
      </c>
      <c r="S133" s="2">
        <f>IF(R133&gt;0,-(R133+$B$130)*($E$10/'Loan Amortization'!$D$8),0)</f>
        <v>0</v>
      </c>
      <c r="T133" s="2">
        <f t="shared" si="12"/>
        <v>0</v>
      </c>
      <c r="U133" s="2">
        <f>IF(T133&gt;0,-(T133+$B$130)*($E$10/'Loan Amortization'!$D$8),0)</f>
        <v>0</v>
      </c>
      <c r="V133" s="2">
        <f t="shared" si="12"/>
        <v>0</v>
      </c>
      <c r="W133" s="2">
        <f>IF(V133&gt;0,-(V133+$B$130)*($E$10/'Loan Amortization'!$D$8),0)</f>
        <v>0</v>
      </c>
      <c r="X133" s="2">
        <f t="shared" si="13"/>
        <v>9</v>
      </c>
      <c r="Y133" s="2"/>
      <c r="Z133" s="480"/>
    </row>
    <row r="134" spans="2:26" x14ac:dyDescent="0.15">
      <c r="B134" s="480"/>
      <c r="C134" s="4">
        <v>10</v>
      </c>
      <c r="D134" s="2">
        <f t="shared" si="12"/>
        <v>0</v>
      </c>
      <c r="E134" s="2">
        <f>IF(D134&gt;0,-(D134+$B$130)*($E$10/'Loan Amortization'!$D$8),0)</f>
        <v>0</v>
      </c>
      <c r="F134" s="2">
        <f t="shared" si="12"/>
        <v>0</v>
      </c>
      <c r="G134" s="2">
        <f>IF(F134&gt;0,-(F134+$B$130)*($E$10/'Loan Amortization'!$D$8),0)</f>
        <v>0</v>
      </c>
      <c r="H134" s="2">
        <f t="shared" si="12"/>
        <v>0</v>
      </c>
      <c r="I134" s="2">
        <f>IF(H134&gt;0,-(H134+$B$130)*($E$10/'Loan Amortization'!$D$8),0)</f>
        <v>0</v>
      </c>
      <c r="J134" s="2">
        <f t="shared" si="12"/>
        <v>0</v>
      </c>
      <c r="K134" s="2">
        <f>IF(J134&gt;0,-(J134+$B$130)*($E$10/'Loan Amortization'!$D$8),0)</f>
        <v>0</v>
      </c>
      <c r="L134" s="2">
        <f t="shared" si="12"/>
        <v>0</v>
      </c>
      <c r="M134" s="2">
        <f>IF(L134&gt;0,-(L134+$B$130)*($E$10/'Loan Amortization'!$D$8),0)</f>
        <v>0</v>
      </c>
      <c r="N134" s="2">
        <f t="shared" si="12"/>
        <v>0</v>
      </c>
      <c r="O134" s="2">
        <f>IF(N134&gt;0,-(N134+$B$130)*($E$10/'Loan Amortization'!$D$8),0)</f>
        <v>0</v>
      </c>
      <c r="P134" s="2">
        <f t="shared" si="12"/>
        <v>0</v>
      </c>
      <c r="Q134" s="2">
        <f>IF(P134&gt;0,-(P134+$B$130)*($E$10/'Loan Amortization'!$D$8),0)</f>
        <v>0</v>
      </c>
      <c r="R134" s="2">
        <f t="shared" si="12"/>
        <v>0</v>
      </c>
      <c r="S134" s="2">
        <f>IF(R134&gt;0,-(R134+$B$130)*($E$10/'Loan Amortization'!$D$8),0)</f>
        <v>0</v>
      </c>
      <c r="T134" s="2">
        <f t="shared" si="12"/>
        <v>0</v>
      </c>
      <c r="U134" s="2">
        <f>IF(T134&gt;0,-(T134+$B$130)*($E$10/'Loan Amortization'!$D$8),0)</f>
        <v>0</v>
      </c>
      <c r="V134" s="2">
        <f t="shared" si="12"/>
        <v>0</v>
      </c>
      <c r="W134" s="2">
        <f>IF(V134&gt;0,-(V134+$B$130)*($E$10/'Loan Amortization'!$D$8),0)</f>
        <v>0</v>
      </c>
      <c r="X134" s="2">
        <f t="shared" si="13"/>
        <v>10</v>
      </c>
      <c r="Y134" s="2"/>
      <c r="Z134" s="480"/>
    </row>
    <row r="135" spans="2:26" x14ac:dyDescent="0.15">
      <c r="B135" s="480"/>
      <c r="C135" s="4">
        <v>11</v>
      </c>
      <c r="D135" s="2">
        <f t="shared" si="12"/>
        <v>0</v>
      </c>
      <c r="E135" s="2">
        <f>IF(D135&gt;0,-(D135+$B$130)*($E$10/'Loan Amortization'!$D$8),0)</f>
        <v>0</v>
      </c>
      <c r="F135" s="2">
        <f t="shared" si="12"/>
        <v>0</v>
      </c>
      <c r="G135" s="2">
        <f>IF(F135&gt;0,-(F135+$B$130)*($E$10/'Loan Amortization'!$D$8),0)</f>
        <v>0</v>
      </c>
      <c r="H135" s="2">
        <f t="shared" si="12"/>
        <v>0</v>
      </c>
      <c r="I135" s="2">
        <f>IF(H135&gt;0,-(H135+$B$130)*($E$10/'Loan Amortization'!$D$8),0)</f>
        <v>0</v>
      </c>
      <c r="J135" s="2">
        <f t="shared" si="12"/>
        <v>0</v>
      </c>
      <c r="K135" s="2">
        <f>IF(J135&gt;0,-(J135+$B$130)*($E$10/'Loan Amortization'!$D$8),0)</f>
        <v>0</v>
      </c>
      <c r="L135" s="2">
        <f t="shared" si="12"/>
        <v>0</v>
      </c>
      <c r="M135" s="2">
        <f>IF(L135&gt;0,-(L135+$B$130)*($E$10/'Loan Amortization'!$D$8),0)</f>
        <v>0</v>
      </c>
      <c r="N135" s="2">
        <f t="shared" si="12"/>
        <v>0</v>
      </c>
      <c r="O135" s="2">
        <f>IF(N135&gt;0,-(N135+$B$130)*($E$10/'Loan Amortization'!$D$8),0)</f>
        <v>0</v>
      </c>
      <c r="P135" s="2">
        <f t="shared" si="12"/>
        <v>0</v>
      </c>
      <c r="Q135" s="2">
        <f>IF(P135&gt;0,-(P135+$B$130)*($E$10/'Loan Amortization'!$D$8),0)</f>
        <v>0</v>
      </c>
      <c r="R135" s="2">
        <f t="shared" si="12"/>
        <v>0</v>
      </c>
      <c r="S135" s="2">
        <f>IF(R135&gt;0,-(R135+$B$130)*($E$10/'Loan Amortization'!$D$8),0)</f>
        <v>0</v>
      </c>
      <c r="T135" s="2">
        <f t="shared" si="12"/>
        <v>0</v>
      </c>
      <c r="U135" s="2">
        <f>IF(T135&gt;0,-(T135+$B$130)*($E$10/'Loan Amortization'!$D$8),0)</f>
        <v>0</v>
      </c>
      <c r="V135" s="2">
        <f t="shared" si="12"/>
        <v>0</v>
      </c>
      <c r="W135" s="2">
        <f>IF(V135&gt;0,-(V135+$B$130)*($E$10/'Loan Amortization'!$D$8),0)</f>
        <v>0</v>
      </c>
      <c r="X135" s="2">
        <f t="shared" si="13"/>
        <v>11</v>
      </c>
      <c r="Y135" s="2"/>
      <c r="Z135" s="480"/>
    </row>
    <row r="136" spans="2:26" ht="14" thickBot="1" x14ac:dyDescent="0.2">
      <c r="B136" s="482"/>
      <c r="C136" s="4">
        <v>12</v>
      </c>
      <c r="D136" s="2">
        <f t="shared" si="12"/>
        <v>0</v>
      </c>
      <c r="E136" s="2">
        <f>IF(D136&gt;0,-(D136+$B$130)*($E$10/'Loan Amortization'!$D$8),0)</f>
        <v>0</v>
      </c>
      <c r="F136" s="2">
        <f t="shared" si="12"/>
        <v>0</v>
      </c>
      <c r="G136" s="2">
        <f>IF(F136&gt;0,-(F136+$B$130)*($E$10/'Loan Amortization'!$D$8),0)</f>
        <v>0</v>
      </c>
      <c r="H136" s="2">
        <f t="shared" si="12"/>
        <v>0</v>
      </c>
      <c r="I136" s="2">
        <f>IF(H136&gt;0,-(H136+$B$130)*($E$10/'Loan Amortization'!$D$8),0)</f>
        <v>0</v>
      </c>
      <c r="J136" s="2">
        <f t="shared" si="12"/>
        <v>0</v>
      </c>
      <c r="K136" s="2">
        <f>IF(J136&gt;0,-(J136+$B$130)*($E$10/'Loan Amortization'!$D$8),0)</f>
        <v>0</v>
      </c>
      <c r="L136" s="2">
        <f t="shared" si="12"/>
        <v>0</v>
      </c>
      <c r="M136" s="2">
        <f>IF(L136&gt;0,-(L136+$B$130)*($E$10/'Loan Amortization'!$D$8),0)</f>
        <v>0</v>
      </c>
      <c r="N136" s="2">
        <f t="shared" si="12"/>
        <v>0</v>
      </c>
      <c r="O136" s="2">
        <f>IF(N136&gt;0,-(N136+$B$130)*($E$10/'Loan Amortization'!$D$8),0)</f>
        <v>0</v>
      </c>
      <c r="P136" s="2">
        <f t="shared" si="12"/>
        <v>0</v>
      </c>
      <c r="Q136" s="2">
        <f>IF(P136&gt;0,-(P136+$B$130)*($E$10/'Loan Amortization'!$D$8),0)</f>
        <v>0</v>
      </c>
      <c r="R136" s="2">
        <f t="shared" si="12"/>
        <v>0</v>
      </c>
      <c r="S136" s="2">
        <f>IF(R136&gt;0,-(R136+$B$130)*($E$10/'Loan Amortization'!$D$8),0)</f>
        <v>0</v>
      </c>
      <c r="T136" s="2">
        <f t="shared" si="12"/>
        <v>0</v>
      </c>
      <c r="U136" s="2">
        <f>IF(T136&gt;0,-(T136+$B$130)*($E$10/'Loan Amortization'!$D$8),0)</f>
        <v>0</v>
      </c>
      <c r="V136" s="2">
        <f t="shared" si="12"/>
        <v>0</v>
      </c>
      <c r="W136" s="2">
        <f>IF(V136&gt;0,-(V136+$B$130)*($E$10/'Loan Amortization'!$D$8),0)</f>
        <v>0</v>
      </c>
      <c r="X136" s="2">
        <f t="shared" si="13"/>
        <v>12</v>
      </c>
      <c r="Y136" s="2"/>
      <c r="Z136" s="480"/>
    </row>
    <row r="137" spans="2:26" ht="14" thickBot="1" x14ac:dyDescent="0.2">
      <c r="B137" s="542" t="s">
        <v>45</v>
      </c>
      <c r="C137" s="502" t="s">
        <v>663</v>
      </c>
      <c r="D137" s="503">
        <f>'Level Prin Paymt Fin Sens Calc'!D$138</f>
        <v>0</v>
      </c>
      <c r="E137" s="503">
        <f>'Level Prin Paymt Fin Sens Calc'!E$138</f>
        <v>0</v>
      </c>
      <c r="F137" s="503">
        <f>'Level Prin Paymt Fin Sens Calc'!F$138</f>
        <v>0</v>
      </c>
      <c r="G137" s="503">
        <f>'Level Prin Paymt Fin Sens Calc'!G$138</f>
        <v>0</v>
      </c>
      <c r="H137" s="503">
        <f>'Level Prin Paymt Fin Sens Calc'!H$138</f>
        <v>0</v>
      </c>
      <c r="I137" s="503">
        <f>'Level Prin Paymt Fin Sens Calc'!I$138</f>
        <v>0</v>
      </c>
      <c r="J137" s="503">
        <f>'Level Prin Paymt Fin Sens Calc'!J$138</f>
        <v>0</v>
      </c>
      <c r="K137" s="503">
        <f>'Level Prin Paymt Fin Sens Calc'!K$138</f>
        <v>0</v>
      </c>
      <c r="L137" s="503">
        <f>'Level Prin Paymt Fin Sens Calc'!L$138</f>
        <v>0</v>
      </c>
      <c r="M137" s="503">
        <f>'Level Prin Paymt Fin Sens Calc'!M$138</f>
        <v>0</v>
      </c>
      <c r="N137" s="503">
        <f>'Level Prin Paymt Fin Sens Calc'!N$138</f>
        <v>0</v>
      </c>
      <c r="O137" s="503">
        <f>'Level Prin Paymt Fin Sens Calc'!O$138</f>
        <v>0</v>
      </c>
      <c r="P137" s="503">
        <f>'Level Prin Paymt Fin Sens Calc'!P$138</f>
        <v>0</v>
      </c>
      <c r="Q137" s="503">
        <f>'Level Prin Paymt Fin Sens Calc'!Q$138</f>
        <v>0</v>
      </c>
      <c r="R137" s="503">
        <f>'Level Prin Paymt Fin Sens Calc'!R$138</f>
        <v>0</v>
      </c>
      <c r="S137" s="503">
        <f>'Level Prin Paymt Fin Sens Calc'!S$138</f>
        <v>0</v>
      </c>
      <c r="T137" s="503">
        <f>'Level Prin Paymt Fin Sens Calc'!T$138</f>
        <v>0</v>
      </c>
      <c r="U137" s="503">
        <f>'Level Prin Paymt Fin Sens Calc'!U$138</f>
        <v>0</v>
      </c>
      <c r="V137" s="503">
        <f>'Level Prin Paymt Fin Sens Calc'!V$138</f>
        <v>0</v>
      </c>
      <c r="W137" s="503">
        <f>'Level Prin Paymt Fin Sens Calc'!W$138</f>
        <v>0</v>
      </c>
      <c r="X137" s="504">
        <f t="shared" si="13"/>
        <v>0</v>
      </c>
      <c r="Y137" s="501"/>
      <c r="Z137" s="480"/>
    </row>
    <row r="138" spans="2:26" ht="14" thickBot="1" x14ac:dyDescent="0.2">
      <c r="B138" s="478"/>
      <c r="C138" s="520" t="s">
        <v>273</v>
      </c>
      <c r="D138" s="522"/>
      <c r="E138" s="522">
        <f>IF(D124&gt;$L$10,0,IPMT($E$10,D124,$L$10,$B$234))</f>
        <v>0</v>
      </c>
      <c r="F138" s="522"/>
      <c r="G138" s="522">
        <f>IF(F124&gt;$L$10,0,IPMT($E$10,F124,$L$10,$B$234))</f>
        <v>0</v>
      </c>
      <c r="H138" s="522"/>
      <c r="I138" s="522">
        <f>IF(H124&gt;$L$10,0,IPMT($E$10,H124,$L$10,$B$234))</f>
        <v>0</v>
      </c>
      <c r="J138" s="522"/>
      <c r="K138" s="522">
        <f>IF(J124&gt;$L$10,0,IPMT($E$10,J124,$L$10,$B$234))</f>
        <v>0</v>
      </c>
      <c r="L138" s="522"/>
      <c r="M138" s="522">
        <f>IF(L124&gt;$L$10,0,IPMT($E$10,L124,$L$10,$B$234))</f>
        <v>0</v>
      </c>
      <c r="N138" s="522"/>
      <c r="O138" s="522">
        <f>IF(N124&gt;$L$10,0,IPMT($E$10,N124,$L$10,$B$234))</f>
        <v>0</v>
      </c>
      <c r="P138" s="522"/>
      <c r="Q138" s="522">
        <f>IF(P124&gt;$L$10,0,IPMT($E$10,P124,$L$10,$B$234))</f>
        <v>0</v>
      </c>
      <c r="R138" s="522"/>
      <c r="S138" s="522">
        <f>IF(R124&gt;$L$10,0,IPMT($E$10,R124,$L$10,$B$234))</f>
        <v>0</v>
      </c>
      <c r="T138" s="522"/>
      <c r="U138" s="522">
        <f>IF(T124&gt;$L$10,0,IPMT($E$10,T124,$L$10,$B$234))</f>
        <v>0</v>
      </c>
      <c r="V138" s="522"/>
      <c r="W138" s="522">
        <f>IF(V124&gt;$L$10,0,IPMT($E$10,V124,$L$10,$B$234))</f>
        <v>0</v>
      </c>
      <c r="X138" s="504">
        <f t="shared" si="13"/>
        <v>0</v>
      </c>
      <c r="Y138" s="548"/>
      <c r="Z138" s="482"/>
    </row>
    <row r="139" spans="2:26" ht="14" thickBot="1" x14ac:dyDescent="0.2">
      <c r="B139" s="8"/>
      <c r="C139" s="502" t="s">
        <v>664</v>
      </c>
      <c r="D139" s="558">
        <f>D124</f>
        <v>1</v>
      </c>
      <c r="E139" s="559">
        <f>F124</f>
        <v>2</v>
      </c>
      <c r="F139" s="559">
        <f>H124</f>
        <v>3</v>
      </c>
      <c r="G139" s="559">
        <f>J124</f>
        <v>4</v>
      </c>
      <c r="H139" s="559">
        <f>L124</f>
        <v>5</v>
      </c>
      <c r="I139" s="559">
        <f>N124</f>
        <v>6</v>
      </c>
      <c r="J139" s="559">
        <f>P124</f>
        <v>7</v>
      </c>
      <c r="K139" s="559">
        <f>R124</f>
        <v>8</v>
      </c>
      <c r="L139" s="559">
        <f>T124</f>
        <v>9</v>
      </c>
      <c r="M139" s="559">
        <f>V124</f>
        <v>10</v>
      </c>
      <c r="N139" s="560" t="str">
        <f>X124</f>
        <v>TOTAL</v>
      </c>
      <c r="O139" s="2"/>
      <c r="P139" s="2"/>
      <c r="Q139" s="2"/>
      <c r="R139" s="2"/>
      <c r="S139" s="2"/>
      <c r="T139" s="2"/>
      <c r="U139" s="2"/>
      <c r="V139" s="2"/>
      <c r="W139" s="2"/>
      <c r="X139" s="2"/>
      <c r="Y139" s="2"/>
    </row>
    <row r="140" spans="2:26" ht="14" thickBot="1" x14ac:dyDescent="0.2">
      <c r="B140" s="8"/>
      <c r="C140" s="502" t="s">
        <v>663</v>
      </c>
      <c r="D140" s="561">
        <f>D137</f>
        <v>0</v>
      </c>
      <c r="E140" s="2">
        <f>F137</f>
        <v>0</v>
      </c>
      <c r="F140" s="2">
        <f>H137</f>
        <v>0</v>
      </c>
      <c r="G140" s="2">
        <f>J137</f>
        <v>0</v>
      </c>
      <c r="H140" s="2">
        <f>L137</f>
        <v>0</v>
      </c>
      <c r="I140" s="2">
        <f>N137</f>
        <v>0</v>
      </c>
      <c r="J140" s="2">
        <f>P137</f>
        <v>0</v>
      </c>
      <c r="K140" s="2">
        <f>R137</f>
        <v>0</v>
      </c>
      <c r="L140" s="2">
        <f>T137</f>
        <v>0</v>
      </c>
      <c r="M140" s="2">
        <f>V137</f>
        <v>0</v>
      </c>
      <c r="N140" s="501">
        <f>X137</f>
        <v>0</v>
      </c>
      <c r="O140" s="2"/>
      <c r="P140" s="2"/>
      <c r="Q140" s="2"/>
      <c r="R140" s="2"/>
      <c r="S140" s="2"/>
      <c r="T140" s="2"/>
      <c r="U140" s="2"/>
      <c r="V140" s="2"/>
      <c r="W140" s="2"/>
      <c r="X140" s="2"/>
      <c r="Y140" s="2"/>
    </row>
    <row r="141" spans="2:26" ht="14" thickBot="1" x14ac:dyDescent="0.2">
      <c r="B141" s="8"/>
      <c r="C141" s="520" t="s">
        <v>273</v>
      </c>
      <c r="D141" s="562">
        <f>E138</f>
        <v>0</v>
      </c>
      <c r="E141" s="522">
        <f>G138</f>
        <v>0</v>
      </c>
      <c r="F141" s="522">
        <f>I138</f>
        <v>0</v>
      </c>
      <c r="G141" s="522">
        <f>K138</f>
        <v>0</v>
      </c>
      <c r="H141" s="522">
        <f>M138</f>
        <v>0</v>
      </c>
      <c r="I141" s="522">
        <f>O138</f>
        <v>0</v>
      </c>
      <c r="J141" s="522">
        <f>Q138</f>
        <v>0</v>
      </c>
      <c r="K141" s="522">
        <f>S138</f>
        <v>0</v>
      </c>
      <c r="L141" s="522">
        <f>U138</f>
        <v>0</v>
      </c>
      <c r="M141" s="522">
        <f>W138</f>
        <v>0</v>
      </c>
      <c r="N141" s="548">
        <f>X138</f>
        <v>0</v>
      </c>
      <c r="O141" s="2"/>
      <c r="P141" s="2"/>
      <c r="Q141" s="2"/>
      <c r="R141" s="2"/>
      <c r="S141" s="2"/>
      <c r="T141" s="2"/>
      <c r="U141" s="2"/>
      <c r="V141" s="2"/>
      <c r="W141" s="2"/>
      <c r="X141" s="2"/>
      <c r="Y141" s="2"/>
    </row>
    <row r="143" spans="2:26" ht="14" thickBot="1" x14ac:dyDescent="0.2"/>
    <row r="144" spans="2:26" ht="14" thickBot="1" x14ac:dyDescent="0.2">
      <c r="B144" s="495" t="s">
        <v>418</v>
      </c>
      <c r="C144" s="178"/>
      <c r="D144" s="483" t="s">
        <v>133</v>
      </c>
      <c r="E144" s="483"/>
      <c r="F144" s="483" t="s">
        <v>133</v>
      </c>
      <c r="G144" s="483"/>
      <c r="H144" s="483" t="s">
        <v>133</v>
      </c>
      <c r="I144" s="483"/>
      <c r="J144" s="483" t="s">
        <v>133</v>
      </c>
      <c r="K144" s="483"/>
      <c r="L144" s="483" t="s">
        <v>133</v>
      </c>
      <c r="M144" s="483"/>
      <c r="N144" s="483" t="s">
        <v>133</v>
      </c>
      <c r="O144" s="483"/>
      <c r="P144" s="483" t="s">
        <v>133</v>
      </c>
      <c r="Q144" s="483"/>
      <c r="R144" s="483" t="s">
        <v>133</v>
      </c>
      <c r="S144" s="483"/>
      <c r="T144" s="483" t="s">
        <v>133</v>
      </c>
      <c r="U144" s="483"/>
      <c r="V144" s="483" t="s">
        <v>133</v>
      </c>
      <c r="W144" s="483"/>
      <c r="X144" s="178"/>
      <c r="Y144" s="178"/>
      <c r="Z144" s="499" t="str">
        <f>B144</f>
        <v>+5%</v>
      </c>
    </row>
    <row r="145" spans="2:26" x14ac:dyDescent="0.15">
      <c r="B145" s="426"/>
      <c r="C145" s="4" t="s">
        <v>660</v>
      </c>
      <c r="D145" s="4">
        <v>1</v>
      </c>
      <c r="E145" s="4"/>
      <c r="F145" s="4">
        <f>D145+1</f>
        <v>2</v>
      </c>
      <c r="G145" s="4"/>
      <c r="H145" s="4">
        <f>F145+1</f>
        <v>3</v>
      </c>
      <c r="I145" s="4"/>
      <c r="J145" s="4">
        <f>H145+1</f>
        <v>4</v>
      </c>
      <c r="K145" s="4"/>
      <c r="L145" s="4">
        <f>J145+1</f>
        <v>5</v>
      </c>
      <c r="M145" s="4"/>
      <c r="N145" s="4">
        <f>L145+1</f>
        <v>6</v>
      </c>
      <c r="O145" s="4"/>
      <c r="P145" s="4">
        <f>N145+1</f>
        <v>7</v>
      </c>
      <c r="Q145" s="4"/>
      <c r="R145" s="4">
        <f>P145+1</f>
        <v>8</v>
      </c>
      <c r="S145" s="4"/>
      <c r="T145" s="4">
        <f>R145+1</f>
        <v>9</v>
      </c>
      <c r="U145" s="4"/>
      <c r="V145" s="4">
        <f>T145+1</f>
        <v>10</v>
      </c>
      <c r="W145" s="4"/>
      <c r="X145" s="4" t="s">
        <v>285</v>
      </c>
      <c r="Y145" s="4"/>
      <c r="Z145" s="480"/>
    </row>
    <row r="146" spans="2:26" x14ac:dyDescent="0.15">
      <c r="B146" s="202" t="s">
        <v>661</v>
      </c>
      <c r="C146" s="4">
        <v>1</v>
      </c>
      <c r="D146" s="2">
        <f>IF(D$19&lt;($L$10+1),$B$150-((((D$19-1)*12)+$C146)*$B$151),0)</f>
        <v>0</v>
      </c>
      <c r="E146" s="2">
        <f>IF(D146&gt;0,-(D146+$B$151)*($E$11/'Loan Amortization'!$D$8),0)</f>
        <v>0</v>
      </c>
      <c r="F146" s="2">
        <f>IF(F$19&lt;($L$10+1),$B$150-((((F$19-1)*12)+$C146)*$B$151),0)</f>
        <v>0</v>
      </c>
      <c r="G146" s="2">
        <f>IF(F146&gt;0,-(F146+$B$151)*($E$11/'Loan Amortization'!$D$8),0)</f>
        <v>0</v>
      </c>
      <c r="H146" s="2">
        <f>IF(H$19&lt;($L$10+1),$B$150-((((H$19-1)*12)+$C146)*$B$151),0)</f>
        <v>0</v>
      </c>
      <c r="I146" s="2">
        <f>IF(H146&gt;0,-(H146+$B$151)*($E$11/'Loan Amortization'!$D$8),0)</f>
        <v>0</v>
      </c>
      <c r="J146" s="2">
        <f>IF(J$19&lt;($L$10+1),$B$150-((((J$19-1)*12)+$C146)*$B$151),0)</f>
        <v>0</v>
      </c>
      <c r="K146" s="2">
        <f>IF(J146&gt;0,-(J146+$B$151)*($E$11/'Loan Amortization'!$D$8),0)</f>
        <v>0</v>
      </c>
      <c r="L146" s="2">
        <f>IF(L$19&lt;($L$10+1),$B$150-((((L$19-1)*12)+$C146)*$B$151),0)</f>
        <v>0</v>
      </c>
      <c r="M146" s="2">
        <f>IF(L146&gt;0,-(L146+$B$151)*($E$11/'Loan Amortization'!$D$8),0)</f>
        <v>0</v>
      </c>
      <c r="N146" s="2">
        <f>IF(N$19&lt;($L$10+1),$B$150-((((N$19-1)*12)+$C146)*$B$151),0)</f>
        <v>0</v>
      </c>
      <c r="O146" s="2">
        <f>IF(N146&gt;0,-(N146+$B$151)*($E$11/'Loan Amortization'!$D$8),0)</f>
        <v>0</v>
      </c>
      <c r="P146" s="2">
        <f>IF(P$19&lt;($L$10+1),$B$150-((((P$19-1)*12)+$C146)*$B$151),0)</f>
        <v>0</v>
      </c>
      <c r="Q146" s="2">
        <f>IF(P146&gt;0,-(P146+$B$151)*($E$11/'Loan Amortization'!$D$8),0)</f>
        <v>0</v>
      </c>
      <c r="R146" s="2">
        <f>IF(R$19&lt;($L$10+1),$B$150-((((R$19-1)*12)+$C146)*$B$151),0)</f>
        <v>0</v>
      </c>
      <c r="S146" s="2">
        <f>IF(R146&gt;0,-(R146+$B$151)*($E$11/'Loan Amortization'!$D$8),0)</f>
        <v>0</v>
      </c>
      <c r="T146" s="2">
        <f>IF(T$19&lt;($L$10+1),$B$150-((((T$19-1)*12)+$C146)*$B$151),0)</f>
        <v>0</v>
      </c>
      <c r="U146" s="2">
        <f>IF(T146&gt;0,-(T146+$B$151)*($E$11/'Loan Amortization'!$D$8),0)</f>
        <v>0</v>
      </c>
      <c r="V146" s="2">
        <f>IF(V$19&lt;($L$10+1),$B$150-((((V$19-1)*12)+$C146)*$B$151),0)</f>
        <v>0</v>
      </c>
      <c r="W146" s="2">
        <f>IF(V146&gt;0,-(V146+$B$151)*($E$11/'Loan Amortization'!$D$8),0)</f>
        <v>0</v>
      </c>
      <c r="X146" s="2">
        <f>SUM(C146:V146)</f>
        <v>1</v>
      </c>
      <c r="Y146" s="2"/>
      <c r="Z146" s="480"/>
    </row>
    <row r="147" spans="2:26" x14ac:dyDescent="0.15">
      <c r="B147" s="511">
        <f>-PMT($L$6/12,$L$10*12,C11)</f>
        <v>0</v>
      </c>
      <c r="C147" s="4">
        <v>2</v>
      </c>
      <c r="D147" s="2">
        <f t="shared" ref="D147:V157" si="14">IF(D$19&lt;($L$10+1),$B$150-((((D$19-1)*12)+$C147)*$B$151),0)</f>
        <v>0</v>
      </c>
      <c r="E147" s="2">
        <f>IF(D147&gt;0,-(D147+$B$151)*($L$6/'Loan Amortization'!$D$8),0)</f>
        <v>0</v>
      </c>
      <c r="F147" s="2">
        <f t="shared" si="14"/>
        <v>0</v>
      </c>
      <c r="G147" s="2">
        <f>IF(F147&gt;0,-(F147+$B$151)*($L$6/'Loan Amortization'!$D$8),0)</f>
        <v>0</v>
      </c>
      <c r="H147" s="2">
        <f t="shared" si="14"/>
        <v>0</v>
      </c>
      <c r="I147" s="2">
        <f>IF(H147&gt;0,-(H147+$B$151)*($L$6/'Loan Amortization'!$D$8),0)</f>
        <v>0</v>
      </c>
      <c r="J147" s="2">
        <f t="shared" si="14"/>
        <v>0</v>
      </c>
      <c r="K147" s="2">
        <f>IF(J147&gt;0,-(J147+$B$151)*($L$6/'Loan Amortization'!$D$8),0)</f>
        <v>0</v>
      </c>
      <c r="L147" s="2">
        <f t="shared" si="14"/>
        <v>0</v>
      </c>
      <c r="M147" s="2">
        <f>IF(L147&gt;0,-(L147+$B$151)*($L$6/'Loan Amortization'!$D$8),0)</f>
        <v>0</v>
      </c>
      <c r="N147" s="2">
        <f t="shared" si="14"/>
        <v>0</v>
      </c>
      <c r="O147" s="2">
        <f>IF(N147&gt;0,-(N147+$B$151)*($L$6/'Loan Amortization'!$D$8),0)</f>
        <v>0</v>
      </c>
      <c r="P147" s="2">
        <f t="shared" si="14"/>
        <v>0</v>
      </c>
      <c r="Q147" s="2">
        <f>IF(P147&gt;0,-(P147+$B$151)*($L$6/'Loan Amortization'!$D$8),0)</f>
        <v>0</v>
      </c>
      <c r="R147" s="2">
        <f t="shared" si="14"/>
        <v>0</v>
      </c>
      <c r="S147" s="2">
        <f>IF(R147&gt;0,-(R147+$B$151)*($L$6/'Loan Amortization'!$D$8),0)</f>
        <v>0</v>
      </c>
      <c r="T147" s="2">
        <f t="shared" si="14"/>
        <v>0</v>
      </c>
      <c r="U147" s="2">
        <f>IF(T147&gt;0,-(T147+$B$151)*($L$6/'Loan Amortization'!$D$8),0)</f>
        <v>0</v>
      </c>
      <c r="V147" s="2">
        <f t="shared" si="14"/>
        <v>0</v>
      </c>
      <c r="W147" s="2">
        <f>IF(V147&gt;0,-(V147+$B$151)*($L$6/'Loan Amortization'!$D$8),0)</f>
        <v>0</v>
      </c>
      <c r="X147" s="2">
        <f t="shared" ref="X147:X159" si="15">SUM(C147:V147)</f>
        <v>2</v>
      </c>
      <c r="Y147" s="2"/>
      <c r="Z147" s="480"/>
    </row>
    <row r="148" spans="2:26" x14ac:dyDescent="0.15">
      <c r="B148" s="540">
        <f>B147*12</f>
        <v>0</v>
      </c>
      <c r="C148" s="4">
        <v>3</v>
      </c>
      <c r="D148" s="2">
        <f t="shared" si="14"/>
        <v>0</v>
      </c>
      <c r="E148" s="2">
        <f>IF(D148&gt;0,-(D148+$B$151)*($L$6/'Loan Amortization'!$D$8),0)</f>
        <v>0</v>
      </c>
      <c r="F148" s="2">
        <f t="shared" si="14"/>
        <v>0</v>
      </c>
      <c r="G148" s="2">
        <f>IF(F148&gt;0,-(F148+$B$151)*($L$6/'Loan Amortization'!$D$8),0)</f>
        <v>0</v>
      </c>
      <c r="H148" s="2">
        <f t="shared" si="14"/>
        <v>0</v>
      </c>
      <c r="I148" s="2">
        <f>IF(H148&gt;0,-(H148+$B$151)*($L$6/'Loan Amortization'!$D$8),0)</f>
        <v>0</v>
      </c>
      <c r="J148" s="2">
        <f t="shared" si="14"/>
        <v>0</v>
      </c>
      <c r="K148" s="2">
        <f>IF(J148&gt;0,-(J148+$B$151)*($L$6/'Loan Amortization'!$D$8),0)</f>
        <v>0</v>
      </c>
      <c r="L148" s="2">
        <f t="shared" si="14"/>
        <v>0</v>
      </c>
      <c r="M148" s="2">
        <f>IF(L148&gt;0,-(L148+$B$151)*($L$6/'Loan Amortization'!$D$8),0)</f>
        <v>0</v>
      </c>
      <c r="N148" s="2">
        <f t="shared" si="14"/>
        <v>0</v>
      </c>
      <c r="O148" s="2">
        <f>IF(N148&gt;0,-(N148+$B$151)*($L$6/'Loan Amortization'!$D$8),0)</f>
        <v>0</v>
      </c>
      <c r="P148" s="2">
        <f t="shared" si="14"/>
        <v>0</v>
      </c>
      <c r="Q148" s="2">
        <f>IF(P148&gt;0,-(P148+$B$151)*($L$6/'Loan Amortization'!$D$8),0)</f>
        <v>0</v>
      </c>
      <c r="R148" s="2">
        <f t="shared" si="14"/>
        <v>0</v>
      </c>
      <c r="S148" s="2">
        <f>IF(R148&gt;0,-(R148+$B$151)*($L$6/'Loan Amortization'!$D$8),0)</f>
        <v>0</v>
      </c>
      <c r="T148" s="2">
        <f t="shared" si="14"/>
        <v>0</v>
      </c>
      <c r="U148" s="2">
        <f>IF(T148&gt;0,-(T148+$B$151)*($L$6/'Loan Amortization'!$D$8),0)</f>
        <v>0</v>
      </c>
      <c r="V148" s="2">
        <f t="shared" si="14"/>
        <v>0</v>
      </c>
      <c r="W148" s="2">
        <f>IF(V148&gt;0,-(V148+$B$151)*($L$6/'Loan Amortization'!$D$8),0)</f>
        <v>0</v>
      </c>
      <c r="X148" s="2">
        <f t="shared" si="15"/>
        <v>3</v>
      </c>
      <c r="Y148" s="2"/>
      <c r="Z148" s="480"/>
    </row>
    <row r="149" spans="2:26" x14ac:dyDescent="0.15">
      <c r="B149" s="202" t="s">
        <v>662</v>
      </c>
      <c r="C149" s="4">
        <v>4</v>
      </c>
      <c r="D149" s="2">
        <f t="shared" si="14"/>
        <v>0</v>
      </c>
      <c r="E149" s="2">
        <f>IF(D149&gt;0,-(D149+$B$151)*($L$6/'Loan Amortization'!$D$8),0)</f>
        <v>0</v>
      </c>
      <c r="F149" s="2">
        <f t="shared" si="14"/>
        <v>0</v>
      </c>
      <c r="G149" s="2">
        <f>IF(F149&gt;0,-(F149+$B$151)*($L$6/'Loan Amortization'!$D$8),0)</f>
        <v>0</v>
      </c>
      <c r="H149" s="2">
        <f t="shared" si="14"/>
        <v>0</v>
      </c>
      <c r="I149" s="2">
        <f>IF(H149&gt;0,-(H149+$B$151)*($L$6/'Loan Amortization'!$D$8),0)</f>
        <v>0</v>
      </c>
      <c r="J149" s="2">
        <f t="shared" si="14"/>
        <v>0</v>
      </c>
      <c r="K149" s="2">
        <f>IF(J149&gt;0,-(J149+$B$151)*($L$6/'Loan Amortization'!$D$8),0)</f>
        <v>0</v>
      </c>
      <c r="L149" s="2">
        <f t="shared" si="14"/>
        <v>0</v>
      </c>
      <c r="M149" s="2">
        <f>IF(L149&gt;0,-(L149+$B$151)*($L$6/'Loan Amortization'!$D$8),0)</f>
        <v>0</v>
      </c>
      <c r="N149" s="2">
        <f t="shared" si="14"/>
        <v>0</v>
      </c>
      <c r="O149" s="2">
        <f>IF(N149&gt;0,-(N149+$B$151)*($L$6/'Loan Amortization'!$D$8),0)</f>
        <v>0</v>
      </c>
      <c r="P149" s="2">
        <f t="shared" si="14"/>
        <v>0</v>
      </c>
      <c r="Q149" s="2">
        <f>IF(P149&gt;0,-(P149+$B$151)*($L$6/'Loan Amortization'!$D$8),0)</f>
        <v>0</v>
      </c>
      <c r="R149" s="2">
        <f t="shared" si="14"/>
        <v>0</v>
      </c>
      <c r="S149" s="2">
        <f>IF(R149&gt;0,-(R149+$B$151)*($L$6/'Loan Amortization'!$D$8),0)</f>
        <v>0</v>
      </c>
      <c r="T149" s="2">
        <f t="shared" si="14"/>
        <v>0</v>
      </c>
      <c r="U149" s="2">
        <f>IF(T149&gt;0,-(T149+$B$151)*($L$6/'Loan Amortization'!$D$8),0)</f>
        <v>0</v>
      </c>
      <c r="V149" s="2">
        <f t="shared" si="14"/>
        <v>0</v>
      </c>
      <c r="W149" s="2">
        <f>IF(V149&gt;0,-(V149+$B$151)*($L$6/'Loan Amortization'!$D$8),0)</f>
        <v>0</v>
      </c>
      <c r="X149" s="2">
        <f t="shared" si="15"/>
        <v>4</v>
      </c>
      <c r="Y149" s="2"/>
      <c r="Z149" s="480"/>
    </row>
    <row r="150" spans="2:26" x14ac:dyDescent="0.15">
      <c r="B150" s="521">
        <f>C11</f>
        <v>0</v>
      </c>
      <c r="C150" s="4">
        <v>5</v>
      </c>
      <c r="D150" s="2">
        <f t="shared" si="14"/>
        <v>0</v>
      </c>
      <c r="E150" s="2">
        <f>IF(D150&gt;0,-(D150+$B$151)*($L$6/'Loan Amortization'!$D$8),0)</f>
        <v>0</v>
      </c>
      <c r="F150" s="2">
        <f t="shared" si="14"/>
        <v>0</v>
      </c>
      <c r="G150" s="2">
        <f>IF(F150&gt;0,-(F150+$B$151)*($L$6/'Loan Amortization'!$D$8),0)</f>
        <v>0</v>
      </c>
      <c r="H150" s="2">
        <f t="shared" si="14"/>
        <v>0</v>
      </c>
      <c r="I150" s="2">
        <f>IF(H150&gt;0,-(H150+$B$151)*($L$6/'Loan Amortization'!$D$8),0)</f>
        <v>0</v>
      </c>
      <c r="J150" s="2">
        <f t="shared" si="14"/>
        <v>0</v>
      </c>
      <c r="K150" s="2">
        <f>IF(J150&gt;0,-(J150+$B$151)*($L$6/'Loan Amortization'!$D$8),0)</f>
        <v>0</v>
      </c>
      <c r="L150" s="2">
        <f t="shared" si="14"/>
        <v>0</v>
      </c>
      <c r="M150" s="2">
        <f>IF(L150&gt;0,-(L150+$B$151)*($L$6/'Loan Amortization'!$D$8),0)</f>
        <v>0</v>
      </c>
      <c r="N150" s="2">
        <f t="shared" si="14"/>
        <v>0</v>
      </c>
      <c r="O150" s="2">
        <f>IF(N150&gt;0,-(N150+$B$151)*($L$6/'Loan Amortization'!$D$8),0)</f>
        <v>0</v>
      </c>
      <c r="P150" s="2">
        <f t="shared" si="14"/>
        <v>0</v>
      </c>
      <c r="Q150" s="2">
        <f>IF(P150&gt;0,-(P150+$B$151)*($L$6/'Loan Amortization'!$D$8),0)</f>
        <v>0</v>
      </c>
      <c r="R150" s="2">
        <f t="shared" si="14"/>
        <v>0</v>
      </c>
      <c r="S150" s="2">
        <f>IF(R150&gt;0,-(R150+$B$151)*($L$6/'Loan Amortization'!$D$8),0)</f>
        <v>0</v>
      </c>
      <c r="T150" s="2">
        <f t="shared" si="14"/>
        <v>0</v>
      </c>
      <c r="U150" s="2">
        <f>IF(T150&gt;0,-(T150+$B$151)*($L$6/'Loan Amortization'!$D$8),0)</f>
        <v>0</v>
      </c>
      <c r="V150" s="2">
        <f t="shared" si="14"/>
        <v>0</v>
      </c>
      <c r="W150" s="2">
        <f>IF(V150&gt;0,-(V150+$B$151)*($L$6/'Loan Amortization'!$D$8),0)</f>
        <v>0</v>
      </c>
      <c r="X150" s="2">
        <f t="shared" si="15"/>
        <v>5</v>
      </c>
      <c r="Y150" s="2"/>
      <c r="Z150" s="480"/>
    </row>
    <row r="151" spans="2:26" x14ac:dyDescent="0.15">
      <c r="B151" s="521">
        <f>B150/($L$10*12)</f>
        <v>0</v>
      </c>
      <c r="C151" s="4">
        <v>6</v>
      </c>
      <c r="D151" s="2">
        <f t="shared" si="14"/>
        <v>0</v>
      </c>
      <c r="E151" s="2">
        <f>IF(D151&gt;0,-(D151+$B$151)*($E$11/'Loan Amortization'!$D$8),0)</f>
        <v>0</v>
      </c>
      <c r="F151" s="2">
        <f t="shared" si="14"/>
        <v>0</v>
      </c>
      <c r="G151" s="2">
        <f>IF(F151&gt;0,-(F151+$B$151)*($E$11/'Loan Amortization'!$D$8),0)</f>
        <v>0</v>
      </c>
      <c r="H151" s="2">
        <f t="shared" si="14"/>
        <v>0</v>
      </c>
      <c r="I151" s="2">
        <f>IF(H151&gt;0,-(H151+$B$151)*($E$11/'Loan Amortization'!$D$8),0)</f>
        <v>0</v>
      </c>
      <c r="J151" s="2">
        <f t="shared" si="14"/>
        <v>0</v>
      </c>
      <c r="K151" s="2">
        <f>IF(J151&gt;0,-(J151+$B$151)*($E$11/'Loan Amortization'!$D$8),0)</f>
        <v>0</v>
      </c>
      <c r="L151" s="2">
        <f t="shared" si="14"/>
        <v>0</v>
      </c>
      <c r="M151" s="2">
        <f>IF(L151&gt;0,-(L151+$B$151)*($E$11/'Loan Amortization'!$D$8),0)</f>
        <v>0</v>
      </c>
      <c r="N151" s="2">
        <f t="shared" si="14"/>
        <v>0</v>
      </c>
      <c r="O151" s="2">
        <f>IF(N151&gt;0,-(N151+$B$151)*($E$11/'Loan Amortization'!$D$8),0)</f>
        <v>0</v>
      </c>
      <c r="P151" s="2">
        <f t="shared" si="14"/>
        <v>0</v>
      </c>
      <c r="Q151" s="2">
        <f>IF(P151&gt;0,-(P151+$B$151)*($E$11/'Loan Amortization'!$D$8),0)</f>
        <v>0</v>
      </c>
      <c r="R151" s="2">
        <f t="shared" si="14"/>
        <v>0</v>
      </c>
      <c r="S151" s="2">
        <f>IF(R151&gt;0,-(R151+$B$151)*($E$11/'Loan Amortization'!$D$8),0)</f>
        <v>0</v>
      </c>
      <c r="T151" s="2">
        <f t="shared" si="14"/>
        <v>0</v>
      </c>
      <c r="U151" s="2">
        <f>IF(T151&gt;0,-(T151+$B$151)*($E$11/'Loan Amortization'!$D$8),0)</f>
        <v>0</v>
      </c>
      <c r="V151" s="2">
        <f t="shared" si="14"/>
        <v>0</v>
      </c>
      <c r="W151" s="2">
        <f>IF(V151&gt;0,-(V151+$B$151)*($E$11/'Loan Amortization'!$D$8),0)</f>
        <v>0</v>
      </c>
      <c r="X151" s="2">
        <f t="shared" si="15"/>
        <v>6</v>
      </c>
      <c r="Y151" s="2"/>
      <c r="Z151" s="480"/>
    </row>
    <row r="152" spans="2:26" x14ac:dyDescent="0.15">
      <c r="B152" s="202"/>
      <c r="C152" s="4">
        <v>7</v>
      </c>
      <c r="D152" s="2">
        <f t="shared" si="14"/>
        <v>0</v>
      </c>
      <c r="E152" s="2">
        <f>IF(D152&gt;0,-(D152+$B$151)*($L$6/'Loan Amortization'!$D$8),0)</f>
        <v>0</v>
      </c>
      <c r="F152" s="2">
        <f t="shared" si="14"/>
        <v>0</v>
      </c>
      <c r="G152" s="2">
        <f>IF(F152&gt;0,-(F152+$B$151)*($L$6/'Loan Amortization'!$D$8),0)</f>
        <v>0</v>
      </c>
      <c r="H152" s="2">
        <f t="shared" si="14"/>
        <v>0</v>
      </c>
      <c r="I152" s="2">
        <f>IF(H152&gt;0,-(H152+$B$151)*($L$6/'Loan Amortization'!$D$8),0)</f>
        <v>0</v>
      </c>
      <c r="J152" s="2">
        <f t="shared" si="14"/>
        <v>0</v>
      </c>
      <c r="K152" s="2">
        <f>IF(J152&gt;0,-(J152+$B$151)*($L$6/'Loan Amortization'!$D$8),0)</f>
        <v>0</v>
      </c>
      <c r="L152" s="2">
        <f t="shared" si="14"/>
        <v>0</v>
      </c>
      <c r="M152" s="2">
        <f>IF(L152&gt;0,-(L152+$B$151)*($L$6/'Loan Amortization'!$D$8),0)</f>
        <v>0</v>
      </c>
      <c r="N152" s="2">
        <f t="shared" si="14"/>
        <v>0</v>
      </c>
      <c r="O152" s="2">
        <f>IF(N152&gt;0,-(N152+$B$151)*($L$6/'Loan Amortization'!$D$8),0)</f>
        <v>0</v>
      </c>
      <c r="P152" s="2">
        <f t="shared" si="14"/>
        <v>0</v>
      </c>
      <c r="Q152" s="2">
        <f>IF(P152&gt;0,-(P152+$B$151)*($L$6/'Loan Amortization'!$D$8),0)</f>
        <v>0</v>
      </c>
      <c r="R152" s="2">
        <f t="shared" si="14"/>
        <v>0</v>
      </c>
      <c r="S152" s="2">
        <f>IF(R152&gt;0,-(R152+$B$151)*($L$6/'Loan Amortization'!$D$8),0)</f>
        <v>0</v>
      </c>
      <c r="T152" s="2">
        <f t="shared" si="14"/>
        <v>0</v>
      </c>
      <c r="U152" s="2">
        <f>IF(T152&gt;0,-(T152+$B$151)*($L$6/'Loan Amortization'!$D$8),0)</f>
        <v>0</v>
      </c>
      <c r="V152" s="2">
        <f t="shared" si="14"/>
        <v>0</v>
      </c>
      <c r="W152" s="2">
        <f>IF(V152&gt;0,-(V152+$B$151)*($L$6/'Loan Amortization'!$D$8),0)</f>
        <v>0</v>
      </c>
      <c r="X152" s="2">
        <f t="shared" si="15"/>
        <v>7</v>
      </c>
      <c r="Y152" s="2"/>
      <c r="Z152" s="480"/>
    </row>
    <row r="153" spans="2:26" x14ac:dyDescent="0.15">
      <c r="B153" s="202"/>
      <c r="C153" s="4">
        <v>8</v>
      </c>
      <c r="D153" s="2">
        <f t="shared" si="14"/>
        <v>0</v>
      </c>
      <c r="E153" s="2">
        <f>IF(D153&gt;0,-(D153+$B$151)*($L$6/'Loan Amortization'!$D$8),0)</f>
        <v>0</v>
      </c>
      <c r="F153" s="2">
        <f t="shared" si="14"/>
        <v>0</v>
      </c>
      <c r="G153" s="2">
        <f>IF(F153&gt;0,-(F153+$B$151)*($L$6/'Loan Amortization'!$D$8),0)</f>
        <v>0</v>
      </c>
      <c r="H153" s="2">
        <f t="shared" si="14"/>
        <v>0</v>
      </c>
      <c r="I153" s="2">
        <f>IF(H153&gt;0,-(H153+$B$151)*($L$6/'Loan Amortization'!$D$8),0)</f>
        <v>0</v>
      </c>
      <c r="J153" s="2">
        <f t="shared" si="14"/>
        <v>0</v>
      </c>
      <c r="K153" s="2">
        <f>IF(J153&gt;0,-(J153+$B$151)*($L$6/'Loan Amortization'!$D$8),0)</f>
        <v>0</v>
      </c>
      <c r="L153" s="2">
        <f t="shared" si="14"/>
        <v>0</v>
      </c>
      <c r="M153" s="2">
        <f>IF(L153&gt;0,-(L153+$B$151)*($L$6/'Loan Amortization'!$D$8),0)</f>
        <v>0</v>
      </c>
      <c r="N153" s="2">
        <f t="shared" si="14"/>
        <v>0</v>
      </c>
      <c r="O153" s="2">
        <f>IF(N153&gt;0,-(N153+$B$151)*($L$6/'Loan Amortization'!$D$8),0)</f>
        <v>0</v>
      </c>
      <c r="P153" s="2">
        <f t="shared" si="14"/>
        <v>0</v>
      </c>
      <c r="Q153" s="2">
        <f>IF(P153&gt;0,-(P153+$B$151)*($L$6/'Loan Amortization'!$D$8),0)</f>
        <v>0</v>
      </c>
      <c r="R153" s="2">
        <f t="shared" si="14"/>
        <v>0</v>
      </c>
      <c r="S153" s="2">
        <f>IF(R153&gt;0,-(R153+$B$151)*($L$6/'Loan Amortization'!$D$8),0)</f>
        <v>0</v>
      </c>
      <c r="T153" s="2">
        <f t="shared" si="14"/>
        <v>0</v>
      </c>
      <c r="U153" s="2">
        <f>IF(T153&gt;0,-(T153+$B$151)*($L$6/'Loan Amortization'!$D$8),0)</f>
        <v>0</v>
      </c>
      <c r="V153" s="2">
        <f t="shared" si="14"/>
        <v>0</v>
      </c>
      <c r="W153" s="2">
        <f>IF(V153&gt;0,-(V153+$B$151)*($L$6/'Loan Amortization'!$D$8),0)</f>
        <v>0</v>
      </c>
      <c r="X153" s="2">
        <f t="shared" si="15"/>
        <v>8</v>
      </c>
      <c r="Y153" s="2"/>
      <c r="Z153" s="480"/>
    </row>
    <row r="154" spans="2:26" x14ac:dyDescent="0.15">
      <c r="B154" s="202"/>
      <c r="C154" s="4">
        <v>9</v>
      </c>
      <c r="D154" s="2">
        <f t="shared" si="14"/>
        <v>0</v>
      </c>
      <c r="E154" s="2">
        <f>IF(D154&gt;0,-(D154+$B$151)*($L$6/'Loan Amortization'!$D$8),0)</f>
        <v>0</v>
      </c>
      <c r="F154" s="2">
        <f t="shared" si="14"/>
        <v>0</v>
      </c>
      <c r="G154" s="2">
        <f>IF(F154&gt;0,-(F154+$B$151)*($L$6/'Loan Amortization'!$D$8),0)</f>
        <v>0</v>
      </c>
      <c r="H154" s="2">
        <f t="shared" si="14"/>
        <v>0</v>
      </c>
      <c r="I154" s="2">
        <f>IF(H154&gt;0,-(H154+$B$151)*($L$6/'Loan Amortization'!$D$8),0)</f>
        <v>0</v>
      </c>
      <c r="J154" s="2">
        <f t="shared" si="14"/>
        <v>0</v>
      </c>
      <c r="K154" s="2">
        <f>IF(J154&gt;0,-(J154+$B$151)*($L$6/'Loan Amortization'!$D$8),0)</f>
        <v>0</v>
      </c>
      <c r="L154" s="2">
        <f t="shared" si="14"/>
        <v>0</v>
      </c>
      <c r="M154" s="2">
        <f>IF(L154&gt;0,-(L154+$B$151)*($L$6/'Loan Amortization'!$D$8),0)</f>
        <v>0</v>
      </c>
      <c r="N154" s="2">
        <f t="shared" si="14"/>
        <v>0</v>
      </c>
      <c r="O154" s="2">
        <f>IF(N154&gt;0,-(N154+$B$151)*($L$6/'Loan Amortization'!$D$8),0)</f>
        <v>0</v>
      </c>
      <c r="P154" s="2">
        <f t="shared" si="14"/>
        <v>0</v>
      </c>
      <c r="Q154" s="2">
        <f>IF(P154&gt;0,-(P154+$B$151)*($L$6/'Loan Amortization'!$D$8),0)</f>
        <v>0</v>
      </c>
      <c r="R154" s="2">
        <f t="shared" si="14"/>
        <v>0</v>
      </c>
      <c r="S154" s="2">
        <f>IF(R154&gt;0,-(R154+$B$151)*($L$6/'Loan Amortization'!$D$8),0)</f>
        <v>0</v>
      </c>
      <c r="T154" s="2">
        <f t="shared" si="14"/>
        <v>0</v>
      </c>
      <c r="U154" s="2">
        <f>IF(T154&gt;0,-(T154+$B$151)*($L$6/'Loan Amortization'!$D$8),0)</f>
        <v>0</v>
      </c>
      <c r="V154" s="2">
        <f t="shared" si="14"/>
        <v>0</v>
      </c>
      <c r="W154" s="2">
        <f>IF(V154&gt;0,-(V154+$B$151)*($L$6/'Loan Amortization'!$D$8),0)</f>
        <v>0</v>
      </c>
      <c r="X154" s="2">
        <f t="shared" si="15"/>
        <v>9</v>
      </c>
      <c r="Y154" s="2"/>
      <c r="Z154" s="480"/>
    </row>
    <row r="155" spans="2:26" x14ac:dyDescent="0.15">
      <c r="B155" s="202"/>
      <c r="C155" s="4">
        <v>10</v>
      </c>
      <c r="D155" s="2">
        <f t="shared" si="14"/>
        <v>0</v>
      </c>
      <c r="E155" s="2">
        <f>IF(D155&gt;0,-(D155+$B$151)*($L$6/'Loan Amortization'!$D$8),0)</f>
        <v>0</v>
      </c>
      <c r="F155" s="2">
        <f t="shared" si="14"/>
        <v>0</v>
      </c>
      <c r="G155" s="2">
        <f>IF(F155&gt;0,-(F155+$B$151)*($L$6/'Loan Amortization'!$D$8),0)</f>
        <v>0</v>
      </c>
      <c r="H155" s="2">
        <f t="shared" si="14"/>
        <v>0</v>
      </c>
      <c r="I155" s="2">
        <f>IF(H155&gt;0,-(H155+$B$151)*($L$6/'Loan Amortization'!$D$8),0)</f>
        <v>0</v>
      </c>
      <c r="J155" s="2">
        <f t="shared" si="14"/>
        <v>0</v>
      </c>
      <c r="K155" s="2">
        <f>IF(J155&gt;0,-(J155+$B$151)*($L$6/'Loan Amortization'!$D$8),0)</f>
        <v>0</v>
      </c>
      <c r="L155" s="2">
        <f t="shared" si="14"/>
        <v>0</v>
      </c>
      <c r="M155" s="2">
        <f>IF(L155&gt;0,-(L155+$B$151)*($L$6/'Loan Amortization'!$D$8),0)</f>
        <v>0</v>
      </c>
      <c r="N155" s="2">
        <f t="shared" si="14"/>
        <v>0</v>
      </c>
      <c r="O155" s="2">
        <f>IF(N155&gt;0,-(N155+$B$151)*($L$6/'Loan Amortization'!$D$8),0)</f>
        <v>0</v>
      </c>
      <c r="P155" s="2">
        <f t="shared" si="14"/>
        <v>0</v>
      </c>
      <c r="Q155" s="2">
        <f>IF(P155&gt;0,-(P155+$B$151)*($L$6/'Loan Amortization'!$D$8),0)</f>
        <v>0</v>
      </c>
      <c r="R155" s="2">
        <f t="shared" si="14"/>
        <v>0</v>
      </c>
      <c r="S155" s="2">
        <f>IF(R155&gt;0,-(R155+$B$151)*($L$6/'Loan Amortization'!$D$8),0)</f>
        <v>0</v>
      </c>
      <c r="T155" s="2">
        <f t="shared" si="14"/>
        <v>0</v>
      </c>
      <c r="U155" s="2">
        <f>IF(T155&gt;0,-(T155+$B$151)*($L$6/'Loan Amortization'!$D$8),0)</f>
        <v>0</v>
      </c>
      <c r="V155" s="2">
        <f t="shared" si="14"/>
        <v>0</v>
      </c>
      <c r="W155" s="2">
        <f>IF(V155&gt;0,-(V155+$B$151)*($L$6/'Loan Amortization'!$D$8),0)</f>
        <v>0</v>
      </c>
      <c r="X155" s="2">
        <f t="shared" si="15"/>
        <v>10</v>
      </c>
      <c r="Y155" s="2"/>
      <c r="Z155" s="480"/>
    </row>
    <row r="156" spans="2:26" x14ac:dyDescent="0.15">
      <c r="B156" s="202"/>
      <c r="C156" s="4">
        <v>11</v>
      </c>
      <c r="D156" s="2">
        <f t="shared" si="14"/>
        <v>0</v>
      </c>
      <c r="E156" s="2">
        <f>IF(D156&gt;0,-(D156+$B$151)*($E$11/'Loan Amortization'!$D$8),0)</f>
        <v>0</v>
      </c>
      <c r="F156" s="2">
        <f t="shared" si="14"/>
        <v>0</v>
      </c>
      <c r="G156" s="2">
        <f>IF(F156&gt;0,-(F156+$B$151)*($E$11/'Loan Amortization'!$D$8),0)</f>
        <v>0</v>
      </c>
      <c r="H156" s="2">
        <f t="shared" si="14"/>
        <v>0</v>
      </c>
      <c r="I156" s="2">
        <f>IF(H156&gt;0,-(H156+$B$151)*($E$11/'Loan Amortization'!$D$8),0)</f>
        <v>0</v>
      </c>
      <c r="J156" s="2">
        <f t="shared" si="14"/>
        <v>0</v>
      </c>
      <c r="K156" s="2">
        <f>IF(J156&gt;0,-(J156+$B$151)*($E$11/'Loan Amortization'!$D$8),0)</f>
        <v>0</v>
      </c>
      <c r="L156" s="2">
        <f t="shared" si="14"/>
        <v>0</v>
      </c>
      <c r="M156" s="2">
        <f>IF(L156&gt;0,-(L156+$B$151)*($E$11/'Loan Amortization'!$D$8),0)</f>
        <v>0</v>
      </c>
      <c r="N156" s="2">
        <f t="shared" si="14"/>
        <v>0</v>
      </c>
      <c r="O156" s="2">
        <f>IF(N156&gt;0,-(N156+$B$151)*($E$11/'Loan Amortization'!$D$8),0)</f>
        <v>0</v>
      </c>
      <c r="P156" s="2">
        <f t="shared" si="14"/>
        <v>0</v>
      </c>
      <c r="Q156" s="2">
        <f>IF(P156&gt;0,-(P156+$B$151)*($E$11/'Loan Amortization'!$D$8),0)</f>
        <v>0</v>
      </c>
      <c r="R156" s="2">
        <f t="shared" si="14"/>
        <v>0</v>
      </c>
      <c r="S156" s="2">
        <f>IF(R156&gt;0,-(R156+$B$151)*($E$11/'Loan Amortization'!$D$8),0)</f>
        <v>0</v>
      </c>
      <c r="T156" s="2">
        <f t="shared" si="14"/>
        <v>0</v>
      </c>
      <c r="U156" s="2">
        <f>IF(T156&gt;0,-(T156+$B$151)*($E$11/'Loan Amortization'!$D$8),0)</f>
        <v>0</v>
      </c>
      <c r="V156" s="2">
        <f t="shared" si="14"/>
        <v>0</v>
      </c>
      <c r="W156" s="2">
        <f>IF(V156&gt;0,-(V156+$B$151)*($E$11/'Loan Amortization'!$D$8),0)</f>
        <v>0</v>
      </c>
      <c r="X156" s="2">
        <f t="shared" si="15"/>
        <v>11</v>
      </c>
      <c r="Y156" s="2"/>
      <c r="Z156" s="480"/>
    </row>
    <row r="157" spans="2:26" ht="14" thickBot="1" x14ac:dyDescent="0.2">
      <c r="B157" s="202"/>
      <c r="C157" s="4">
        <v>12</v>
      </c>
      <c r="D157" s="2">
        <f t="shared" si="14"/>
        <v>0</v>
      </c>
      <c r="E157" s="2">
        <f>IF(D157&gt;0,-(D157+$B$151)*($L$6/'Loan Amortization'!$D$8),0)</f>
        <v>0</v>
      </c>
      <c r="F157" s="2">
        <f t="shared" si="14"/>
        <v>0</v>
      </c>
      <c r="G157" s="2">
        <f>IF(F157&gt;0,-(F157+$B$151)*($L$6/'Loan Amortization'!$D$8),0)</f>
        <v>0</v>
      </c>
      <c r="H157" s="2">
        <f t="shared" si="14"/>
        <v>0</v>
      </c>
      <c r="I157" s="2">
        <f>IF(H157&gt;0,-(H157+$B$151)*($L$6/'Loan Amortization'!$D$8),0)</f>
        <v>0</v>
      </c>
      <c r="J157" s="2">
        <f t="shared" si="14"/>
        <v>0</v>
      </c>
      <c r="K157" s="2">
        <f>IF(J157&gt;0,-(J157+$B$151)*($L$6/'Loan Amortization'!$D$8),0)</f>
        <v>0</v>
      </c>
      <c r="L157" s="2">
        <f t="shared" si="14"/>
        <v>0</v>
      </c>
      <c r="M157" s="2">
        <f>IF(L157&gt;0,-(L157+$B$151)*($L$6/'Loan Amortization'!$D$8),0)</f>
        <v>0</v>
      </c>
      <c r="N157" s="2">
        <f t="shared" si="14"/>
        <v>0</v>
      </c>
      <c r="O157" s="2">
        <f>IF(N157&gt;0,-(N157+$B$151)*($L$6/'Loan Amortization'!$D$8),0)</f>
        <v>0</v>
      </c>
      <c r="P157" s="2">
        <f t="shared" si="14"/>
        <v>0</v>
      </c>
      <c r="Q157" s="2">
        <f>IF(P157&gt;0,-(P157+$B$151)*($L$6/'Loan Amortization'!$D$8),0)</f>
        <v>0</v>
      </c>
      <c r="R157" s="2">
        <f t="shared" si="14"/>
        <v>0</v>
      </c>
      <c r="S157" s="2">
        <f>IF(R157&gt;0,-(R157+$B$151)*($L$6/'Loan Amortization'!$D$8),0)</f>
        <v>0</v>
      </c>
      <c r="T157" s="2">
        <f t="shared" si="14"/>
        <v>0</v>
      </c>
      <c r="U157" s="2">
        <f>IF(T157&gt;0,-(T157+$B$151)*($L$6/'Loan Amortization'!$D$8),0)</f>
        <v>0</v>
      </c>
      <c r="V157" s="2">
        <f t="shared" si="14"/>
        <v>0</v>
      </c>
      <c r="W157" s="2">
        <f>IF(V157&gt;0,-(V157+$B$151)*($L$6/'Loan Amortization'!$D$8),0)</f>
        <v>0</v>
      </c>
      <c r="X157" s="2">
        <f t="shared" si="15"/>
        <v>12</v>
      </c>
      <c r="Y157" s="2"/>
      <c r="Z157" s="480"/>
    </row>
    <row r="158" spans="2:26" ht="14" thickBot="1" x14ac:dyDescent="0.2">
      <c r="B158" s="541" t="s">
        <v>45</v>
      </c>
      <c r="C158" s="502" t="s">
        <v>663</v>
      </c>
      <c r="D158" s="503">
        <f>'Level Prin Paymt Fin Sens Calc'!D$138</f>
        <v>0</v>
      </c>
      <c r="E158" s="503">
        <f>'Level Prin Paymt Fin Sens Calc'!E$138</f>
        <v>0</v>
      </c>
      <c r="F158" s="503">
        <f>'Level Prin Paymt Fin Sens Calc'!F$138</f>
        <v>0</v>
      </c>
      <c r="G158" s="503">
        <f>'Level Prin Paymt Fin Sens Calc'!G$138</f>
        <v>0</v>
      </c>
      <c r="H158" s="503">
        <f>'Level Prin Paymt Fin Sens Calc'!H$138</f>
        <v>0</v>
      </c>
      <c r="I158" s="503">
        <f>'Level Prin Paymt Fin Sens Calc'!I$138</f>
        <v>0</v>
      </c>
      <c r="J158" s="503">
        <f>'Level Prin Paymt Fin Sens Calc'!J$138</f>
        <v>0</v>
      </c>
      <c r="K158" s="503">
        <f>'Level Prin Paymt Fin Sens Calc'!K$138</f>
        <v>0</v>
      </c>
      <c r="L158" s="503">
        <f>'Level Prin Paymt Fin Sens Calc'!L$138</f>
        <v>0</v>
      </c>
      <c r="M158" s="503">
        <f>'Level Prin Paymt Fin Sens Calc'!M$138</f>
        <v>0</v>
      </c>
      <c r="N158" s="503">
        <f>'Level Prin Paymt Fin Sens Calc'!N$138</f>
        <v>0</v>
      </c>
      <c r="O158" s="503">
        <f>'Level Prin Paymt Fin Sens Calc'!O$138</f>
        <v>0</v>
      </c>
      <c r="P158" s="503">
        <f>'Level Prin Paymt Fin Sens Calc'!P$138</f>
        <v>0</v>
      </c>
      <c r="Q158" s="503">
        <f>'Level Prin Paymt Fin Sens Calc'!Q$138</f>
        <v>0</v>
      </c>
      <c r="R158" s="503">
        <f>'Level Prin Paymt Fin Sens Calc'!R$138</f>
        <v>0</v>
      </c>
      <c r="S158" s="503">
        <f>'Level Prin Paymt Fin Sens Calc'!S$138</f>
        <v>0</v>
      </c>
      <c r="T158" s="503">
        <f>'Level Prin Paymt Fin Sens Calc'!T$138</f>
        <v>0</v>
      </c>
      <c r="U158" s="503">
        <f>'Level Prin Paymt Fin Sens Calc'!U$138</f>
        <v>0</v>
      </c>
      <c r="V158" s="503">
        <f>'Level Prin Paymt Fin Sens Calc'!V$138</f>
        <v>0</v>
      </c>
      <c r="W158" s="503">
        <f>'Level Prin Paymt Fin Sens Calc'!W$138</f>
        <v>0</v>
      </c>
      <c r="X158" s="504">
        <f t="shared" si="15"/>
        <v>0</v>
      </c>
      <c r="Y158" s="501"/>
      <c r="Z158" s="480"/>
    </row>
    <row r="159" spans="2:26" ht="14" thickBot="1" x14ac:dyDescent="0.2">
      <c r="B159" s="478"/>
      <c r="C159" s="520" t="s">
        <v>273</v>
      </c>
      <c r="D159" s="522"/>
      <c r="E159" s="522">
        <f>IF(D145&gt;$L$10,0,IPMT($E$11,D145,$L$10,$B$234))</f>
        <v>0</v>
      </c>
      <c r="F159" s="522"/>
      <c r="G159" s="522">
        <f>IF(F145&gt;$L$10,0,IPMT($E$11,F145,$L$10,$B$234))</f>
        <v>0</v>
      </c>
      <c r="H159" s="522"/>
      <c r="I159" s="522">
        <f>IF(H145&gt;$L$10,0,IPMT($E$11,H145,$L$10,$B$234))</f>
        <v>0</v>
      </c>
      <c r="J159" s="522"/>
      <c r="K159" s="522">
        <f>IF(J145&gt;$L$10,0,IPMT($E$11,J145,$L$10,$B$234))</f>
        <v>0</v>
      </c>
      <c r="L159" s="522"/>
      <c r="M159" s="522">
        <f>IF(L145&gt;$L$10,0,IPMT($E$11,L145,$L$10,$B$234))</f>
        <v>0</v>
      </c>
      <c r="N159" s="522"/>
      <c r="O159" s="522">
        <f>IF(N145&gt;$L$10,0,IPMT($E$11,N145,$L$10,$B$234))</f>
        <v>0</v>
      </c>
      <c r="P159" s="522"/>
      <c r="Q159" s="522">
        <f>IF(P145&gt;$L$10,0,IPMT($E$11,P145,$L$10,$B$234))</f>
        <v>0</v>
      </c>
      <c r="R159" s="522"/>
      <c r="S159" s="522">
        <f>IF(R145&gt;$L$10,0,IPMT($E$11,R145,$L$10,$B$234))</f>
        <v>0</v>
      </c>
      <c r="T159" s="522"/>
      <c r="U159" s="522">
        <f>IF(T145&gt;$L$10,0,IPMT($E$11,T145,$L$10,$B$234))</f>
        <v>0</v>
      </c>
      <c r="V159" s="522"/>
      <c r="W159" s="522">
        <f>IF(V145&gt;$L$10,0,IPMT($E$11,V145,$L$10,$B$234))</f>
        <v>0</v>
      </c>
      <c r="X159" s="504">
        <f t="shared" si="15"/>
        <v>0</v>
      </c>
      <c r="Y159" s="548"/>
      <c r="Z159" s="482"/>
    </row>
    <row r="160" spans="2:26" ht="14" thickBot="1" x14ac:dyDescent="0.2">
      <c r="B160" s="8"/>
      <c r="C160" s="502" t="s">
        <v>664</v>
      </c>
      <c r="D160" s="558">
        <f>D145</f>
        <v>1</v>
      </c>
      <c r="E160" s="559">
        <f>F145</f>
        <v>2</v>
      </c>
      <c r="F160" s="559">
        <f>H145</f>
        <v>3</v>
      </c>
      <c r="G160" s="559">
        <f>J145</f>
        <v>4</v>
      </c>
      <c r="H160" s="559">
        <f>L145</f>
        <v>5</v>
      </c>
      <c r="I160" s="559">
        <f>N145</f>
        <v>6</v>
      </c>
      <c r="J160" s="559">
        <f>P145</f>
        <v>7</v>
      </c>
      <c r="K160" s="559">
        <f>R145</f>
        <v>8</v>
      </c>
      <c r="L160" s="559">
        <f>T145</f>
        <v>9</v>
      </c>
      <c r="M160" s="559">
        <f>V145</f>
        <v>10</v>
      </c>
      <c r="N160" s="560" t="str">
        <f>X145</f>
        <v>TOTAL</v>
      </c>
      <c r="O160" s="2"/>
      <c r="P160" s="2"/>
      <c r="Q160" s="2"/>
      <c r="R160" s="2"/>
      <c r="S160" s="2"/>
      <c r="T160" s="2"/>
      <c r="U160" s="2"/>
      <c r="V160" s="2"/>
      <c r="W160" s="2"/>
      <c r="X160" s="2"/>
      <c r="Y160" s="2"/>
    </row>
    <row r="161" spans="2:26" ht="14" thickBot="1" x14ac:dyDescent="0.2">
      <c r="B161" s="8"/>
      <c r="C161" s="502" t="s">
        <v>663</v>
      </c>
      <c r="D161" s="561">
        <f>D158</f>
        <v>0</v>
      </c>
      <c r="E161" s="2">
        <f>F158</f>
        <v>0</v>
      </c>
      <c r="F161" s="2">
        <f>H158</f>
        <v>0</v>
      </c>
      <c r="G161" s="2">
        <f>J158</f>
        <v>0</v>
      </c>
      <c r="H161" s="2">
        <f>L158</f>
        <v>0</v>
      </c>
      <c r="I161" s="2">
        <f>N158</f>
        <v>0</v>
      </c>
      <c r="J161" s="2">
        <f>P158</f>
        <v>0</v>
      </c>
      <c r="K161" s="2">
        <f>R158</f>
        <v>0</v>
      </c>
      <c r="L161" s="2">
        <f>T158</f>
        <v>0</v>
      </c>
      <c r="M161" s="2">
        <f>V158</f>
        <v>0</v>
      </c>
      <c r="N161" s="501">
        <f>X158</f>
        <v>0</v>
      </c>
      <c r="O161" s="2"/>
      <c r="P161" s="2"/>
      <c r="Q161" s="2"/>
      <c r="R161" s="2"/>
      <c r="S161" s="2"/>
      <c r="T161" s="2"/>
      <c r="U161" s="2"/>
      <c r="V161" s="2"/>
      <c r="W161" s="2"/>
      <c r="X161" s="2"/>
      <c r="Y161" s="2"/>
    </row>
    <row r="162" spans="2:26" ht="14" thickBot="1" x14ac:dyDescent="0.2">
      <c r="B162" s="8"/>
      <c r="C162" s="520" t="s">
        <v>273</v>
      </c>
      <c r="D162" s="562">
        <f>E159</f>
        <v>0</v>
      </c>
      <c r="E162" s="522">
        <f>G159</f>
        <v>0</v>
      </c>
      <c r="F162" s="522">
        <f>I159</f>
        <v>0</v>
      </c>
      <c r="G162" s="522">
        <f>K159</f>
        <v>0</v>
      </c>
      <c r="H162" s="522">
        <f>M159</f>
        <v>0</v>
      </c>
      <c r="I162" s="522">
        <f>O159</f>
        <v>0</v>
      </c>
      <c r="J162" s="522">
        <f>Q159</f>
        <v>0</v>
      </c>
      <c r="K162" s="522">
        <f>S159</f>
        <v>0</v>
      </c>
      <c r="L162" s="522">
        <f>U159</f>
        <v>0</v>
      </c>
      <c r="M162" s="522">
        <f>W159</f>
        <v>0</v>
      </c>
      <c r="N162" s="548">
        <f>X159</f>
        <v>0</v>
      </c>
      <c r="O162" s="2"/>
      <c r="P162" s="2"/>
      <c r="Q162" s="2"/>
      <c r="R162" s="2"/>
      <c r="S162" s="2"/>
      <c r="T162" s="2"/>
      <c r="U162" s="2"/>
      <c r="V162" s="2"/>
      <c r="W162" s="2"/>
      <c r="X162" s="2"/>
      <c r="Y162" s="2"/>
    </row>
    <row r="164" spans="2:26" ht="14" thickBot="1" x14ac:dyDescent="0.2"/>
    <row r="165" spans="2:26" ht="14" thickBot="1" x14ac:dyDescent="0.2">
      <c r="B165" s="495" t="s">
        <v>419</v>
      </c>
      <c r="C165" s="178"/>
      <c r="D165" s="483" t="s">
        <v>133</v>
      </c>
      <c r="E165" s="483"/>
      <c r="F165" s="483" t="s">
        <v>133</v>
      </c>
      <c r="G165" s="483"/>
      <c r="H165" s="483" t="s">
        <v>133</v>
      </c>
      <c r="I165" s="483"/>
      <c r="J165" s="483" t="s">
        <v>133</v>
      </c>
      <c r="K165" s="483"/>
      <c r="L165" s="483" t="s">
        <v>133</v>
      </c>
      <c r="M165" s="483"/>
      <c r="N165" s="483" t="s">
        <v>133</v>
      </c>
      <c r="O165" s="483"/>
      <c r="P165" s="483" t="s">
        <v>133</v>
      </c>
      <c r="Q165" s="483"/>
      <c r="R165" s="483" t="s">
        <v>133</v>
      </c>
      <c r="S165" s="483"/>
      <c r="T165" s="483" t="s">
        <v>133</v>
      </c>
      <c r="U165" s="483"/>
      <c r="V165" s="483" t="s">
        <v>133</v>
      </c>
      <c r="W165" s="483"/>
      <c r="X165" s="178"/>
      <c r="Y165" s="178"/>
      <c r="Z165" s="499" t="str">
        <f>B165</f>
        <v>+10%</v>
      </c>
    </row>
    <row r="166" spans="2:26" x14ac:dyDescent="0.15">
      <c r="B166" s="426"/>
      <c r="C166" s="4" t="s">
        <v>660</v>
      </c>
      <c r="D166" s="4">
        <v>1</v>
      </c>
      <c r="E166" s="4"/>
      <c r="F166" s="4">
        <f>D166+1</f>
        <v>2</v>
      </c>
      <c r="G166" s="4"/>
      <c r="H166" s="4">
        <f>F166+1</f>
        <v>3</v>
      </c>
      <c r="I166" s="4"/>
      <c r="J166" s="4">
        <f>H166+1</f>
        <v>4</v>
      </c>
      <c r="K166" s="4"/>
      <c r="L166" s="4">
        <f>J166+1</f>
        <v>5</v>
      </c>
      <c r="M166" s="4"/>
      <c r="N166" s="4">
        <f>L166+1</f>
        <v>6</v>
      </c>
      <c r="O166" s="4"/>
      <c r="P166" s="4">
        <f>N166+1</f>
        <v>7</v>
      </c>
      <c r="Q166" s="4"/>
      <c r="R166" s="4">
        <f>P166+1</f>
        <v>8</v>
      </c>
      <c r="S166" s="4"/>
      <c r="T166" s="4">
        <f>R166+1</f>
        <v>9</v>
      </c>
      <c r="U166" s="4"/>
      <c r="V166" s="4">
        <f>T166+1</f>
        <v>10</v>
      </c>
      <c r="W166" s="4"/>
      <c r="X166" s="4" t="s">
        <v>285</v>
      </c>
      <c r="Y166" s="4"/>
      <c r="Z166" s="480"/>
    </row>
    <row r="167" spans="2:26" x14ac:dyDescent="0.15">
      <c r="B167" s="202" t="s">
        <v>661</v>
      </c>
      <c r="C167" s="4">
        <v>1</v>
      </c>
      <c r="D167" s="2">
        <f>IF(D$19&lt;($L$10+1),$B$171-((((D$19-1)*12)+$C167)*$B$172),0)</f>
        <v>0</v>
      </c>
      <c r="E167" s="2">
        <f>IF(D167&gt;0,-(D167+$B$172)*($E$12/'Loan Amortization'!$D$8),0)</f>
        <v>0</v>
      </c>
      <c r="F167" s="2">
        <f>IF(F$19&lt;($L$10+1),$B$171-((((F$19-1)*12)+$C167)*$B$172),0)</f>
        <v>0</v>
      </c>
      <c r="G167" s="2">
        <f>IF(F167&gt;0,-(F167+$B$172)*($E$12/'Loan Amortization'!$D$8),0)</f>
        <v>0</v>
      </c>
      <c r="H167" s="2">
        <f>IF(H$19&lt;($L$10+1),$B$171-((((H$19-1)*12)+$C167)*$B$172),0)</f>
        <v>0</v>
      </c>
      <c r="I167" s="2">
        <f>IF(H167&gt;0,-(H167+$B$172)*($E$12/'Loan Amortization'!$D$8),0)</f>
        <v>0</v>
      </c>
      <c r="J167" s="2">
        <f>IF(J$19&lt;($L$10+1),$B$171-((((J$19-1)*12)+$C167)*$B$172),0)</f>
        <v>0</v>
      </c>
      <c r="K167" s="2">
        <f>IF(J167&gt;0,-(J167+$B$172)*($E$12/'Loan Amortization'!$D$8),0)</f>
        <v>0</v>
      </c>
      <c r="L167" s="2">
        <f>IF(L$19&lt;($L$10+1),$B$171-((((L$19-1)*12)+$C167)*$B$172),0)</f>
        <v>0</v>
      </c>
      <c r="M167" s="2">
        <f>IF(L167&gt;0,-(L167+$B$172)*($E$12/'Loan Amortization'!$D$8),0)</f>
        <v>0</v>
      </c>
      <c r="N167" s="2">
        <f>IF(N$19&lt;($L$10+1),$B$171-((((N$19-1)*12)+$C167)*$B$172),0)</f>
        <v>0</v>
      </c>
      <c r="O167" s="2">
        <f>IF(N167&gt;0,-(N167+$B$172)*($E$12/'Loan Amortization'!$D$8),0)</f>
        <v>0</v>
      </c>
      <c r="P167" s="2">
        <f>IF(P$19&lt;($L$10+1),$B$171-((((P$19-1)*12)+$C167)*$B$172),0)</f>
        <v>0</v>
      </c>
      <c r="Q167" s="2">
        <f>IF(P167&gt;0,-(P167+$B$172)*($E$12/'Loan Amortization'!$D$8),0)</f>
        <v>0</v>
      </c>
      <c r="R167" s="2">
        <f>IF(R$19&lt;($L$10+1),$B$171-((((R$19-1)*12)+$C167)*$B$172),0)</f>
        <v>0</v>
      </c>
      <c r="S167" s="2">
        <f>IF(R167&gt;0,-(R167+$B$172)*($E$12/'Loan Amortization'!$D$8),0)</f>
        <v>0</v>
      </c>
      <c r="T167" s="2">
        <f>IF(T$19&lt;($L$10+1),$B$171-((((T$19-1)*12)+$C167)*$B$172),0)</f>
        <v>0</v>
      </c>
      <c r="U167" s="2">
        <f>IF(T167&gt;0,-(T167+$B$172)*($E$12/'Loan Amortization'!$D$8),0)</f>
        <v>0</v>
      </c>
      <c r="V167" s="2">
        <f>IF(V$19&lt;($L$10+1),$B$171-((((V$19-1)*12)+$C167)*$B$172),0)</f>
        <v>0</v>
      </c>
      <c r="W167" s="2">
        <f>IF(V167&gt;0,-(V167+$B$172)*($E$12/'Loan Amortization'!$D$8),0)</f>
        <v>0</v>
      </c>
      <c r="X167" s="2">
        <f>SUM(C167:V167)</f>
        <v>1</v>
      </c>
      <c r="Y167" s="2"/>
      <c r="Z167" s="480"/>
    </row>
    <row r="168" spans="2:26" x14ac:dyDescent="0.15">
      <c r="B168" s="511">
        <f>-PMT($L$6/12,$L$10*12,C12)</f>
        <v>0</v>
      </c>
      <c r="C168" s="4">
        <v>2</v>
      </c>
      <c r="D168" s="2">
        <f t="shared" ref="D168:V178" si="16">IF(D$19&lt;($L$10+1),$B$171-((((D$19-1)*12)+$C168)*$B$172),0)</f>
        <v>0</v>
      </c>
      <c r="E168" s="2">
        <f>IF(D168&gt;0,-(D168+$B$172)*($E$12/'Loan Amortization'!$D$8),0)</f>
        <v>0</v>
      </c>
      <c r="F168" s="2">
        <f t="shared" si="16"/>
        <v>0</v>
      </c>
      <c r="G168" s="2">
        <f>IF(F168&gt;0,-(F168+$B$172)*($E$12/'Loan Amortization'!$D$8),0)</f>
        <v>0</v>
      </c>
      <c r="H168" s="2">
        <f t="shared" si="16"/>
        <v>0</v>
      </c>
      <c r="I168" s="2">
        <f>IF(H168&gt;0,-(H168+$B$172)*($E$12/'Loan Amortization'!$D$8),0)</f>
        <v>0</v>
      </c>
      <c r="J168" s="2">
        <f t="shared" si="16"/>
        <v>0</v>
      </c>
      <c r="K168" s="2">
        <f>IF(J168&gt;0,-(J168+$B$172)*($E$12/'Loan Amortization'!$D$8),0)</f>
        <v>0</v>
      </c>
      <c r="L168" s="2">
        <f t="shared" si="16"/>
        <v>0</v>
      </c>
      <c r="M168" s="2">
        <f>IF(L168&gt;0,-(L168+$B$172)*($E$12/'Loan Amortization'!$D$8),0)</f>
        <v>0</v>
      </c>
      <c r="N168" s="2">
        <f t="shared" si="16"/>
        <v>0</v>
      </c>
      <c r="O168" s="2">
        <f>IF(N168&gt;0,-(N168+$B$172)*($E$12/'Loan Amortization'!$D$8),0)</f>
        <v>0</v>
      </c>
      <c r="P168" s="2">
        <f t="shared" si="16"/>
        <v>0</v>
      </c>
      <c r="Q168" s="2">
        <f>IF(P168&gt;0,-(P168+$B$172)*($E$12/'Loan Amortization'!$D$8),0)</f>
        <v>0</v>
      </c>
      <c r="R168" s="2">
        <f t="shared" si="16"/>
        <v>0</v>
      </c>
      <c r="S168" s="2">
        <f>IF(R168&gt;0,-(R168+$B$172)*($E$12/'Loan Amortization'!$D$8),0)</f>
        <v>0</v>
      </c>
      <c r="T168" s="2">
        <f t="shared" si="16"/>
        <v>0</v>
      </c>
      <c r="U168" s="2">
        <f>IF(T168&gt;0,-(T168+$B$172)*($E$12/'Loan Amortization'!$D$8),0)</f>
        <v>0</v>
      </c>
      <c r="V168" s="2">
        <f t="shared" si="16"/>
        <v>0</v>
      </c>
      <c r="W168" s="2">
        <f>IF(V168&gt;0,-(V168+$B$172)*($E$12/'Loan Amortization'!$D$8),0)</f>
        <v>0</v>
      </c>
      <c r="X168" s="2">
        <f t="shared" ref="X168:X180" si="17">SUM(C168:V168)</f>
        <v>2</v>
      </c>
      <c r="Y168" s="2"/>
      <c r="Z168" s="480"/>
    </row>
    <row r="169" spans="2:26" x14ac:dyDescent="0.15">
      <c r="B169" s="540">
        <f>B168*12</f>
        <v>0</v>
      </c>
      <c r="C169" s="4">
        <v>3</v>
      </c>
      <c r="D169" s="2">
        <f t="shared" si="16"/>
        <v>0</v>
      </c>
      <c r="E169" s="2">
        <f>IF(D169&gt;0,-(D169+$B$172)*($E$12/'Loan Amortization'!$D$8),0)</f>
        <v>0</v>
      </c>
      <c r="F169" s="2">
        <f t="shared" si="16"/>
        <v>0</v>
      </c>
      <c r="G169" s="2">
        <f>IF(F169&gt;0,-(F169+$B$172)*($E$12/'Loan Amortization'!$D$8),0)</f>
        <v>0</v>
      </c>
      <c r="H169" s="2">
        <f t="shared" si="16"/>
        <v>0</v>
      </c>
      <c r="I169" s="2">
        <f>IF(H169&gt;0,-(H169+$B$172)*($E$12/'Loan Amortization'!$D$8),0)</f>
        <v>0</v>
      </c>
      <c r="J169" s="2">
        <f t="shared" si="16"/>
        <v>0</v>
      </c>
      <c r="K169" s="2">
        <f>IF(J169&gt;0,-(J169+$B$172)*($E$12/'Loan Amortization'!$D$8),0)</f>
        <v>0</v>
      </c>
      <c r="L169" s="2">
        <f t="shared" si="16"/>
        <v>0</v>
      </c>
      <c r="M169" s="2">
        <f>IF(L169&gt;0,-(L169+$B$172)*($E$12/'Loan Amortization'!$D$8),0)</f>
        <v>0</v>
      </c>
      <c r="N169" s="2">
        <f t="shared" si="16"/>
        <v>0</v>
      </c>
      <c r="O169" s="2">
        <f>IF(N169&gt;0,-(N169+$B$172)*($E$12/'Loan Amortization'!$D$8),0)</f>
        <v>0</v>
      </c>
      <c r="P169" s="2">
        <f t="shared" si="16"/>
        <v>0</v>
      </c>
      <c r="Q169" s="2">
        <f>IF(P169&gt;0,-(P169+$B$172)*($E$12/'Loan Amortization'!$D$8),0)</f>
        <v>0</v>
      </c>
      <c r="R169" s="2">
        <f t="shared" si="16"/>
        <v>0</v>
      </c>
      <c r="S169" s="2">
        <f>IF(R169&gt;0,-(R169+$B$172)*($E$12/'Loan Amortization'!$D$8),0)</f>
        <v>0</v>
      </c>
      <c r="T169" s="2">
        <f t="shared" si="16"/>
        <v>0</v>
      </c>
      <c r="U169" s="2">
        <f>IF(T169&gt;0,-(T169+$B$172)*($E$12/'Loan Amortization'!$D$8),0)</f>
        <v>0</v>
      </c>
      <c r="V169" s="2">
        <f t="shared" si="16"/>
        <v>0</v>
      </c>
      <c r="W169" s="2">
        <f>IF(V169&gt;0,-(V169+$B$172)*($E$12/'Loan Amortization'!$D$8),0)</f>
        <v>0</v>
      </c>
      <c r="X169" s="2">
        <f t="shared" si="17"/>
        <v>3</v>
      </c>
      <c r="Y169" s="2"/>
      <c r="Z169" s="480"/>
    </row>
    <row r="170" spans="2:26" x14ac:dyDescent="0.15">
      <c r="B170" s="202" t="s">
        <v>662</v>
      </c>
      <c r="C170" s="4">
        <v>4</v>
      </c>
      <c r="D170" s="2">
        <f t="shared" si="16"/>
        <v>0</v>
      </c>
      <c r="E170" s="2">
        <f>IF(D170&gt;0,-(D170+$B$172)*($E$12/'Loan Amortization'!$D$8),0)</f>
        <v>0</v>
      </c>
      <c r="F170" s="2">
        <f t="shared" si="16"/>
        <v>0</v>
      </c>
      <c r="G170" s="2">
        <f>IF(F170&gt;0,-(F170+$B$172)*($E$12/'Loan Amortization'!$D$8),0)</f>
        <v>0</v>
      </c>
      <c r="H170" s="2">
        <f t="shared" si="16"/>
        <v>0</v>
      </c>
      <c r="I170" s="2">
        <f>IF(H170&gt;0,-(H170+$B$172)*($E$12/'Loan Amortization'!$D$8),0)</f>
        <v>0</v>
      </c>
      <c r="J170" s="2">
        <f t="shared" si="16"/>
        <v>0</v>
      </c>
      <c r="K170" s="2">
        <f>IF(J170&gt;0,-(J170+$B$172)*($E$12/'Loan Amortization'!$D$8),0)</f>
        <v>0</v>
      </c>
      <c r="L170" s="2">
        <f t="shared" si="16"/>
        <v>0</v>
      </c>
      <c r="M170" s="2">
        <f>IF(L170&gt;0,-(L170+$B$172)*($E$12/'Loan Amortization'!$D$8),0)</f>
        <v>0</v>
      </c>
      <c r="N170" s="2">
        <f t="shared" si="16"/>
        <v>0</v>
      </c>
      <c r="O170" s="2">
        <f>IF(N170&gt;0,-(N170+$B$172)*($E$12/'Loan Amortization'!$D$8),0)</f>
        <v>0</v>
      </c>
      <c r="P170" s="2">
        <f t="shared" si="16"/>
        <v>0</v>
      </c>
      <c r="Q170" s="2">
        <f>IF(P170&gt;0,-(P170+$B$172)*($E$12/'Loan Amortization'!$D$8),0)</f>
        <v>0</v>
      </c>
      <c r="R170" s="2">
        <f t="shared" si="16"/>
        <v>0</v>
      </c>
      <c r="S170" s="2">
        <f>IF(R170&gt;0,-(R170+$B$172)*($E$12/'Loan Amortization'!$D$8),0)</f>
        <v>0</v>
      </c>
      <c r="T170" s="2">
        <f t="shared" si="16"/>
        <v>0</v>
      </c>
      <c r="U170" s="2">
        <f>IF(T170&gt;0,-(T170+$B$172)*($E$12/'Loan Amortization'!$D$8),0)</f>
        <v>0</v>
      </c>
      <c r="V170" s="2">
        <f t="shared" si="16"/>
        <v>0</v>
      </c>
      <c r="W170" s="2">
        <f>IF(V170&gt;0,-(V170+$B$172)*($E$12/'Loan Amortization'!$D$8),0)</f>
        <v>0</v>
      </c>
      <c r="X170" s="2">
        <f t="shared" si="17"/>
        <v>4</v>
      </c>
      <c r="Y170" s="2"/>
      <c r="Z170" s="480"/>
    </row>
    <row r="171" spans="2:26" x14ac:dyDescent="0.15">
      <c r="B171" s="521">
        <f>C12</f>
        <v>0</v>
      </c>
      <c r="C171" s="4">
        <v>5</v>
      </c>
      <c r="D171" s="2">
        <f t="shared" si="16"/>
        <v>0</v>
      </c>
      <c r="E171" s="2">
        <f>IF(D171&gt;0,-(D171+$B$172)*($E$12/'Loan Amortization'!$D$8),0)</f>
        <v>0</v>
      </c>
      <c r="F171" s="2">
        <f t="shared" si="16"/>
        <v>0</v>
      </c>
      <c r="G171" s="2">
        <f>IF(F171&gt;0,-(F171+$B$172)*($E$12/'Loan Amortization'!$D$8),0)</f>
        <v>0</v>
      </c>
      <c r="H171" s="2">
        <f t="shared" si="16"/>
        <v>0</v>
      </c>
      <c r="I171" s="2">
        <f>IF(H171&gt;0,-(H171+$B$172)*($E$12/'Loan Amortization'!$D$8),0)</f>
        <v>0</v>
      </c>
      <c r="J171" s="2">
        <f t="shared" si="16"/>
        <v>0</v>
      </c>
      <c r="K171" s="2">
        <f>IF(J171&gt;0,-(J171+$B$172)*($E$12/'Loan Amortization'!$D$8),0)</f>
        <v>0</v>
      </c>
      <c r="L171" s="2">
        <f t="shared" si="16"/>
        <v>0</v>
      </c>
      <c r="M171" s="2">
        <f>IF(L171&gt;0,-(L171+$B$172)*($E$12/'Loan Amortization'!$D$8),0)</f>
        <v>0</v>
      </c>
      <c r="N171" s="2">
        <f t="shared" si="16"/>
        <v>0</v>
      </c>
      <c r="O171" s="2">
        <f>IF(N171&gt;0,-(N171+$B$172)*($E$12/'Loan Amortization'!$D$8),0)</f>
        <v>0</v>
      </c>
      <c r="P171" s="2">
        <f t="shared" si="16"/>
        <v>0</v>
      </c>
      <c r="Q171" s="2">
        <f>IF(P171&gt;0,-(P171+$B$172)*($E$12/'Loan Amortization'!$D$8),0)</f>
        <v>0</v>
      </c>
      <c r="R171" s="2">
        <f t="shared" si="16"/>
        <v>0</v>
      </c>
      <c r="S171" s="2">
        <f>IF(R171&gt;0,-(R171+$B$172)*($E$12/'Loan Amortization'!$D$8),0)</f>
        <v>0</v>
      </c>
      <c r="T171" s="2">
        <f t="shared" si="16"/>
        <v>0</v>
      </c>
      <c r="U171" s="2">
        <f>IF(T171&gt;0,-(T171+$B$172)*($E$12/'Loan Amortization'!$D$8),0)</f>
        <v>0</v>
      </c>
      <c r="V171" s="2">
        <f t="shared" si="16"/>
        <v>0</v>
      </c>
      <c r="W171" s="2">
        <f>IF(V171&gt;0,-(V171+$B$172)*($E$12/'Loan Amortization'!$D$8),0)</f>
        <v>0</v>
      </c>
      <c r="X171" s="2">
        <f t="shared" si="17"/>
        <v>5</v>
      </c>
      <c r="Y171" s="2"/>
      <c r="Z171" s="480"/>
    </row>
    <row r="172" spans="2:26" x14ac:dyDescent="0.15">
      <c r="B172" s="521">
        <f>B171/($L$10*12)</f>
        <v>0</v>
      </c>
      <c r="C172" s="4">
        <v>6</v>
      </c>
      <c r="D172" s="2">
        <f t="shared" si="16"/>
        <v>0</v>
      </c>
      <c r="E172" s="2">
        <f>IF(D172&gt;0,-(D172+$B$172)*($E$12/'Loan Amortization'!$D$8),0)</f>
        <v>0</v>
      </c>
      <c r="F172" s="2">
        <f t="shared" si="16"/>
        <v>0</v>
      </c>
      <c r="G172" s="2">
        <f>IF(F172&gt;0,-(F172+$B$172)*($E$12/'Loan Amortization'!$D$8),0)</f>
        <v>0</v>
      </c>
      <c r="H172" s="2">
        <f t="shared" si="16"/>
        <v>0</v>
      </c>
      <c r="I172" s="2">
        <f>IF(H172&gt;0,-(H172+$B$172)*($E$12/'Loan Amortization'!$D$8),0)</f>
        <v>0</v>
      </c>
      <c r="J172" s="2">
        <f t="shared" si="16"/>
        <v>0</v>
      </c>
      <c r="K172" s="2">
        <f>IF(J172&gt;0,-(J172+$B$172)*($E$12/'Loan Amortization'!$D$8),0)</f>
        <v>0</v>
      </c>
      <c r="L172" s="2">
        <f t="shared" si="16"/>
        <v>0</v>
      </c>
      <c r="M172" s="2">
        <f>IF(L172&gt;0,-(L172+$B$172)*($E$12/'Loan Amortization'!$D$8),0)</f>
        <v>0</v>
      </c>
      <c r="N172" s="2">
        <f t="shared" si="16"/>
        <v>0</v>
      </c>
      <c r="O172" s="2">
        <f>IF(N172&gt;0,-(N172+$B$172)*($E$12/'Loan Amortization'!$D$8),0)</f>
        <v>0</v>
      </c>
      <c r="P172" s="2">
        <f t="shared" si="16"/>
        <v>0</v>
      </c>
      <c r="Q172" s="2">
        <f>IF(P172&gt;0,-(P172+$B$172)*($E$12/'Loan Amortization'!$D$8),0)</f>
        <v>0</v>
      </c>
      <c r="R172" s="2">
        <f t="shared" si="16"/>
        <v>0</v>
      </c>
      <c r="S172" s="2">
        <f>IF(R172&gt;0,-(R172+$B$172)*($E$12/'Loan Amortization'!$D$8),0)</f>
        <v>0</v>
      </c>
      <c r="T172" s="2">
        <f t="shared" si="16"/>
        <v>0</v>
      </c>
      <c r="U172" s="2">
        <f>IF(T172&gt;0,-(T172+$B$172)*($E$12/'Loan Amortization'!$D$8),0)</f>
        <v>0</v>
      </c>
      <c r="V172" s="2">
        <f t="shared" si="16"/>
        <v>0</v>
      </c>
      <c r="W172" s="2">
        <f>IF(V172&gt;0,-(V172+$B$172)*($E$12/'Loan Amortization'!$D$8),0)</f>
        <v>0</v>
      </c>
      <c r="X172" s="2">
        <f t="shared" si="17"/>
        <v>6</v>
      </c>
      <c r="Y172" s="2"/>
      <c r="Z172" s="480"/>
    </row>
    <row r="173" spans="2:26" x14ac:dyDescent="0.15">
      <c r="B173" s="202"/>
      <c r="C173" s="4">
        <v>7</v>
      </c>
      <c r="D173" s="2">
        <f t="shared" si="16"/>
        <v>0</v>
      </c>
      <c r="E173" s="2">
        <f>IF(D173&gt;0,-(D173+$B$172)*($E$12/'Loan Amortization'!$D$8),0)</f>
        <v>0</v>
      </c>
      <c r="F173" s="2">
        <f t="shared" si="16"/>
        <v>0</v>
      </c>
      <c r="G173" s="2">
        <f>IF(F173&gt;0,-(F173+$B$172)*($E$12/'Loan Amortization'!$D$8),0)</f>
        <v>0</v>
      </c>
      <c r="H173" s="2">
        <f t="shared" si="16"/>
        <v>0</v>
      </c>
      <c r="I173" s="2">
        <f>IF(H173&gt;0,-(H173+$B$172)*($E$12/'Loan Amortization'!$D$8),0)</f>
        <v>0</v>
      </c>
      <c r="J173" s="2">
        <f t="shared" si="16"/>
        <v>0</v>
      </c>
      <c r="K173" s="2">
        <f>IF(J173&gt;0,-(J173+$B$172)*($E$12/'Loan Amortization'!$D$8),0)</f>
        <v>0</v>
      </c>
      <c r="L173" s="2">
        <f t="shared" si="16"/>
        <v>0</v>
      </c>
      <c r="M173" s="2">
        <f>IF(L173&gt;0,-(L173+$B$172)*($E$12/'Loan Amortization'!$D$8),0)</f>
        <v>0</v>
      </c>
      <c r="N173" s="2">
        <f t="shared" si="16"/>
        <v>0</v>
      </c>
      <c r="O173" s="2">
        <f>IF(N173&gt;0,-(N173+$B$172)*($E$12/'Loan Amortization'!$D$8),0)</f>
        <v>0</v>
      </c>
      <c r="P173" s="2">
        <f t="shared" si="16"/>
        <v>0</v>
      </c>
      <c r="Q173" s="2">
        <f>IF(P173&gt;0,-(P173+$B$172)*($E$12/'Loan Amortization'!$D$8),0)</f>
        <v>0</v>
      </c>
      <c r="R173" s="2">
        <f t="shared" si="16"/>
        <v>0</v>
      </c>
      <c r="S173" s="2">
        <f>IF(R173&gt;0,-(R173+$B$172)*($E$12/'Loan Amortization'!$D$8),0)</f>
        <v>0</v>
      </c>
      <c r="T173" s="2">
        <f t="shared" si="16"/>
        <v>0</v>
      </c>
      <c r="U173" s="2">
        <f>IF(T173&gt;0,-(T173+$B$172)*($E$12/'Loan Amortization'!$D$8),0)</f>
        <v>0</v>
      </c>
      <c r="V173" s="2">
        <f t="shared" si="16"/>
        <v>0</v>
      </c>
      <c r="W173" s="2">
        <f>IF(V173&gt;0,-(V173+$B$172)*($E$12/'Loan Amortization'!$D$8),0)</f>
        <v>0</v>
      </c>
      <c r="X173" s="2">
        <f t="shared" si="17"/>
        <v>7</v>
      </c>
      <c r="Y173" s="2"/>
      <c r="Z173" s="480"/>
    </row>
    <row r="174" spans="2:26" x14ac:dyDescent="0.15">
      <c r="B174" s="202"/>
      <c r="C174" s="4">
        <v>8</v>
      </c>
      <c r="D174" s="2">
        <f t="shared" si="16"/>
        <v>0</v>
      </c>
      <c r="E174" s="2">
        <f>IF(D174&gt;0,-(D174+$B$172)*($E$12/'Loan Amortization'!$D$8),0)</f>
        <v>0</v>
      </c>
      <c r="F174" s="2">
        <f t="shared" si="16"/>
        <v>0</v>
      </c>
      <c r="G174" s="2">
        <f>IF(F174&gt;0,-(F174+$B$172)*($E$12/'Loan Amortization'!$D$8),0)</f>
        <v>0</v>
      </c>
      <c r="H174" s="2">
        <f t="shared" si="16"/>
        <v>0</v>
      </c>
      <c r="I174" s="2">
        <f>IF(H174&gt;0,-(H174+$B$172)*($E$12/'Loan Amortization'!$D$8),0)</f>
        <v>0</v>
      </c>
      <c r="J174" s="2">
        <f t="shared" si="16"/>
        <v>0</v>
      </c>
      <c r="K174" s="2">
        <f>IF(J174&gt;0,-(J174+$B$172)*($E$12/'Loan Amortization'!$D$8),0)</f>
        <v>0</v>
      </c>
      <c r="L174" s="2">
        <f t="shared" si="16"/>
        <v>0</v>
      </c>
      <c r="M174" s="2">
        <f>IF(L174&gt;0,-(L174+$B$172)*($E$12/'Loan Amortization'!$D$8),0)</f>
        <v>0</v>
      </c>
      <c r="N174" s="2">
        <f t="shared" si="16"/>
        <v>0</v>
      </c>
      <c r="O174" s="2">
        <f>IF(N174&gt;0,-(N174+$B$172)*($E$12/'Loan Amortization'!$D$8),0)</f>
        <v>0</v>
      </c>
      <c r="P174" s="2">
        <f t="shared" si="16"/>
        <v>0</v>
      </c>
      <c r="Q174" s="2">
        <f>IF(P174&gt;0,-(P174+$B$172)*($E$12/'Loan Amortization'!$D$8),0)</f>
        <v>0</v>
      </c>
      <c r="R174" s="2">
        <f t="shared" si="16"/>
        <v>0</v>
      </c>
      <c r="S174" s="2">
        <f>IF(R174&gt;0,-(R174+$B$172)*($E$12/'Loan Amortization'!$D$8),0)</f>
        <v>0</v>
      </c>
      <c r="T174" s="2">
        <f t="shared" si="16"/>
        <v>0</v>
      </c>
      <c r="U174" s="2">
        <f>IF(T174&gt;0,-(T174+$B$172)*($E$12/'Loan Amortization'!$D$8),0)</f>
        <v>0</v>
      </c>
      <c r="V174" s="2">
        <f t="shared" si="16"/>
        <v>0</v>
      </c>
      <c r="W174" s="2">
        <f>IF(V174&gt;0,-(V174+$B$172)*($E$12/'Loan Amortization'!$D$8),0)</f>
        <v>0</v>
      </c>
      <c r="X174" s="2">
        <f t="shared" si="17"/>
        <v>8</v>
      </c>
      <c r="Y174" s="2"/>
      <c r="Z174" s="480"/>
    </row>
    <row r="175" spans="2:26" x14ac:dyDescent="0.15">
      <c r="B175" s="202"/>
      <c r="C175" s="4">
        <v>9</v>
      </c>
      <c r="D175" s="2">
        <f t="shared" si="16"/>
        <v>0</v>
      </c>
      <c r="E175" s="2">
        <f>IF(D175&gt;0,-(D175+$B$172)*($E$12/'Loan Amortization'!$D$8),0)</f>
        <v>0</v>
      </c>
      <c r="F175" s="2">
        <f t="shared" si="16"/>
        <v>0</v>
      </c>
      <c r="G175" s="2">
        <f>IF(F175&gt;0,-(F175+$B$172)*($E$12/'Loan Amortization'!$D$8),0)</f>
        <v>0</v>
      </c>
      <c r="H175" s="2">
        <f t="shared" si="16"/>
        <v>0</v>
      </c>
      <c r="I175" s="2">
        <f>IF(H175&gt;0,-(H175+$B$172)*($E$12/'Loan Amortization'!$D$8),0)</f>
        <v>0</v>
      </c>
      <c r="J175" s="2">
        <f t="shared" si="16"/>
        <v>0</v>
      </c>
      <c r="K175" s="2">
        <f>IF(J175&gt;0,-(J175+$B$172)*($E$12/'Loan Amortization'!$D$8),0)</f>
        <v>0</v>
      </c>
      <c r="L175" s="2">
        <f t="shared" si="16"/>
        <v>0</v>
      </c>
      <c r="M175" s="2">
        <f>IF(L175&gt;0,-(L175+$B$172)*($E$12/'Loan Amortization'!$D$8),0)</f>
        <v>0</v>
      </c>
      <c r="N175" s="2">
        <f t="shared" si="16"/>
        <v>0</v>
      </c>
      <c r="O175" s="2">
        <f>IF(N175&gt;0,-(N175+$B$172)*($E$12/'Loan Amortization'!$D$8),0)</f>
        <v>0</v>
      </c>
      <c r="P175" s="2">
        <f t="shared" si="16"/>
        <v>0</v>
      </c>
      <c r="Q175" s="2">
        <f>IF(P175&gt;0,-(P175+$B$172)*($E$12/'Loan Amortization'!$D$8),0)</f>
        <v>0</v>
      </c>
      <c r="R175" s="2">
        <f t="shared" si="16"/>
        <v>0</v>
      </c>
      <c r="S175" s="2">
        <f>IF(R175&gt;0,-(R175+$B$172)*($E$12/'Loan Amortization'!$D$8),0)</f>
        <v>0</v>
      </c>
      <c r="T175" s="2">
        <f t="shared" si="16"/>
        <v>0</v>
      </c>
      <c r="U175" s="2">
        <f>IF(T175&gt;0,-(T175+$B$172)*($E$12/'Loan Amortization'!$D$8),0)</f>
        <v>0</v>
      </c>
      <c r="V175" s="2">
        <f t="shared" si="16"/>
        <v>0</v>
      </c>
      <c r="W175" s="2">
        <f>IF(V175&gt;0,-(V175+$B$172)*($E$12/'Loan Amortization'!$D$8),0)</f>
        <v>0</v>
      </c>
      <c r="X175" s="2">
        <f t="shared" si="17"/>
        <v>9</v>
      </c>
      <c r="Y175" s="2"/>
      <c r="Z175" s="480"/>
    </row>
    <row r="176" spans="2:26" x14ac:dyDescent="0.15">
      <c r="B176" s="202"/>
      <c r="C176" s="4">
        <v>10</v>
      </c>
      <c r="D176" s="2">
        <f t="shared" si="16"/>
        <v>0</v>
      </c>
      <c r="E176" s="2">
        <f>IF(D176&gt;0,-(D176+$B$172)*($E$12/'Loan Amortization'!$D$8),0)</f>
        <v>0</v>
      </c>
      <c r="F176" s="2">
        <f t="shared" si="16"/>
        <v>0</v>
      </c>
      <c r="G176" s="2">
        <f>IF(F176&gt;0,-(F176+$B$172)*($E$12/'Loan Amortization'!$D$8),0)</f>
        <v>0</v>
      </c>
      <c r="H176" s="2">
        <f t="shared" si="16"/>
        <v>0</v>
      </c>
      <c r="I176" s="2">
        <f>IF(H176&gt;0,-(H176+$B$172)*($E$12/'Loan Amortization'!$D$8),0)</f>
        <v>0</v>
      </c>
      <c r="J176" s="2">
        <f t="shared" si="16"/>
        <v>0</v>
      </c>
      <c r="K176" s="2">
        <f>IF(J176&gt;0,-(J176+$B$172)*($E$12/'Loan Amortization'!$D$8),0)</f>
        <v>0</v>
      </c>
      <c r="L176" s="2">
        <f t="shared" si="16"/>
        <v>0</v>
      </c>
      <c r="M176" s="2">
        <f>IF(L176&gt;0,-(L176+$B$172)*($E$12/'Loan Amortization'!$D$8),0)</f>
        <v>0</v>
      </c>
      <c r="N176" s="2">
        <f t="shared" si="16"/>
        <v>0</v>
      </c>
      <c r="O176" s="2">
        <f>IF(N176&gt;0,-(N176+$B$172)*($E$12/'Loan Amortization'!$D$8),0)</f>
        <v>0</v>
      </c>
      <c r="P176" s="2">
        <f t="shared" si="16"/>
        <v>0</v>
      </c>
      <c r="Q176" s="2">
        <f>IF(P176&gt;0,-(P176+$B$172)*($E$12/'Loan Amortization'!$D$8),0)</f>
        <v>0</v>
      </c>
      <c r="R176" s="2">
        <f t="shared" si="16"/>
        <v>0</v>
      </c>
      <c r="S176" s="2">
        <f>IF(R176&gt;0,-(R176+$B$172)*($E$12/'Loan Amortization'!$D$8),0)</f>
        <v>0</v>
      </c>
      <c r="T176" s="2">
        <f t="shared" si="16"/>
        <v>0</v>
      </c>
      <c r="U176" s="2">
        <f>IF(T176&gt;0,-(T176+$B$172)*($E$12/'Loan Amortization'!$D$8),0)</f>
        <v>0</v>
      </c>
      <c r="V176" s="2">
        <f t="shared" si="16"/>
        <v>0</v>
      </c>
      <c r="W176" s="2">
        <f>IF(V176&gt;0,-(V176+$B$172)*($E$12/'Loan Amortization'!$D$8),0)</f>
        <v>0</v>
      </c>
      <c r="X176" s="2">
        <f t="shared" si="17"/>
        <v>10</v>
      </c>
      <c r="Y176" s="2"/>
      <c r="Z176" s="480"/>
    </row>
    <row r="177" spans="2:26" x14ac:dyDescent="0.15">
      <c r="B177" s="202"/>
      <c r="C177" s="4">
        <v>11</v>
      </c>
      <c r="D177" s="2">
        <f t="shared" si="16"/>
        <v>0</v>
      </c>
      <c r="E177" s="2">
        <f>IF(D177&gt;0,-(D177+$B$172)*($E$12/'Loan Amortization'!$D$8),0)</f>
        <v>0</v>
      </c>
      <c r="F177" s="2">
        <f t="shared" si="16"/>
        <v>0</v>
      </c>
      <c r="G177" s="2">
        <f>IF(F177&gt;0,-(F177+$B$172)*($E$12/'Loan Amortization'!$D$8),0)</f>
        <v>0</v>
      </c>
      <c r="H177" s="2">
        <f t="shared" si="16"/>
        <v>0</v>
      </c>
      <c r="I177" s="2">
        <f>IF(H177&gt;0,-(H177+$B$172)*($E$12/'Loan Amortization'!$D$8),0)</f>
        <v>0</v>
      </c>
      <c r="J177" s="2">
        <f t="shared" si="16"/>
        <v>0</v>
      </c>
      <c r="K177" s="2">
        <f>IF(J177&gt;0,-(J177+$B$172)*($E$12/'Loan Amortization'!$D$8),0)</f>
        <v>0</v>
      </c>
      <c r="L177" s="2">
        <f t="shared" si="16"/>
        <v>0</v>
      </c>
      <c r="M177" s="2">
        <f>IF(L177&gt;0,-(L177+$B$172)*($E$12/'Loan Amortization'!$D$8),0)</f>
        <v>0</v>
      </c>
      <c r="N177" s="2">
        <f t="shared" si="16"/>
        <v>0</v>
      </c>
      <c r="O177" s="2">
        <f>IF(N177&gt;0,-(N177+$B$172)*($E$12/'Loan Amortization'!$D$8),0)</f>
        <v>0</v>
      </c>
      <c r="P177" s="2">
        <f t="shared" si="16"/>
        <v>0</v>
      </c>
      <c r="Q177" s="2">
        <f>IF(P177&gt;0,-(P177+$B$172)*($E$12/'Loan Amortization'!$D$8),0)</f>
        <v>0</v>
      </c>
      <c r="R177" s="2">
        <f t="shared" si="16"/>
        <v>0</v>
      </c>
      <c r="S177" s="2">
        <f>IF(R177&gt;0,-(R177+$B$172)*($E$12/'Loan Amortization'!$D$8),0)</f>
        <v>0</v>
      </c>
      <c r="T177" s="2">
        <f t="shared" si="16"/>
        <v>0</v>
      </c>
      <c r="U177" s="2">
        <f>IF(T177&gt;0,-(T177+$B$172)*($E$12/'Loan Amortization'!$D$8),0)</f>
        <v>0</v>
      </c>
      <c r="V177" s="2">
        <f t="shared" si="16"/>
        <v>0</v>
      </c>
      <c r="W177" s="2">
        <f>IF(V177&gt;0,-(V177+$B$172)*($E$12/'Loan Amortization'!$D$8),0)</f>
        <v>0</v>
      </c>
      <c r="X177" s="2">
        <f t="shared" si="17"/>
        <v>11</v>
      </c>
      <c r="Y177" s="2"/>
      <c r="Z177" s="480"/>
    </row>
    <row r="178" spans="2:26" ht="14" thickBot="1" x14ac:dyDescent="0.2">
      <c r="B178" s="202"/>
      <c r="C178" s="4">
        <v>12</v>
      </c>
      <c r="D178" s="2">
        <f t="shared" si="16"/>
        <v>0</v>
      </c>
      <c r="E178" s="2">
        <f>IF(D178&gt;0,-(D178+$B$172)*($E$12/'Loan Amortization'!$D$8),0)</f>
        <v>0</v>
      </c>
      <c r="F178" s="2">
        <f t="shared" si="16"/>
        <v>0</v>
      </c>
      <c r="G178" s="2">
        <f>IF(F178&gt;0,-(F178+$B$172)*($E$12/'Loan Amortization'!$D$8),0)</f>
        <v>0</v>
      </c>
      <c r="H178" s="2">
        <f t="shared" si="16"/>
        <v>0</v>
      </c>
      <c r="I178" s="2">
        <f>IF(H178&gt;0,-(H178+$B$172)*($E$12/'Loan Amortization'!$D$8),0)</f>
        <v>0</v>
      </c>
      <c r="J178" s="2">
        <f t="shared" si="16"/>
        <v>0</v>
      </c>
      <c r="K178" s="2">
        <f>IF(J178&gt;0,-(J178+$B$172)*($E$12/'Loan Amortization'!$D$8),0)</f>
        <v>0</v>
      </c>
      <c r="L178" s="2">
        <f t="shared" si="16"/>
        <v>0</v>
      </c>
      <c r="M178" s="2">
        <f>IF(L178&gt;0,-(L178+$B$172)*($E$12/'Loan Amortization'!$D$8),0)</f>
        <v>0</v>
      </c>
      <c r="N178" s="2">
        <f t="shared" si="16"/>
        <v>0</v>
      </c>
      <c r="O178" s="2">
        <f>IF(N178&gt;0,-(N178+$B$172)*($E$12/'Loan Amortization'!$D$8),0)</f>
        <v>0</v>
      </c>
      <c r="P178" s="2">
        <f t="shared" si="16"/>
        <v>0</v>
      </c>
      <c r="Q178" s="2">
        <f>IF(P178&gt;0,-(P178+$B$172)*($E$12/'Loan Amortization'!$D$8),0)</f>
        <v>0</v>
      </c>
      <c r="R178" s="2">
        <f t="shared" si="16"/>
        <v>0</v>
      </c>
      <c r="S178" s="2">
        <f>IF(R178&gt;0,-(R178+$B$172)*($E$12/'Loan Amortization'!$D$8),0)</f>
        <v>0</v>
      </c>
      <c r="T178" s="2">
        <f t="shared" si="16"/>
        <v>0</v>
      </c>
      <c r="U178" s="2">
        <f>IF(T178&gt;0,-(T178+$B$172)*($E$12/'Loan Amortization'!$D$8),0)</f>
        <v>0</v>
      </c>
      <c r="V178" s="2">
        <f t="shared" si="16"/>
        <v>0</v>
      </c>
      <c r="W178" s="2">
        <f>IF(V178&gt;0,-(V178+$B$172)*($E$12/'Loan Amortization'!$D$8),0)</f>
        <v>0</v>
      </c>
      <c r="X178" s="2">
        <f t="shared" si="17"/>
        <v>12</v>
      </c>
      <c r="Y178" s="2"/>
      <c r="Z178" s="480"/>
    </row>
    <row r="179" spans="2:26" ht="14" thickBot="1" x14ac:dyDescent="0.2">
      <c r="B179" s="541" t="s">
        <v>45</v>
      </c>
      <c r="C179" s="502" t="s">
        <v>663</v>
      </c>
      <c r="D179" s="503">
        <f>'Level Prin Paymt Fin Sens Calc'!D$138</f>
        <v>0</v>
      </c>
      <c r="E179" s="503">
        <f>'Level Prin Paymt Fin Sens Calc'!E$138</f>
        <v>0</v>
      </c>
      <c r="F179" s="503">
        <f>'Level Prin Paymt Fin Sens Calc'!F$138</f>
        <v>0</v>
      </c>
      <c r="G179" s="503">
        <f>'Level Prin Paymt Fin Sens Calc'!G$138</f>
        <v>0</v>
      </c>
      <c r="H179" s="503">
        <f>'Level Prin Paymt Fin Sens Calc'!H$138</f>
        <v>0</v>
      </c>
      <c r="I179" s="503">
        <f>'Level Prin Paymt Fin Sens Calc'!I$138</f>
        <v>0</v>
      </c>
      <c r="J179" s="503">
        <f>'Level Prin Paymt Fin Sens Calc'!J$138</f>
        <v>0</v>
      </c>
      <c r="K179" s="503">
        <f>'Level Prin Paymt Fin Sens Calc'!K$138</f>
        <v>0</v>
      </c>
      <c r="L179" s="503">
        <f>'Level Prin Paymt Fin Sens Calc'!L$138</f>
        <v>0</v>
      </c>
      <c r="M179" s="503">
        <f>'Level Prin Paymt Fin Sens Calc'!M$138</f>
        <v>0</v>
      </c>
      <c r="N179" s="503">
        <f>'Level Prin Paymt Fin Sens Calc'!N$138</f>
        <v>0</v>
      </c>
      <c r="O179" s="503">
        <f>'Level Prin Paymt Fin Sens Calc'!O$138</f>
        <v>0</v>
      </c>
      <c r="P179" s="503">
        <f>'Level Prin Paymt Fin Sens Calc'!P$138</f>
        <v>0</v>
      </c>
      <c r="Q179" s="503">
        <f>'Level Prin Paymt Fin Sens Calc'!Q$138</f>
        <v>0</v>
      </c>
      <c r="R179" s="503">
        <f>'Level Prin Paymt Fin Sens Calc'!R$138</f>
        <v>0</v>
      </c>
      <c r="S179" s="503">
        <f>'Level Prin Paymt Fin Sens Calc'!S$138</f>
        <v>0</v>
      </c>
      <c r="T179" s="503">
        <f>'Level Prin Paymt Fin Sens Calc'!T$138</f>
        <v>0</v>
      </c>
      <c r="U179" s="503">
        <f>'Level Prin Paymt Fin Sens Calc'!U$138</f>
        <v>0</v>
      </c>
      <c r="V179" s="503">
        <f>'Level Prin Paymt Fin Sens Calc'!V$138</f>
        <v>0</v>
      </c>
      <c r="W179" s="503">
        <f>'Level Prin Paymt Fin Sens Calc'!W$138</f>
        <v>0</v>
      </c>
      <c r="X179" s="504">
        <f t="shared" si="17"/>
        <v>0</v>
      </c>
      <c r="Y179" s="501"/>
      <c r="Z179" s="480"/>
    </row>
    <row r="180" spans="2:26" ht="14" thickBot="1" x14ac:dyDescent="0.2">
      <c r="B180" s="478"/>
      <c r="C180" s="520" t="s">
        <v>273</v>
      </c>
      <c r="D180" s="522"/>
      <c r="E180" s="522">
        <f>IF(D166&gt;$L$10,0,IPMT($E$12,D166,$L$10,$B$234))</f>
        <v>0</v>
      </c>
      <c r="F180" s="522"/>
      <c r="G180" s="522">
        <f>IF(F166&gt;$L$10,0,IPMT($E$12,F166,$L$10,$B$234))</f>
        <v>0</v>
      </c>
      <c r="H180" s="522"/>
      <c r="I180" s="522">
        <f>IF(H166&gt;$L$10,0,IPMT($E$12,H166,$L$10,$B$234))</f>
        <v>0</v>
      </c>
      <c r="J180" s="522"/>
      <c r="K180" s="522">
        <f>IF(J166&gt;$L$10,0,IPMT($E$12,J166,$L$10,$B$234))</f>
        <v>0</v>
      </c>
      <c r="L180" s="522"/>
      <c r="M180" s="522">
        <f>IF(L166&gt;$L$10,0,IPMT($E$12,L166,$L$10,$B$234))</f>
        <v>0</v>
      </c>
      <c r="N180" s="522"/>
      <c r="O180" s="522">
        <f>IF(N166&gt;$L$10,0,IPMT($E$12,N166,$L$10,$B$234))</f>
        <v>0</v>
      </c>
      <c r="P180" s="522"/>
      <c r="Q180" s="522">
        <f>IF(P166&gt;$L$10,0,IPMT($E$12,P166,$L$10,$B$234))</f>
        <v>0</v>
      </c>
      <c r="R180" s="522"/>
      <c r="S180" s="522">
        <f>IF(R166&gt;$L$10,0,IPMT($E$12,R166,$L$10,$B$234))</f>
        <v>0</v>
      </c>
      <c r="T180" s="522"/>
      <c r="U180" s="522">
        <f>IF(T166&gt;$L$10,0,IPMT($E$12,T166,$L$10,$B$234))</f>
        <v>0</v>
      </c>
      <c r="V180" s="522"/>
      <c r="W180" s="522">
        <f>IF(V166&gt;$L$10,0,IPMT($E$12,V166,$L$10,$B$234))</f>
        <v>0</v>
      </c>
      <c r="X180" s="504">
        <f t="shared" si="17"/>
        <v>0</v>
      </c>
      <c r="Y180" s="548"/>
      <c r="Z180" s="482"/>
    </row>
    <row r="181" spans="2:26" ht="14" thickBot="1" x14ac:dyDescent="0.2">
      <c r="B181" s="8"/>
      <c r="C181" s="502" t="s">
        <v>664</v>
      </c>
      <c r="D181" s="558">
        <f>D166</f>
        <v>1</v>
      </c>
      <c r="E181" s="559">
        <f>F166</f>
        <v>2</v>
      </c>
      <c r="F181" s="559">
        <f>H166</f>
        <v>3</v>
      </c>
      <c r="G181" s="559">
        <f>J166</f>
        <v>4</v>
      </c>
      <c r="H181" s="559">
        <f>L166</f>
        <v>5</v>
      </c>
      <c r="I181" s="559">
        <f>N166</f>
        <v>6</v>
      </c>
      <c r="J181" s="559">
        <f>P166</f>
        <v>7</v>
      </c>
      <c r="K181" s="559">
        <f>R166</f>
        <v>8</v>
      </c>
      <c r="L181" s="559">
        <f>T166</f>
        <v>9</v>
      </c>
      <c r="M181" s="559">
        <f>V166</f>
        <v>10</v>
      </c>
      <c r="N181" s="560" t="str">
        <f>X166</f>
        <v>TOTAL</v>
      </c>
      <c r="O181" s="2"/>
      <c r="P181" s="2"/>
      <c r="Q181" s="2"/>
      <c r="R181" s="2"/>
      <c r="S181" s="2"/>
      <c r="T181" s="2"/>
      <c r="U181" s="2"/>
      <c r="V181" s="2"/>
      <c r="W181" s="2"/>
      <c r="X181" s="2"/>
      <c r="Y181" s="2"/>
    </row>
    <row r="182" spans="2:26" ht="14" thickBot="1" x14ac:dyDescent="0.2">
      <c r="B182" s="8"/>
      <c r="C182" s="502" t="s">
        <v>663</v>
      </c>
      <c r="D182" s="561">
        <f>D179</f>
        <v>0</v>
      </c>
      <c r="E182" s="2">
        <f>F179</f>
        <v>0</v>
      </c>
      <c r="F182" s="2">
        <f>H179</f>
        <v>0</v>
      </c>
      <c r="G182" s="2">
        <f>J179</f>
        <v>0</v>
      </c>
      <c r="H182" s="2">
        <f>L179</f>
        <v>0</v>
      </c>
      <c r="I182" s="2">
        <f>N179</f>
        <v>0</v>
      </c>
      <c r="J182" s="2">
        <f>P179</f>
        <v>0</v>
      </c>
      <c r="K182" s="2">
        <f>R179</f>
        <v>0</v>
      </c>
      <c r="L182" s="2">
        <f>T179</f>
        <v>0</v>
      </c>
      <c r="M182" s="2">
        <f>V179</f>
        <v>0</v>
      </c>
      <c r="N182" s="501">
        <f>X179</f>
        <v>0</v>
      </c>
      <c r="O182" s="2"/>
      <c r="P182" s="2"/>
      <c r="Q182" s="2"/>
      <c r="R182" s="2"/>
      <c r="S182" s="2"/>
      <c r="T182" s="2"/>
      <c r="U182" s="2"/>
      <c r="V182" s="2"/>
      <c r="W182" s="2"/>
      <c r="X182" s="2"/>
      <c r="Y182" s="2"/>
    </row>
    <row r="183" spans="2:26" ht="14" thickBot="1" x14ac:dyDescent="0.2">
      <c r="B183" s="8"/>
      <c r="C183" s="520" t="s">
        <v>273</v>
      </c>
      <c r="D183" s="562">
        <f>E180</f>
        <v>0</v>
      </c>
      <c r="E183" s="522">
        <f>G180</f>
        <v>0</v>
      </c>
      <c r="F183" s="522">
        <f>I180</f>
        <v>0</v>
      </c>
      <c r="G183" s="522">
        <f>K180</f>
        <v>0</v>
      </c>
      <c r="H183" s="522">
        <f>M180</f>
        <v>0</v>
      </c>
      <c r="I183" s="522">
        <f>O180</f>
        <v>0</v>
      </c>
      <c r="J183" s="522">
        <f>Q180</f>
        <v>0</v>
      </c>
      <c r="K183" s="522">
        <f>S180</f>
        <v>0</v>
      </c>
      <c r="L183" s="522">
        <f>U180</f>
        <v>0</v>
      </c>
      <c r="M183" s="522">
        <f>W180</f>
        <v>0</v>
      </c>
      <c r="N183" s="548">
        <f>X180</f>
        <v>0</v>
      </c>
      <c r="O183" s="2"/>
      <c r="P183" s="2"/>
      <c r="Q183" s="2"/>
      <c r="R183" s="2"/>
      <c r="S183" s="2"/>
      <c r="T183" s="2"/>
      <c r="U183" s="2"/>
      <c r="V183" s="2"/>
      <c r="W183" s="2"/>
      <c r="X183" s="2"/>
      <c r="Y183" s="2"/>
    </row>
    <row r="185" spans="2:26" ht="14" thickBot="1" x14ac:dyDescent="0.2"/>
    <row r="186" spans="2:26" ht="14" thickBot="1" x14ac:dyDescent="0.2">
      <c r="B186" s="495" t="s">
        <v>420</v>
      </c>
      <c r="C186" s="178"/>
      <c r="D186" s="483" t="s">
        <v>133</v>
      </c>
      <c r="E186" s="483"/>
      <c r="F186" s="483" t="s">
        <v>133</v>
      </c>
      <c r="G186" s="483"/>
      <c r="H186" s="483" t="s">
        <v>133</v>
      </c>
      <c r="I186" s="483"/>
      <c r="J186" s="483" t="s">
        <v>133</v>
      </c>
      <c r="K186" s="483"/>
      <c r="L186" s="483" t="s">
        <v>133</v>
      </c>
      <c r="M186" s="483"/>
      <c r="N186" s="483" t="s">
        <v>133</v>
      </c>
      <c r="O186" s="483"/>
      <c r="P186" s="483" t="s">
        <v>133</v>
      </c>
      <c r="Q186" s="483"/>
      <c r="R186" s="483" t="s">
        <v>133</v>
      </c>
      <c r="S186" s="483"/>
      <c r="T186" s="483" t="s">
        <v>133</v>
      </c>
      <c r="U186" s="483"/>
      <c r="V186" s="483" t="s">
        <v>133</v>
      </c>
      <c r="W186" s="483"/>
      <c r="X186" s="178"/>
      <c r="Y186" s="178"/>
      <c r="Z186" s="499" t="str">
        <f>B186</f>
        <v>+15%</v>
      </c>
    </row>
    <row r="187" spans="2:26" x14ac:dyDescent="0.15">
      <c r="B187" s="426"/>
      <c r="C187" s="4" t="s">
        <v>660</v>
      </c>
      <c r="D187" s="4">
        <v>1</v>
      </c>
      <c r="E187" s="4"/>
      <c r="F187" s="4">
        <f>D187+1</f>
        <v>2</v>
      </c>
      <c r="G187" s="4"/>
      <c r="H187" s="4">
        <f>F187+1</f>
        <v>3</v>
      </c>
      <c r="I187" s="4"/>
      <c r="J187" s="4">
        <f>H187+1</f>
        <v>4</v>
      </c>
      <c r="K187" s="4"/>
      <c r="L187" s="4">
        <f>J187+1</f>
        <v>5</v>
      </c>
      <c r="M187" s="4"/>
      <c r="N187" s="4">
        <f>L187+1</f>
        <v>6</v>
      </c>
      <c r="O187" s="4"/>
      <c r="P187" s="4">
        <f>N187+1</f>
        <v>7</v>
      </c>
      <c r="Q187" s="4"/>
      <c r="R187" s="4">
        <f>P187+1</f>
        <v>8</v>
      </c>
      <c r="S187" s="4"/>
      <c r="T187" s="4">
        <f>R187+1</f>
        <v>9</v>
      </c>
      <c r="U187" s="4"/>
      <c r="V187" s="4">
        <f>T187+1</f>
        <v>10</v>
      </c>
      <c r="W187" s="4"/>
      <c r="X187" t="s">
        <v>285</v>
      </c>
      <c r="Z187" s="479"/>
    </row>
    <row r="188" spans="2:26" x14ac:dyDescent="0.15">
      <c r="B188" s="202" t="s">
        <v>661</v>
      </c>
      <c r="C188" s="4">
        <v>1</v>
      </c>
      <c r="D188" s="2">
        <f>IF(D$19&lt;($L$10+1),$B$192-((((D$19-1)*12)+$C188)*$B$193),0)</f>
        <v>0</v>
      </c>
      <c r="E188" s="2">
        <f>IF(D188&gt;0,-(D188+$B$193)*($E$13/'Loan Amortization'!$D$8),0)</f>
        <v>0</v>
      </c>
      <c r="F188" s="2">
        <f>IF(F$19&lt;($L$10+1),$B$192-((((F$19-1)*12)+$C188)*$B$193),0)</f>
        <v>0</v>
      </c>
      <c r="G188" s="2">
        <f>IF(F188&gt;0,-(F188+$B$193)*($E$13/'Loan Amortization'!$D$8),0)</f>
        <v>0</v>
      </c>
      <c r="H188" s="2">
        <f>IF(H$19&lt;($L$10+1),$B$192-((((H$19-1)*12)+$C188)*$B$193),0)</f>
        <v>0</v>
      </c>
      <c r="I188" s="2">
        <f>IF(H188&gt;0,-(H188+$B$193)*($E$13/'Loan Amortization'!$D$8),0)</f>
        <v>0</v>
      </c>
      <c r="J188" s="2">
        <f>IF(J$19&lt;($L$10+1),$B$192-((((J$19-1)*12)+$C188)*$B$193),0)</f>
        <v>0</v>
      </c>
      <c r="K188" s="2">
        <f>IF(J188&gt;0,-(J188+$B$193)*($E$13/'Loan Amortization'!$D$8),0)</f>
        <v>0</v>
      </c>
      <c r="L188" s="2">
        <f>IF(L$19&lt;($L$10+1),$B$192-((((L$19-1)*12)+$C188)*$B$193),0)</f>
        <v>0</v>
      </c>
      <c r="M188" s="2">
        <f>IF(L188&gt;0,-(L188+$B$193)*($E$13/'Loan Amortization'!$D$8),0)</f>
        <v>0</v>
      </c>
      <c r="N188" s="2">
        <f>IF(N$19&lt;($L$10+1),$B$192-((((N$19-1)*12)+$C188)*$B$193),0)</f>
        <v>0</v>
      </c>
      <c r="O188" s="2">
        <f>IF(N188&gt;0,-(N188+$B$193)*($E$13/'Loan Amortization'!$D$8),0)</f>
        <v>0</v>
      </c>
      <c r="P188" s="2">
        <f>IF(P$19&lt;($L$10+1),$B$192-((((P$19-1)*12)+$C188)*$B$193),0)</f>
        <v>0</v>
      </c>
      <c r="Q188" s="2">
        <f>IF(P188&gt;0,-(P188+$B$193)*($E$13/'Loan Amortization'!$D$8),0)</f>
        <v>0</v>
      </c>
      <c r="R188" s="2">
        <f>IF(R$19&lt;($L$10+1),$B$192-((((R$19-1)*12)+$C188)*$B$193),0)</f>
        <v>0</v>
      </c>
      <c r="S188" s="2">
        <f>IF(R188&gt;0,-(R188+$B$193)*($E$13/'Loan Amortization'!$D$8),0)</f>
        <v>0</v>
      </c>
      <c r="T188" s="2">
        <f>IF(T$19&lt;($L$10+1),$B$192-((((T$19-1)*12)+$C188)*$B$193),0)</f>
        <v>0</v>
      </c>
      <c r="U188" s="2">
        <f>IF(T188&gt;0,-(T188+$B$193)*($E$13/'Loan Amortization'!$D$8),0)</f>
        <v>0</v>
      </c>
      <c r="V188" s="2">
        <f>IF(V$19&lt;($L$10+1),$B$192-((((V$19-1)*12)+$C188)*$B$193),0)</f>
        <v>0</v>
      </c>
      <c r="W188" s="2">
        <f>IF(V188&gt;0,-(V188+$B$193)*($E$13/'Loan Amortization'!$D$8),0)</f>
        <v>0</v>
      </c>
      <c r="X188" s="2">
        <f>SUM(C188:V188)</f>
        <v>1</v>
      </c>
      <c r="Y188" s="2"/>
      <c r="Z188" s="480"/>
    </row>
    <row r="189" spans="2:26" x14ac:dyDescent="0.15">
      <c r="B189" s="511">
        <f>-PMT($L$6/12,$L$10*12,C13)</f>
        <v>0</v>
      </c>
      <c r="C189" s="4">
        <v>2</v>
      </c>
      <c r="D189" s="2">
        <f t="shared" ref="D189:V199" si="18">IF(D$19&lt;($L$10+1),$B$192-((((D$19-1)*12)+$C189)*$B$193),0)</f>
        <v>0</v>
      </c>
      <c r="E189" s="2">
        <f>IF(D189&gt;0,-(D189+$B$193)*($E$13/'Loan Amortization'!$D$8),0)</f>
        <v>0</v>
      </c>
      <c r="F189" s="2">
        <f t="shared" si="18"/>
        <v>0</v>
      </c>
      <c r="G189" s="2">
        <f>IF(F189&gt;0,-(F189+$B$193)*($E$13/'Loan Amortization'!$D$8),0)</f>
        <v>0</v>
      </c>
      <c r="H189" s="2">
        <f t="shared" si="18"/>
        <v>0</v>
      </c>
      <c r="I189" s="2">
        <f>IF(H189&gt;0,-(H189+$B$193)*($E$13/'Loan Amortization'!$D$8),0)</f>
        <v>0</v>
      </c>
      <c r="J189" s="2">
        <f t="shared" si="18"/>
        <v>0</v>
      </c>
      <c r="K189" s="2">
        <f>IF(J189&gt;0,-(J189+$B$193)*($E$13/'Loan Amortization'!$D$8),0)</f>
        <v>0</v>
      </c>
      <c r="L189" s="2">
        <f t="shared" si="18"/>
        <v>0</v>
      </c>
      <c r="M189" s="2">
        <f>IF(L189&gt;0,-(L189+$B$193)*($E$13/'Loan Amortization'!$D$8),0)</f>
        <v>0</v>
      </c>
      <c r="N189" s="2">
        <f t="shared" si="18"/>
        <v>0</v>
      </c>
      <c r="O189" s="2">
        <f>IF(N189&gt;0,-(N189+$B$193)*($E$13/'Loan Amortization'!$D$8),0)</f>
        <v>0</v>
      </c>
      <c r="P189" s="2">
        <f t="shared" si="18"/>
        <v>0</v>
      </c>
      <c r="Q189" s="2">
        <f>IF(P189&gt;0,-(P189+$B$193)*($E$13/'Loan Amortization'!$D$8),0)</f>
        <v>0</v>
      </c>
      <c r="R189" s="2">
        <f t="shared" si="18"/>
        <v>0</v>
      </c>
      <c r="S189" s="2">
        <f>IF(R189&gt;0,-(R189+$B$193)*($E$13/'Loan Amortization'!$D$8),0)</f>
        <v>0</v>
      </c>
      <c r="T189" s="2">
        <f t="shared" si="18"/>
        <v>0</v>
      </c>
      <c r="U189" s="2">
        <f>IF(T189&gt;0,-(T189+$B$193)*($E$13/'Loan Amortization'!$D$8),0)</f>
        <v>0</v>
      </c>
      <c r="V189" s="2">
        <f t="shared" si="18"/>
        <v>0</v>
      </c>
      <c r="W189" s="2">
        <f>IF(V189&gt;0,-(V189+$B$193)*($E$13/'Loan Amortization'!$D$8),0)</f>
        <v>0</v>
      </c>
      <c r="X189" s="2">
        <f t="shared" ref="X189:X201" si="19">SUM(C189:V189)</f>
        <v>2</v>
      </c>
      <c r="Y189" s="2"/>
      <c r="Z189" s="480"/>
    </row>
    <row r="190" spans="2:26" x14ac:dyDescent="0.15">
      <c r="B190" s="540">
        <f>B189*12</f>
        <v>0</v>
      </c>
      <c r="C190" s="4">
        <v>3</v>
      </c>
      <c r="D190" s="2">
        <f t="shared" si="18"/>
        <v>0</v>
      </c>
      <c r="E190" s="2">
        <f>IF(D190&gt;0,-(D190+$B$193)*($E$13/'Loan Amortization'!$D$8),0)</f>
        <v>0</v>
      </c>
      <c r="F190" s="2">
        <f t="shared" si="18"/>
        <v>0</v>
      </c>
      <c r="G190" s="2">
        <f>IF(F190&gt;0,-(F190+$B$193)*($E$13/'Loan Amortization'!$D$8),0)</f>
        <v>0</v>
      </c>
      <c r="H190" s="2">
        <f t="shared" si="18"/>
        <v>0</v>
      </c>
      <c r="I190" s="2">
        <f>IF(H190&gt;0,-(H190+$B$193)*($E$13/'Loan Amortization'!$D$8),0)</f>
        <v>0</v>
      </c>
      <c r="J190" s="2">
        <f t="shared" si="18"/>
        <v>0</v>
      </c>
      <c r="K190" s="2">
        <f>IF(J190&gt;0,-(J190+$B$193)*($E$13/'Loan Amortization'!$D$8),0)</f>
        <v>0</v>
      </c>
      <c r="L190" s="2">
        <f t="shared" si="18"/>
        <v>0</v>
      </c>
      <c r="M190" s="2">
        <f>IF(L190&gt;0,-(L190+$B$193)*($E$13/'Loan Amortization'!$D$8),0)</f>
        <v>0</v>
      </c>
      <c r="N190" s="2">
        <f t="shared" si="18"/>
        <v>0</v>
      </c>
      <c r="O190" s="2">
        <f>IF(N190&gt;0,-(N190+$B$193)*($E$13/'Loan Amortization'!$D$8),0)</f>
        <v>0</v>
      </c>
      <c r="P190" s="2">
        <f t="shared" si="18"/>
        <v>0</v>
      </c>
      <c r="Q190" s="2">
        <f>IF(P190&gt;0,-(P190+$B$193)*($E$13/'Loan Amortization'!$D$8),0)</f>
        <v>0</v>
      </c>
      <c r="R190" s="2">
        <f t="shared" si="18"/>
        <v>0</v>
      </c>
      <c r="S190" s="2">
        <f>IF(R190&gt;0,-(R190+$B$193)*($E$13/'Loan Amortization'!$D$8),0)</f>
        <v>0</v>
      </c>
      <c r="T190" s="2">
        <f t="shared" si="18"/>
        <v>0</v>
      </c>
      <c r="U190" s="2">
        <f>IF(T190&gt;0,-(T190+$B$193)*($E$13/'Loan Amortization'!$D$8),0)</f>
        <v>0</v>
      </c>
      <c r="V190" s="2">
        <f t="shared" si="18"/>
        <v>0</v>
      </c>
      <c r="W190" s="2">
        <f>IF(V190&gt;0,-(V190+$B$193)*($E$13/'Loan Amortization'!$D$8),0)</f>
        <v>0</v>
      </c>
      <c r="X190" s="2">
        <f t="shared" si="19"/>
        <v>3</v>
      </c>
      <c r="Y190" s="2"/>
      <c r="Z190" s="480"/>
    </row>
    <row r="191" spans="2:26" x14ac:dyDescent="0.15">
      <c r="B191" s="202" t="s">
        <v>662</v>
      </c>
      <c r="C191" s="4">
        <v>4</v>
      </c>
      <c r="D191" s="2">
        <f t="shared" si="18"/>
        <v>0</v>
      </c>
      <c r="E191" s="2">
        <f>IF(D191&gt;0,-(D191+$B$193)*($E$13/'Loan Amortization'!$D$8),0)</f>
        <v>0</v>
      </c>
      <c r="F191" s="2">
        <f t="shared" si="18"/>
        <v>0</v>
      </c>
      <c r="G191" s="2">
        <f>IF(F191&gt;0,-(F191+$B$193)*($E$13/'Loan Amortization'!$D$8),0)</f>
        <v>0</v>
      </c>
      <c r="H191" s="2">
        <f t="shared" si="18"/>
        <v>0</v>
      </c>
      <c r="I191" s="2">
        <f>IF(H191&gt;0,-(H191+$B$193)*($E$13/'Loan Amortization'!$D$8),0)</f>
        <v>0</v>
      </c>
      <c r="J191" s="2">
        <f t="shared" si="18"/>
        <v>0</v>
      </c>
      <c r="K191" s="2">
        <f>IF(J191&gt;0,-(J191+$B$193)*($E$13/'Loan Amortization'!$D$8),0)</f>
        <v>0</v>
      </c>
      <c r="L191" s="2">
        <f t="shared" si="18"/>
        <v>0</v>
      </c>
      <c r="M191" s="2">
        <f>IF(L191&gt;0,-(L191+$B$193)*($E$13/'Loan Amortization'!$D$8),0)</f>
        <v>0</v>
      </c>
      <c r="N191" s="2">
        <f t="shared" si="18"/>
        <v>0</v>
      </c>
      <c r="O191" s="2">
        <f>IF(N191&gt;0,-(N191+$B$193)*($E$13/'Loan Amortization'!$D$8),0)</f>
        <v>0</v>
      </c>
      <c r="P191" s="2">
        <f t="shared" si="18"/>
        <v>0</v>
      </c>
      <c r="Q191" s="2">
        <f>IF(P191&gt;0,-(P191+$B$193)*($E$13/'Loan Amortization'!$D$8),0)</f>
        <v>0</v>
      </c>
      <c r="R191" s="2">
        <f t="shared" si="18"/>
        <v>0</v>
      </c>
      <c r="S191" s="2">
        <f>IF(R191&gt;0,-(R191+$B$193)*($E$13/'Loan Amortization'!$D$8),0)</f>
        <v>0</v>
      </c>
      <c r="T191" s="2">
        <f t="shared" si="18"/>
        <v>0</v>
      </c>
      <c r="U191" s="2">
        <f>IF(T191&gt;0,-(T191+$B$193)*($E$13/'Loan Amortization'!$D$8),0)</f>
        <v>0</v>
      </c>
      <c r="V191" s="2">
        <f t="shared" si="18"/>
        <v>0</v>
      </c>
      <c r="W191" s="2">
        <f>IF(V191&gt;0,-(V191+$B$193)*($E$13/'Loan Amortization'!$D$8),0)</f>
        <v>0</v>
      </c>
      <c r="X191" s="2">
        <f t="shared" si="19"/>
        <v>4</v>
      </c>
      <c r="Y191" s="2"/>
      <c r="Z191" s="480"/>
    </row>
    <row r="192" spans="2:26" x14ac:dyDescent="0.15">
      <c r="B192" s="521">
        <f>C13</f>
        <v>0</v>
      </c>
      <c r="C192" s="4">
        <v>5</v>
      </c>
      <c r="D192" s="2">
        <f t="shared" si="18"/>
        <v>0</v>
      </c>
      <c r="E192" s="2">
        <f>IF(D192&gt;0,-(D192+$B$193)*($E$13/'Loan Amortization'!$D$8),0)</f>
        <v>0</v>
      </c>
      <c r="F192" s="2">
        <f t="shared" si="18"/>
        <v>0</v>
      </c>
      <c r="G192" s="2">
        <f>IF(F192&gt;0,-(F192+$B$193)*($E$13/'Loan Amortization'!$D$8),0)</f>
        <v>0</v>
      </c>
      <c r="H192" s="2">
        <f t="shared" si="18"/>
        <v>0</v>
      </c>
      <c r="I192" s="2">
        <f>IF(H192&gt;0,-(H192+$B$193)*($E$13/'Loan Amortization'!$D$8),0)</f>
        <v>0</v>
      </c>
      <c r="J192" s="2">
        <f t="shared" si="18"/>
        <v>0</v>
      </c>
      <c r="K192" s="2">
        <f>IF(J192&gt;0,-(J192+$B$193)*($E$13/'Loan Amortization'!$D$8),0)</f>
        <v>0</v>
      </c>
      <c r="L192" s="2">
        <f t="shared" si="18"/>
        <v>0</v>
      </c>
      <c r="M192" s="2">
        <f>IF(L192&gt;0,-(L192+$B$193)*($E$13/'Loan Amortization'!$D$8),0)</f>
        <v>0</v>
      </c>
      <c r="N192" s="2">
        <f t="shared" si="18"/>
        <v>0</v>
      </c>
      <c r="O192" s="2">
        <f>IF(N192&gt;0,-(N192+$B$193)*($E$13/'Loan Amortization'!$D$8),0)</f>
        <v>0</v>
      </c>
      <c r="P192" s="2">
        <f t="shared" si="18"/>
        <v>0</v>
      </c>
      <c r="Q192" s="2">
        <f>IF(P192&gt;0,-(P192+$B$193)*($E$13/'Loan Amortization'!$D$8),0)</f>
        <v>0</v>
      </c>
      <c r="R192" s="2">
        <f t="shared" si="18"/>
        <v>0</v>
      </c>
      <c r="S192" s="2">
        <f>IF(R192&gt;0,-(R192+$B$193)*($E$13/'Loan Amortization'!$D$8),0)</f>
        <v>0</v>
      </c>
      <c r="T192" s="2">
        <f t="shared" si="18"/>
        <v>0</v>
      </c>
      <c r="U192" s="2">
        <f>IF(T192&gt;0,-(T192+$B$193)*($E$13/'Loan Amortization'!$D$8),0)</f>
        <v>0</v>
      </c>
      <c r="V192" s="2">
        <f t="shared" si="18"/>
        <v>0</v>
      </c>
      <c r="W192" s="2">
        <f>IF(V192&gt;0,-(V192+$B$193)*($E$13/'Loan Amortization'!$D$8),0)</f>
        <v>0</v>
      </c>
      <c r="X192" s="2">
        <f t="shared" si="19"/>
        <v>5</v>
      </c>
      <c r="Y192" s="2"/>
      <c r="Z192" s="480"/>
    </row>
    <row r="193" spans="2:26" x14ac:dyDescent="0.15">
      <c r="B193" s="521">
        <f>B192/($L$10*12)</f>
        <v>0</v>
      </c>
      <c r="C193" s="4">
        <v>6</v>
      </c>
      <c r="D193" s="2">
        <f t="shared" si="18"/>
        <v>0</v>
      </c>
      <c r="E193" s="2">
        <f>IF(D193&gt;0,-(D193+$B$193)*($E$13/'Loan Amortization'!$D$8),0)</f>
        <v>0</v>
      </c>
      <c r="F193" s="2">
        <f t="shared" si="18"/>
        <v>0</v>
      </c>
      <c r="G193" s="2">
        <f>IF(F193&gt;0,-(F193+$B$193)*($E$13/'Loan Amortization'!$D$8),0)</f>
        <v>0</v>
      </c>
      <c r="H193" s="2">
        <f t="shared" si="18"/>
        <v>0</v>
      </c>
      <c r="I193" s="2">
        <f>IF(H193&gt;0,-(H193+$B$193)*($E$13/'Loan Amortization'!$D$8),0)</f>
        <v>0</v>
      </c>
      <c r="J193" s="2">
        <f t="shared" si="18"/>
        <v>0</v>
      </c>
      <c r="K193" s="2">
        <f>IF(J193&gt;0,-(J193+$B$193)*($E$13/'Loan Amortization'!$D$8),0)</f>
        <v>0</v>
      </c>
      <c r="L193" s="2">
        <f t="shared" si="18"/>
        <v>0</v>
      </c>
      <c r="M193" s="2">
        <f>IF(L193&gt;0,-(L193+$B$193)*($E$13/'Loan Amortization'!$D$8),0)</f>
        <v>0</v>
      </c>
      <c r="N193" s="2">
        <f t="shared" si="18"/>
        <v>0</v>
      </c>
      <c r="O193" s="2">
        <f>IF(N193&gt;0,-(N193+$B$193)*($E$13/'Loan Amortization'!$D$8),0)</f>
        <v>0</v>
      </c>
      <c r="P193" s="2">
        <f t="shared" si="18"/>
        <v>0</v>
      </c>
      <c r="Q193" s="2">
        <f>IF(P193&gt;0,-(P193+$B$193)*($E$13/'Loan Amortization'!$D$8),0)</f>
        <v>0</v>
      </c>
      <c r="R193" s="2">
        <f t="shared" si="18"/>
        <v>0</v>
      </c>
      <c r="S193" s="2">
        <f>IF(R193&gt;0,-(R193+$B$193)*($E$13/'Loan Amortization'!$D$8),0)</f>
        <v>0</v>
      </c>
      <c r="T193" s="2">
        <f t="shared" si="18"/>
        <v>0</v>
      </c>
      <c r="U193" s="2">
        <f>IF(T193&gt;0,-(T193+$B$193)*($E$13/'Loan Amortization'!$D$8),0)</f>
        <v>0</v>
      </c>
      <c r="V193" s="2">
        <f t="shared" si="18"/>
        <v>0</v>
      </c>
      <c r="W193" s="2">
        <f>IF(V193&gt;0,-(V193+$B$193)*($E$13/'Loan Amortization'!$D$8),0)</f>
        <v>0</v>
      </c>
      <c r="X193" s="2">
        <f t="shared" si="19"/>
        <v>6</v>
      </c>
      <c r="Y193" s="2"/>
      <c r="Z193" s="480"/>
    </row>
    <row r="194" spans="2:26" x14ac:dyDescent="0.15">
      <c r="B194" s="202"/>
      <c r="C194" s="4">
        <v>7</v>
      </c>
      <c r="D194" s="2">
        <f t="shared" si="18"/>
        <v>0</v>
      </c>
      <c r="E194" s="2">
        <f>IF(D194&gt;0,-(D194+$B$193)*($E$13/'Loan Amortization'!$D$8),0)</f>
        <v>0</v>
      </c>
      <c r="F194" s="2">
        <f t="shared" si="18"/>
        <v>0</v>
      </c>
      <c r="G194" s="2">
        <f>IF(F194&gt;0,-(F194+$B$193)*($E$13/'Loan Amortization'!$D$8),0)</f>
        <v>0</v>
      </c>
      <c r="H194" s="2">
        <f t="shared" si="18"/>
        <v>0</v>
      </c>
      <c r="I194" s="2">
        <f>IF(H194&gt;0,-(H194+$B$193)*($E$13/'Loan Amortization'!$D$8),0)</f>
        <v>0</v>
      </c>
      <c r="J194" s="2">
        <f t="shared" si="18"/>
        <v>0</v>
      </c>
      <c r="K194" s="2">
        <f>IF(J194&gt;0,-(J194+$B$193)*($E$13/'Loan Amortization'!$D$8),0)</f>
        <v>0</v>
      </c>
      <c r="L194" s="2">
        <f t="shared" si="18"/>
        <v>0</v>
      </c>
      <c r="M194" s="2">
        <f>IF(L194&gt;0,-(L194+$B$193)*($E$13/'Loan Amortization'!$D$8),0)</f>
        <v>0</v>
      </c>
      <c r="N194" s="2">
        <f t="shared" si="18"/>
        <v>0</v>
      </c>
      <c r="O194" s="2">
        <f>IF(N194&gt;0,-(N194+$B$193)*($E$13/'Loan Amortization'!$D$8),0)</f>
        <v>0</v>
      </c>
      <c r="P194" s="2">
        <f t="shared" si="18"/>
        <v>0</v>
      </c>
      <c r="Q194" s="2">
        <f>IF(P194&gt;0,-(P194+$B$193)*($E$13/'Loan Amortization'!$D$8),0)</f>
        <v>0</v>
      </c>
      <c r="R194" s="2">
        <f t="shared" si="18"/>
        <v>0</v>
      </c>
      <c r="S194" s="2">
        <f>IF(R194&gt;0,-(R194+$B$193)*($E$13/'Loan Amortization'!$D$8),0)</f>
        <v>0</v>
      </c>
      <c r="T194" s="2">
        <f t="shared" si="18"/>
        <v>0</v>
      </c>
      <c r="U194" s="2">
        <f>IF(T194&gt;0,-(T194+$B$193)*($E$13/'Loan Amortization'!$D$8),0)</f>
        <v>0</v>
      </c>
      <c r="V194" s="2">
        <f t="shared" si="18"/>
        <v>0</v>
      </c>
      <c r="W194" s="2">
        <f>IF(V194&gt;0,-(V194+$B$193)*($E$13/'Loan Amortization'!$D$8),0)</f>
        <v>0</v>
      </c>
      <c r="X194" s="2">
        <f t="shared" si="19"/>
        <v>7</v>
      </c>
      <c r="Y194" s="2"/>
      <c r="Z194" s="480"/>
    </row>
    <row r="195" spans="2:26" x14ac:dyDescent="0.15">
      <c r="B195" s="202"/>
      <c r="C195" s="4">
        <v>8</v>
      </c>
      <c r="D195" s="2">
        <f t="shared" si="18"/>
        <v>0</v>
      </c>
      <c r="E195" s="2">
        <f>IF(D195&gt;0,-(D195+$B$193)*($E$13/'Loan Amortization'!$D$8),0)</f>
        <v>0</v>
      </c>
      <c r="F195" s="2">
        <f t="shared" si="18"/>
        <v>0</v>
      </c>
      <c r="G195" s="2">
        <f>IF(F195&gt;0,-(F195+$B$193)*($E$13/'Loan Amortization'!$D$8),0)</f>
        <v>0</v>
      </c>
      <c r="H195" s="2">
        <f t="shared" si="18"/>
        <v>0</v>
      </c>
      <c r="I195" s="2">
        <f>IF(H195&gt;0,-(H195+$B$193)*($E$13/'Loan Amortization'!$D$8),0)</f>
        <v>0</v>
      </c>
      <c r="J195" s="2">
        <f t="shared" si="18"/>
        <v>0</v>
      </c>
      <c r="K195" s="2">
        <f>IF(J195&gt;0,-(J195+$B$193)*($E$13/'Loan Amortization'!$D$8),0)</f>
        <v>0</v>
      </c>
      <c r="L195" s="2">
        <f t="shared" si="18"/>
        <v>0</v>
      </c>
      <c r="M195" s="2">
        <f>IF(L195&gt;0,-(L195+$B$193)*($E$13/'Loan Amortization'!$D$8),0)</f>
        <v>0</v>
      </c>
      <c r="N195" s="2">
        <f t="shared" si="18"/>
        <v>0</v>
      </c>
      <c r="O195" s="2">
        <f>IF(N195&gt;0,-(N195+$B$193)*($E$13/'Loan Amortization'!$D$8),0)</f>
        <v>0</v>
      </c>
      <c r="P195" s="2">
        <f t="shared" si="18"/>
        <v>0</v>
      </c>
      <c r="Q195" s="2">
        <f>IF(P195&gt;0,-(P195+$B$193)*($E$13/'Loan Amortization'!$D$8),0)</f>
        <v>0</v>
      </c>
      <c r="R195" s="2">
        <f t="shared" si="18"/>
        <v>0</v>
      </c>
      <c r="S195" s="2">
        <f>IF(R195&gt;0,-(R195+$B$193)*($E$13/'Loan Amortization'!$D$8),0)</f>
        <v>0</v>
      </c>
      <c r="T195" s="2">
        <f t="shared" si="18"/>
        <v>0</v>
      </c>
      <c r="U195" s="2">
        <f>IF(T195&gt;0,-(T195+$B$193)*($E$13/'Loan Amortization'!$D$8),0)</f>
        <v>0</v>
      </c>
      <c r="V195" s="2">
        <f t="shared" si="18"/>
        <v>0</v>
      </c>
      <c r="W195" s="2">
        <f>IF(V195&gt;0,-(V195+$B$193)*($E$13/'Loan Amortization'!$D$8),0)</f>
        <v>0</v>
      </c>
      <c r="X195" s="2">
        <f t="shared" si="19"/>
        <v>8</v>
      </c>
      <c r="Y195" s="2"/>
      <c r="Z195" s="480"/>
    </row>
    <row r="196" spans="2:26" x14ac:dyDescent="0.15">
      <c r="B196" s="202"/>
      <c r="C196" s="4">
        <v>9</v>
      </c>
      <c r="D196" s="2">
        <f t="shared" si="18"/>
        <v>0</v>
      </c>
      <c r="E196" s="2">
        <f>IF(D196&gt;0,-(D196+$B$193)*($E$13/'Loan Amortization'!$D$8),0)</f>
        <v>0</v>
      </c>
      <c r="F196" s="2">
        <f t="shared" si="18"/>
        <v>0</v>
      </c>
      <c r="G196" s="2">
        <f>IF(F196&gt;0,-(F196+$B$193)*($E$13/'Loan Amortization'!$D$8),0)</f>
        <v>0</v>
      </c>
      <c r="H196" s="2">
        <f t="shared" si="18"/>
        <v>0</v>
      </c>
      <c r="I196" s="2">
        <f>IF(H196&gt;0,-(H196+$B$193)*($E$13/'Loan Amortization'!$D$8),0)</f>
        <v>0</v>
      </c>
      <c r="J196" s="2">
        <f t="shared" si="18"/>
        <v>0</v>
      </c>
      <c r="K196" s="2">
        <f>IF(J196&gt;0,-(J196+$B$193)*($E$13/'Loan Amortization'!$D$8),0)</f>
        <v>0</v>
      </c>
      <c r="L196" s="2">
        <f t="shared" si="18"/>
        <v>0</v>
      </c>
      <c r="M196" s="2">
        <f>IF(L196&gt;0,-(L196+$B$193)*($E$13/'Loan Amortization'!$D$8),0)</f>
        <v>0</v>
      </c>
      <c r="N196" s="2">
        <f t="shared" si="18"/>
        <v>0</v>
      </c>
      <c r="O196" s="2">
        <f>IF(N196&gt;0,-(N196+$B$193)*($E$13/'Loan Amortization'!$D$8),0)</f>
        <v>0</v>
      </c>
      <c r="P196" s="2">
        <f t="shared" si="18"/>
        <v>0</v>
      </c>
      <c r="Q196" s="2">
        <f>IF(P196&gt;0,-(P196+$B$193)*($E$13/'Loan Amortization'!$D$8),0)</f>
        <v>0</v>
      </c>
      <c r="R196" s="2">
        <f t="shared" si="18"/>
        <v>0</v>
      </c>
      <c r="S196" s="2">
        <f>IF(R196&gt;0,-(R196+$B$193)*($E$13/'Loan Amortization'!$D$8),0)</f>
        <v>0</v>
      </c>
      <c r="T196" s="2">
        <f t="shared" si="18"/>
        <v>0</v>
      </c>
      <c r="U196" s="2">
        <f>IF(T196&gt;0,-(T196+$B$193)*($E$13/'Loan Amortization'!$D$8),0)</f>
        <v>0</v>
      </c>
      <c r="V196" s="2">
        <f t="shared" si="18"/>
        <v>0</v>
      </c>
      <c r="W196" s="2">
        <f>IF(V196&gt;0,-(V196+$B$193)*($E$13/'Loan Amortization'!$D$8),0)</f>
        <v>0</v>
      </c>
      <c r="X196" s="2">
        <f t="shared" si="19"/>
        <v>9</v>
      </c>
      <c r="Y196" s="2"/>
      <c r="Z196" s="480"/>
    </row>
    <row r="197" spans="2:26" x14ac:dyDescent="0.15">
      <c r="B197" s="202"/>
      <c r="C197" s="4">
        <v>10</v>
      </c>
      <c r="D197" s="2">
        <f t="shared" si="18"/>
        <v>0</v>
      </c>
      <c r="E197" s="2">
        <f>IF(D197&gt;0,-(D197+$B$193)*($E$13/'Loan Amortization'!$D$8),0)</f>
        <v>0</v>
      </c>
      <c r="F197" s="2">
        <f t="shared" si="18"/>
        <v>0</v>
      </c>
      <c r="G197" s="2">
        <f>IF(F197&gt;0,-(F197+$B$193)*($E$13/'Loan Amortization'!$D$8),0)</f>
        <v>0</v>
      </c>
      <c r="H197" s="2">
        <f t="shared" si="18"/>
        <v>0</v>
      </c>
      <c r="I197" s="2">
        <f>IF(H197&gt;0,-(H197+$B$193)*($E$13/'Loan Amortization'!$D$8),0)</f>
        <v>0</v>
      </c>
      <c r="J197" s="2">
        <f t="shared" si="18"/>
        <v>0</v>
      </c>
      <c r="K197" s="2">
        <f>IF(J197&gt;0,-(J197+$B$193)*($E$13/'Loan Amortization'!$D$8),0)</f>
        <v>0</v>
      </c>
      <c r="L197" s="2">
        <f t="shared" si="18"/>
        <v>0</v>
      </c>
      <c r="M197" s="2">
        <f>IF(L197&gt;0,-(L197+$B$193)*($E$13/'Loan Amortization'!$D$8),0)</f>
        <v>0</v>
      </c>
      <c r="N197" s="2">
        <f t="shared" si="18"/>
        <v>0</v>
      </c>
      <c r="O197" s="2">
        <f>IF(N197&gt;0,-(N197+$B$193)*($E$13/'Loan Amortization'!$D$8),0)</f>
        <v>0</v>
      </c>
      <c r="P197" s="2">
        <f t="shared" si="18"/>
        <v>0</v>
      </c>
      <c r="Q197" s="2">
        <f>IF(P197&gt;0,-(P197+$B$193)*($E$13/'Loan Amortization'!$D$8),0)</f>
        <v>0</v>
      </c>
      <c r="R197" s="2">
        <f t="shared" si="18"/>
        <v>0</v>
      </c>
      <c r="S197" s="2">
        <f>IF(R197&gt;0,-(R197+$B$193)*($E$13/'Loan Amortization'!$D$8),0)</f>
        <v>0</v>
      </c>
      <c r="T197" s="2">
        <f t="shared" si="18"/>
        <v>0</v>
      </c>
      <c r="U197" s="2">
        <f>IF(T197&gt;0,-(T197+$B$193)*($E$13/'Loan Amortization'!$D$8),0)</f>
        <v>0</v>
      </c>
      <c r="V197" s="2">
        <f t="shared" si="18"/>
        <v>0</v>
      </c>
      <c r="W197" s="2">
        <f>IF(V197&gt;0,-(V197+$B$193)*($E$13/'Loan Amortization'!$D$8),0)</f>
        <v>0</v>
      </c>
      <c r="X197" s="2">
        <f t="shared" si="19"/>
        <v>10</v>
      </c>
      <c r="Y197" s="2"/>
      <c r="Z197" s="480"/>
    </row>
    <row r="198" spans="2:26" x14ac:dyDescent="0.15">
      <c r="B198" s="202"/>
      <c r="C198" s="4">
        <v>11</v>
      </c>
      <c r="D198" s="2">
        <f t="shared" si="18"/>
        <v>0</v>
      </c>
      <c r="E198" s="2">
        <f>IF(D198&gt;0,-(D198+$B$193)*($E$13/'Loan Amortization'!$D$8),0)</f>
        <v>0</v>
      </c>
      <c r="F198" s="2">
        <f t="shared" si="18"/>
        <v>0</v>
      </c>
      <c r="G198" s="2">
        <f>IF(F198&gt;0,-(F198+$B$193)*($E$13/'Loan Amortization'!$D$8),0)</f>
        <v>0</v>
      </c>
      <c r="H198" s="2">
        <f t="shared" si="18"/>
        <v>0</v>
      </c>
      <c r="I198" s="2">
        <f>IF(H198&gt;0,-(H198+$B$193)*($E$13/'Loan Amortization'!$D$8),0)</f>
        <v>0</v>
      </c>
      <c r="J198" s="2">
        <f t="shared" si="18"/>
        <v>0</v>
      </c>
      <c r="K198" s="2">
        <f>IF(J198&gt;0,-(J198+$B$193)*($E$13/'Loan Amortization'!$D$8),0)</f>
        <v>0</v>
      </c>
      <c r="L198" s="2">
        <f t="shared" si="18"/>
        <v>0</v>
      </c>
      <c r="M198" s="2">
        <f>IF(L198&gt;0,-(L198+$B$193)*($E$13/'Loan Amortization'!$D$8),0)</f>
        <v>0</v>
      </c>
      <c r="N198" s="2">
        <f t="shared" si="18"/>
        <v>0</v>
      </c>
      <c r="O198" s="2">
        <f>IF(N198&gt;0,-(N198+$B$193)*($E$13/'Loan Amortization'!$D$8),0)</f>
        <v>0</v>
      </c>
      <c r="P198" s="2">
        <f t="shared" si="18"/>
        <v>0</v>
      </c>
      <c r="Q198" s="2">
        <f>IF(P198&gt;0,-(P198+$B$193)*($E$13/'Loan Amortization'!$D$8),0)</f>
        <v>0</v>
      </c>
      <c r="R198" s="2">
        <f t="shared" si="18"/>
        <v>0</v>
      </c>
      <c r="S198" s="2">
        <f>IF(R198&gt;0,-(R198+$B$193)*($E$13/'Loan Amortization'!$D$8),0)</f>
        <v>0</v>
      </c>
      <c r="T198" s="2">
        <f t="shared" si="18"/>
        <v>0</v>
      </c>
      <c r="U198" s="2">
        <f>IF(T198&gt;0,-(T198+$B$193)*($E$13/'Loan Amortization'!$D$8),0)</f>
        <v>0</v>
      </c>
      <c r="V198" s="2">
        <f t="shared" si="18"/>
        <v>0</v>
      </c>
      <c r="W198" s="2">
        <f>IF(V198&gt;0,-(V198+$B$193)*($E$13/'Loan Amortization'!$D$8),0)</f>
        <v>0</v>
      </c>
      <c r="X198" s="2">
        <f t="shared" si="19"/>
        <v>11</v>
      </c>
      <c r="Y198" s="2"/>
      <c r="Z198" s="480"/>
    </row>
    <row r="199" spans="2:26" ht="14" thickBot="1" x14ac:dyDescent="0.2">
      <c r="B199" s="202"/>
      <c r="C199" s="4">
        <v>12</v>
      </c>
      <c r="D199" s="2">
        <f t="shared" si="18"/>
        <v>0</v>
      </c>
      <c r="E199" s="2">
        <f>IF(D199&gt;0,-(D199+$B$193)*($E$13/'Loan Amortization'!$D$8),0)</f>
        <v>0</v>
      </c>
      <c r="F199" s="2">
        <f t="shared" si="18"/>
        <v>0</v>
      </c>
      <c r="G199" s="2">
        <f>IF(F199&gt;0,-(F199+$B$193)*($E$13/'Loan Amortization'!$D$8),0)</f>
        <v>0</v>
      </c>
      <c r="H199" s="2">
        <f t="shared" si="18"/>
        <v>0</v>
      </c>
      <c r="I199" s="2">
        <f>IF(H199&gt;0,-(H199+$B$193)*($E$13/'Loan Amortization'!$D$8),0)</f>
        <v>0</v>
      </c>
      <c r="J199" s="2">
        <f t="shared" si="18"/>
        <v>0</v>
      </c>
      <c r="K199" s="2">
        <f>IF(J199&gt;0,-(J199+$B$193)*($E$13/'Loan Amortization'!$D$8),0)</f>
        <v>0</v>
      </c>
      <c r="L199" s="2">
        <f t="shared" si="18"/>
        <v>0</v>
      </c>
      <c r="M199" s="2">
        <f>IF(L199&gt;0,-(L199+$B$193)*($E$13/'Loan Amortization'!$D$8),0)</f>
        <v>0</v>
      </c>
      <c r="N199" s="2">
        <f t="shared" si="18"/>
        <v>0</v>
      </c>
      <c r="O199" s="2">
        <f>IF(N199&gt;0,-(N199+$B$193)*($E$13/'Loan Amortization'!$D$8),0)</f>
        <v>0</v>
      </c>
      <c r="P199" s="2">
        <f t="shared" si="18"/>
        <v>0</v>
      </c>
      <c r="Q199" s="2">
        <f>IF(P199&gt;0,-(P199+$B$193)*($E$13/'Loan Amortization'!$D$8),0)</f>
        <v>0</v>
      </c>
      <c r="R199" s="2">
        <f t="shared" si="18"/>
        <v>0</v>
      </c>
      <c r="S199" s="2">
        <f>IF(R199&gt;0,-(R199+$B$193)*($E$13/'Loan Amortization'!$D$8),0)</f>
        <v>0</v>
      </c>
      <c r="T199" s="2">
        <f t="shared" si="18"/>
        <v>0</v>
      </c>
      <c r="U199" s="2">
        <f>IF(T199&gt;0,-(T199+$B$193)*($E$13/'Loan Amortization'!$D$8),0)</f>
        <v>0</v>
      </c>
      <c r="V199" s="2">
        <f t="shared" si="18"/>
        <v>0</v>
      </c>
      <c r="W199" s="2">
        <f>IF(V199&gt;0,-(V199+$B$193)*($E$13/'Loan Amortization'!$D$8),0)</f>
        <v>0</v>
      </c>
      <c r="X199" s="2">
        <f t="shared" si="19"/>
        <v>12</v>
      </c>
      <c r="Y199" s="2"/>
      <c r="Z199" s="480"/>
    </row>
    <row r="200" spans="2:26" ht="14" thickBot="1" x14ac:dyDescent="0.2">
      <c r="B200" s="541" t="s">
        <v>45</v>
      </c>
      <c r="C200" s="502" t="s">
        <v>663</v>
      </c>
      <c r="D200" s="503">
        <f>'Level Prin Paymt Fin Sens Calc'!D$138</f>
        <v>0</v>
      </c>
      <c r="E200" s="503">
        <f>'Level Prin Paymt Fin Sens Calc'!E$138</f>
        <v>0</v>
      </c>
      <c r="F200" s="503">
        <f>'Level Prin Paymt Fin Sens Calc'!F$138</f>
        <v>0</v>
      </c>
      <c r="G200" s="503">
        <f>'Level Prin Paymt Fin Sens Calc'!G$138</f>
        <v>0</v>
      </c>
      <c r="H200" s="503">
        <f>'Level Prin Paymt Fin Sens Calc'!H$138</f>
        <v>0</v>
      </c>
      <c r="I200" s="503">
        <f>'Level Prin Paymt Fin Sens Calc'!I$138</f>
        <v>0</v>
      </c>
      <c r="J200" s="503">
        <f>'Level Prin Paymt Fin Sens Calc'!J$138</f>
        <v>0</v>
      </c>
      <c r="K200" s="503">
        <f>'Level Prin Paymt Fin Sens Calc'!K$138</f>
        <v>0</v>
      </c>
      <c r="L200" s="503">
        <f>'Level Prin Paymt Fin Sens Calc'!L$138</f>
        <v>0</v>
      </c>
      <c r="M200" s="503">
        <f>'Level Prin Paymt Fin Sens Calc'!M$138</f>
        <v>0</v>
      </c>
      <c r="N200" s="503">
        <f>'Level Prin Paymt Fin Sens Calc'!N$138</f>
        <v>0</v>
      </c>
      <c r="O200" s="503">
        <f>'Level Prin Paymt Fin Sens Calc'!O$138</f>
        <v>0</v>
      </c>
      <c r="P200" s="503">
        <f>'Level Prin Paymt Fin Sens Calc'!P$138</f>
        <v>0</v>
      </c>
      <c r="Q200" s="503">
        <f>'Level Prin Paymt Fin Sens Calc'!Q$138</f>
        <v>0</v>
      </c>
      <c r="R200" s="503">
        <f>'Level Prin Paymt Fin Sens Calc'!R$138</f>
        <v>0</v>
      </c>
      <c r="S200" s="503">
        <f>'Level Prin Paymt Fin Sens Calc'!S$138</f>
        <v>0</v>
      </c>
      <c r="T200" s="503">
        <f>'Level Prin Paymt Fin Sens Calc'!T$138</f>
        <v>0</v>
      </c>
      <c r="U200" s="503">
        <f>'Level Prin Paymt Fin Sens Calc'!U$138</f>
        <v>0</v>
      </c>
      <c r="V200" s="503">
        <f>'Level Prin Paymt Fin Sens Calc'!V$138</f>
        <v>0</v>
      </c>
      <c r="W200" s="503">
        <f>'Level Prin Paymt Fin Sens Calc'!W$138</f>
        <v>0</v>
      </c>
      <c r="X200" s="504">
        <f t="shared" si="19"/>
        <v>0</v>
      </c>
      <c r="Y200" s="501"/>
      <c r="Z200" s="480"/>
    </row>
    <row r="201" spans="2:26" ht="14" thickBot="1" x14ac:dyDescent="0.2">
      <c r="B201" s="478"/>
      <c r="C201" s="520" t="s">
        <v>273</v>
      </c>
      <c r="D201" s="522"/>
      <c r="E201" s="522">
        <f>IF(D187&gt;$L$10,0,IPMT($E$13,D187,$L$10,$B$234))</f>
        <v>0</v>
      </c>
      <c r="F201" s="522"/>
      <c r="G201" s="522">
        <f>IF(F187&gt;$L$10,0,IPMT($E$13,F187,$L$10,$B$234))</f>
        <v>0</v>
      </c>
      <c r="H201" s="522"/>
      <c r="I201" s="522">
        <f>IF(H187&gt;$L$10,0,IPMT($E$13,H187,$L$10,$B$234))</f>
        <v>0</v>
      </c>
      <c r="J201" s="522"/>
      <c r="K201" s="522">
        <f>IF(J187&gt;$L$10,0,IPMT($E$13,J187,$L$10,$B$234))</f>
        <v>0</v>
      </c>
      <c r="L201" s="522"/>
      <c r="M201" s="522">
        <f>IF(L187&gt;$L$10,0,IPMT($E$13,L187,$L$10,$B$234))</f>
        <v>0</v>
      </c>
      <c r="N201" s="522"/>
      <c r="O201" s="522">
        <f>IF(N187&gt;$L$10,0,IPMT($E$13,N187,$L$10,$B$234))</f>
        <v>0</v>
      </c>
      <c r="P201" s="522"/>
      <c r="Q201" s="522">
        <f>IF(P187&gt;$L$10,0,IPMT($E$13,P187,$L$10,$B$234))</f>
        <v>0</v>
      </c>
      <c r="R201" s="522"/>
      <c r="S201" s="522">
        <f>IF(R187&gt;$L$10,0,IPMT($E$13,R187,$L$10,$B$234))</f>
        <v>0</v>
      </c>
      <c r="T201" s="522"/>
      <c r="U201" s="522">
        <f>IF(T187&gt;$L$10,0,IPMT($E$13,T187,$L$10,$B$234))</f>
        <v>0</v>
      </c>
      <c r="V201" s="522"/>
      <c r="W201" s="522">
        <f>IF(V187&gt;$L$10,0,IPMT($E$13,V187,$L$10,$B$234))</f>
        <v>0</v>
      </c>
      <c r="X201" s="504">
        <f t="shared" si="19"/>
        <v>0</v>
      </c>
      <c r="Y201" s="548"/>
      <c r="Z201" s="482"/>
    </row>
    <row r="202" spans="2:26" ht="14" thickBot="1" x14ac:dyDescent="0.2">
      <c r="B202" s="8"/>
      <c r="C202" s="502" t="s">
        <v>664</v>
      </c>
      <c r="D202" s="558">
        <f>D187</f>
        <v>1</v>
      </c>
      <c r="E202" s="559">
        <f>F187</f>
        <v>2</v>
      </c>
      <c r="F202" s="559">
        <f>H187</f>
        <v>3</v>
      </c>
      <c r="G202" s="559">
        <f>J187</f>
        <v>4</v>
      </c>
      <c r="H202" s="559">
        <f>L187</f>
        <v>5</v>
      </c>
      <c r="I202" s="559">
        <f>N187</f>
        <v>6</v>
      </c>
      <c r="J202" s="559">
        <f>P187</f>
        <v>7</v>
      </c>
      <c r="K202" s="559">
        <f>R187</f>
        <v>8</v>
      </c>
      <c r="L202" s="559">
        <f>T187</f>
        <v>9</v>
      </c>
      <c r="M202" s="559">
        <f>V187</f>
        <v>10</v>
      </c>
      <c r="N202" s="560" t="str">
        <f>X187</f>
        <v>TOTAL</v>
      </c>
      <c r="O202" s="2"/>
      <c r="P202" s="2"/>
      <c r="Q202" s="2"/>
      <c r="R202" s="2"/>
      <c r="S202" s="2"/>
      <c r="T202" s="2"/>
      <c r="U202" s="2"/>
      <c r="V202" s="2"/>
      <c r="W202" s="2"/>
      <c r="X202" s="2"/>
      <c r="Y202" s="2"/>
    </row>
    <row r="203" spans="2:26" ht="14" thickBot="1" x14ac:dyDescent="0.2">
      <c r="B203" s="8"/>
      <c r="C203" s="502" t="s">
        <v>663</v>
      </c>
      <c r="D203" s="561">
        <f>D200</f>
        <v>0</v>
      </c>
      <c r="E203" s="2">
        <f>F200</f>
        <v>0</v>
      </c>
      <c r="F203" s="2">
        <f>H200</f>
        <v>0</v>
      </c>
      <c r="G203" s="2">
        <f>J200</f>
        <v>0</v>
      </c>
      <c r="H203" s="2">
        <f>L200</f>
        <v>0</v>
      </c>
      <c r="I203" s="2">
        <f>N200</f>
        <v>0</v>
      </c>
      <c r="J203" s="2">
        <f>P200</f>
        <v>0</v>
      </c>
      <c r="K203" s="2">
        <f>R200</f>
        <v>0</v>
      </c>
      <c r="L203" s="2">
        <f>T200</f>
        <v>0</v>
      </c>
      <c r="M203" s="2">
        <f>V200</f>
        <v>0</v>
      </c>
      <c r="N203" s="501">
        <f>X200</f>
        <v>0</v>
      </c>
      <c r="O203" s="2"/>
      <c r="P203" s="2"/>
      <c r="Q203" s="2"/>
      <c r="R203" s="2"/>
      <c r="S203" s="2"/>
      <c r="T203" s="2"/>
      <c r="U203" s="2"/>
      <c r="V203" s="2"/>
      <c r="W203" s="2"/>
      <c r="X203" s="2"/>
      <c r="Y203" s="2"/>
    </row>
    <row r="204" spans="2:26" ht="14" thickBot="1" x14ac:dyDescent="0.2">
      <c r="B204" s="8"/>
      <c r="C204" s="520" t="s">
        <v>273</v>
      </c>
      <c r="D204" s="562">
        <f>E201</f>
        <v>0</v>
      </c>
      <c r="E204" s="522">
        <f>G201</f>
        <v>0</v>
      </c>
      <c r="F204" s="522">
        <f>I201</f>
        <v>0</v>
      </c>
      <c r="G204" s="522">
        <f>K201</f>
        <v>0</v>
      </c>
      <c r="H204" s="522">
        <f>M201</f>
        <v>0</v>
      </c>
      <c r="I204" s="522">
        <f>O201</f>
        <v>0</v>
      </c>
      <c r="J204" s="522">
        <f>Q201</f>
        <v>0</v>
      </c>
      <c r="K204" s="522">
        <f>S201</f>
        <v>0</v>
      </c>
      <c r="L204" s="522">
        <f>U201</f>
        <v>0</v>
      </c>
      <c r="M204" s="522">
        <f>W201</f>
        <v>0</v>
      </c>
      <c r="N204" s="548">
        <f>X201</f>
        <v>0</v>
      </c>
      <c r="O204" s="2"/>
      <c r="P204" s="2"/>
      <c r="Q204" s="2"/>
      <c r="R204" s="2"/>
      <c r="S204" s="2"/>
      <c r="T204" s="2"/>
      <c r="U204" s="2"/>
      <c r="V204" s="2"/>
      <c r="W204" s="2"/>
      <c r="X204" s="2"/>
      <c r="Y204" s="2"/>
    </row>
    <row r="206" spans="2:26" ht="14" thickBot="1" x14ac:dyDescent="0.2"/>
    <row r="207" spans="2:26" ht="14" thickBot="1" x14ac:dyDescent="0.2">
      <c r="B207" s="481" t="s">
        <v>421</v>
      </c>
      <c r="C207" s="178"/>
      <c r="D207" s="483" t="s">
        <v>133</v>
      </c>
      <c r="E207" s="483"/>
      <c r="F207" s="483" t="s">
        <v>133</v>
      </c>
      <c r="G207" s="483"/>
      <c r="H207" s="483" t="s">
        <v>133</v>
      </c>
      <c r="I207" s="483"/>
      <c r="J207" s="483" t="s">
        <v>133</v>
      </c>
      <c r="K207" s="483"/>
      <c r="L207" s="483" t="s">
        <v>133</v>
      </c>
      <c r="M207" s="483"/>
      <c r="N207" s="483" t="s">
        <v>133</v>
      </c>
      <c r="O207" s="483"/>
      <c r="P207" s="483" t="s">
        <v>133</v>
      </c>
      <c r="Q207" s="483"/>
      <c r="R207" s="483" t="s">
        <v>133</v>
      </c>
      <c r="S207" s="483"/>
      <c r="T207" s="483" t="s">
        <v>133</v>
      </c>
      <c r="U207" s="483"/>
      <c r="V207" s="483" t="s">
        <v>133</v>
      </c>
      <c r="W207" s="483"/>
      <c r="X207" s="178"/>
      <c r="Y207" s="178"/>
      <c r="Z207" s="499" t="str">
        <f>B207</f>
        <v>+20%</v>
      </c>
    </row>
    <row r="208" spans="2:26" x14ac:dyDescent="0.15">
      <c r="B208" s="426"/>
      <c r="C208" s="4" t="s">
        <v>660</v>
      </c>
      <c r="D208" s="4">
        <v>1</v>
      </c>
      <c r="E208" s="4"/>
      <c r="F208" s="4">
        <f>D208+1</f>
        <v>2</v>
      </c>
      <c r="G208" s="4"/>
      <c r="H208" s="4">
        <f>F208+1</f>
        <v>3</v>
      </c>
      <c r="I208" s="4"/>
      <c r="J208" s="4">
        <f>H208+1</f>
        <v>4</v>
      </c>
      <c r="K208" s="4"/>
      <c r="L208" s="4">
        <f>J208+1</f>
        <v>5</v>
      </c>
      <c r="M208" s="4"/>
      <c r="N208" s="4">
        <f>L208+1</f>
        <v>6</v>
      </c>
      <c r="O208" s="4"/>
      <c r="P208" s="4">
        <f>N208+1</f>
        <v>7</v>
      </c>
      <c r="Q208" s="4"/>
      <c r="R208" s="4">
        <f>P208+1</f>
        <v>8</v>
      </c>
      <c r="S208" s="4"/>
      <c r="T208" s="4">
        <f>R208+1</f>
        <v>9</v>
      </c>
      <c r="U208" s="4"/>
      <c r="V208" s="4">
        <f>T208+1</f>
        <v>10</v>
      </c>
      <c r="W208" s="4"/>
      <c r="X208" t="s">
        <v>285</v>
      </c>
      <c r="Z208" s="479"/>
    </row>
    <row r="209" spans="2:26" x14ac:dyDescent="0.15">
      <c r="B209" s="202" t="s">
        <v>661</v>
      </c>
      <c r="C209" s="4">
        <v>1</v>
      </c>
      <c r="D209" s="2">
        <f>IF(D$19&lt;($L$10+1),$B$213-((((D$19-1)*12)+$C209)*$B$214),0)</f>
        <v>0</v>
      </c>
      <c r="E209" s="2">
        <f>IF(D209&gt;0,-(D209+$B$214)*($E$14/'Loan Amortization'!$D$8),0)</f>
        <v>0</v>
      </c>
      <c r="F209" s="2">
        <f>IF(F$19&lt;($L$10+1),$B$213-((((F$19-1)*12)+$C209)*$B$214),0)</f>
        <v>0</v>
      </c>
      <c r="G209" s="2">
        <f>IF(F209&gt;0,-(F209+$B$214)*($E$14/'Loan Amortization'!$D$8),0)</f>
        <v>0</v>
      </c>
      <c r="H209" s="2">
        <f>IF(H$19&lt;($L$10+1),$B$213-((((H$19-1)*12)+$C209)*$B$214),0)</f>
        <v>0</v>
      </c>
      <c r="I209" s="2">
        <f>IF(H209&gt;0,-(H209+$B$214)*($E$14/'Loan Amortization'!$D$8),0)</f>
        <v>0</v>
      </c>
      <c r="J209" s="2">
        <f>IF(J$19&lt;($L$10+1),$B$213-((((J$19-1)*12)+$C209)*$B$214),0)</f>
        <v>0</v>
      </c>
      <c r="K209" s="2">
        <f>IF(J209&gt;0,-(J209+$B$214)*($E$14/'Loan Amortization'!$D$8),0)</f>
        <v>0</v>
      </c>
      <c r="L209" s="2">
        <f>IF(L$19&lt;($L$10+1),$B$213-((((L$19-1)*12)+$C209)*$B$214),0)</f>
        <v>0</v>
      </c>
      <c r="M209" s="2">
        <f>IF(L209&gt;0,-(L209+$B$214)*($E$14/'Loan Amortization'!$D$8),0)</f>
        <v>0</v>
      </c>
      <c r="N209" s="2">
        <f>IF(N$19&lt;($L$10+1),$B$213-((((N$19-1)*12)+$C209)*$B$214),0)</f>
        <v>0</v>
      </c>
      <c r="O209" s="2">
        <f>IF(N209&gt;0,-(N209+$B$214)*($E$14/'Loan Amortization'!$D$8),0)</f>
        <v>0</v>
      </c>
      <c r="P209" s="2">
        <f>IF(P$19&lt;($L$10+1),$B$213-((((P$19-1)*12)+$C209)*$B$214),0)</f>
        <v>0</v>
      </c>
      <c r="Q209" s="2">
        <f>IF(P209&gt;0,-(P209+$B$214)*($E$14/'Loan Amortization'!$D$8),0)</f>
        <v>0</v>
      </c>
      <c r="R209" s="2">
        <f>IF(R$19&lt;($L$10+1),$B$213-((((R$19-1)*12)+$C209)*$B$214),0)</f>
        <v>0</v>
      </c>
      <c r="S209" s="2">
        <f>IF(R209&gt;0,-(R209+$B$214)*($E$14/'Loan Amortization'!$D$8),0)</f>
        <v>0</v>
      </c>
      <c r="T209" s="2">
        <f>IF(T$19&lt;($L$10+1),$B$213-((((T$19-1)*12)+$C209)*$B$214),0)</f>
        <v>0</v>
      </c>
      <c r="U209" s="2">
        <f>IF(T209&gt;0,-(T209+$B$214)*($E$14/'Loan Amortization'!$D$8),0)</f>
        <v>0</v>
      </c>
      <c r="V209" s="2">
        <f>IF(V$19&lt;($L$10+1),$B$213-((((V$19-1)*12)+$C209)*$B$214),0)</f>
        <v>0</v>
      </c>
      <c r="W209" s="2">
        <f>IF(V209&gt;0,-(V209+$B$214)*($E$14/'Loan Amortization'!$D$8),0)</f>
        <v>0</v>
      </c>
      <c r="X209" s="2">
        <f>SUM(C209:V209)</f>
        <v>1</v>
      </c>
      <c r="Y209" s="2"/>
      <c r="Z209" s="480"/>
    </row>
    <row r="210" spans="2:26" x14ac:dyDescent="0.15">
      <c r="B210" s="511">
        <f>-PMT($L$6/12,$L$10*12,C14)</f>
        <v>0</v>
      </c>
      <c r="C210" s="4">
        <v>2</v>
      </c>
      <c r="D210" s="2">
        <f t="shared" ref="D210:V220" si="20">IF(D$19&lt;($L$10+1),$B$213-((((D$19-1)*12)+$C210)*$B$214),0)</f>
        <v>0</v>
      </c>
      <c r="E210" s="2">
        <f>IF(D210&gt;0,-(D210+$B$214)*($E$14/'Loan Amortization'!$D$8),0)</f>
        <v>0</v>
      </c>
      <c r="F210" s="2">
        <f t="shared" si="20"/>
        <v>0</v>
      </c>
      <c r="G210" s="2">
        <f>IF(F210&gt;0,-(F210+$B$214)*($E$14/'Loan Amortization'!$D$8),0)</f>
        <v>0</v>
      </c>
      <c r="H210" s="2">
        <f t="shared" si="20"/>
        <v>0</v>
      </c>
      <c r="I210" s="2">
        <f>IF(H210&gt;0,-(H210+$B$214)*($E$14/'Loan Amortization'!$D$8),0)</f>
        <v>0</v>
      </c>
      <c r="J210" s="2">
        <f t="shared" si="20"/>
        <v>0</v>
      </c>
      <c r="K210" s="2">
        <f>IF(J210&gt;0,-(J210+$B$214)*($E$14/'Loan Amortization'!$D$8),0)</f>
        <v>0</v>
      </c>
      <c r="L210" s="2">
        <f t="shared" si="20"/>
        <v>0</v>
      </c>
      <c r="M210" s="2">
        <f>IF(L210&gt;0,-(L210+$B$214)*($E$14/'Loan Amortization'!$D$8),0)</f>
        <v>0</v>
      </c>
      <c r="N210" s="2">
        <f t="shared" si="20"/>
        <v>0</v>
      </c>
      <c r="O210" s="2">
        <f>IF(N210&gt;0,-(N210+$B$214)*($E$14/'Loan Amortization'!$D$8),0)</f>
        <v>0</v>
      </c>
      <c r="P210" s="2">
        <f t="shared" si="20"/>
        <v>0</v>
      </c>
      <c r="Q210" s="2">
        <f>IF(P210&gt;0,-(P210+$B$214)*($E$14/'Loan Amortization'!$D$8),0)</f>
        <v>0</v>
      </c>
      <c r="R210" s="2">
        <f t="shared" si="20"/>
        <v>0</v>
      </c>
      <c r="S210" s="2">
        <f>IF(R210&gt;0,-(R210+$B$214)*($E$14/'Loan Amortization'!$D$8),0)</f>
        <v>0</v>
      </c>
      <c r="T210" s="2">
        <f t="shared" si="20"/>
        <v>0</v>
      </c>
      <c r="U210" s="2">
        <f>IF(T210&gt;0,-(T210+$B$214)*($E$14/'Loan Amortization'!$D$8),0)</f>
        <v>0</v>
      </c>
      <c r="V210" s="2">
        <f t="shared" si="20"/>
        <v>0</v>
      </c>
      <c r="W210" s="2">
        <f>IF(V210&gt;0,-(V210+$B$214)*($E$14/'Loan Amortization'!$D$8),0)</f>
        <v>0</v>
      </c>
      <c r="X210" s="2">
        <f t="shared" ref="X210:X222" si="21">SUM(C210:V210)</f>
        <v>2</v>
      </c>
      <c r="Y210" s="2"/>
      <c r="Z210" s="480"/>
    </row>
    <row r="211" spans="2:26" x14ac:dyDescent="0.15">
      <c r="B211" s="540">
        <f>B210*12</f>
        <v>0</v>
      </c>
      <c r="C211" s="4">
        <v>3</v>
      </c>
      <c r="D211" s="2">
        <f t="shared" si="20"/>
        <v>0</v>
      </c>
      <c r="E211" s="2">
        <f>IF(D211&gt;0,-(D211+$B$214)*($E$14/'Loan Amortization'!$D$8),0)</f>
        <v>0</v>
      </c>
      <c r="F211" s="2">
        <f t="shared" si="20"/>
        <v>0</v>
      </c>
      <c r="G211" s="2">
        <f>IF(F211&gt;0,-(F211+$B$214)*($E$14/'Loan Amortization'!$D$8),0)</f>
        <v>0</v>
      </c>
      <c r="H211" s="2">
        <f t="shared" si="20"/>
        <v>0</v>
      </c>
      <c r="I211" s="2">
        <f>IF(H211&gt;0,-(H211+$B$214)*($E$14/'Loan Amortization'!$D$8),0)</f>
        <v>0</v>
      </c>
      <c r="J211" s="2">
        <f t="shared" si="20"/>
        <v>0</v>
      </c>
      <c r="K211" s="2">
        <f>IF(J211&gt;0,-(J211+$B$214)*($E$14/'Loan Amortization'!$D$8),0)</f>
        <v>0</v>
      </c>
      <c r="L211" s="2">
        <f t="shared" si="20"/>
        <v>0</v>
      </c>
      <c r="M211" s="2">
        <f>IF(L211&gt;0,-(L211+$B$214)*($E$14/'Loan Amortization'!$D$8),0)</f>
        <v>0</v>
      </c>
      <c r="N211" s="2">
        <f t="shared" si="20"/>
        <v>0</v>
      </c>
      <c r="O211" s="2">
        <f>IF(N211&gt;0,-(N211+$B$214)*($E$14/'Loan Amortization'!$D$8),0)</f>
        <v>0</v>
      </c>
      <c r="P211" s="2">
        <f t="shared" si="20"/>
        <v>0</v>
      </c>
      <c r="Q211" s="2">
        <f>IF(P211&gt;0,-(P211+$B$214)*($E$14/'Loan Amortization'!$D$8),0)</f>
        <v>0</v>
      </c>
      <c r="R211" s="2">
        <f t="shared" si="20"/>
        <v>0</v>
      </c>
      <c r="S211" s="2">
        <f>IF(R211&gt;0,-(R211+$B$214)*($E$14/'Loan Amortization'!$D$8),0)</f>
        <v>0</v>
      </c>
      <c r="T211" s="2">
        <f t="shared" si="20"/>
        <v>0</v>
      </c>
      <c r="U211" s="2">
        <f>IF(T211&gt;0,-(T211+$B$214)*($E$14/'Loan Amortization'!$D$8),0)</f>
        <v>0</v>
      </c>
      <c r="V211" s="2">
        <f t="shared" si="20"/>
        <v>0</v>
      </c>
      <c r="W211" s="2">
        <f>IF(V211&gt;0,-(V211+$B$214)*($E$14/'Loan Amortization'!$D$8),0)</f>
        <v>0</v>
      </c>
      <c r="X211" s="2">
        <f t="shared" si="21"/>
        <v>3</v>
      </c>
      <c r="Y211" s="2"/>
      <c r="Z211" s="480"/>
    </row>
    <row r="212" spans="2:26" x14ac:dyDescent="0.15">
      <c r="B212" s="202" t="s">
        <v>662</v>
      </c>
      <c r="C212" s="4">
        <v>4</v>
      </c>
      <c r="D212" s="2">
        <f t="shared" si="20"/>
        <v>0</v>
      </c>
      <c r="E212" s="2">
        <f>IF(D212&gt;0,-(D212+$B$214)*($E$14/'Loan Amortization'!$D$8),0)</f>
        <v>0</v>
      </c>
      <c r="F212" s="2">
        <f t="shared" si="20"/>
        <v>0</v>
      </c>
      <c r="G212" s="2">
        <f>IF(F212&gt;0,-(F212+$B$214)*($E$14/'Loan Amortization'!$D$8),0)</f>
        <v>0</v>
      </c>
      <c r="H212" s="2">
        <f t="shared" si="20"/>
        <v>0</v>
      </c>
      <c r="I212" s="2">
        <f>IF(H212&gt;0,-(H212+$B$214)*($E$14/'Loan Amortization'!$D$8),0)</f>
        <v>0</v>
      </c>
      <c r="J212" s="2">
        <f t="shared" si="20"/>
        <v>0</v>
      </c>
      <c r="K212" s="2">
        <f>IF(J212&gt;0,-(J212+$B$214)*($E$14/'Loan Amortization'!$D$8),0)</f>
        <v>0</v>
      </c>
      <c r="L212" s="2">
        <f t="shared" si="20"/>
        <v>0</v>
      </c>
      <c r="M212" s="2">
        <f>IF(L212&gt;0,-(L212+$B$214)*($E$14/'Loan Amortization'!$D$8),0)</f>
        <v>0</v>
      </c>
      <c r="N212" s="2">
        <f t="shared" si="20"/>
        <v>0</v>
      </c>
      <c r="O212" s="2">
        <f>IF(N212&gt;0,-(N212+$B$214)*($E$14/'Loan Amortization'!$D$8),0)</f>
        <v>0</v>
      </c>
      <c r="P212" s="2">
        <f t="shared" si="20"/>
        <v>0</v>
      </c>
      <c r="Q212" s="2">
        <f>IF(P212&gt;0,-(P212+$B$214)*($E$14/'Loan Amortization'!$D$8),0)</f>
        <v>0</v>
      </c>
      <c r="R212" s="2">
        <f t="shared" si="20"/>
        <v>0</v>
      </c>
      <c r="S212" s="2">
        <f>IF(R212&gt;0,-(R212+$B$214)*($E$14/'Loan Amortization'!$D$8),0)</f>
        <v>0</v>
      </c>
      <c r="T212" s="2">
        <f t="shared" si="20"/>
        <v>0</v>
      </c>
      <c r="U212" s="2">
        <f>IF(T212&gt;0,-(T212+$B$214)*($E$14/'Loan Amortization'!$D$8),0)</f>
        <v>0</v>
      </c>
      <c r="V212" s="2">
        <f t="shared" si="20"/>
        <v>0</v>
      </c>
      <c r="W212" s="2">
        <f>IF(V212&gt;0,-(V212+$B$214)*($E$14/'Loan Amortization'!$D$8),0)</f>
        <v>0</v>
      </c>
      <c r="X212" s="2">
        <f t="shared" si="21"/>
        <v>4</v>
      </c>
      <c r="Y212" s="2"/>
      <c r="Z212" s="480"/>
    </row>
    <row r="213" spans="2:26" x14ac:dyDescent="0.15">
      <c r="B213" s="521">
        <f>C14</f>
        <v>0</v>
      </c>
      <c r="C213" s="4">
        <v>5</v>
      </c>
      <c r="D213" s="2">
        <f t="shared" si="20"/>
        <v>0</v>
      </c>
      <c r="E213" s="2">
        <f>IF(D213&gt;0,-(D213+$B$214)*($E$14/'Loan Amortization'!$D$8),0)</f>
        <v>0</v>
      </c>
      <c r="F213" s="2">
        <f t="shared" si="20"/>
        <v>0</v>
      </c>
      <c r="G213" s="2">
        <f>IF(F213&gt;0,-(F213+$B$214)*($E$14/'Loan Amortization'!$D$8),0)</f>
        <v>0</v>
      </c>
      <c r="H213" s="2">
        <f t="shared" si="20"/>
        <v>0</v>
      </c>
      <c r="I213" s="2">
        <f>IF(H213&gt;0,-(H213+$B$214)*($E$14/'Loan Amortization'!$D$8),0)</f>
        <v>0</v>
      </c>
      <c r="J213" s="2">
        <f t="shared" si="20"/>
        <v>0</v>
      </c>
      <c r="K213" s="2">
        <f>IF(J213&gt;0,-(J213+$B$214)*($E$14/'Loan Amortization'!$D$8),0)</f>
        <v>0</v>
      </c>
      <c r="L213" s="2">
        <f t="shared" si="20"/>
        <v>0</v>
      </c>
      <c r="M213" s="2">
        <f>IF(L213&gt;0,-(L213+$B$214)*($E$14/'Loan Amortization'!$D$8),0)</f>
        <v>0</v>
      </c>
      <c r="N213" s="2">
        <f t="shared" si="20"/>
        <v>0</v>
      </c>
      <c r="O213" s="2">
        <f>IF(N213&gt;0,-(N213+$B$214)*($E$14/'Loan Amortization'!$D$8),0)</f>
        <v>0</v>
      </c>
      <c r="P213" s="2">
        <f t="shared" si="20"/>
        <v>0</v>
      </c>
      <c r="Q213" s="2">
        <f>IF(P213&gt;0,-(P213+$B$214)*($E$14/'Loan Amortization'!$D$8),0)</f>
        <v>0</v>
      </c>
      <c r="R213" s="2">
        <f t="shared" si="20"/>
        <v>0</v>
      </c>
      <c r="S213" s="2">
        <f>IF(R213&gt;0,-(R213+$B$214)*($E$14/'Loan Amortization'!$D$8),0)</f>
        <v>0</v>
      </c>
      <c r="T213" s="2">
        <f t="shared" si="20"/>
        <v>0</v>
      </c>
      <c r="U213" s="2">
        <f>IF(T213&gt;0,-(T213+$B$214)*($E$14/'Loan Amortization'!$D$8),0)</f>
        <v>0</v>
      </c>
      <c r="V213" s="2">
        <f t="shared" si="20"/>
        <v>0</v>
      </c>
      <c r="W213" s="2">
        <f>IF(V213&gt;0,-(V213+$B$214)*($E$14/'Loan Amortization'!$D$8),0)</f>
        <v>0</v>
      </c>
      <c r="X213" s="2">
        <f t="shared" si="21"/>
        <v>5</v>
      </c>
      <c r="Y213" s="2"/>
      <c r="Z213" s="480"/>
    </row>
    <row r="214" spans="2:26" x14ac:dyDescent="0.15">
      <c r="B214" s="521">
        <f>B213/($L$10*12)</f>
        <v>0</v>
      </c>
      <c r="C214" s="4">
        <v>6</v>
      </c>
      <c r="D214" s="2">
        <f t="shared" si="20"/>
        <v>0</v>
      </c>
      <c r="E214" s="2">
        <f>IF(D214&gt;0,-(D214+$B$214)*($E$14/'Loan Amortization'!$D$8),0)</f>
        <v>0</v>
      </c>
      <c r="F214" s="2">
        <f t="shared" si="20"/>
        <v>0</v>
      </c>
      <c r="G214" s="2">
        <f>IF(F214&gt;0,-(F214+$B$214)*($E$14/'Loan Amortization'!$D$8),0)</f>
        <v>0</v>
      </c>
      <c r="H214" s="2">
        <f t="shared" si="20"/>
        <v>0</v>
      </c>
      <c r="I214" s="2">
        <f>IF(H214&gt;0,-(H214+$B$214)*($E$14/'Loan Amortization'!$D$8),0)</f>
        <v>0</v>
      </c>
      <c r="J214" s="2">
        <f t="shared" si="20"/>
        <v>0</v>
      </c>
      <c r="K214" s="2">
        <f>IF(J214&gt;0,-(J214+$B$214)*($E$14/'Loan Amortization'!$D$8),0)</f>
        <v>0</v>
      </c>
      <c r="L214" s="2">
        <f t="shared" si="20"/>
        <v>0</v>
      </c>
      <c r="M214" s="2">
        <f>IF(L214&gt;0,-(L214+$B$214)*($E$14/'Loan Amortization'!$D$8),0)</f>
        <v>0</v>
      </c>
      <c r="N214" s="2">
        <f t="shared" si="20"/>
        <v>0</v>
      </c>
      <c r="O214" s="2">
        <f>IF(N214&gt;0,-(N214+$B$214)*($E$14/'Loan Amortization'!$D$8),0)</f>
        <v>0</v>
      </c>
      <c r="P214" s="2">
        <f t="shared" si="20"/>
        <v>0</v>
      </c>
      <c r="Q214" s="2">
        <f>IF(P214&gt;0,-(P214+$B$214)*($E$14/'Loan Amortization'!$D$8),0)</f>
        <v>0</v>
      </c>
      <c r="R214" s="2">
        <f t="shared" si="20"/>
        <v>0</v>
      </c>
      <c r="S214" s="2">
        <f>IF(R214&gt;0,-(R214+$B$214)*($E$14/'Loan Amortization'!$D$8),0)</f>
        <v>0</v>
      </c>
      <c r="T214" s="2">
        <f t="shared" si="20"/>
        <v>0</v>
      </c>
      <c r="U214" s="2">
        <f>IF(T214&gt;0,-(T214+$B$214)*($E$14/'Loan Amortization'!$D$8),0)</f>
        <v>0</v>
      </c>
      <c r="V214" s="2">
        <f t="shared" si="20"/>
        <v>0</v>
      </c>
      <c r="W214" s="2">
        <f>IF(V214&gt;0,-(V214+$B$214)*($E$14/'Loan Amortization'!$D$8),0)</f>
        <v>0</v>
      </c>
      <c r="X214" s="2">
        <f t="shared" si="21"/>
        <v>6</v>
      </c>
      <c r="Y214" s="2"/>
      <c r="Z214" s="480"/>
    </row>
    <row r="215" spans="2:26" x14ac:dyDescent="0.15">
      <c r="B215" s="202"/>
      <c r="C215" s="4">
        <v>7</v>
      </c>
      <c r="D215" s="2">
        <f t="shared" si="20"/>
        <v>0</v>
      </c>
      <c r="E215" s="2">
        <f>IF(D215&gt;0,-(D215+$B$214)*($E$14/'Loan Amortization'!$D$8),0)</f>
        <v>0</v>
      </c>
      <c r="F215" s="2">
        <f t="shared" si="20"/>
        <v>0</v>
      </c>
      <c r="G215" s="2">
        <f>IF(F215&gt;0,-(F215+$B$214)*($E$14/'Loan Amortization'!$D$8),0)</f>
        <v>0</v>
      </c>
      <c r="H215" s="2">
        <f t="shared" si="20"/>
        <v>0</v>
      </c>
      <c r="I215" s="2">
        <f>IF(H215&gt;0,-(H215+$B$214)*($E$14/'Loan Amortization'!$D$8),0)</f>
        <v>0</v>
      </c>
      <c r="J215" s="2">
        <f t="shared" si="20"/>
        <v>0</v>
      </c>
      <c r="K215" s="2">
        <f>IF(J215&gt;0,-(J215+$B$214)*($E$14/'Loan Amortization'!$D$8),0)</f>
        <v>0</v>
      </c>
      <c r="L215" s="2">
        <f t="shared" si="20"/>
        <v>0</v>
      </c>
      <c r="M215" s="2">
        <f>IF(L215&gt;0,-(L215+$B$214)*($E$14/'Loan Amortization'!$D$8),0)</f>
        <v>0</v>
      </c>
      <c r="N215" s="2">
        <f t="shared" si="20"/>
        <v>0</v>
      </c>
      <c r="O215" s="2">
        <f>IF(N215&gt;0,-(N215+$B$214)*($E$14/'Loan Amortization'!$D$8),0)</f>
        <v>0</v>
      </c>
      <c r="P215" s="2">
        <f t="shared" si="20"/>
        <v>0</v>
      </c>
      <c r="Q215" s="2">
        <f>IF(P215&gt;0,-(P215+$B$214)*($E$14/'Loan Amortization'!$D$8),0)</f>
        <v>0</v>
      </c>
      <c r="R215" s="2">
        <f t="shared" si="20"/>
        <v>0</v>
      </c>
      <c r="S215" s="2">
        <f>IF(R215&gt;0,-(R215+$B$214)*($E$14/'Loan Amortization'!$D$8),0)</f>
        <v>0</v>
      </c>
      <c r="T215" s="2">
        <f t="shared" si="20"/>
        <v>0</v>
      </c>
      <c r="U215" s="2">
        <f>IF(T215&gt;0,-(T215+$B$214)*($E$14/'Loan Amortization'!$D$8),0)</f>
        <v>0</v>
      </c>
      <c r="V215" s="2">
        <f t="shared" si="20"/>
        <v>0</v>
      </c>
      <c r="W215" s="2">
        <f>IF(V215&gt;0,-(V215+$B$214)*($E$14/'Loan Amortization'!$D$8),0)</f>
        <v>0</v>
      </c>
      <c r="X215" s="2">
        <f t="shared" si="21"/>
        <v>7</v>
      </c>
      <c r="Y215" s="2"/>
      <c r="Z215" s="480"/>
    </row>
    <row r="216" spans="2:26" x14ac:dyDescent="0.15">
      <c r="B216" s="202"/>
      <c r="C216" s="4">
        <v>8</v>
      </c>
      <c r="D216" s="2">
        <f t="shared" si="20"/>
        <v>0</v>
      </c>
      <c r="E216" s="2">
        <f>IF(D216&gt;0,-(D216+$B$214)*($E$14/'Loan Amortization'!$D$8),0)</f>
        <v>0</v>
      </c>
      <c r="F216" s="2">
        <f t="shared" si="20"/>
        <v>0</v>
      </c>
      <c r="G216" s="2">
        <f>IF(F216&gt;0,-(F216+$B$214)*($E$14/'Loan Amortization'!$D$8),0)</f>
        <v>0</v>
      </c>
      <c r="H216" s="2">
        <f t="shared" si="20"/>
        <v>0</v>
      </c>
      <c r="I216" s="2">
        <f>IF(H216&gt;0,-(H216+$B$214)*($E$14/'Loan Amortization'!$D$8),0)</f>
        <v>0</v>
      </c>
      <c r="J216" s="2">
        <f t="shared" si="20"/>
        <v>0</v>
      </c>
      <c r="K216" s="2">
        <f>IF(J216&gt;0,-(J216+$B$214)*($E$14/'Loan Amortization'!$D$8),0)</f>
        <v>0</v>
      </c>
      <c r="L216" s="2">
        <f t="shared" si="20"/>
        <v>0</v>
      </c>
      <c r="M216" s="2">
        <f>IF(L216&gt;0,-(L216+$B$214)*($E$14/'Loan Amortization'!$D$8),0)</f>
        <v>0</v>
      </c>
      <c r="N216" s="2">
        <f t="shared" si="20"/>
        <v>0</v>
      </c>
      <c r="O216" s="2">
        <f>IF(N216&gt;0,-(N216+$B$214)*($E$14/'Loan Amortization'!$D$8),0)</f>
        <v>0</v>
      </c>
      <c r="P216" s="2">
        <f t="shared" si="20"/>
        <v>0</v>
      </c>
      <c r="Q216" s="2">
        <f>IF(P216&gt;0,-(P216+$B$214)*($E$14/'Loan Amortization'!$D$8),0)</f>
        <v>0</v>
      </c>
      <c r="R216" s="2">
        <f t="shared" si="20"/>
        <v>0</v>
      </c>
      <c r="S216" s="2">
        <f>IF(R216&gt;0,-(R216+$B$214)*($E$14/'Loan Amortization'!$D$8),0)</f>
        <v>0</v>
      </c>
      <c r="T216" s="2">
        <f t="shared" si="20"/>
        <v>0</v>
      </c>
      <c r="U216" s="2">
        <f>IF(T216&gt;0,-(T216+$B$214)*($E$14/'Loan Amortization'!$D$8),0)</f>
        <v>0</v>
      </c>
      <c r="V216" s="2">
        <f t="shared" si="20"/>
        <v>0</v>
      </c>
      <c r="W216" s="2">
        <f>IF(V216&gt;0,-(V216+$B$214)*($E$14/'Loan Amortization'!$D$8),0)</f>
        <v>0</v>
      </c>
      <c r="X216" s="2">
        <f t="shared" si="21"/>
        <v>8</v>
      </c>
      <c r="Y216" s="2"/>
      <c r="Z216" s="480"/>
    </row>
    <row r="217" spans="2:26" x14ac:dyDescent="0.15">
      <c r="B217" s="202"/>
      <c r="C217" s="4">
        <v>9</v>
      </c>
      <c r="D217" s="2">
        <f t="shared" si="20"/>
        <v>0</v>
      </c>
      <c r="E217" s="2">
        <f>IF(D217&gt;0,-(D217+$B$214)*($E$14/'Loan Amortization'!$D$8),0)</f>
        <v>0</v>
      </c>
      <c r="F217" s="2">
        <f t="shared" si="20"/>
        <v>0</v>
      </c>
      <c r="G217" s="2">
        <f>IF(F217&gt;0,-(F217+$B$214)*($E$14/'Loan Amortization'!$D$8),0)</f>
        <v>0</v>
      </c>
      <c r="H217" s="2">
        <f t="shared" si="20"/>
        <v>0</v>
      </c>
      <c r="I217" s="2">
        <f>IF(H217&gt;0,-(H217+$B$214)*($E$14/'Loan Amortization'!$D$8),0)</f>
        <v>0</v>
      </c>
      <c r="J217" s="2">
        <f t="shared" si="20"/>
        <v>0</v>
      </c>
      <c r="K217" s="2">
        <f>IF(J217&gt;0,-(J217+$B$214)*($E$14/'Loan Amortization'!$D$8),0)</f>
        <v>0</v>
      </c>
      <c r="L217" s="2">
        <f t="shared" si="20"/>
        <v>0</v>
      </c>
      <c r="M217" s="2">
        <f>IF(L217&gt;0,-(L217+$B$214)*($E$14/'Loan Amortization'!$D$8),0)</f>
        <v>0</v>
      </c>
      <c r="N217" s="2">
        <f t="shared" si="20"/>
        <v>0</v>
      </c>
      <c r="O217" s="2">
        <f>IF(N217&gt;0,-(N217+$B$214)*($E$14/'Loan Amortization'!$D$8),0)</f>
        <v>0</v>
      </c>
      <c r="P217" s="2">
        <f t="shared" si="20"/>
        <v>0</v>
      </c>
      <c r="Q217" s="2">
        <f>IF(P217&gt;0,-(P217+$B$214)*($E$14/'Loan Amortization'!$D$8),0)</f>
        <v>0</v>
      </c>
      <c r="R217" s="2">
        <f t="shared" si="20"/>
        <v>0</v>
      </c>
      <c r="S217" s="2">
        <f>IF(R217&gt;0,-(R217+$B$214)*($E$14/'Loan Amortization'!$D$8),0)</f>
        <v>0</v>
      </c>
      <c r="T217" s="2">
        <f t="shared" si="20"/>
        <v>0</v>
      </c>
      <c r="U217" s="2">
        <f>IF(T217&gt;0,-(T217+$B$214)*($E$14/'Loan Amortization'!$D$8),0)</f>
        <v>0</v>
      </c>
      <c r="V217" s="2">
        <f t="shared" si="20"/>
        <v>0</v>
      </c>
      <c r="W217" s="2">
        <f>IF(V217&gt;0,-(V217+$B$214)*($E$14/'Loan Amortization'!$D$8),0)</f>
        <v>0</v>
      </c>
      <c r="X217" s="2">
        <f t="shared" si="21"/>
        <v>9</v>
      </c>
      <c r="Y217" s="2"/>
      <c r="Z217" s="480"/>
    </row>
    <row r="218" spans="2:26" x14ac:dyDescent="0.15">
      <c r="B218" s="202"/>
      <c r="C218" s="4">
        <v>10</v>
      </c>
      <c r="D218" s="2">
        <f t="shared" si="20"/>
        <v>0</v>
      </c>
      <c r="E218" s="2">
        <f>IF(D218&gt;0,-(D218+$B$214)*($E$14/'Loan Amortization'!$D$8),0)</f>
        <v>0</v>
      </c>
      <c r="F218" s="2">
        <f t="shared" si="20"/>
        <v>0</v>
      </c>
      <c r="G218" s="2">
        <f>IF(F218&gt;0,-(F218+$B$214)*($E$14/'Loan Amortization'!$D$8),0)</f>
        <v>0</v>
      </c>
      <c r="H218" s="2">
        <f t="shared" si="20"/>
        <v>0</v>
      </c>
      <c r="I218" s="2">
        <f>IF(H218&gt;0,-(H218+$B$214)*($E$14/'Loan Amortization'!$D$8),0)</f>
        <v>0</v>
      </c>
      <c r="J218" s="2">
        <f t="shared" si="20"/>
        <v>0</v>
      </c>
      <c r="K218" s="2">
        <f>IF(J218&gt;0,-(J218+$B$214)*($E$14/'Loan Amortization'!$D$8),0)</f>
        <v>0</v>
      </c>
      <c r="L218" s="2">
        <f t="shared" si="20"/>
        <v>0</v>
      </c>
      <c r="M218" s="2">
        <f>IF(L218&gt;0,-(L218+$B$214)*($E$14/'Loan Amortization'!$D$8),0)</f>
        <v>0</v>
      </c>
      <c r="N218" s="2">
        <f t="shared" si="20"/>
        <v>0</v>
      </c>
      <c r="O218" s="2">
        <f>IF(N218&gt;0,-(N218+$B$214)*($E$14/'Loan Amortization'!$D$8),0)</f>
        <v>0</v>
      </c>
      <c r="P218" s="2">
        <f t="shared" si="20"/>
        <v>0</v>
      </c>
      <c r="Q218" s="2">
        <f>IF(P218&gt;0,-(P218+$B$214)*($E$14/'Loan Amortization'!$D$8),0)</f>
        <v>0</v>
      </c>
      <c r="R218" s="2">
        <f t="shared" si="20"/>
        <v>0</v>
      </c>
      <c r="S218" s="2">
        <f>IF(R218&gt;0,-(R218+$B$214)*($E$14/'Loan Amortization'!$D$8),0)</f>
        <v>0</v>
      </c>
      <c r="T218" s="2">
        <f t="shared" si="20"/>
        <v>0</v>
      </c>
      <c r="U218" s="2">
        <f>IF(T218&gt;0,-(T218+$B$214)*($E$14/'Loan Amortization'!$D$8),0)</f>
        <v>0</v>
      </c>
      <c r="V218" s="2">
        <f t="shared" si="20"/>
        <v>0</v>
      </c>
      <c r="W218" s="2">
        <f>IF(V218&gt;0,-(V218+$B$214)*($E$14/'Loan Amortization'!$D$8),0)</f>
        <v>0</v>
      </c>
      <c r="X218" s="2">
        <f t="shared" si="21"/>
        <v>10</v>
      </c>
      <c r="Y218" s="2"/>
      <c r="Z218" s="480"/>
    </row>
    <row r="219" spans="2:26" x14ac:dyDescent="0.15">
      <c r="B219" s="202"/>
      <c r="C219" s="4">
        <v>11</v>
      </c>
      <c r="D219" s="2">
        <f t="shared" si="20"/>
        <v>0</v>
      </c>
      <c r="E219" s="2">
        <f>IF(D219&gt;0,-(D219+$B$214)*($E$14/'Loan Amortization'!$D$8),0)</f>
        <v>0</v>
      </c>
      <c r="F219" s="2">
        <f t="shared" si="20"/>
        <v>0</v>
      </c>
      <c r="G219" s="2">
        <f>IF(F219&gt;0,-(F219+$B$214)*($E$14/'Loan Amortization'!$D$8),0)</f>
        <v>0</v>
      </c>
      <c r="H219" s="2">
        <f t="shared" si="20"/>
        <v>0</v>
      </c>
      <c r="I219" s="2">
        <f>IF(H219&gt;0,-(H219+$B$214)*($E$14/'Loan Amortization'!$D$8),0)</f>
        <v>0</v>
      </c>
      <c r="J219" s="2">
        <f t="shared" si="20"/>
        <v>0</v>
      </c>
      <c r="K219" s="2">
        <f>IF(J219&gt;0,-(J219+$B$214)*($E$14/'Loan Amortization'!$D$8),0)</f>
        <v>0</v>
      </c>
      <c r="L219" s="2">
        <f t="shared" si="20"/>
        <v>0</v>
      </c>
      <c r="M219" s="2">
        <f>IF(L219&gt;0,-(L219+$B$214)*($E$14/'Loan Amortization'!$D$8),0)</f>
        <v>0</v>
      </c>
      <c r="N219" s="2">
        <f t="shared" si="20"/>
        <v>0</v>
      </c>
      <c r="O219" s="2">
        <f>IF(N219&gt;0,-(N219+$B$214)*($E$14/'Loan Amortization'!$D$8),0)</f>
        <v>0</v>
      </c>
      <c r="P219" s="2">
        <f t="shared" si="20"/>
        <v>0</v>
      </c>
      <c r="Q219" s="2">
        <f>IF(P219&gt;0,-(P219+$B$214)*($E$14/'Loan Amortization'!$D$8),0)</f>
        <v>0</v>
      </c>
      <c r="R219" s="2">
        <f t="shared" si="20"/>
        <v>0</v>
      </c>
      <c r="S219" s="2">
        <f>IF(R219&gt;0,-(R219+$B$214)*($E$14/'Loan Amortization'!$D$8),0)</f>
        <v>0</v>
      </c>
      <c r="T219" s="2">
        <f t="shared" si="20"/>
        <v>0</v>
      </c>
      <c r="U219" s="2">
        <f>IF(T219&gt;0,-(T219+$B$214)*($E$14/'Loan Amortization'!$D$8),0)</f>
        <v>0</v>
      </c>
      <c r="V219" s="2">
        <f t="shared" si="20"/>
        <v>0</v>
      </c>
      <c r="W219" s="2">
        <f>IF(V219&gt;0,-(V219+$B$214)*($E$14/'Loan Amortization'!$D$8),0)</f>
        <v>0</v>
      </c>
      <c r="X219" s="2">
        <f t="shared" si="21"/>
        <v>11</v>
      </c>
      <c r="Y219" s="2"/>
      <c r="Z219" s="480"/>
    </row>
    <row r="220" spans="2:26" ht="14" thickBot="1" x14ac:dyDescent="0.2">
      <c r="B220" s="202"/>
      <c r="C220" s="4">
        <v>12</v>
      </c>
      <c r="D220" s="2">
        <f t="shared" si="20"/>
        <v>0</v>
      </c>
      <c r="E220" s="2">
        <f>IF(D220&gt;0,-(D220+$B$214)*($E$14/'Loan Amortization'!$D$8),0)</f>
        <v>0</v>
      </c>
      <c r="F220" s="2">
        <f t="shared" si="20"/>
        <v>0</v>
      </c>
      <c r="G220" s="2">
        <f>IF(F220&gt;0,-(F220+$B$214)*($E$14/'Loan Amortization'!$D$8),0)</f>
        <v>0</v>
      </c>
      <c r="H220" s="2">
        <f t="shared" si="20"/>
        <v>0</v>
      </c>
      <c r="I220" s="2">
        <f>IF(H220&gt;0,-(H220+$B$214)*($E$14/'Loan Amortization'!$D$8),0)</f>
        <v>0</v>
      </c>
      <c r="J220" s="2">
        <f t="shared" si="20"/>
        <v>0</v>
      </c>
      <c r="K220" s="2">
        <f>IF(J220&gt;0,-(J220+$B$214)*($E$14/'Loan Amortization'!$D$8),0)</f>
        <v>0</v>
      </c>
      <c r="L220" s="2">
        <f t="shared" si="20"/>
        <v>0</v>
      </c>
      <c r="M220" s="2">
        <f>IF(L220&gt;0,-(L220+$B$214)*($E$14/'Loan Amortization'!$D$8),0)</f>
        <v>0</v>
      </c>
      <c r="N220" s="2">
        <f t="shared" si="20"/>
        <v>0</v>
      </c>
      <c r="O220" s="2">
        <f>IF(N220&gt;0,-(N220+$B$214)*($E$14/'Loan Amortization'!$D$8),0)</f>
        <v>0</v>
      </c>
      <c r="P220" s="2">
        <f t="shared" si="20"/>
        <v>0</v>
      </c>
      <c r="Q220" s="2">
        <f>IF(P220&gt;0,-(P220+$B$214)*($E$14/'Loan Amortization'!$D$8),0)</f>
        <v>0</v>
      </c>
      <c r="R220" s="2">
        <f t="shared" si="20"/>
        <v>0</v>
      </c>
      <c r="S220" s="2">
        <f>IF(R220&gt;0,-(R220+$B$214)*($E$14/'Loan Amortization'!$D$8),0)</f>
        <v>0</v>
      </c>
      <c r="T220" s="2">
        <f t="shared" si="20"/>
        <v>0</v>
      </c>
      <c r="U220" s="2">
        <f>IF(T220&gt;0,-(T220+$B$214)*($E$14/'Loan Amortization'!$D$8),0)</f>
        <v>0</v>
      </c>
      <c r="V220" s="2">
        <f t="shared" si="20"/>
        <v>0</v>
      </c>
      <c r="W220" s="2">
        <f>IF(V220&gt;0,-(V220+$B$214)*($E$14/'Loan Amortization'!$D$8),0)</f>
        <v>0</v>
      </c>
      <c r="X220" s="2">
        <f t="shared" si="21"/>
        <v>12</v>
      </c>
      <c r="Y220" s="2"/>
      <c r="Z220" s="480"/>
    </row>
    <row r="221" spans="2:26" ht="14" thickBot="1" x14ac:dyDescent="0.2">
      <c r="B221" s="541" t="s">
        <v>45</v>
      </c>
      <c r="C221" s="502" t="s">
        <v>663</v>
      </c>
      <c r="D221" s="503">
        <f>'Level Prin Paymt Fin Sens Calc'!D$138</f>
        <v>0</v>
      </c>
      <c r="E221" s="503">
        <f>'Level Prin Paymt Fin Sens Calc'!E$138</f>
        <v>0</v>
      </c>
      <c r="F221" s="503">
        <f>'Level Prin Paymt Fin Sens Calc'!F$138</f>
        <v>0</v>
      </c>
      <c r="G221" s="503">
        <f>'Level Prin Paymt Fin Sens Calc'!G$138</f>
        <v>0</v>
      </c>
      <c r="H221" s="503">
        <f>'Level Prin Paymt Fin Sens Calc'!H$138</f>
        <v>0</v>
      </c>
      <c r="I221" s="503">
        <f>'Level Prin Paymt Fin Sens Calc'!I$138</f>
        <v>0</v>
      </c>
      <c r="J221" s="503">
        <f>'Level Prin Paymt Fin Sens Calc'!J$138</f>
        <v>0</v>
      </c>
      <c r="K221" s="503">
        <f>'Level Prin Paymt Fin Sens Calc'!K$138</f>
        <v>0</v>
      </c>
      <c r="L221" s="503">
        <f>'Level Prin Paymt Fin Sens Calc'!L$138</f>
        <v>0</v>
      </c>
      <c r="M221" s="503">
        <f>'Level Prin Paymt Fin Sens Calc'!M$138</f>
        <v>0</v>
      </c>
      <c r="N221" s="503">
        <f>'Level Prin Paymt Fin Sens Calc'!N$138</f>
        <v>0</v>
      </c>
      <c r="O221" s="503">
        <f>'Level Prin Paymt Fin Sens Calc'!O$138</f>
        <v>0</v>
      </c>
      <c r="P221" s="503">
        <f>'Level Prin Paymt Fin Sens Calc'!P$138</f>
        <v>0</v>
      </c>
      <c r="Q221" s="503">
        <f>'Level Prin Paymt Fin Sens Calc'!Q$138</f>
        <v>0</v>
      </c>
      <c r="R221" s="503">
        <f>'Level Prin Paymt Fin Sens Calc'!R$138</f>
        <v>0</v>
      </c>
      <c r="S221" s="503">
        <f>'Level Prin Paymt Fin Sens Calc'!S$138</f>
        <v>0</v>
      </c>
      <c r="T221" s="503">
        <f>'Level Prin Paymt Fin Sens Calc'!T$138</f>
        <v>0</v>
      </c>
      <c r="U221" s="503">
        <f>'Level Prin Paymt Fin Sens Calc'!U$138</f>
        <v>0</v>
      </c>
      <c r="V221" s="503">
        <f>'Level Prin Paymt Fin Sens Calc'!V$138</f>
        <v>0</v>
      </c>
      <c r="W221" s="503">
        <f>'Level Prin Paymt Fin Sens Calc'!W$138</f>
        <v>0</v>
      </c>
      <c r="X221" s="504">
        <f t="shared" si="21"/>
        <v>0</v>
      </c>
      <c r="Y221" s="501"/>
      <c r="Z221" s="480"/>
    </row>
    <row r="222" spans="2:26" ht="14" thickBot="1" x14ac:dyDescent="0.2">
      <c r="B222" s="478"/>
      <c r="C222" s="520" t="s">
        <v>273</v>
      </c>
      <c r="D222" s="522"/>
      <c r="E222" s="522">
        <f>IF(D208&gt;$L$10,0,IPMT($E$14,D208,$L$10,$B$234))</f>
        <v>0</v>
      </c>
      <c r="F222" s="522"/>
      <c r="G222" s="522">
        <f>IF(F208&gt;$L$10,0,IPMT($E$14,F208,$L$10,$B$234))</f>
        <v>0</v>
      </c>
      <c r="H222" s="522"/>
      <c r="I222" s="522">
        <f>IF(H208&gt;$L$10,0,IPMT($E$14,H208,$L$10,$B$234))</f>
        <v>0</v>
      </c>
      <c r="J222" s="522"/>
      <c r="K222" s="522">
        <f>IF(J208&gt;$L$10,0,IPMT($E$14,J208,$L$10,$B$234))</f>
        <v>0</v>
      </c>
      <c r="L222" s="522"/>
      <c r="M222" s="522">
        <f>IF(L208&gt;$L$10,0,IPMT($E$14,L208,$L$10,$B$234))</f>
        <v>0</v>
      </c>
      <c r="N222" s="522"/>
      <c r="O222" s="522">
        <f>IF(N208&gt;$L$10,0,IPMT($E$14,N208,$L$10,$B$234))</f>
        <v>0</v>
      </c>
      <c r="P222" s="522"/>
      <c r="Q222" s="522">
        <f>IF(P208&gt;$L$10,0,IPMT($E$14,P208,$L$10,$B$234))</f>
        <v>0</v>
      </c>
      <c r="R222" s="522"/>
      <c r="S222" s="522">
        <f>IF(R208&gt;$L$10,0,IPMT($E$14,R208,$L$10,$B$234))</f>
        <v>0</v>
      </c>
      <c r="T222" s="522"/>
      <c r="U222" s="522">
        <f>IF(T208&gt;$L$10,0,IPMT($E$14,T208,$L$10,$B$234))</f>
        <v>0</v>
      </c>
      <c r="V222" s="522"/>
      <c r="W222" s="522">
        <f>IF(V208&gt;$L$10,0,IPMT($E$14,V208,$L$10,$B$234))</f>
        <v>0</v>
      </c>
      <c r="X222" s="504">
        <f t="shared" si="21"/>
        <v>0</v>
      </c>
      <c r="Y222" s="548"/>
      <c r="Z222" s="482"/>
    </row>
    <row r="223" spans="2:26" ht="14" thickBot="1" x14ac:dyDescent="0.2">
      <c r="B223" s="8"/>
      <c r="C223" s="502" t="s">
        <v>664</v>
      </c>
      <c r="D223" s="558">
        <f>D208</f>
        <v>1</v>
      </c>
      <c r="E223" s="559">
        <f>F208</f>
        <v>2</v>
      </c>
      <c r="F223" s="559">
        <f>H208</f>
        <v>3</v>
      </c>
      <c r="G223" s="559">
        <f>J208</f>
        <v>4</v>
      </c>
      <c r="H223" s="559">
        <f>L208</f>
        <v>5</v>
      </c>
      <c r="I223" s="559">
        <f>N208</f>
        <v>6</v>
      </c>
      <c r="J223" s="559">
        <f>P208</f>
        <v>7</v>
      </c>
      <c r="K223" s="559">
        <f>R208</f>
        <v>8</v>
      </c>
      <c r="L223" s="559">
        <f>T208</f>
        <v>9</v>
      </c>
      <c r="M223" s="559">
        <f>V208</f>
        <v>10</v>
      </c>
      <c r="N223" s="560" t="str">
        <f>X208</f>
        <v>TOTAL</v>
      </c>
      <c r="O223" s="2"/>
      <c r="P223" s="2"/>
      <c r="Q223" s="2"/>
      <c r="R223" s="2"/>
      <c r="S223" s="2"/>
      <c r="T223" s="2"/>
      <c r="U223" s="2"/>
      <c r="V223" s="2"/>
      <c r="W223" s="2"/>
      <c r="X223" s="2"/>
      <c r="Y223" s="2"/>
    </row>
    <row r="224" spans="2:26" ht="14" thickBot="1" x14ac:dyDescent="0.2">
      <c r="B224" s="8"/>
      <c r="C224" s="502" t="s">
        <v>663</v>
      </c>
      <c r="D224" s="561">
        <f>D221</f>
        <v>0</v>
      </c>
      <c r="E224" s="2">
        <f>F221</f>
        <v>0</v>
      </c>
      <c r="F224" s="2">
        <f>H221</f>
        <v>0</v>
      </c>
      <c r="G224" s="2">
        <f>J221</f>
        <v>0</v>
      </c>
      <c r="H224" s="2">
        <f>L221</f>
        <v>0</v>
      </c>
      <c r="I224" s="2">
        <f>N221</f>
        <v>0</v>
      </c>
      <c r="J224" s="2">
        <f>P221</f>
        <v>0</v>
      </c>
      <c r="K224" s="2">
        <f>R221</f>
        <v>0</v>
      </c>
      <c r="L224" s="2">
        <f>T221</f>
        <v>0</v>
      </c>
      <c r="M224" s="2">
        <f>V221</f>
        <v>0</v>
      </c>
      <c r="N224" s="501">
        <f>X221</f>
        <v>0</v>
      </c>
      <c r="O224" s="2"/>
      <c r="P224" s="2"/>
      <c r="Q224" s="2"/>
      <c r="R224" s="2"/>
      <c r="S224" s="2"/>
      <c r="T224" s="2"/>
      <c r="U224" s="2"/>
      <c r="V224" s="2"/>
      <c r="W224" s="2"/>
      <c r="X224" s="2"/>
      <c r="Y224" s="2"/>
    </row>
    <row r="225" spans="2:26" ht="14" thickBot="1" x14ac:dyDescent="0.2">
      <c r="B225" s="8"/>
      <c r="C225" s="520" t="s">
        <v>273</v>
      </c>
      <c r="D225" s="562">
        <f>E222</f>
        <v>0</v>
      </c>
      <c r="E225" s="522">
        <f>G222</f>
        <v>0</v>
      </c>
      <c r="F225" s="522">
        <f>I222</f>
        <v>0</v>
      </c>
      <c r="G225" s="522">
        <f>K222</f>
        <v>0</v>
      </c>
      <c r="H225" s="522">
        <f>M222</f>
        <v>0</v>
      </c>
      <c r="I225" s="522">
        <f>O222</f>
        <v>0</v>
      </c>
      <c r="J225" s="522">
        <f>Q222</f>
        <v>0</v>
      </c>
      <c r="K225" s="522">
        <f>S222</f>
        <v>0</v>
      </c>
      <c r="L225" s="522">
        <f>U222</f>
        <v>0</v>
      </c>
      <c r="M225" s="522">
        <f>W222</f>
        <v>0</v>
      </c>
      <c r="N225" s="548">
        <f>X222</f>
        <v>0</v>
      </c>
      <c r="O225" s="2"/>
      <c r="P225" s="2"/>
      <c r="Q225" s="2"/>
      <c r="R225" s="2"/>
      <c r="S225" s="2"/>
      <c r="T225" s="2"/>
      <c r="U225" s="2"/>
      <c r="V225" s="2"/>
      <c r="W225" s="2"/>
      <c r="X225" s="2"/>
      <c r="Y225" s="2"/>
    </row>
    <row r="227" spans="2:26" ht="14" thickBot="1" x14ac:dyDescent="0.2"/>
    <row r="228" spans="2:26" ht="14" thickBot="1" x14ac:dyDescent="0.2">
      <c r="B228" s="495" t="s">
        <v>422</v>
      </c>
      <c r="C228" s="178"/>
      <c r="D228" s="483" t="s">
        <v>133</v>
      </c>
      <c r="E228" s="483"/>
      <c r="F228" s="483" t="s">
        <v>133</v>
      </c>
      <c r="G228" s="483"/>
      <c r="H228" s="483" t="s">
        <v>133</v>
      </c>
      <c r="I228" s="483"/>
      <c r="J228" s="483" t="s">
        <v>133</v>
      </c>
      <c r="K228" s="483"/>
      <c r="L228" s="483" t="s">
        <v>133</v>
      </c>
      <c r="M228" s="483"/>
      <c r="N228" s="483" t="s">
        <v>133</v>
      </c>
      <c r="O228" s="483"/>
      <c r="P228" s="483" t="s">
        <v>133</v>
      </c>
      <c r="Q228" s="483"/>
      <c r="R228" s="483" t="s">
        <v>133</v>
      </c>
      <c r="S228" s="483"/>
      <c r="T228" s="483" t="s">
        <v>133</v>
      </c>
      <c r="U228" s="483"/>
      <c r="V228" s="483" t="s">
        <v>133</v>
      </c>
      <c r="W228" s="483"/>
      <c r="X228" s="178"/>
      <c r="Y228" s="178"/>
      <c r="Z228" s="499" t="str">
        <f>B228</f>
        <v>+25%</v>
      </c>
    </row>
    <row r="229" spans="2:26" x14ac:dyDescent="0.15">
      <c r="B229" s="426"/>
      <c r="C229" s="4" t="s">
        <v>660</v>
      </c>
      <c r="D229" s="4">
        <v>1</v>
      </c>
      <c r="E229" s="4"/>
      <c r="F229" s="4">
        <f>D229+1</f>
        <v>2</v>
      </c>
      <c r="G229" s="4"/>
      <c r="H229" s="4">
        <f>F229+1</f>
        <v>3</v>
      </c>
      <c r="I229" s="4"/>
      <c r="J229" s="4">
        <f>H229+1</f>
        <v>4</v>
      </c>
      <c r="K229" s="4"/>
      <c r="L229" s="4">
        <f>J229+1</f>
        <v>5</v>
      </c>
      <c r="M229" s="4"/>
      <c r="N229" s="4">
        <f>L229+1</f>
        <v>6</v>
      </c>
      <c r="O229" s="4"/>
      <c r="P229" s="4">
        <f>N229+1</f>
        <v>7</v>
      </c>
      <c r="Q229" s="4"/>
      <c r="R229" s="4">
        <f>P229+1</f>
        <v>8</v>
      </c>
      <c r="S229" s="4"/>
      <c r="T229" s="4">
        <f>R229+1</f>
        <v>9</v>
      </c>
      <c r="U229" s="4"/>
      <c r="V229" s="4">
        <f>T229+1</f>
        <v>10</v>
      </c>
      <c r="W229" s="4"/>
      <c r="X229" t="s">
        <v>285</v>
      </c>
      <c r="Z229" s="479"/>
    </row>
    <row r="230" spans="2:26" x14ac:dyDescent="0.15">
      <c r="B230" s="202" t="s">
        <v>661</v>
      </c>
      <c r="C230" s="4">
        <v>1</v>
      </c>
      <c r="D230" s="2">
        <f>IF(D$19&lt;($L$10+1),$B$234-((((D$19-1)*12)+$C230)*$B$235),0)</f>
        <v>0</v>
      </c>
      <c r="E230" s="2">
        <f>IF(D230&gt;0,-(D230+$B$235)*($E$15/'Loan Amortization'!$D$8),0)</f>
        <v>0</v>
      </c>
      <c r="F230" s="2">
        <f>IF(F$19&lt;($L$10+1),$B$234-((((F$19-1)*12)+$C230)*$B$235),0)</f>
        <v>0</v>
      </c>
      <c r="G230" s="2">
        <f>IF(F230&gt;0,-(F230+$B$235)*($E$15/'Loan Amortization'!$D$8),0)</f>
        <v>0</v>
      </c>
      <c r="H230" s="2">
        <f>IF(H$19&lt;($L$10+1),$B$234-((((H$19-1)*12)+$C230)*$B$235),0)</f>
        <v>0</v>
      </c>
      <c r="I230" s="2">
        <f>IF(H230&gt;0,-(H230+$B$235)*($E$15/'Loan Amortization'!$D$8),0)</f>
        <v>0</v>
      </c>
      <c r="J230" s="2">
        <f>IF(J$19&lt;($L$10+1),$B$234-((((J$19-1)*12)+$C230)*$B$235),0)</f>
        <v>0</v>
      </c>
      <c r="K230" s="2">
        <f>IF(J230&gt;0,-(J230+$B$235)*($E$15/'Loan Amortization'!$D$8),0)</f>
        <v>0</v>
      </c>
      <c r="L230" s="2">
        <f>IF(L$19&lt;($L$10+1),$B$234-((((L$19-1)*12)+$C230)*$B$235),0)</f>
        <v>0</v>
      </c>
      <c r="M230" s="2">
        <f>IF(L230&gt;0,-(L230+$B$235)*($E$15/'Loan Amortization'!$D$8),0)</f>
        <v>0</v>
      </c>
      <c r="N230" s="2">
        <f>IF(N$19&lt;($L$10+1),$B$234-((((N$19-1)*12)+$C230)*$B$235),0)</f>
        <v>0</v>
      </c>
      <c r="O230" s="2">
        <f>IF(N230&gt;0,-(N230+$B$235)*($E$15/'Loan Amortization'!$D$8),0)</f>
        <v>0</v>
      </c>
      <c r="P230" s="2">
        <f>IF(P$19&lt;($L$10+1),$B$234-((((P$19-1)*12)+$C230)*$B$235),0)</f>
        <v>0</v>
      </c>
      <c r="Q230" s="2">
        <f>IF(P230&gt;0,-(P230+$B$235)*($E$15/'Loan Amortization'!$D$8),0)</f>
        <v>0</v>
      </c>
      <c r="R230" s="2">
        <f>IF(R$19&lt;($L$10+1),$B$234-((((R$19-1)*12)+$C230)*$B$235),0)</f>
        <v>0</v>
      </c>
      <c r="S230" s="2">
        <f>IF(R230&gt;0,-(R230+$B$235)*($E$15/'Loan Amortization'!$D$8),0)</f>
        <v>0</v>
      </c>
      <c r="T230" s="2">
        <f>IF(T$19&lt;($L$10+1),$B$234-((((T$19-1)*12)+$C230)*$B$235),0)</f>
        <v>0</v>
      </c>
      <c r="U230" s="2">
        <f>IF(T230&gt;0,-(T230+$B$235)*($E$15/'Loan Amortization'!$D$8),0)</f>
        <v>0</v>
      </c>
      <c r="V230" s="2">
        <f>IF(V$19&lt;($L$10+1),$B$234-((((V$19-1)*12)+$C230)*$B$235),0)</f>
        <v>0</v>
      </c>
      <c r="W230" s="2">
        <f>IF(V230&gt;0,-(V230+$B$235)*($E$15/'Loan Amortization'!$D$8),0)</f>
        <v>0</v>
      </c>
      <c r="X230" s="2">
        <f>SUM(C230:V230)</f>
        <v>1</v>
      </c>
      <c r="Y230" s="2"/>
      <c r="Z230" s="480"/>
    </row>
    <row r="231" spans="2:26" x14ac:dyDescent="0.15">
      <c r="B231" s="511">
        <f>-PMT($L$6/12,$L$10*12,C15)</f>
        <v>0</v>
      </c>
      <c r="C231" s="4">
        <v>2</v>
      </c>
      <c r="D231" s="2">
        <f t="shared" ref="D231:V241" si="22">IF(D$19&lt;($L$10+1),$B$234-((((D$19-1)*12)+$C231)*$B$235),0)</f>
        <v>0</v>
      </c>
      <c r="E231" s="2">
        <f>IF(D231&gt;0,-(D231+$B$235)*($E$15/'Loan Amortization'!$D$8),0)</f>
        <v>0</v>
      </c>
      <c r="F231" s="2">
        <f t="shared" si="22"/>
        <v>0</v>
      </c>
      <c r="G231" s="2">
        <f>IF(F231&gt;0,-(F231+$B$235)*($E$15/'Loan Amortization'!$D$8),0)</f>
        <v>0</v>
      </c>
      <c r="H231" s="2">
        <f t="shared" si="22"/>
        <v>0</v>
      </c>
      <c r="I231" s="2">
        <f>IF(H231&gt;0,-(H231+$B$235)*($E$15/'Loan Amortization'!$D$8),0)</f>
        <v>0</v>
      </c>
      <c r="J231" s="2">
        <f t="shared" si="22"/>
        <v>0</v>
      </c>
      <c r="K231" s="2">
        <f>IF(J231&gt;0,-(J231+$B$235)*($E$15/'Loan Amortization'!$D$8),0)</f>
        <v>0</v>
      </c>
      <c r="L231" s="2">
        <f t="shared" si="22"/>
        <v>0</v>
      </c>
      <c r="M231" s="2">
        <f>IF(L231&gt;0,-(L231+$B$235)*($E$15/'Loan Amortization'!$D$8),0)</f>
        <v>0</v>
      </c>
      <c r="N231" s="2">
        <f t="shared" si="22"/>
        <v>0</v>
      </c>
      <c r="O231" s="2">
        <f>IF(N231&gt;0,-(N231+$B$235)*($E$15/'Loan Amortization'!$D$8),0)</f>
        <v>0</v>
      </c>
      <c r="P231" s="2">
        <f t="shared" si="22"/>
        <v>0</v>
      </c>
      <c r="Q231" s="2">
        <f>IF(P231&gt;0,-(P231+$B$235)*($E$15/'Loan Amortization'!$D$8),0)</f>
        <v>0</v>
      </c>
      <c r="R231" s="2">
        <f t="shared" si="22"/>
        <v>0</v>
      </c>
      <c r="S231" s="2">
        <f>IF(R231&gt;0,-(R231+$B$235)*($E$15/'Loan Amortization'!$D$8),0)</f>
        <v>0</v>
      </c>
      <c r="T231" s="2">
        <f t="shared" si="22"/>
        <v>0</v>
      </c>
      <c r="U231" s="2">
        <f>IF(T231&gt;0,-(T231+$B$235)*($E$15/'Loan Amortization'!$D$8),0)</f>
        <v>0</v>
      </c>
      <c r="V231" s="2">
        <f t="shared" si="22"/>
        <v>0</v>
      </c>
      <c r="W231" s="2">
        <f>IF(V231&gt;0,-(V231+$B$235)*($E$15/'Loan Amortization'!$D$8),0)</f>
        <v>0</v>
      </c>
      <c r="X231" s="2">
        <f t="shared" ref="X231:X243" si="23">SUM(C231:V231)</f>
        <v>2</v>
      </c>
      <c r="Y231" s="2"/>
      <c r="Z231" s="480"/>
    </row>
    <row r="232" spans="2:26" x14ac:dyDescent="0.15">
      <c r="B232" s="540">
        <f>B231*12</f>
        <v>0</v>
      </c>
      <c r="C232" s="4">
        <v>3</v>
      </c>
      <c r="D232" s="2">
        <f t="shared" si="22"/>
        <v>0</v>
      </c>
      <c r="E232" s="2">
        <f>IF(D232&gt;0,-(D232+$B$235)*($E$15/'Loan Amortization'!$D$8),0)</f>
        <v>0</v>
      </c>
      <c r="F232" s="2">
        <f t="shared" si="22"/>
        <v>0</v>
      </c>
      <c r="G232" s="2">
        <f>IF(F232&gt;0,-(F232+$B$235)*($E$15/'Loan Amortization'!$D$8),0)</f>
        <v>0</v>
      </c>
      <c r="H232" s="2">
        <f t="shared" si="22"/>
        <v>0</v>
      </c>
      <c r="I232" s="2">
        <f>IF(H232&gt;0,-(H232+$B$235)*($E$15/'Loan Amortization'!$D$8),0)</f>
        <v>0</v>
      </c>
      <c r="J232" s="2">
        <f t="shared" si="22"/>
        <v>0</v>
      </c>
      <c r="K232" s="2">
        <f>IF(J232&gt;0,-(J232+$B$235)*($E$15/'Loan Amortization'!$D$8),0)</f>
        <v>0</v>
      </c>
      <c r="L232" s="2">
        <f t="shared" si="22"/>
        <v>0</v>
      </c>
      <c r="M232" s="2">
        <f>IF(L232&gt;0,-(L232+$B$235)*($E$15/'Loan Amortization'!$D$8),0)</f>
        <v>0</v>
      </c>
      <c r="N232" s="2">
        <f t="shared" si="22"/>
        <v>0</v>
      </c>
      <c r="O232" s="2">
        <f>IF(N232&gt;0,-(N232+$B$235)*($E$15/'Loan Amortization'!$D$8),0)</f>
        <v>0</v>
      </c>
      <c r="P232" s="2">
        <f t="shared" si="22"/>
        <v>0</v>
      </c>
      <c r="Q232" s="2">
        <f>IF(P232&gt;0,-(P232+$B$235)*($E$15/'Loan Amortization'!$D$8),0)</f>
        <v>0</v>
      </c>
      <c r="R232" s="2">
        <f t="shared" si="22"/>
        <v>0</v>
      </c>
      <c r="S232" s="2">
        <f>IF(R232&gt;0,-(R232+$B$235)*($E$15/'Loan Amortization'!$D$8),0)</f>
        <v>0</v>
      </c>
      <c r="T232" s="2">
        <f t="shared" si="22"/>
        <v>0</v>
      </c>
      <c r="U232" s="2">
        <f>IF(T232&gt;0,-(T232+$B$235)*($E$15/'Loan Amortization'!$D$8),0)</f>
        <v>0</v>
      </c>
      <c r="V232" s="2">
        <f t="shared" si="22"/>
        <v>0</v>
      </c>
      <c r="W232" s="2">
        <f>IF(V232&gt;0,-(V232+$B$235)*($E$15/'Loan Amortization'!$D$8),0)</f>
        <v>0</v>
      </c>
      <c r="X232" s="2">
        <f t="shared" si="23"/>
        <v>3</v>
      </c>
      <c r="Y232" s="2"/>
      <c r="Z232" s="480"/>
    </row>
    <row r="233" spans="2:26" x14ac:dyDescent="0.15">
      <c r="B233" s="202" t="s">
        <v>662</v>
      </c>
      <c r="C233" s="4">
        <v>4</v>
      </c>
      <c r="D233" s="2">
        <f t="shared" si="22"/>
        <v>0</v>
      </c>
      <c r="E233" s="2">
        <f>IF(D233&gt;0,-(D233+$B$235)*($E$15/'Loan Amortization'!$D$8),0)</f>
        <v>0</v>
      </c>
      <c r="F233" s="2">
        <f t="shared" si="22"/>
        <v>0</v>
      </c>
      <c r="G233" s="2">
        <f>IF(F233&gt;0,-(F233+$B$235)*($E$15/'Loan Amortization'!$D$8),0)</f>
        <v>0</v>
      </c>
      <c r="H233" s="2">
        <f t="shared" si="22"/>
        <v>0</v>
      </c>
      <c r="I233" s="2">
        <f>IF(H233&gt;0,-(H233+$B$235)*($E$15/'Loan Amortization'!$D$8),0)</f>
        <v>0</v>
      </c>
      <c r="J233" s="2">
        <f t="shared" si="22"/>
        <v>0</v>
      </c>
      <c r="K233" s="2">
        <f>IF(J233&gt;0,-(J233+$B$235)*($E$15/'Loan Amortization'!$D$8),0)</f>
        <v>0</v>
      </c>
      <c r="L233" s="2">
        <f t="shared" si="22"/>
        <v>0</v>
      </c>
      <c r="M233" s="2">
        <f>IF(L233&gt;0,-(L233+$B$235)*($E$15/'Loan Amortization'!$D$8),0)</f>
        <v>0</v>
      </c>
      <c r="N233" s="2">
        <f t="shared" si="22"/>
        <v>0</v>
      </c>
      <c r="O233" s="2">
        <f>IF(N233&gt;0,-(N233+$B$235)*($E$15/'Loan Amortization'!$D$8),0)</f>
        <v>0</v>
      </c>
      <c r="P233" s="2">
        <f t="shared" si="22"/>
        <v>0</v>
      </c>
      <c r="Q233" s="2">
        <f>IF(P233&gt;0,-(P233+$B$235)*($E$15/'Loan Amortization'!$D$8),0)</f>
        <v>0</v>
      </c>
      <c r="R233" s="2">
        <f t="shared" si="22"/>
        <v>0</v>
      </c>
      <c r="S233" s="2">
        <f>IF(R233&gt;0,-(R233+$B$235)*($E$15/'Loan Amortization'!$D$8),0)</f>
        <v>0</v>
      </c>
      <c r="T233" s="2">
        <f t="shared" si="22"/>
        <v>0</v>
      </c>
      <c r="U233" s="2">
        <f>IF(T233&gt;0,-(T233+$B$235)*($E$15/'Loan Amortization'!$D$8),0)</f>
        <v>0</v>
      </c>
      <c r="V233" s="2">
        <f t="shared" si="22"/>
        <v>0</v>
      </c>
      <c r="W233" s="2">
        <f>IF(V233&gt;0,-(V233+$B$235)*($E$15/'Loan Amortization'!$D$8),0)</f>
        <v>0</v>
      </c>
      <c r="X233" s="2">
        <f t="shared" si="23"/>
        <v>4</v>
      </c>
      <c r="Y233" s="2"/>
      <c r="Z233" s="480"/>
    </row>
    <row r="234" spans="2:26" x14ac:dyDescent="0.15">
      <c r="B234" s="521">
        <f>C15</f>
        <v>0</v>
      </c>
      <c r="C234" s="4">
        <v>5</v>
      </c>
      <c r="D234" s="2">
        <f t="shared" si="22"/>
        <v>0</v>
      </c>
      <c r="E234" s="2">
        <f>IF(D234&gt;0,-(D234+$B$235)*($E$15/'Loan Amortization'!$D$8),0)</f>
        <v>0</v>
      </c>
      <c r="F234" s="2">
        <f t="shared" si="22"/>
        <v>0</v>
      </c>
      <c r="G234" s="2">
        <f>IF(F234&gt;0,-(F234+$B$235)*($E$15/'Loan Amortization'!$D$8),0)</f>
        <v>0</v>
      </c>
      <c r="H234" s="2">
        <f t="shared" si="22"/>
        <v>0</v>
      </c>
      <c r="I234" s="2">
        <f>IF(H234&gt;0,-(H234+$B$235)*($E$15/'Loan Amortization'!$D$8),0)</f>
        <v>0</v>
      </c>
      <c r="J234" s="2">
        <f t="shared" si="22"/>
        <v>0</v>
      </c>
      <c r="K234" s="2">
        <f>IF(J234&gt;0,-(J234+$B$235)*($E$15/'Loan Amortization'!$D$8),0)</f>
        <v>0</v>
      </c>
      <c r="L234" s="2">
        <f t="shared" si="22"/>
        <v>0</v>
      </c>
      <c r="M234" s="2">
        <f>IF(L234&gt;0,-(L234+$B$235)*($E$15/'Loan Amortization'!$D$8),0)</f>
        <v>0</v>
      </c>
      <c r="N234" s="2">
        <f t="shared" si="22"/>
        <v>0</v>
      </c>
      <c r="O234" s="2">
        <f>IF(N234&gt;0,-(N234+$B$235)*($E$15/'Loan Amortization'!$D$8),0)</f>
        <v>0</v>
      </c>
      <c r="P234" s="2">
        <f t="shared" si="22"/>
        <v>0</v>
      </c>
      <c r="Q234" s="2">
        <f>IF(P234&gt;0,-(P234+$B$235)*($E$15/'Loan Amortization'!$D$8),0)</f>
        <v>0</v>
      </c>
      <c r="R234" s="2">
        <f t="shared" si="22"/>
        <v>0</v>
      </c>
      <c r="S234" s="2">
        <f>IF(R234&gt;0,-(R234+$B$235)*($E$15/'Loan Amortization'!$D$8),0)</f>
        <v>0</v>
      </c>
      <c r="T234" s="2">
        <f t="shared" si="22"/>
        <v>0</v>
      </c>
      <c r="U234" s="2">
        <f>IF(T234&gt;0,-(T234+$B$235)*($E$15/'Loan Amortization'!$D$8),0)</f>
        <v>0</v>
      </c>
      <c r="V234" s="2">
        <f t="shared" si="22"/>
        <v>0</v>
      </c>
      <c r="W234" s="2">
        <f>IF(V234&gt;0,-(V234+$B$235)*($E$15/'Loan Amortization'!$D$8),0)</f>
        <v>0</v>
      </c>
      <c r="X234" s="2">
        <f t="shared" si="23"/>
        <v>5</v>
      </c>
      <c r="Y234" s="2"/>
      <c r="Z234" s="480"/>
    </row>
    <row r="235" spans="2:26" x14ac:dyDescent="0.15">
      <c r="B235" s="521">
        <f>B234/($L$10*12)</f>
        <v>0</v>
      </c>
      <c r="C235" s="4">
        <v>6</v>
      </c>
      <c r="D235" s="2">
        <f t="shared" si="22"/>
        <v>0</v>
      </c>
      <c r="E235" s="2">
        <f>IF(D235&gt;0,-(D235+$B$235)*($E$15/'Loan Amortization'!$D$8),0)</f>
        <v>0</v>
      </c>
      <c r="F235" s="2">
        <f t="shared" si="22"/>
        <v>0</v>
      </c>
      <c r="G235" s="2">
        <f>IF(F235&gt;0,-(F235+$B$235)*($E$15/'Loan Amortization'!$D$8),0)</f>
        <v>0</v>
      </c>
      <c r="H235" s="2">
        <f t="shared" si="22"/>
        <v>0</v>
      </c>
      <c r="I235" s="2">
        <f>IF(H235&gt;0,-(H235+$B$235)*($E$15/'Loan Amortization'!$D$8),0)</f>
        <v>0</v>
      </c>
      <c r="J235" s="2">
        <f t="shared" si="22"/>
        <v>0</v>
      </c>
      <c r="K235" s="2">
        <f>IF(J235&gt;0,-(J235+$B$235)*($E$15/'Loan Amortization'!$D$8),0)</f>
        <v>0</v>
      </c>
      <c r="L235" s="2">
        <f t="shared" si="22"/>
        <v>0</v>
      </c>
      <c r="M235" s="2">
        <f>IF(L235&gt;0,-(L235+$B$235)*($E$15/'Loan Amortization'!$D$8),0)</f>
        <v>0</v>
      </c>
      <c r="N235" s="2">
        <f t="shared" si="22"/>
        <v>0</v>
      </c>
      <c r="O235" s="2">
        <f>IF(N235&gt;0,-(N235+$B$235)*($E$15/'Loan Amortization'!$D$8),0)</f>
        <v>0</v>
      </c>
      <c r="P235" s="2">
        <f t="shared" si="22"/>
        <v>0</v>
      </c>
      <c r="Q235" s="2">
        <f>IF(P235&gt;0,-(P235+$B$235)*($E$15/'Loan Amortization'!$D$8),0)</f>
        <v>0</v>
      </c>
      <c r="R235" s="2">
        <f t="shared" si="22"/>
        <v>0</v>
      </c>
      <c r="S235" s="2">
        <f>IF(R235&gt;0,-(R235+$B$235)*($E$15/'Loan Amortization'!$D$8),0)</f>
        <v>0</v>
      </c>
      <c r="T235" s="2">
        <f t="shared" si="22"/>
        <v>0</v>
      </c>
      <c r="U235" s="2">
        <f>IF(T235&gt;0,-(T235+$B$235)*($E$15/'Loan Amortization'!$D$8),0)</f>
        <v>0</v>
      </c>
      <c r="V235" s="2">
        <f t="shared" si="22"/>
        <v>0</v>
      </c>
      <c r="W235" s="2">
        <f>IF(V235&gt;0,-(V235+$B$235)*($E$15/'Loan Amortization'!$D$8),0)</f>
        <v>0</v>
      </c>
      <c r="X235" s="2">
        <f t="shared" si="23"/>
        <v>6</v>
      </c>
      <c r="Y235" s="2"/>
      <c r="Z235" s="480"/>
    </row>
    <row r="236" spans="2:26" x14ac:dyDescent="0.15">
      <c r="B236" s="202"/>
      <c r="C236" s="4">
        <v>7</v>
      </c>
      <c r="D236" s="2">
        <f t="shared" si="22"/>
        <v>0</v>
      </c>
      <c r="E236" s="2">
        <f>IF(D236&gt;0,-(D236+$B$235)*($E$15/'Loan Amortization'!$D$8),0)</f>
        <v>0</v>
      </c>
      <c r="F236" s="2">
        <f t="shared" si="22"/>
        <v>0</v>
      </c>
      <c r="G236" s="2">
        <f>IF(F236&gt;0,-(F236+$B$235)*($E$15/'Loan Amortization'!$D$8),0)</f>
        <v>0</v>
      </c>
      <c r="H236" s="2">
        <f t="shared" si="22"/>
        <v>0</v>
      </c>
      <c r="I236" s="2">
        <f>IF(H236&gt;0,-(H236+$B$235)*($E$15/'Loan Amortization'!$D$8),0)</f>
        <v>0</v>
      </c>
      <c r="J236" s="2">
        <f t="shared" si="22"/>
        <v>0</v>
      </c>
      <c r="K236" s="2">
        <f>IF(J236&gt;0,-(J236+$B$235)*($E$15/'Loan Amortization'!$D$8),0)</f>
        <v>0</v>
      </c>
      <c r="L236" s="2">
        <f t="shared" si="22"/>
        <v>0</v>
      </c>
      <c r="M236" s="2">
        <f>IF(L236&gt;0,-(L236+$B$235)*($E$15/'Loan Amortization'!$D$8),0)</f>
        <v>0</v>
      </c>
      <c r="N236" s="2">
        <f t="shared" si="22"/>
        <v>0</v>
      </c>
      <c r="O236" s="2">
        <f>IF(N236&gt;0,-(N236+$B$235)*($E$15/'Loan Amortization'!$D$8),0)</f>
        <v>0</v>
      </c>
      <c r="P236" s="2">
        <f t="shared" si="22"/>
        <v>0</v>
      </c>
      <c r="Q236" s="2">
        <f>IF(P236&gt;0,-(P236+$B$235)*($E$15/'Loan Amortization'!$D$8),0)</f>
        <v>0</v>
      </c>
      <c r="R236" s="2">
        <f t="shared" si="22"/>
        <v>0</v>
      </c>
      <c r="S236" s="2">
        <f>IF(R236&gt;0,-(R236+$B$235)*($E$15/'Loan Amortization'!$D$8),0)</f>
        <v>0</v>
      </c>
      <c r="T236" s="2">
        <f t="shared" si="22"/>
        <v>0</v>
      </c>
      <c r="U236" s="2">
        <f>IF(T236&gt;0,-(T236+$B$235)*($E$15/'Loan Amortization'!$D$8),0)</f>
        <v>0</v>
      </c>
      <c r="V236" s="2">
        <f t="shared" si="22"/>
        <v>0</v>
      </c>
      <c r="W236" s="2">
        <f>IF(V236&gt;0,-(V236+$B$235)*($E$15/'Loan Amortization'!$D$8),0)</f>
        <v>0</v>
      </c>
      <c r="X236" s="2">
        <f t="shared" si="23"/>
        <v>7</v>
      </c>
      <c r="Y236" s="2"/>
      <c r="Z236" s="480"/>
    </row>
    <row r="237" spans="2:26" x14ac:dyDescent="0.15">
      <c r="B237" s="202"/>
      <c r="C237" s="4">
        <v>8</v>
      </c>
      <c r="D237" s="2">
        <f t="shared" si="22"/>
        <v>0</v>
      </c>
      <c r="E237" s="2">
        <f>IF(D237&gt;0,-(D237+$B$235)*($E$15/'Loan Amortization'!$D$8),0)</f>
        <v>0</v>
      </c>
      <c r="F237" s="2">
        <f t="shared" si="22"/>
        <v>0</v>
      </c>
      <c r="G237" s="2">
        <f>IF(F237&gt;0,-(F237+$B$235)*($E$15/'Loan Amortization'!$D$8),0)</f>
        <v>0</v>
      </c>
      <c r="H237" s="2">
        <f t="shared" si="22"/>
        <v>0</v>
      </c>
      <c r="I237" s="2">
        <f>IF(H237&gt;0,-(H237+$B$235)*($E$15/'Loan Amortization'!$D$8),0)</f>
        <v>0</v>
      </c>
      <c r="J237" s="2">
        <f t="shared" si="22"/>
        <v>0</v>
      </c>
      <c r="K237" s="2">
        <f>IF(J237&gt;0,-(J237+$B$235)*($E$15/'Loan Amortization'!$D$8),0)</f>
        <v>0</v>
      </c>
      <c r="L237" s="2">
        <f t="shared" si="22"/>
        <v>0</v>
      </c>
      <c r="M237" s="2">
        <f>IF(L237&gt;0,-(L237+$B$235)*($E$15/'Loan Amortization'!$D$8),0)</f>
        <v>0</v>
      </c>
      <c r="N237" s="2">
        <f t="shared" si="22"/>
        <v>0</v>
      </c>
      <c r="O237" s="2">
        <f>IF(N237&gt;0,-(N237+$B$235)*($E$15/'Loan Amortization'!$D$8),0)</f>
        <v>0</v>
      </c>
      <c r="P237" s="2">
        <f t="shared" si="22"/>
        <v>0</v>
      </c>
      <c r="Q237" s="2">
        <f>IF(P237&gt;0,-(P237+$B$235)*($E$15/'Loan Amortization'!$D$8),0)</f>
        <v>0</v>
      </c>
      <c r="R237" s="2">
        <f t="shared" si="22"/>
        <v>0</v>
      </c>
      <c r="S237" s="2">
        <f>IF(R237&gt;0,-(R237+$B$235)*($E$15/'Loan Amortization'!$D$8),0)</f>
        <v>0</v>
      </c>
      <c r="T237" s="2">
        <f t="shared" si="22"/>
        <v>0</v>
      </c>
      <c r="U237" s="2">
        <f>IF(T237&gt;0,-(T237+$B$235)*($E$15/'Loan Amortization'!$D$8),0)</f>
        <v>0</v>
      </c>
      <c r="V237" s="2">
        <f t="shared" si="22"/>
        <v>0</v>
      </c>
      <c r="W237" s="2">
        <f>IF(V237&gt;0,-(V237+$B$235)*($E$15/'Loan Amortization'!$D$8),0)</f>
        <v>0</v>
      </c>
      <c r="X237" s="2">
        <f t="shared" si="23"/>
        <v>8</v>
      </c>
      <c r="Y237" s="2"/>
      <c r="Z237" s="480"/>
    </row>
    <row r="238" spans="2:26" x14ac:dyDescent="0.15">
      <c r="B238" s="202"/>
      <c r="C238" s="4">
        <v>9</v>
      </c>
      <c r="D238" s="2">
        <f t="shared" si="22"/>
        <v>0</v>
      </c>
      <c r="E238" s="2">
        <f>IF(D238&gt;0,-(D238+$B$235)*($E$15/'Loan Amortization'!$D$8),0)</f>
        <v>0</v>
      </c>
      <c r="F238" s="2">
        <f t="shared" si="22"/>
        <v>0</v>
      </c>
      <c r="G238" s="2">
        <f>IF(F238&gt;0,-(F238+$B$235)*($E$15/'Loan Amortization'!$D$8),0)</f>
        <v>0</v>
      </c>
      <c r="H238" s="2">
        <f t="shared" si="22"/>
        <v>0</v>
      </c>
      <c r="I238" s="2">
        <f>IF(H238&gt;0,-(H238+$B$235)*($E$15/'Loan Amortization'!$D$8),0)</f>
        <v>0</v>
      </c>
      <c r="J238" s="2">
        <f t="shared" si="22"/>
        <v>0</v>
      </c>
      <c r="K238" s="2">
        <f>IF(J238&gt;0,-(J238+$B$235)*($E$15/'Loan Amortization'!$D$8),0)</f>
        <v>0</v>
      </c>
      <c r="L238" s="2">
        <f t="shared" si="22"/>
        <v>0</v>
      </c>
      <c r="M238" s="2">
        <f>IF(L238&gt;0,-(L238+$B$235)*($E$15/'Loan Amortization'!$D$8),0)</f>
        <v>0</v>
      </c>
      <c r="N238" s="2">
        <f t="shared" si="22"/>
        <v>0</v>
      </c>
      <c r="O238" s="2">
        <f>IF(N238&gt;0,-(N238+$B$235)*($E$15/'Loan Amortization'!$D$8),0)</f>
        <v>0</v>
      </c>
      <c r="P238" s="2">
        <f t="shared" si="22"/>
        <v>0</v>
      </c>
      <c r="Q238" s="2">
        <f>IF(P238&gt;0,-(P238+$B$235)*($E$15/'Loan Amortization'!$D$8),0)</f>
        <v>0</v>
      </c>
      <c r="R238" s="2">
        <f t="shared" si="22"/>
        <v>0</v>
      </c>
      <c r="S238" s="2">
        <f>IF(R238&gt;0,-(R238+$B$235)*($E$15/'Loan Amortization'!$D$8),0)</f>
        <v>0</v>
      </c>
      <c r="T238" s="2">
        <f t="shared" si="22"/>
        <v>0</v>
      </c>
      <c r="U238" s="2">
        <f>IF(T238&gt;0,-(T238+$B$235)*($E$15/'Loan Amortization'!$D$8),0)</f>
        <v>0</v>
      </c>
      <c r="V238" s="2">
        <f t="shared" si="22"/>
        <v>0</v>
      </c>
      <c r="W238" s="2">
        <f>IF(V238&gt;0,-(V238+$B$235)*($E$15/'Loan Amortization'!$D$8),0)</f>
        <v>0</v>
      </c>
      <c r="X238" s="2">
        <f t="shared" si="23"/>
        <v>9</v>
      </c>
      <c r="Y238" s="2"/>
      <c r="Z238" s="480"/>
    </row>
    <row r="239" spans="2:26" x14ac:dyDescent="0.15">
      <c r="B239" s="202"/>
      <c r="C239" s="4">
        <v>10</v>
      </c>
      <c r="D239" s="2">
        <f t="shared" si="22"/>
        <v>0</v>
      </c>
      <c r="E239" s="2">
        <f>IF(D239&gt;0,-(D239+$B$235)*($E$15/'Loan Amortization'!$D$8),0)</f>
        <v>0</v>
      </c>
      <c r="F239" s="2">
        <f t="shared" si="22"/>
        <v>0</v>
      </c>
      <c r="G239" s="2">
        <f>IF(F239&gt;0,-(F239+$B$235)*($E$15/'Loan Amortization'!$D$8),0)</f>
        <v>0</v>
      </c>
      <c r="H239" s="2">
        <f t="shared" si="22"/>
        <v>0</v>
      </c>
      <c r="I239" s="2">
        <f>IF(H239&gt;0,-(H239+$B$235)*($E$15/'Loan Amortization'!$D$8),0)</f>
        <v>0</v>
      </c>
      <c r="J239" s="2">
        <f t="shared" si="22"/>
        <v>0</v>
      </c>
      <c r="K239" s="2">
        <f>IF(J239&gt;0,-(J239+$B$235)*($E$15/'Loan Amortization'!$D$8),0)</f>
        <v>0</v>
      </c>
      <c r="L239" s="2">
        <f t="shared" si="22"/>
        <v>0</v>
      </c>
      <c r="M239" s="2">
        <f>IF(L239&gt;0,-(L239+$B$235)*($E$15/'Loan Amortization'!$D$8),0)</f>
        <v>0</v>
      </c>
      <c r="N239" s="2">
        <f t="shared" si="22"/>
        <v>0</v>
      </c>
      <c r="O239" s="2">
        <f>IF(N239&gt;0,-(N239+$B$235)*($E$15/'Loan Amortization'!$D$8),0)</f>
        <v>0</v>
      </c>
      <c r="P239" s="2">
        <f t="shared" si="22"/>
        <v>0</v>
      </c>
      <c r="Q239" s="2">
        <f>IF(P239&gt;0,-(P239+$B$235)*($E$15/'Loan Amortization'!$D$8),0)</f>
        <v>0</v>
      </c>
      <c r="R239" s="2">
        <f t="shared" si="22"/>
        <v>0</v>
      </c>
      <c r="S239" s="2">
        <f>IF(R239&gt;0,-(R239+$B$235)*($E$15/'Loan Amortization'!$D$8),0)</f>
        <v>0</v>
      </c>
      <c r="T239" s="2">
        <f t="shared" si="22"/>
        <v>0</v>
      </c>
      <c r="U239" s="2">
        <f>IF(T239&gt;0,-(T239+$B$235)*($E$15/'Loan Amortization'!$D$8),0)</f>
        <v>0</v>
      </c>
      <c r="V239" s="2">
        <f t="shared" si="22"/>
        <v>0</v>
      </c>
      <c r="W239" s="2">
        <f>IF(V239&gt;0,-(V239+$B$235)*($E$15/'Loan Amortization'!$D$8),0)</f>
        <v>0</v>
      </c>
      <c r="X239" s="2">
        <f t="shared" si="23"/>
        <v>10</v>
      </c>
      <c r="Y239" s="2"/>
      <c r="Z239" s="480"/>
    </row>
    <row r="240" spans="2:26" x14ac:dyDescent="0.15">
      <c r="B240" s="202"/>
      <c r="C240" s="4">
        <v>11</v>
      </c>
      <c r="D240" s="2">
        <f t="shared" si="22"/>
        <v>0</v>
      </c>
      <c r="E240" s="2">
        <f>IF(D240&gt;0,-(D240+$B$235)*($E$15/'Loan Amortization'!$D$8),0)</f>
        <v>0</v>
      </c>
      <c r="F240" s="2">
        <f t="shared" si="22"/>
        <v>0</v>
      </c>
      <c r="G240" s="2">
        <f>IF(F240&gt;0,-(F240+$B$235)*($E$15/'Loan Amortization'!$D$8),0)</f>
        <v>0</v>
      </c>
      <c r="H240" s="2">
        <f t="shared" si="22"/>
        <v>0</v>
      </c>
      <c r="I240" s="2">
        <f>IF(H240&gt;0,-(H240+$B$235)*($E$15/'Loan Amortization'!$D$8),0)</f>
        <v>0</v>
      </c>
      <c r="J240" s="2">
        <f t="shared" si="22"/>
        <v>0</v>
      </c>
      <c r="K240" s="2">
        <f>IF(J240&gt;0,-(J240+$B$235)*($E$15/'Loan Amortization'!$D$8),0)</f>
        <v>0</v>
      </c>
      <c r="L240" s="2">
        <f t="shared" si="22"/>
        <v>0</v>
      </c>
      <c r="M240" s="2">
        <f>IF(L240&gt;0,-(L240+$B$235)*($E$15/'Loan Amortization'!$D$8),0)</f>
        <v>0</v>
      </c>
      <c r="N240" s="2">
        <f t="shared" si="22"/>
        <v>0</v>
      </c>
      <c r="O240" s="2">
        <f>IF(N240&gt;0,-(N240+$B$235)*($E$15/'Loan Amortization'!$D$8),0)</f>
        <v>0</v>
      </c>
      <c r="P240" s="2">
        <f t="shared" si="22"/>
        <v>0</v>
      </c>
      <c r="Q240" s="2">
        <f>IF(P240&gt;0,-(P240+$B$235)*($E$15/'Loan Amortization'!$D$8),0)</f>
        <v>0</v>
      </c>
      <c r="R240" s="2">
        <f t="shared" si="22"/>
        <v>0</v>
      </c>
      <c r="S240" s="2">
        <f>IF(R240&gt;0,-(R240+$B$235)*($E$15/'Loan Amortization'!$D$8),0)</f>
        <v>0</v>
      </c>
      <c r="T240" s="2">
        <f t="shared" si="22"/>
        <v>0</v>
      </c>
      <c r="U240" s="2">
        <f>IF(T240&gt;0,-(T240+$B$235)*($E$15/'Loan Amortization'!$D$8),0)</f>
        <v>0</v>
      </c>
      <c r="V240" s="2">
        <f t="shared" si="22"/>
        <v>0</v>
      </c>
      <c r="W240" s="2">
        <f>IF(V240&gt;0,-(V240+$B$235)*($E$15/'Loan Amortization'!$D$8),0)</f>
        <v>0</v>
      </c>
      <c r="X240" s="2">
        <f t="shared" si="23"/>
        <v>11</v>
      </c>
      <c r="Y240" s="2"/>
      <c r="Z240" s="480"/>
    </row>
    <row r="241" spans="2:26" ht="14" thickBot="1" x14ac:dyDescent="0.2">
      <c r="B241" s="202"/>
      <c r="C241" s="4">
        <v>12</v>
      </c>
      <c r="D241" s="2">
        <f t="shared" si="22"/>
        <v>0</v>
      </c>
      <c r="E241" s="2">
        <f>IF(D241&gt;0,-(D241+$B$235)*($E$15/'Loan Amortization'!$D$8),0)</f>
        <v>0</v>
      </c>
      <c r="F241" s="2">
        <f t="shared" si="22"/>
        <v>0</v>
      </c>
      <c r="G241" s="2">
        <f>IF(F241&gt;0,-(F241+$B$235)*($E$15/'Loan Amortization'!$D$8),0)</f>
        <v>0</v>
      </c>
      <c r="H241" s="2">
        <f t="shared" si="22"/>
        <v>0</v>
      </c>
      <c r="I241" s="2">
        <f>IF(H241&gt;0,-(H241+$B$235)*($E$15/'Loan Amortization'!$D$8),0)</f>
        <v>0</v>
      </c>
      <c r="J241" s="2">
        <f t="shared" si="22"/>
        <v>0</v>
      </c>
      <c r="K241" s="2">
        <f>IF(J241&gt;0,-(J241+$B$235)*($E$15/'Loan Amortization'!$D$8),0)</f>
        <v>0</v>
      </c>
      <c r="L241" s="2">
        <f t="shared" si="22"/>
        <v>0</v>
      </c>
      <c r="M241" s="2">
        <f>IF(L241&gt;0,-(L241+$B$235)*($E$15/'Loan Amortization'!$D$8),0)</f>
        <v>0</v>
      </c>
      <c r="N241" s="2">
        <f t="shared" si="22"/>
        <v>0</v>
      </c>
      <c r="O241" s="2">
        <f>IF(N241&gt;0,-(N241+$B$235)*($E$15/'Loan Amortization'!$D$8),0)</f>
        <v>0</v>
      </c>
      <c r="P241" s="2">
        <f t="shared" si="22"/>
        <v>0</v>
      </c>
      <c r="Q241" s="2">
        <f>IF(P241&gt;0,-(P241+$B$235)*($E$15/'Loan Amortization'!$D$8),0)</f>
        <v>0</v>
      </c>
      <c r="R241" s="2">
        <f t="shared" si="22"/>
        <v>0</v>
      </c>
      <c r="S241" s="2">
        <f>IF(R241&gt;0,-(R241+$B$235)*($E$15/'Loan Amortization'!$D$8),0)</f>
        <v>0</v>
      </c>
      <c r="T241" s="2">
        <f t="shared" si="22"/>
        <v>0</v>
      </c>
      <c r="U241" s="2">
        <f>IF(T241&gt;0,-(T241+$B$235)*($E$15/'Loan Amortization'!$D$8),0)</f>
        <v>0</v>
      </c>
      <c r="V241" s="2">
        <f t="shared" si="22"/>
        <v>0</v>
      </c>
      <c r="W241" s="2">
        <f>IF(V241&gt;0,-(V241+$B$235)*($E$15/'Loan Amortization'!$D$8),0)</f>
        <v>0</v>
      </c>
      <c r="X241" s="2">
        <f t="shared" si="23"/>
        <v>12</v>
      </c>
      <c r="Y241" s="2"/>
      <c r="Z241" s="480"/>
    </row>
    <row r="242" spans="2:26" ht="14" thickBot="1" x14ac:dyDescent="0.2">
      <c r="B242" s="541" t="s">
        <v>45</v>
      </c>
      <c r="C242" s="502" t="s">
        <v>663</v>
      </c>
      <c r="D242" s="503">
        <f>'Level Prin Paymt Fin Sens Calc'!D$138</f>
        <v>0</v>
      </c>
      <c r="E242" s="503">
        <f>'Level Prin Paymt Fin Sens Calc'!E$138</f>
        <v>0</v>
      </c>
      <c r="F242" s="503">
        <f>'Level Prin Paymt Fin Sens Calc'!F$138</f>
        <v>0</v>
      </c>
      <c r="G242" s="503">
        <f>'Level Prin Paymt Fin Sens Calc'!G$138</f>
        <v>0</v>
      </c>
      <c r="H242" s="503">
        <f>'Level Prin Paymt Fin Sens Calc'!H$138</f>
        <v>0</v>
      </c>
      <c r="I242" s="503">
        <f>'Level Prin Paymt Fin Sens Calc'!I$138</f>
        <v>0</v>
      </c>
      <c r="J242" s="503">
        <f>'Level Prin Paymt Fin Sens Calc'!J$138</f>
        <v>0</v>
      </c>
      <c r="K242" s="503">
        <f>'Level Prin Paymt Fin Sens Calc'!K$138</f>
        <v>0</v>
      </c>
      <c r="L242" s="503">
        <f>'Level Prin Paymt Fin Sens Calc'!L$138</f>
        <v>0</v>
      </c>
      <c r="M242" s="503">
        <f>'Level Prin Paymt Fin Sens Calc'!M$138</f>
        <v>0</v>
      </c>
      <c r="N242" s="503">
        <f>'Level Prin Paymt Fin Sens Calc'!N$138</f>
        <v>0</v>
      </c>
      <c r="O242" s="503">
        <f>'Level Prin Paymt Fin Sens Calc'!O$138</f>
        <v>0</v>
      </c>
      <c r="P242" s="503">
        <f>'Level Prin Paymt Fin Sens Calc'!P$138</f>
        <v>0</v>
      </c>
      <c r="Q242" s="503">
        <f>'Level Prin Paymt Fin Sens Calc'!Q$138</f>
        <v>0</v>
      </c>
      <c r="R242" s="503">
        <f>'Level Prin Paymt Fin Sens Calc'!R$138</f>
        <v>0</v>
      </c>
      <c r="S242" s="503">
        <f>'Level Prin Paymt Fin Sens Calc'!S$138</f>
        <v>0</v>
      </c>
      <c r="T242" s="503">
        <f>'Level Prin Paymt Fin Sens Calc'!T$138</f>
        <v>0</v>
      </c>
      <c r="U242" s="503">
        <f>'Level Prin Paymt Fin Sens Calc'!U$138</f>
        <v>0</v>
      </c>
      <c r="V242" s="503">
        <f>'Level Prin Paymt Fin Sens Calc'!V$138</f>
        <v>0</v>
      </c>
      <c r="W242" s="503">
        <f>'Level Prin Paymt Fin Sens Calc'!W$138</f>
        <v>0</v>
      </c>
      <c r="X242" s="504">
        <f t="shared" si="23"/>
        <v>0</v>
      </c>
      <c r="Y242" s="501"/>
      <c r="Z242" s="480"/>
    </row>
    <row r="243" spans="2:26" ht="14" thickBot="1" x14ac:dyDescent="0.2">
      <c r="B243" s="478"/>
      <c r="C243" s="520" t="s">
        <v>273</v>
      </c>
      <c r="D243" s="522"/>
      <c r="E243" s="522">
        <f>IF(D229&gt;$L$10,0,IPMT($E$15,D229,$L$10,$B$234))</f>
        <v>0</v>
      </c>
      <c r="F243" s="522"/>
      <c r="G243" s="522">
        <f>IF(F229&gt;$L$10,0,IPMT($E$15,F229,$L$10,$B$234))</f>
        <v>0</v>
      </c>
      <c r="H243" s="522"/>
      <c r="I243" s="522">
        <f>IF(H229&gt;$L$10,0,IPMT($E$15,H229,$L$10,$B$234))</f>
        <v>0</v>
      </c>
      <c r="J243" s="522"/>
      <c r="K243" s="522">
        <f>IF(J229&gt;$L$10,0,IPMT($E$15,J229,$L$10,$B$234))</f>
        <v>0</v>
      </c>
      <c r="L243" s="522"/>
      <c r="M243" s="522">
        <f>IF(L229&gt;$L$10,0,IPMT($E$15,L229,$L$10,$B$234))</f>
        <v>0</v>
      </c>
      <c r="N243" s="522"/>
      <c r="O243" s="522">
        <f>IF(N229&gt;$L$10,0,IPMT($E$15,N229,$L$10,$B$234))</f>
        <v>0</v>
      </c>
      <c r="P243" s="522"/>
      <c r="Q243" s="522">
        <f>IF(P229&gt;$L$10,0,IPMT($E$15,P229,$L$10,$B$234))</f>
        <v>0</v>
      </c>
      <c r="R243" s="522"/>
      <c r="S243" s="522">
        <f>IF(R229&gt;$L$10,0,IPMT($E$15,R229,$L$10,$B$234))</f>
        <v>0</v>
      </c>
      <c r="T243" s="522"/>
      <c r="U243" s="522">
        <f>IF(T229&gt;$L$10,0,IPMT($E$15,T229,$L$10,$B$234))</f>
        <v>0</v>
      </c>
      <c r="V243" s="522"/>
      <c r="W243" s="522">
        <f>IF(V229&gt;$L$10,0,IPMT($E$15,V229,$L$10,$B$234))</f>
        <v>0</v>
      </c>
      <c r="X243" s="504">
        <f t="shared" si="23"/>
        <v>0</v>
      </c>
      <c r="Y243" s="548"/>
      <c r="Z243" s="482"/>
    </row>
    <row r="244" spans="2:26" ht="14" thickBot="1" x14ac:dyDescent="0.2">
      <c r="C244" s="502" t="s">
        <v>664</v>
      </c>
      <c r="D244" s="558">
        <f>D229</f>
        <v>1</v>
      </c>
      <c r="E244" s="559">
        <f>F229</f>
        <v>2</v>
      </c>
      <c r="F244" s="559">
        <f>H229</f>
        <v>3</v>
      </c>
      <c r="G244" s="559">
        <f>J229</f>
        <v>4</v>
      </c>
      <c r="H244" s="559">
        <f>L229</f>
        <v>5</v>
      </c>
      <c r="I244" s="559">
        <f>N229</f>
        <v>6</v>
      </c>
      <c r="J244" s="559">
        <f>P229</f>
        <v>7</v>
      </c>
      <c r="K244" s="559">
        <f>R229</f>
        <v>8</v>
      </c>
      <c r="L244" s="559">
        <f>T229</f>
        <v>9</v>
      </c>
      <c r="M244" s="559">
        <f>V229</f>
        <v>10</v>
      </c>
      <c r="N244" s="560" t="str">
        <f>X229</f>
        <v>TOTAL</v>
      </c>
    </row>
    <row r="245" spans="2:26" ht="14" thickBot="1" x14ac:dyDescent="0.2">
      <c r="C245" s="502" t="s">
        <v>663</v>
      </c>
      <c r="D245" s="561">
        <f>D242</f>
        <v>0</v>
      </c>
      <c r="E245" s="2">
        <f>F242</f>
        <v>0</v>
      </c>
      <c r="F245" s="2">
        <f>H242</f>
        <v>0</v>
      </c>
      <c r="G245" s="2">
        <f>J242</f>
        <v>0</v>
      </c>
      <c r="H245" s="2">
        <f>L242</f>
        <v>0</v>
      </c>
      <c r="I245" s="2">
        <f>N242</f>
        <v>0</v>
      </c>
      <c r="J245" s="2">
        <f>P242</f>
        <v>0</v>
      </c>
      <c r="K245" s="2">
        <f>R242</f>
        <v>0</v>
      </c>
      <c r="L245" s="2">
        <f>T242</f>
        <v>0</v>
      </c>
      <c r="M245" s="2">
        <f>V242</f>
        <v>0</v>
      </c>
      <c r="N245" s="501">
        <f>X242</f>
        <v>0</v>
      </c>
    </row>
    <row r="246" spans="2:26" ht="14" thickBot="1" x14ac:dyDescent="0.2">
      <c r="C246" s="520" t="s">
        <v>273</v>
      </c>
      <c r="D246" s="562">
        <f>E243</f>
        <v>0</v>
      </c>
      <c r="E246" s="522">
        <f>G243</f>
        <v>0</v>
      </c>
      <c r="F246" s="522">
        <f>I243</f>
        <v>0</v>
      </c>
      <c r="G246" s="522">
        <f>K243</f>
        <v>0</v>
      </c>
      <c r="H246" s="522">
        <f>M243</f>
        <v>0</v>
      </c>
      <c r="I246" s="522">
        <f>O243</f>
        <v>0</v>
      </c>
      <c r="J246" s="522">
        <f>Q243</f>
        <v>0</v>
      </c>
      <c r="K246" s="522">
        <f>S243</f>
        <v>0</v>
      </c>
      <c r="L246" s="522">
        <f>U243</f>
        <v>0</v>
      </c>
      <c r="M246" s="522">
        <f>W243</f>
        <v>0</v>
      </c>
      <c r="N246" s="548">
        <f>X243</f>
        <v>0</v>
      </c>
    </row>
  </sheetData>
  <sheetProtection password="AA36" sheet="1" objects="1" scenarios="1"/>
  <phoneticPr fontId="0" type="noConversion"/>
  <pageMargins left="0.75" right="0.75" top="1" bottom="1" header="0.5" footer="0.5"/>
  <pageSetup orientation="portrait" horizontalDpi="0" verticalDpi="0"/>
  <headerFooter alignWithMargins="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198"/>
  <sheetViews>
    <sheetView workbookViewId="0"/>
  </sheetViews>
  <sheetFormatPr baseColWidth="10" defaultColWidth="8.83203125" defaultRowHeight="13" x14ac:dyDescent="0.15"/>
  <cols>
    <col min="2" max="2" width="19" customWidth="1"/>
    <col min="3" max="3" width="25.5" customWidth="1"/>
    <col min="4" max="19" width="15.6640625" customWidth="1"/>
  </cols>
  <sheetData>
    <row r="1" spans="1:5" ht="18" x14ac:dyDescent="0.2">
      <c r="A1" s="549" t="s">
        <v>674</v>
      </c>
    </row>
    <row r="2" spans="1:5" ht="16" x14ac:dyDescent="0.2">
      <c r="B2" s="39" t="s">
        <v>675</v>
      </c>
    </row>
    <row r="3" spans="1:5" ht="16" x14ac:dyDescent="0.2">
      <c r="B3" s="727" t="s">
        <v>647</v>
      </c>
    </row>
    <row r="4" spans="1:5" ht="14" x14ac:dyDescent="0.15">
      <c r="C4" s="23" t="s">
        <v>648</v>
      </c>
      <c r="D4" s="61">
        <f>'Loan Amortization'!D5</f>
        <v>0</v>
      </c>
      <c r="E4" s="26" t="s">
        <v>435</v>
      </c>
    </row>
    <row r="5" spans="1:5" x14ac:dyDescent="0.15">
      <c r="C5" s="103">
        <v>-0.25</v>
      </c>
      <c r="D5" s="107">
        <f>D4*0.75</f>
        <v>0</v>
      </c>
      <c r="E5" s="574">
        <f>IF(ISNUMBER(D5/'Capital &amp; Depr'!$E$20),(D5/'Capital &amp; Depr'!$E$20),"NMF")</f>
        <v>0</v>
      </c>
    </row>
    <row r="6" spans="1:5" x14ac:dyDescent="0.15">
      <c r="C6" s="103">
        <v>-0.2</v>
      </c>
      <c r="D6" s="107">
        <f>D4*0.8</f>
        <v>0</v>
      </c>
      <c r="E6" s="574">
        <f>IF(ISNUMBER(D6/'Capital &amp; Depr'!$E$20),(D6/'Capital &amp; Depr'!$E$20),"NMF")</f>
        <v>0</v>
      </c>
    </row>
    <row r="7" spans="1:5" x14ac:dyDescent="0.15">
      <c r="C7" s="103">
        <v>-0.15</v>
      </c>
      <c r="D7" s="107">
        <f>D4*0.85</f>
        <v>0</v>
      </c>
      <c r="E7" s="574">
        <f>IF(ISNUMBER(D7/'Capital &amp; Depr'!$E$20),(D7/'Capital &amp; Depr'!$E$20),"NMF")</f>
        <v>0</v>
      </c>
    </row>
    <row r="8" spans="1:5" x14ac:dyDescent="0.15">
      <c r="C8" s="103">
        <v>-0.1</v>
      </c>
      <c r="D8" s="107">
        <f>D4*0.9</f>
        <v>0</v>
      </c>
      <c r="E8" s="574">
        <f>IF(ISNUMBER(D8/'Capital &amp; Depr'!$E$20),(D8/'Capital &amp; Depr'!$E$20),"NMF")</f>
        <v>0</v>
      </c>
    </row>
    <row r="9" spans="1:5" x14ac:dyDescent="0.15">
      <c r="C9" s="103">
        <v>-0.05</v>
      </c>
      <c r="D9" s="107">
        <f>D4*0.95</f>
        <v>0</v>
      </c>
      <c r="E9" s="574">
        <f>IF(ISNUMBER(D9/'Capital &amp; Depr'!$E$20),(D9/'Capital &amp; Depr'!$E$20),"NMF")</f>
        <v>0</v>
      </c>
    </row>
    <row r="10" spans="1:5" x14ac:dyDescent="0.15">
      <c r="C10" s="103">
        <v>0</v>
      </c>
      <c r="D10" s="107">
        <f>D5*0.95</f>
        <v>0</v>
      </c>
      <c r="E10" s="574">
        <f>IF(ISNUMBER(D10/'Capital &amp; Depr'!$E$20),(D10/'Capital &amp; Depr'!$E$20),"NMF")</f>
        <v>0</v>
      </c>
    </row>
    <row r="11" spans="1:5" x14ac:dyDescent="0.15">
      <c r="C11" s="103">
        <v>0.05</v>
      </c>
      <c r="D11" s="107">
        <f>D4*1.05</f>
        <v>0</v>
      </c>
      <c r="E11" s="574">
        <f>IF(ISNUMBER(D11/'Capital &amp; Depr'!$E$20),(D11/'Capital &amp; Depr'!$E$20),"NMF")</f>
        <v>0</v>
      </c>
    </row>
    <row r="12" spans="1:5" x14ac:dyDescent="0.15">
      <c r="C12" s="103">
        <v>0.1</v>
      </c>
      <c r="D12" s="107">
        <f>D4*1.1</f>
        <v>0</v>
      </c>
      <c r="E12" s="574">
        <f>IF(ISNUMBER(D12/'Capital &amp; Depr'!$E$20),(D12/'Capital &amp; Depr'!$E$20),"NMF")</f>
        <v>0</v>
      </c>
    </row>
    <row r="13" spans="1:5" x14ac:dyDescent="0.15">
      <c r="C13" s="103">
        <v>0.15</v>
      </c>
      <c r="D13" s="107">
        <f>D4*1.15</f>
        <v>0</v>
      </c>
      <c r="E13" s="574">
        <f>IF(ISNUMBER(D13/'Capital &amp; Depr'!$E$20),(D13/'Capital &amp; Depr'!$E$20),"NMF")</f>
        <v>0</v>
      </c>
    </row>
    <row r="14" spans="1:5" x14ac:dyDescent="0.15">
      <c r="C14" s="103">
        <v>0.2</v>
      </c>
      <c r="D14" s="107">
        <f>D4*1.2</f>
        <v>0</v>
      </c>
      <c r="E14" s="574">
        <f>IF(ISNUMBER(D14/'Capital &amp; Depr'!$E$20),(D14/'Capital &amp; Depr'!$E$20),"NMF")</f>
        <v>0</v>
      </c>
    </row>
    <row r="15" spans="1:5" x14ac:dyDescent="0.15">
      <c r="C15" s="103">
        <v>0.25</v>
      </c>
      <c r="D15" s="107">
        <f>D4*1.25</f>
        <v>0</v>
      </c>
      <c r="E15" s="574">
        <f>IF(ISNUMBER(D15/'Capital &amp; Depr'!$E$20),(D15/'Capital &amp; Depr'!$E$20),"NMF")</f>
        <v>0</v>
      </c>
    </row>
    <row r="17" spans="2:15" x14ac:dyDescent="0.15">
      <c r="B17" t="s">
        <v>283</v>
      </c>
    </row>
    <row r="18" spans="2:15" x14ac:dyDescent="0.15">
      <c r="B18" s="12" t="s">
        <v>630</v>
      </c>
      <c r="C18" s="26">
        <v>0</v>
      </c>
      <c r="D18" s="26">
        <v>1</v>
      </c>
      <c r="E18" s="26">
        <v>2</v>
      </c>
      <c r="F18" s="26">
        <v>3</v>
      </c>
      <c r="G18" s="26">
        <v>4</v>
      </c>
      <c r="H18" s="26">
        <v>5</v>
      </c>
      <c r="I18" s="26">
        <v>6</v>
      </c>
      <c r="J18" s="26">
        <v>7</v>
      </c>
      <c r="K18" s="26">
        <v>8</v>
      </c>
      <c r="L18" s="26">
        <v>9</v>
      </c>
      <c r="M18" s="26">
        <v>10</v>
      </c>
      <c r="N18" s="26" t="s">
        <v>284</v>
      </c>
      <c r="O18" s="91" t="s">
        <v>216</v>
      </c>
    </row>
    <row r="19" spans="2:15" x14ac:dyDescent="0.15">
      <c r="B19" s="12" t="s">
        <v>631</v>
      </c>
      <c r="C19" s="12"/>
      <c r="D19" s="61">
        <f>'After Tax Analysis'!E8</f>
        <v>300000000</v>
      </c>
      <c r="E19" s="61">
        <f>'After Tax Analysis'!F8</f>
        <v>313500000.00000006</v>
      </c>
      <c r="F19" s="61">
        <f>'After Tax Analysis'!G8</f>
        <v>327607500.00000006</v>
      </c>
      <c r="G19" s="61">
        <f>'After Tax Analysis'!H8</f>
        <v>342349837.50000012</v>
      </c>
      <c r="H19" s="61">
        <f>'After Tax Analysis'!I8</f>
        <v>357755580.18750012</v>
      </c>
      <c r="I19" s="61">
        <f>'After Tax Analysis'!J8</f>
        <v>0</v>
      </c>
      <c r="J19" s="61">
        <f>'After Tax Analysis'!K8</f>
        <v>0</v>
      </c>
      <c r="K19" s="61">
        <f>'After Tax Analysis'!L8</f>
        <v>0</v>
      </c>
      <c r="L19" s="61">
        <f>'After Tax Analysis'!M8</f>
        <v>0</v>
      </c>
      <c r="M19" s="61">
        <f>'After Tax Analysis'!N8</f>
        <v>0</v>
      </c>
      <c r="N19" s="162"/>
      <c r="O19" s="63">
        <f>SUM(D19:M19)</f>
        <v>1641212917.6875</v>
      </c>
    </row>
    <row r="20" spans="2:15" x14ac:dyDescent="0.15">
      <c r="B20" s="12" t="s">
        <v>632</v>
      </c>
      <c r="C20" s="12"/>
      <c r="D20" s="61">
        <f>'After Tax Analysis'!E9</f>
        <v>230170000</v>
      </c>
      <c r="E20" s="61">
        <f>'After Tax Analysis'!F9</f>
        <v>253018375.00000003</v>
      </c>
      <c r="F20" s="61">
        <f>'After Tax Analysis'!G9</f>
        <v>278725718.45125008</v>
      </c>
      <c r="G20" s="61">
        <f>'After Tax Analysis'!H9</f>
        <v>307665975.06072807</v>
      </c>
      <c r="H20" s="61">
        <f>'After Tax Analysis'!I9</f>
        <v>340262566.36057305</v>
      </c>
      <c r="I20" s="61">
        <f>'After Tax Analysis'!J9</f>
        <v>0</v>
      </c>
      <c r="J20" s="61">
        <f>'After Tax Analysis'!K9</f>
        <v>0</v>
      </c>
      <c r="K20" s="61">
        <f>'After Tax Analysis'!L9</f>
        <v>0</v>
      </c>
      <c r="L20" s="61">
        <f>'After Tax Analysis'!M9</f>
        <v>0</v>
      </c>
      <c r="M20" s="61">
        <f>'After Tax Analysis'!N9</f>
        <v>0</v>
      </c>
      <c r="N20" s="162"/>
      <c r="O20" s="63">
        <f>SUM(D20:M20)</f>
        <v>1409842634.8725512</v>
      </c>
    </row>
    <row r="21" spans="2:15" x14ac:dyDescent="0.15">
      <c r="B21" s="12" t="s">
        <v>633</v>
      </c>
      <c r="C21" s="12"/>
      <c r="D21" s="67">
        <f>D19-D20</f>
        <v>69830000</v>
      </c>
      <c r="E21" s="67">
        <f t="shared" ref="E21:L21" si="0">E19-E20</f>
        <v>60481625.00000003</v>
      </c>
      <c r="F21" s="67">
        <f t="shared" si="0"/>
        <v>48881781.548749983</v>
      </c>
      <c r="G21" s="67">
        <f t="shared" si="0"/>
        <v>34683862.439272046</v>
      </c>
      <c r="H21" s="67">
        <f t="shared" si="0"/>
        <v>17493013.826927066</v>
      </c>
      <c r="I21" s="67">
        <f t="shared" si="0"/>
        <v>0</v>
      </c>
      <c r="J21" s="67">
        <f t="shared" si="0"/>
        <v>0</v>
      </c>
      <c r="K21" s="67">
        <f t="shared" si="0"/>
        <v>0</v>
      </c>
      <c r="L21" s="67">
        <f t="shared" si="0"/>
        <v>0</v>
      </c>
      <c r="M21" s="67">
        <f>M19-M20</f>
        <v>0</v>
      </c>
      <c r="N21" s="162"/>
      <c r="O21" s="67">
        <f>SUM(D21:M21)</f>
        <v>231370282.81494913</v>
      </c>
    </row>
    <row r="22" spans="2:15" x14ac:dyDescent="0.15">
      <c r="B22" s="12" t="s">
        <v>292</v>
      </c>
      <c r="C22" s="12"/>
      <c r="D22" s="92">
        <f>'After Tax Analysis'!E11</f>
        <v>3772500</v>
      </c>
      <c r="E22" s="92">
        <f>'After Tax Analysis'!F11</f>
        <v>6218850</v>
      </c>
      <c r="F22" s="92">
        <f>'After Tax Analysis'!G11</f>
        <v>4083150</v>
      </c>
      <c r="G22" s="92">
        <f>'After Tax Analysis'!H11</f>
        <v>2775510</v>
      </c>
      <c r="H22" s="92">
        <f>'After Tax Analysis'!I11</f>
        <v>1352955</v>
      </c>
      <c r="I22" s="92">
        <f>'After Tax Analysis'!J11</f>
        <v>0</v>
      </c>
      <c r="J22" s="92">
        <f>'After Tax Analysis'!K11</f>
        <v>0</v>
      </c>
      <c r="K22" s="92">
        <f>'After Tax Analysis'!L11</f>
        <v>0</v>
      </c>
      <c r="L22" s="92">
        <f>'After Tax Analysis'!M11</f>
        <v>0</v>
      </c>
      <c r="M22" s="92">
        <f>'After Tax Analysis'!N11</f>
        <v>0</v>
      </c>
      <c r="N22" s="162"/>
      <c r="O22" s="67">
        <f>SUM(D22:M22)</f>
        <v>18202965</v>
      </c>
    </row>
    <row r="23" spans="2:15" x14ac:dyDescent="0.15">
      <c r="B23" s="12" t="s">
        <v>633</v>
      </c>
      <c r="C23" s="12"/>
      <c r="D23" s="67">
        <f>D21-D22</f>
        <v>66057500</v>
      </c>
      <c r="E23" s="67">
        <f t="shared" ref="E23:L23" si="1">E21-E22</f>
        <v>54262775.00000003</v>
      </c>
      <c r="F23" s="67">
        <f t="shared" si="1"/>
        <v>44798631.548749983</v>
      </c>
      <c r="G23" s="67">
        <f t="shared" si="1"/>
        <v>31908352.439272046</v>
      </c>
      <c r="H23" s="67">
        <f t="shared" si="1"/>
        <v>16140058.826927066</v>
      </c>
      <c r="I23" s="67">
        <f t="shared" si="1"/>
        <v>0</v>
      </c>
      <c r="J23" s="67">
        <f t="shared" si="1"/>
        <v>0</v>
      </c>
      <c r="K23" s="67">
        <f t="shared" si="1"/>
        <v>0</v>
      </c>
      <c r="L23" s="67">
        <f t="shared" si="1"/>
        <v>0</v>
      </c>
      <c r="M23" s="67">
        <f>M21-M22</f>
        <v>0</v>
      </c>
      <c r="N23" s="162"/>
      <c r="O23" s="67">
        <f>SUM(D23:M23)</f>
        <v>213167317.81494913</v>
      </c>
    </row>
    <row r="24" spans="2:15" x14ac:dyDescent="0.15">
      <c r="B24" s="12" t="s">
        <v>462</v>
      </c>
      <c r="C24" s="12"/>
      <c r="D24" s="67"/>
      <c r="E24" s="67"/>
      <c r="F24" s="67"/>
      <c r="G24" s="67"/>
      <c r="H24" s="67"/>
      <c r="I24" s="67"/>
      <c r="J24" s="67"/>
      <c r="K24" s="67"/>
      <c r="L24" s="67"/>
      <c r="M24" s="67"/>
      <c r="N24" s="162"/>
      <c r="O24" s="67"/>
    </row>
    <row r="25" spans="2:15" x14ac:dyDescent="0.15">
      <c r="B25" s="103">
        <v>-0.25</v>
      </c>
      <c r="C25" s="12"/>
      <c r="D25" s="110">
        <f>-'Lvl Prin Pmt Int Rate Sens Calc'!D36</f>
        <v>0</v>
      </c>
      <c r="E25" s="110">
        <f>-'Lvl Prin Pmt Int Rate Sens Calc'!E36</f>
        <v>0</v>
      </c>
      <c r="F25" s="110">
        <f>-'Lvl Prin Pmt Int Rate Sens Calc'!F36</f>
        <v>0</v>
      </c>
      <c r="G25" s="110">
        <f>-'Lvl Prin Pmt Int Rate Sens Calc'!G36</f>
        <v>0</v>
      </c>
      <c r="H25" s="110">
        <f>-'Lvl Prin Pmt Int Rate Sens Calc'!H36</f>
        <v>0</v>
      </c>
      <c r="I25" s="110">
        <f>-'Lvl Prin Pmt Int Rate Sens Calc'!I36</f>
        <v>0</v>
      </c>
      <c r="J25" s="110">
        <f>-'Lvl Prin Pmt Int Rate Sens Calc'!J36</f>
        <v>0</v>
      </c>
      <c r="K25" s="110">
        <f>-'Lvl Prin Pmt Int Rate Sens Calc'!K36</f>
        <v>0</v>
      </c>
      <c r="L25" s="110">
        <f>-'Lvl Prin Pmt Int Rate Sens Calc'!L36</f>
        <v>0</v>
      </c>
      <c r="M25" s="110">
        <f>-'Lvl Prin Pmt Int Rate Sens Calc'!M36</f>
        <v>0</v>
      </c>
      <c r="N25" s="162"/>
      <c r="O25" s="67">
        <f t="shared" ref="O25:O35" si="2">SUM(D25:M25)</f>
        <v>0</v>
      </c>
    </row>
    <row r="26" spans="2:15" x14ac:dyDescent="0.15">
      <c r="B26" s="103">
        <v>-0.2</v>
      </c>
      <c r="C26" s="12"/>
      <c r="D26" s="110">
        <f>-'Lvl Prin Pmt Int Rate Sens Calc'!D57</f>
        <v>0</v>
      </c>
      <c r="E26" s="110">
        <f>-'Lvl Prin Pmt Int Rate Sens Calc'!E57</f>
        <v>0</v>
      </c>
      <c r="F26" s="110">
        <f>-'Lvl Prin Pmt Int Rate Sens Calc'!F57</f>
        <v>0</v>
      </c>
      <c r="G26" s="110">
        <f>-'Lvl Prin Pmt Int Rate Sens Calc'!G57</f>
        <v>0</v>
      </c>
      <c r="H26" s="110">
        <f>-'Lvl Prin Pmt Int Rate Sens Calc'!H57</f>
        <v>0</v>
      </c>
      <c r="I26" s="110">
        <f>-'Lvl Prin Pmt Int Rate Sens Calc'!I57</f>
        <v>0</v>
      </c>
      <c r="J26" s="110">
        <f>-'Lvl Prin Pmt Int Rate Sens Calc'!J57</f>
        <v>0</v>
      </c>
      <c r="K26" s="110">
        <f>-'Lvl Prin Pmt Int Rate Sens Calc'!K57</f>
        <v>0</v>
      </c>
      <c r="L26" s="110">
        <f>-'Lvl Prin Pmt Int Rate Sens Calc'!L57</f>
        <v>0</v>
      </c>
      <c r="M26" s="110">
        <f>-'Lvl Prin Pmt Int Rate Sens Calc'!M57</f>
        <v>0</v>
      </c>
      <c r="N26" s="162"/>
      <c r="O26" s="67">
        <f t="shared" si="2"/>
        <v>0</v>
      </c>
    </row>
    <row r="27" spans="2:15" x14ac:dyDescent="0.15">
      <c r="B27" s="103">
        <v>-0.15</v>
      </c>
      <c r="C27" s="12"/>
      <c r="D27" s="110">
        <f>-'Lvl Prin Pmt Int Rate Sens Calc'!D78</f>
        <v>0</v>
      </c>
      <c r="E27" s="110">
        <f>-'Lvl Prin Pmt Int Rate Sens Calc'!E78</f>
        <v>0</v>
      </c>
      <c r="F27" s="110">
        <f>-'Lvl Prin Pmt Int Rate Sens Calc'!F78</f>
        <v>0</v>
      </c>
      <c r="G27" s="110">
        <f>-'Lvl Prin Pmt Int Rate Sens Calc'!G78</f>
        <v>0</v>
      </c>
      <c r="H27" s="110">
        <f>-'Lvl Prin Pmt Int Rate Sens Calc'!H78</f>
        <v>0</v>
      </c>
      <c r="I27" s="110">
        <f>-'Lvl Prin Pmt Int Rate Sens Calc'!I78</f>
        <v>0</v>
      </c>
      <c r="J27" s="110">
        <f>-'Lvl Prin Pmt Int Rate Sens Calc'!J78</f>
        <v>0</v>
      </c>
      <c r="K27" s="110">
        <f>-'Lvl Prin Pmt Int Rate Sens Calc'!K78</f>
        <v>0</v>
      </c>
      <c r="L27" s="110">
        <f>-'Lvl Prin Pmt Int Rate Sens Calc'!L78</f>
        <v>0</v>
      </c>
      <c r="M27" s="110">
        <f>-'Lvl Prin Pmt Int Rate Sens Calc'!M78</f>
        <v>0</v>
      </c>
      <c r="N27" s="162"/>
      <c r="O27" s="107">
        <f t="shared" si="2"/>
        <v>0</v>
      </c>
    </row>
    <row r="28" spans="2:15" x14ac:dyDescent="0.15">
      <c r="B28" s="103">
        <v>-0.1</v>
      </c>
      <c r="C28" s="12"/>
      <c r="D28" s="110">
        <f>-'Lvl Prin Pmt Int Rate Sens Calc'!D99</f>
        <v>0</v>
      </c>
      <c r="E28" s="110">
        <f>-'Lvl Prin Pmt Int Rate Sens Calc'!E99</f>
        <v>0</v>
      </c>
      <c r="F28" s="110">
        <f>-'Lvl Prin Pmt Int Rate Sens Calc'!F99</f>
        <v>0</v>
      </c>
      <c r="G28" s="110">
        <f>-'Lvl Prin Pmt Int Rate Sens Calc'!G99</f>
        <v>0</v>
      </c>
      <c r="H28" s="110">
        <f>-'Lvl Prin Pmt Int Rate Sens Calc'!H99</f>
        <v>0</v>
      </c>
      <c r="I28" s="110">
        <f>-'Lvl Prin Pmt Int Rate Sens Calc'!I99</f>
        <v>0</v>
      </c>
      <c r="J28" s="110">
        <f>-'Lvl Prin Pmt Int Rate Sens Calc'!J99</f>
        <v>0</v>
      </c>
      <c r="K28" s="110">
        <f>-'Lvl Prin Pmt Int Rate Sens Calc'!K99</f>
        <v>0</v>
      </c>
      <c r="L28" s="110">
        <f>-'Lvl Prin Pmt Int Rate Sens Calc'!L99</f>
        <v>0</v>
      </c>
      <c r="M28" s="110">
        <f>-'Lvl Prin Pmt Int Rate Sens Calc'!M99</f>
        <v>0</v>
      </c>
      <c r="N28" s="162"/>
      <c r="O28" s="67">
        <f t="shared" si="2"/>
        <v>0</v>
      </c>
    </row>
    <row r="29" spans="2:15" x14ac:dyDescent="0.15">
      <c r="B29" s="103">
        <v>-0.05</v>
      </c>
      <c r="C29" s="12"/>
      <c r="D29" s="110">
        <f>-'Lvl Prin Pmt Int Rate Sens Calc'!D120</f>
        <v>0</v>
      </c>
      <c r="E29" s="110">
        <f>-'Lvl Prin Pmt Int Rate Sens Calc'!E120</f>
        <v>0</v>
      </c>
      <c r="F29" s="110">
        <f>-'Lvl Prin Pmt Int Rate Sens Calc'!F120</f>
        <v>0</v>
      </c>
      <c r="G29" s="110">
        <f>-'Lvl Prin Pmt Int Rate Sens Calc'!G120</f>
        <v>0</v>
      </c>
      <c r="H29" s="110">
        <f>-'Lvl Prin Pmt Int Rate Sens Calc'!H120</f>
        <v>0</v>
      </c>
      <c r="I29" s="110">
        <f>-'Lvl Prin Pmt Int Rate Sens Calc'!I120</f>
        <v>0</v>
      </c>
      <c r="J29" s="110">
        <f>-'Lvl Prin Pmt Int Rate Sens Calc'!J120</f>
        <v>0</v>
      </c>
      <c r="K29" s="110">
        <f>-'Lvl Prin Pmt Int Rate Sens Calc'!K120</f>
        <v>0</v>
      </c>
      <c r="L29" s="110">
        <f>-'Lvl Prin Pmt Int Rate Sens Calc'!L120</f>
        <v>0</v>
      </c>
      <c r="M29" s="110">
        <f>-'Lvl Prin Pmt Int Rate Sens Calc'!M120</f>
        <v>0</v>
      </c>
      <c r="N29" s="162"/>
      <c r="O29" s="67">
        <f t="shared" si="2"/>
        <v>0</v>
      </c>
    </row>
    <row r="30" spans="2:15" x14ac:dyDescent="0.15">
      <c r="B30" s="103" t="s">
        <v>417</v>
      </c>
      <c r="C30" s="12"/>
      <c r="D30" s="110">
        <f>-'Lvl Prin Pmt Int Rate Sens Calc'!D141</f>
        <v>0</v>
      </c>
      <c r="E30" s="110">
        <f>-'Lvl Prin Pmt Int Rate Sens Calc'!E141</f>
        <v>0</v>
      </c>
      <c r="F30" s="110">
        <f>-'Lvl Prin Pmt Int Rate Sens Calc'!F141</f>
        <v>0</v>
      </c>
      <c r="G30" s="110">
        <f>-'Lvl Prin Pmt Int Rate Sens Calc'!G141</f>
        <v>0</v>
      </c>
      <c r="H30" s="110">
        <f>-'Lvl Prin Pmt Int Rate Sens Calc'!H141</f>
        <v>0</v>
      </c>
      <c r="I30" s="110">
        <f>-'Lvl Prin Pmt Int Rate Sens Calc'!I141</f>
        <v>0</v>
      </c>
      <c r="J30" s="110">
        <f>-'Lvl Prin Pmt Int Rate Sens Calc'!J141</f>
        <v>0</v>
      </c>
      <c r="K30" s="110">
        <f>-'Lvl Prin Pmt Int Rate Sens Calc'!K141</f>
        <v>0</v>
      </c>
      <c r="L30" s="110">
        <f>-'Lvl Prin Pmt Int Rate Sens Calc'!L141</f>
        <v>0</v>
      </c>
      <c r="M30" s="110">
        <f>-'Lvl Prin Pmt Int Rate Sens Calc'!M141</f>
        <v>0</v>
      </c>
      <c r="N30" s="162"/>
      <c r="O30" s="67"/>
    </row>
    <row r="31" spans="2:15" x14ac:dyDescent="0.15">
      <c r="B31" s="103">
        <v>0.05</v>
      </c>
      <c r="C31" s="12"/>
      <c r="D31" s="110">
        <f>-'Lvl Prin Pmt Int Rate Sens Calc'!D162</f>
        <v>0</v>
      </c>
      <c r="E31" s="110">
        <f>-'Lvl Prin Pmt Int Rate Sens Calc'!E162</f>
        <v>0</v>
      </c>
      <c r="F31" s="110">
        <f>-'Lvl Prin Pmt Int Rate Sens Calc'!F162</f>
        <v>0</v>
      </c>
      <c r="G31" s="110">
        <f>-'Lvl Prin Pmt Int Rate Sens Calc'!G162</f>
        <v>0</v>
      </c>
      <c r="H31" s="110">
        <f>-'Lvl Prin Pmt Int Rate Sens Calc'!H162</f>
        <v>0</v>
      </c>
      <c r="I31" s="110">
        <f>-'Lvl Prin Pmt Int Rate Sens Calc'!I162</f>
        <v>0</v>
      </c>
      <c r="J31" s="110">
        <f>-'Lvl Prin Pmt Int Rate Sens Calc'!J162</f>
        <v>0</v>
      </c>
      <c r="K31" s="110">
        <f>-'Lvl Prin Pmt Int Rate Sens Calc'!K162</f>
        <v>0</v>
      </c>
      <c r="L31" s="110">
        <f>-'Lvl Prin Pmt Int Rate Sens Calc'!L162</f>
        <v>0</v>
      </c>
      <c r="M31" s="110">
        <f>-'Lvl Prin Pmt Int Rate Sens Calc'!M162</f>
        <v>0</v>
      </c>
      <c r="N31" s="162"/>
      <c r="O31" s="67">
        <f t="shared" si="2"/>
        <v>0</v>
      </c>
    </row>
    <row r="32" spans="2:15" x14ac:dyDescent="0.15">
      <c r="B32" s="103">
        <v>0.1</v>
      </c>
      <c r="C32" s="12"/>
      <c r="D32" s="110">
        <f>-'Lvl Prin Pmt Int Rate Sens Calc'!D183</f>
        <v>0</v>
      </c>
      <c r="E32" s="110">
        <f>-'Lvl Prin Pmt Int Rate Sens Calc'!E183</f>
        <v>0</v>
      </c>
      <c r="F32" s="110">
        <f>-'Lvl Prin Pmt Int Rate Sens Calc'!F183</f>
        <v>0</v>
      </c>
      <c r="G32" s="110">
        <f>-'Lvl Prin Pmt Int Rate Sens Calc'!G183</f>
        <v>0</v>
      </c>
      <c r="H32" s="110">
        <f>-'Lvl Prin Pmt Int Rate Sens Calc'!H183</f>
        <v>0</v>
      </c>
      <c r="I32" s="110">
        <f>-'Lvl Prin Pmt Int Rate Sens Calc'!I183</f>
        <v>0</v>
      </c>
      <c r="J32" s="110">
        <f>-'Lvl Prin Pmt Int Rate Sens Calc'!J183</f>
        <v>0</v>
      </c>
      <c r="K32" s="110">
        <f>-'Lvl Prin Pmt Int Rate Sens Calc'!K183</f>
        <v>0</v>
      </c>
      <c r="L32" s="110">
        <f>-'Lvl Prin Pmt Int Rate Sens Calc'!L183</f>
        <v>0</v>
      </c>
      <c r="M32" s="110">
        <f>-'Lvl Prin Pmt Int Rate Sens Calc'!M183</f>
        <v>0</v>
      </c>
      <c r="N32" s="162"/>
      <c r="O32" s="67">
        <f t="shared" si="2"/>
        <v>0</v>
      </c>
    </row>
    <row r="33" spans="2:15" x14ac:dyDescent="0.15">
      <c r="B33" s="103">
        <v>0.15</v>
      </c>
      <c r="C33" s="67"/>
      <c r="D33" s="110">
        <f>-'Lvl Prin Pmt Int Rate Sens Calc'!D204</f>
        <v>0</v>
      </c>
      <c r="E33" s="110">
        <f>-'Lvl Prin Pmt Int Rate Sens Calc'!E204</f>
        <v>0</v>
      </c>
      <c r="F33" s="110">
        <f>-'Lvl Prin Pmt Int Rate Sens Calc'!F204</f>
        <v>0</v>
      </c>
      <c r="G33" s="110">
        <f>-'Lvl Prin Pmt Int Rate Sens Calc'!G204</f>
        <v>0</v>
      </c>
      <c r="H33" s="110">
        <f>-'Lvl Prin Pmt Int Rate Sens Calc'!H204</f>
        <v>0</v>
      </c>
      <c r="I33" s="110">
        <f>-'Lvl Prin Pmt Int Rate Sens Calc'!I204</f>
        <v>0</v>
      </c>
      <c r="J33" s="110">
        <f>-'Lvl Prin Pmt Int Rate Sens Calc'!J204</f>
        <v>0</v>
      </c>
      <c r="K33" s="110">
        <f>-'Lvl Prin Pmt Int Rate Sens Calc'!K204</f>
        <v>0</v>
      </c>
      <c r="L33" s="110">
        <f>-'Lvl Prin Pmt Int Rate Sens Calc'!L204</f>
        <v>0</v>
      </c>
      <c r="M33" s="110">
        <f>-'Lvl Prin Pmt Int Rate Sens Calc'!M204</f>
        <v>0</v>
      </c>
      <c r="N33" s="162"/>
      <c r="O33" s="67">
        <f t="shared" si="2"/>
        <v>0</v>
      </c>
    </row>
    <row r="34" spans="2:15" x14ac:dyDescent="0.15">
      <c r="B34" s="103">
        <v>0.2</v>
      </c>
      <c r="C34" s="67"/>
      <c r="D34" s="110">
        <f>-'Lvl Prin Pmt Int Rate Sens Calc'!D225</f>
        <v>0</v>
      </c>
      <c r="E34" s="110">
        <f>-'Lvl Prin Pmt Int Rate Sens Calc'!E225</f>
        <v>0</v>
      </c>
      <c r="F34" s="110">
        <f>-'Lvl Prin Pmt Int Rate Sens Calc'!F225</f>
        <v>0</v>
      </c>
      <c r="G34" s="110">
        <f>-'Lvl Prin Pmt Int Rate Sens Calc'!G225</f>
        <v>0</v>
      </c>
      <c r="H34" s="110">
        <f>-'Lvl Prin Pmt Int Rate Sens Calc'!H225</f>
        <v>0</v>
      </c>
      <c r="I34" s="110">
        <f>-'Lvl Prin Pmt Int Rate Sens Calc'!I225</f>
        <v>0</v>
      </c>
      <c r="J34" s="110">
        <f>-'Lvl Prin Pmt Int Rate Sens Calc'!J225</f>
        <v>0</v>
      </c>
      <c r="K34" s="110">
        <f>-'Lvl Prin Pmt Int Rate Sens Calc'!K225</f>
        <v>0</v>
      </c>
      <c r="L34" s="110">
        <f>-'Lvl Prin Pmt Int Rate Sens Calc'!L225</f>
        <v>0</v>
      </c>
      <c r="M34" s="110">
        <f>-'Lvl Prin Pmt Int Rate Sens Calc'!M225</f>
        <v>0</v>
      </c>
      <c r="N34" s="162"/>
      <c r="O34" s="67">
        <f t="shared" si="2"/>
        <v>0</v>
      </c>
    </row>
    <row r="35" spans="2:15" x14ac:dyDescent="0.15">
      <c r="B35" s="103">
        <v>0.25</v>
      </c>
      <c r="C35" s="67"/>
      <c r="D35" s="110">
        <f>-'Lvl Prin Pmt Int Rate Sens Calc'!D246</f>
        <v>0</v>
      </c>
      <c r="E35" s="110">
        <f>-'Lvl Prin Pmt Int Rate Sens Calc'!E246</f>
        <v>0</v>
      </c>
      <c r="F35" s="110">
        <f>-'Lvl Prin Pmt Int Rate Sens Calc'!F246</f>
        <v>0</v>
      </c>
      <c r="G35" s="110">
        <f>-'Lvl Prin Pmt Int Rate Sens Calc'!G246</f>
        <v>0</v>
      </c>
      <c r="H35" s="110">
        <f>-'Lvl Prin Pmt Int Rate Sens Calc'!H246</f>
        <v>0</v>
      </c>
      <c r="I35" s="110">
        <f>-'Lvl Prin Pmt Int Rate Sens Calc'!I246</f>
        <v>0</v>
      </c>
      <c r="J35" s="110">
        <f>-'Lvl Prin Pmt Int Rate Sens Calc'!J246</f>
        <v>0</v>
      </c>
      <c r="K35" s="110">
        <f>-'Lvl Prin Pmt Int Rate Sens Calc'!K246</f>
        <v>0</v>
      </c>
      <c r="L35" s="110">
        <f>-'Lvl Prin Pmt Int Rate Sens Calc'!L246</f>
        <v>0</v>
      </c>
      <c r="M35" s="110">
        <f>-'Lvl Prin Pmt Int Rate Sens Calc'!M246</f>
        <v>0</v>
      </c>
      <c r="N35" s="162"/>
      <c r="O35" s="67">
        <f t="shared" si="2"/>
        <v>0</v>
      </c>
    </row>
    <row r="36" spans="2:15" x14ac:dyDescent="0.15">
      <c r="B36" s="12" t="s">
        <v>634</v>
      </c>
      <c r="C36" s="107"/>
      <c r="D36" s="107"/>
      <c r="E36" s="107"/>
      <c r="F36" s="107"/>
      <c r="G36" s="107"/>
      <c r="H36" s="107"/>
      <c r="I36" s="107"/>
      <c r="J36" s="107"/>
      <c r="K36" s="107"/>
      <c r="L36" s="107"/>
      <c r="M36" s="107"/>
      <c r="N36" s="162"/>
      <c r="O36" s="63"/>
    </row>
    <row r="37" spans="2:15" x14ac:dyDescent="0.15">
      <c r="B37" s="103">
        <v>-0.25</v>
      </c>
      <c r="C37" s="107"/>
      <c r="D37" s="109">
        <f>D$23-D25</f>
        <v>66057500</v>
      </c>
      <c r="E37" s="109">
        <f t="shared" ref="E37:M41" si="3">E$23-E25</f>
        <v>54262775.00000003</v>
      </c>
      <c r="F37" s="109">
        <f t="shared" si="3"/>
        <v>44798631.548749983</v>
      </c>
      <c r="G37" s="109">
        <f t="shared" si="3"/>
        <v>31908352.439272046</v>
      </c>
      <c r="H37" s="109">
        <f t="shared" si="3"/>
        <v>16140058.826927066</v>
      </c>
      <c r="I37" s="109">
        <f t="shared" si="3"/>
        <v>0</v>
      </c>
      <c r="J37" s="109">
        <f t="shared" si="3"/>
        <v>0</v>
      </c>
      <c r="K37" s="109">
        <f t="shared" si="3"/>
        <v>0</v>
      </c>
      <c r="L37" s="109">
        <f t="shared" si="3"/>
        <v>0</v>
      </c>
      <c r="M37" s="109">
        <f t="shared" si="3"/>
        <v>0</v>
      </c>
      <c r="N37" s="162"/>
      <c r="O37" s="63">
        <f t="shared" ref="O37:O47" si="4">SUM(D37:M37)</f>
        <v>213167317.81494913</v>
      </c>
    </row>
    <row r="38" spans="2:15" x14ac:dyDescent="0.15">
      <c r="B38" s="103">
        <v>-0.2</v>
      </c>
      <c r="C38" s="67"/>
      <c r="D38" s="109">
        <f>D$23-D26</f>
        <v>66057500</v>
      </c>
      <c r="E38" s="109">
        <f t="shared" si="3"/>
        <v>54262775.00000003</v>
      </c>
      <c r="F38" s="109">
        <f t="shared" si="3"/>
        <v>44798631.548749983</v>
      </c>
      <c r="G38" s="109">
        <f t="shared" si="3"/>
        <v>31908352.439272046</v>
      </c>
      <c r="H38" s="109">
        <f t="shared" si="3"/>
        <v>16140058.826927066</v>
      </c>
      <c r="I38" s="109">
        <f t="shared" si="3"/>
        <v>0</v>
      </c>
      <c r="J38" s="109">
        <f t="shared" si="3"/>
        <v>0</v>
      </c>
      <c r="K38" s="109">
        <f t="shared" si="3"/>
        <v>0</v>
      </c>
      <c r="L38" s="109">
        <f t="shared" si="3"/>
        <v>0</v>
      </c>
      <c r="M38" s="109">
        <f t="shared" si="3"/>
        <v>0</v>
      </c>
      <c r="N38" s="162"/>
      <c r="O38" s="109">
        <f t="shared" si="4"/>
        <v>213167317.81494913</v>
      </c>
    </row>
    <row r="39" spans="2:15" x14ac:dyDescent="0.15">
      <c r="B39" s="103">
        <v>-0.15</v>
      </c>
      <c r="C39" s="109"/>
      <c r="D39" s="109">
        <f>D$23-D27</f>
        <v>66057500</v>
      </c>
      <c r="E39" s="109">
        <f t="shared" si="3"/>
        <v>54262775.00000003</v>
      </c>
      <c r="F39" s="109">
        <f t="shared" si="3"/>
        <v>44798631.548749983</v>
      </c>
      <c r="G39" s="109">
        <f t="shared" si="3"/>
        <v>31908352.439272046</v>
      </c>
      <c r="H39" s="109">
        <f t="shared" si="3"/>
        <v>16140058.826927066</v>
      </c>
      <c r="I39" s="109">
        <f t="shared" si="3"/>
        <v>0</v>
      </c>
      <c r="J39" s="109">
        <f t="shared" si="3"/>
        <v>0</v>
      </c>
      <c r="K39" s="109">
        <f t="shared" si="3"/>
        <v>0</v>
      </c>
      <c r="L39" s="109">
        <f t="shared" si="3"/>
        <v>0</v>
      </c>
      <c r="M39" s="109">
        <f t="shared" si="3"/>
        <v>0</v>
      </c>
      <c r="N39" s="162"/>
      <c r="O39" s="67">
        <f t="shared" si="4"/>
        <v>213167317.81494913</v>
      </c>
    </row>
    <row r="40" spans="2:15" x14ac:dyDescent="0.15">
      <c r="B40" s="103">
        <v>-0.1</v>
      </c>
      <c r="C40" s="67"/>
      <c r="D40" s="109">
        <f>D$23-D28</f>
        <v>66057500</v>
      </c>
      <c r="E40" s="109">
        <f t="shared" si="3"/>
        <v>54262775.00000003</v>
      </c>
      <c r="F40" s="109">
        <f t="shared" si="3"/>
        <v>44798631.548749983</v>
      </c>
      <c r="G40" s="109">
        <f t="shared" si="3"/>
        <v>31908352.439272046</v>
      </c>
      <c r="H40" s="109">
        <f t="shared" si="3"/>
        <v>16140058.826927066</v>
      </c>
      <c r="I40" s="109">
        <f t="shared" si="3"/>
        <v>0</v>
      </c>
      <c r="J40" s="109">
        <f t="shared" si="3"/>
        <v>0</v>
      </c>
      <c r="K40" s="109">
        <f t="shared" si="3"/>
        <v>0</v>
      </c>
      <c r="L40" s="109">
        <f t="shared" si="3"/>
        <v>0</v>
      </c>
      <c r="M40" s="109">
        <f t="shared" si="3"/>
        <v>0</v>
      </c>
      <c r="N40" s="162"/>
      <c r="O40" s="67">
        <f t="shared" si="4"/>
        <v>213167317.81494913</v>
      </c>
    </row>
    <row r="41" spans="2:15" x14ac:dyDescent="0.15">
      <c r="B41" s="103">
        <v>-0.05</v>
      </c>
      <c r="C41" s="12"/>
      <c r="D41" s="109">
        <f>D$23-D29</f>
        <v>66057500</v>
      </c>
      <c r="E41" s="109">
        <f t="shared" si="3"/>
        <v>54262775.00000003</v>
      </c>
      <c r="F41" s="109">
        <f t="shared" si="3"/>
        <v>44798631.548749983</v>
      </c>
      <c r="G41" s="109">
        <f t="shared" si="3"/>
        <v>31908352.439272046</v>
      </c>
      <c r="H41" s="109">
        <f t="shared" si="3"/>
        <v>16140058.826927066</v>
      </c>
      <c r="I41" s="109">
        <f t="shared" si="3"/>
        <v>0</v>
      </c>
      <c r="J41" s="109">
        <f t="shared" si="3"/>
        <v>0</v>
      </c>
      <c r="K41" s="109">
        <f t="shared" si="3"/>
        <v>0</v>
      </c>
      <c r="L41" s="109">
        <f t="shared" si="3"/>
        <v>0</v>
      </c>
      <c r="M41" s="109">
        <f t="shared" si="3"/>
        <v>0</v>
      </c>
      <c r="N41" s="162"/>
      <c r="O41" s="67">
        <f t="shared" si="4"/>
        <v>213167317.81494913</v>
      </c>
    </row>
    <row r="42" spans="2:15" x14ac:dyDescent="0.15">
      <c r="B42" s="103"/>
      <c r="C42" s="12"/>
      <c r="D42" s="109"/>
      <c r="E42" s="109"/>
      <c r="F42" s="109"/>
      <c r="G42" s="109"/>
      <c r="H42" s="109"/>
      <c r="I42" s="109"/>
      <c r="J42" s="109"/>
      <c r="K42" s="109"/>
      <c r="L42" s="109"/>
      <c r="M42" s="109"/>
      <c r="N42" s="162"/>
      <c r="O42" s="67"/>
    </row>
    <row r="43" spans="2:15" x14ac:dyDescent="0.15">
      <c r="B43" s="103">
        <v>0.05</v>
      </c>
      <c r="C43" s="19"/>
      <c r="D43" s="109">
        <f t="shared" ref="D43:M47" si="5">D$23-D31</f>
        <v>66057500</v>
      </c>
      <c r="E43" s="109">
        <f t="shared" si="5"/>
        <v>54262775.00000003</v>
      </c>
      <c r="F43" s="109">
        <f t="shared" si="5"/>
        <v>44798631.548749983</v>
      </c>
      <c r="G43" s="109">
        <f t="shared" si="5"/>
        <v>31908352.439272046</v>
      </c>
      <c r="H43" s="109">
        <f t="shared" si="5"/>
        <v>16140058.826927066</v>
      </c>
      <c r="I43" s="109">
        <f t="shared" si="5"/>
        <v>0</v>
      </c>
      <c r="J43" s="109">
        <f t="shared" si="5"/>
        <v>0</v>
      </c>
      <c r="K43" s="109">
        <f t="shared" si="5"/>
        <v>0</v>
      </c>
      <c r="L43" s="109">
        <f t="shared" si="5"/>
        <v>0</v>
      </c>
      <c r="M43" s="109">
        <f t="shared" si="5"/>
        <v>0</v>
      </c>
      <c r="N43" s="162"/>
      <c r="O43" s="111">
        <f t="shared" si="4"/>
        <v>213167317.81494913</v>
      </c>
    </row>
    <row r="44" spans="2:15" x14ac:dyDescent="0.15">
      <c r="B44" s="103">
        <v>0.1</v>
      </c>
      <c r="C44" s="19"/>
      <c r="D44" s="109">
        <f t="shared" si="5"/>
        <v>66057500</v>
      </c>
      <c r="E44" s="109">
        <f t="shared" si="5"/>
        <v>54262775.00000003</v>
      </c>
      <c r="F44" s="109">
        <f t="shared" si="5"/>
        <v>44798631.548749983</v>
      </c>
      <c r="G44" s="109">
        <f t="shared" si="5"/>
        <v>31908352.439272046</v>
      </c>
      <c r="H44" s="109">
        <f t="shared" si="5"/>
        <v>16140058.826927066</v>
      </c>
      <c r="I44" s="109">
        <f t="shared" si="5"/>
        <v>0</v>
      </c>
      <c r="J44" s="109">
        <f t="shared" si="5"/>
        <v>0</v>
      </c>
      <c r="K44" s="109">
        <f t="shared" si="5"/>
        <v>0</v>
      </c>
      <c r="L44" s="109">
        <f t="shared" si="5"/>
        <v>0</v>
      </c>
      <c r="M44" s="109">
        <f t="shared" si="5"/>
        <v>0</v>
      </c>
      <c r="N44" s="162"/>
      <c r="O44" s="112">
        <f t="shared" si="4"/>
        <v>213167317.81494913</v>
      </c>
    </row>
    <row r="45" spans="2:15" x14ac:dyDescent="0.15">
      <c r="B45" s="103">
        <v>0.15</v>
      </c>
      <c r="C45" s="19"/>
      <c r="D45" s="109">
        <f t="shared" si="5"/>
        <v>66057500</v>
      </c>
      <c r="E45" s="109">
        <f t="shared" si="5"/>
        <v>54262775.00000003</v>
      </c>
      <c r="F45" s="109">
        <f t="shared" si="5"/>
        <v>44798631.548749983</v>
      </c>
      <c r="G45" s="109">
        <f t="shared" si="5"/>
        <v>31908352.439272046</v>
      </c>
      <c r="H45" s="109">
        <f t="shared" si="5"/>
        <v>16140058.826927066</v>
      </c>
      <c r="I45" s="109">
        <f t="shared" si="5"/>
        <v>0</v>
      </c>
      <c r="J45" s="109">
        <f t="shared" si="5"/>
        <v>0</v>
      </c>
      <c r="K45" s="109">
        <f t="shared" si="5"/>
        <v>0</v>
      </c>
      <c r="L45" s="109">
        <f t="shared" si="5"/>
        <v>0</v>
      </c>
      <c r="M45" s="109">
        <f t="shared" si="5"/>
        <v>0</v>
      </c>
      <c r="N45" s="162"/>
      <c r="O45" s="112">
        <f t="shared" si="4"/>
        <v>213167317.81494913</v>
      </c>
    </row>
    <row r="46" spans="2:15" x14ac:dyDescent="0.15">
      <c r="B46" s="103">
        <v>0.2</v>
      </c>
      <c r="C46" s="19"/>
      <c r="D46" s="109">
        <f t="shared" si="5"/>
        <v>66057500</v>
      </c>
      <c r="E46" s="109">
        <f t="shared" si="5"/>
        <v>54262775.00000003</v>
      </c>
      <c r="F46" s="109">
        <f t="shared" si="5"/>
        <v>44798631.548749983</v>
      </c>
      <c r="G46" s="109">
        <f t="shared" si="5"/>
        <v>31908352.439272046</v>
      </c>
      <c r="H46" s="109">
        <f t="shared" si="5"/>
        <v>16140058.826927066</v>
      </c>
      <c r="I46" s="109">
        <f t="shared" si="5"/>
        <v>0</v>
      </c>
      <c r="J46" s="109">
        <f t="shared" si="5"/>
        <v>0</v>
      </c>
      <c r="K46" s="109">
        <f t="shared" si="5"/>
        <v>0</v>
      </c>
      <c r="L46" s="109">
        <f t="shared" si="5"/>
        <v>0</v>
      </c>
      <c r="M46" s="109">
        <f t="shared" si="5"/>
        <v>0</v>
      </c>
      <c r="N46" s="162"/>
      <c r="O46" s="112">
        <f t="shared" si="4"/>
        <v>213167317.81494913</v>
      </c>
    </row>
    <row r="47" spans="2:15" x14ac:dyDescent="0.15">
      <c r="B47" s="103">
        <v>0.25</v>
      </c>
      <c r="C47" s="19"/>
      <c r="D47" s="109">
        <f t="shared" si="5"/>
        <v>66057500</v>
      </c>
      <c r="E47" s="109">
        <f t="shared" si="5"/>
        <v>54262775.00000003</v>
      </c>
      <c r="F47" s="109">
        <f t="shared" si="5"/>
        <v>44798631.548749983</v>
      </c>
      <c r="G47" s="109">
        <f t="shared" si="5"/>
        <v>31908352.439272046</v>
      </c>
      <c r="H47" s="109">
        <f t="shared" si="5"/>
        <v>16140058.826927066</v>
      </c>
      <c r="I47" s="109">
        <f t="shared" si="5"/>
        <v>0</v>
      </c>
      <c r="J47" s="109">
        <f t="shared" si="5"/>
        <v>0</v>
      </c>
      <c r="K47" s="109">
        <f t="shared" si="5"/>
        <v>0</v>
      </c>
      <c r="L47" s="109">
        <f t="shared" si="5"/>
        <v>0</v>
      </c>
      <c r="M47" s="109">
        <f t="shared" si="5"/>
        <v>0</v>
      </c>
      <c r="N47" s="162"/>
      <c r="O47" s="112">
        <f t="shared" si="4"/>
        <v>213167317.81494913</v>
      </c>
    </row>
    <row r="48" spans="2:15" ht="28" x14ac:dyDescent="0.15">
      <c r="B48" s="113" t="s">
        <v>635</v>
      </c>
      <c r="C48" s="19"/>
      <c r="D48" s="19"/>
      <c r="E48" s="19"/>
      <c r="F48" s="19"/>
      <c r="G48" s="19"/>
      <c r="H48" s="19"/>
      <c r="I48" s="19"/>
      <c r="J48" s="19"/>
      <c r="K48" s="19"/>
      <c r="L48" s="19"/>
      <c r="M48" s="19"/>
      <c r="N48" s="162"/>
      <c r="O48" s="102"/>
    </row>
    <row r="49" spans="2:15" x14ac:dyDescent="0.15">
      <c r="B49" s="103">
        <v>-0.25</v>
      </c>
      <c r="C49" s="19"/>
      <c r="D49" s="68">
        <f>D37*'After Tax Analysis'!$G$3</f>
        <v>19817250</v>
      </c>
      <c r="E49" s="68">
        <f>E37*'After Tax Analysis'!$G$3</f>
        <v>16278832.500000007</v>
      </c>
      <c r="F49" s="68">
        <f>F37*'After Tax Analysis'!$G$3</f>
        <v>13439589.464624995</v>
      </c>
      <c r="G49" s="68">
        <f>G37*'After Tax Analysis'!$G$3</f>
        <v>9572505.7317816131</v>
      </c>
      <c r="H49" s="68">
        <f>H37*'After Tax Analysis'!$G$3</f>
        <v>4842017.6480781194</v>
      </c>
      <c r="I49" s="68">
        <f>I37*'After Tax Analysis'!$G$3</f>
        <v>0</v>
      </c>
      <c r="J49" s="68">
        <f>J37*'After Tax Analysis'!$G$3</f>
        <v>0</v>
      </c>
      <c r="K49" s="68">
        <f>K37*'After Tax Analysis'!$G$3</f>
        <v>0</v>
      </c>
      <c r="L49" s="68">
        <f>L37*'After Tax Analysis'!$G$3</f>
        <v>0</v>
      </c>
      <c r="M49" s="68">
        <f>M37*'After Tax Analysis'!$G$3</f>
        <v>0</v>
      </c>
      <c r="N49" s="162"/>
      <c r="O49" s="112">
        <f t="shared" ref="O49:O59" si="6">SUM(D49:M49)</f>
        <v>63950195.344484739</v>
      </c>
    </row>
    <row r="50" spans="2:15" x14ac:dyDescent="0.15">
      <c r="B50" s="103">
        <v>-0.2</v>
      </c>
      <c r="C50" s="19"/>
      <c r="D50" s="68">
        <f>D38*'After Tax Analysis'!$G$3</f>
        <v>19817250</v>
      </c>
      <c r="E50" s="68">
        <f>E38*'After Tax Analysis'!$G$3</f>
        <v>16278832.500000007</v>
      </c>
      <c r="F50" s="68">
        <f>F38*'After Tax Analysis'!$G$3</f>
        <v>13439589.464624995</v>
      </c>
      <c r="G50" s="68">
        <f>G38*'After Tax Analysis'!$G$3</f>
        <v>9572505.7317816131</v>
      </c>
      <c r="H50" s="68">
        <f>H38*'After Tax Analysis'!$G$3</f>
        <v>4842017.6480781194</v>
      </c>
      <c r="I50" s="68">
        <f>I38*'After Tax Analysis'!$G$3</f>
        <v>0</v>
      </c>
      <c r="J50" s="68">
        <f>J38*'After Tax Analysis'!$G$3</f>
        <v>0</v>
      </c>
      <c r="K50" s="68">
        <f>K38*'After Tax Analysis'!$G$3</f>
        <v>0</v>
      </c>
      <c r="L50" s="68">
        <f>L38*'After Tax Analysis'!$G$3</f>
        <v>0</v>
      </c>
      <c r="M50" s="68">
        <f>M38*'After Tax Analysis'!$G$3</f>
        <v>0</v>
      </c>
      <c r="N50" s="162"/>
      <c r="O50" s="112">
        <f t="shared" si="6"/>
        <v>63950195.344484739</v>
      </c>
    </row>
    <row r="51" spans="2:15" x14ac:dyDescent="0.15">
      <c r="B51" s="103">
        <v>-0.15</v>
      </c>
      <c r="C51" s="19"/>
      <c r="D51" s="68">
        <f>D39*'After Tax Analysis'!$G$3</f>
        <v>19817250</v>
      </c>
      <c r="E51" s="68">
        <f>E39*'After Tax Analysis'!$G$3</f>
        <v>16278832.500000007</v>
      </c>
      <c r="F51" s="68">
        <f>F39*'After Tax Analysis'!$G$3</f>
        <v>13439589.464624995</v>
      </c>
      <c r="G51" s="68">
        <f>G39*'After Tax Analysis'!$G$3</f>
        <v>9572505.7317816131</v>
      </c>
      <c r="H51" s="68">
        <f>H39*'After Tax Analysis'!$G$3</f>
        <v>4842017.6480781194</v>
      </c>
      <c r="I51" s="68">
        <f>I39*'After Tax Analysis'!$G$3</f>
        <v>0</v>
      </c>
      <c r="J51" s="68">
        <f>J39*'After Tax Analysis'!$G$3</f>
        <v>0</v>
      </c>
      <c r="K51" s="68">
        <f>K39*'After Tax Analysis'!$G$3</f>
        <v>0</v>
      </c>
      <c r="L51" s="68">
        <f>L39*'After Tax Analysis'!$G$3</f>
        <v>0</v>
      </c>
      <c r="M51" s="68">
        <f>M39*'After Tax Analysis'!$G$3</f>
        <v>0</v>
      </c>
      <c r="N51" s="162"/>
      <c r="O51" s="112">
        <f t="shared" si="6"/>
        <v>63950195.344484739</v>
      </c>
    </row>
    <row r="52" spans="2:15" x14ac:dyDescent="0.15">
      <c r="B52" s="103">
        <v>-0.1</v>
      </c>
      <c r="C52" s="19"/>
      <c r="D52" s="68">
        <f>D40*'After Tax Analysis'!$G$3</f>
        <v>19817250</v>
      </c>
      <c r="E52" s="68">
        <f>E40*'After Tax Analysis'!$G$3</f>
        <v>16278832.500000007</v>
      </c>
      <c r="F52" s="68">
        <f>F40*'After Tax Analysis'!$G$3</f>
        <v>13439589.464624995</v>
      </c>
      <c r="G52" s="68">
        <f>G40*'After Tax Analysis'!$G$3</f>
        <v>9572505.7317816131</v>
      </c>
      <c r="H52" s="68">
        <f>H40*'After Tax Analysis'!$G$3</f>
        <v>4842017.6480781194</v>
      </c>
      <c r="I52" s="68">
        <f>I40*'After Tax Analysis'!$G$3</f>
        <v>0</v>
      </c>
      <c r="J52" s="68">
        <f>J40*'After Tax Analysis'!$G$3</f>
        <v>0</v>
      </c>
      <c r="K52" s="68">
        <f>K40*'After Tax Analysis'!$G$3</f>
        <v>0</v>
      </c>
      <c r="L52" s="68">
        <f>L40*'After Tax Analysis'!$G$3</f>
        <v>0</v>
      </c>
      <c r="M52" s="68">
        <f>M40*'After Tax Analysis'!$G$3</f>
        <v>0</v>
      </c>
      <c r="N52" s="162"/>
      <c r="O52" s="112">
        <f t="shared" si="6"/>
        <v>63950195.344484739</v>
      </c>
    </row>
    <row r="53" spans="2:15" x14ac:dyDescent="0.15">
      <c r="B53" s="103">
        <v>-0.05</v>
      </c>
      <c r="C53" s="12"/>
      <c r="D53" s="68">
        <f>D41*'After Tax Analysis'!$G$3</f>
        <v>19817250</v>
      </c>
      <c r="E53" s="68">
        <f>E41*'After Tax Analysis'!$G$3</f>
        <v>16278832.500000007</v>
      </c>
      <c r="F53" s="68">
        <f>F41*'After Tax Analysis'!$G$3</f>
        <v>13439589.464624995</v>
      </c>
      <c r="G53" s="68">
        <f>G41*'After Tax Analysis'!$G$3</f>
        <v>9572505.7317816131</v>
      </c>
      <c r="H53" s="68">
        <f>H41*'After Tax Analysis'!$G$3</f>
        <v>4842017.6480781194</v>
      </c>
      <c r="I53" s="68">
        <f>I41*'After Tax Analysis'!$G$3</f>
        <v>0</v>
      </c>
      <c r="J53" s="68">
        <f>J41*'After Tax Analysis'!$G$3</f>
        <v>0</v>
      </c>
      <c r="K53" s="68">
        <f>K41*'After Tax Analysis'!$G$3</f>
        <v>0</v>
      </c>
      <c r="L53" s="68">
        <f>L41*'After Tax Analysis'!$G$3</f>
        <v>0</v>
      </c>
      <c r="M53" s="68">
        <f>M41*'After Tax Analysis'!$G$3</f>
        <v>0</v>
      </c>
      <c r="N53" s="162"/>
      <c r="O53" s="67">
        <f t="shared" si="6"/>
        <v>63950195.344484739</v>
      </c>
    </row>
    <row r="54" spans="2:15" x14ac:dyDescent="0.15">
      <c r="B54" s="103"/>
      <c r="C54" s="12"/>
      <c r="D54" s="68"/>
      <c r="E54" s="68"/>
      <c r="F54" s="68"/>
      <c r="G54" s="68"/>
      <c r="H54" s="68"/>
      <c r="I54" s="68"/>
      <c r="J54" s="68"/>
      <c r="K54" s="68"/>
      <c r="L54" s="68"/>
      <c r="M54" s="68"/>
      <c r="N54" s="162"/>
      <c r="O54" s="67"/>
    </row>
    <row r="55" spans="2:15" x14ac:dyDescent="0.15">
      <c r="B55" s="103">
        <v>0.05</v>
      </c>
      <c r="C55" s="67"/>
      <c r="D55" s="68">
        <f>D43*'After Tax Analysis'!$G$3</f>
        <v>19817250</v>
      </c>
      <c r="E55" s="68">
        <f>E43*'After Tax Analysis'!$G$3</f>
        <v>16278832.500000007</v>
      </c>
      <c r="F55" s="68">
        <f>F43*'After Tax Analysis'!$G$3</f>
        <v>13439589.464624995</v>
      </c>
      <c r="G55" s="68">
        <f>G43*'After Tax Analysis'!$G$3</f>
        <v>9572505.7317816131</v>
      </c>
      <c r="H55" s="68">
        <f>H43*'After Tax Analysis'!$G$3</f>
        <v>4842017.6480781194</v>
      </c>
      <c r="I55" s="68">
        <f>I43*'After Tax Analysis'!$G$3</f>
        <v>0</v>
      </c>
      <c r="J55" s="68">
        <f>J43*'After Tax Analysis'!$G$3</f>
        <v>0</v>
      </c>
      <c r="K55" s="68">
        <f>K43*'After Tax Analysis'!$G$3</f>
        <v>0</v>
      </c>
      <c r="L55" s="68">
        <f>L43*'After Tax Analysis'!$G$3</f>
        <v>0</v>
      </c>
      <c r="M55" s="68">
        <f>M43*'After Tax Analysis'!$G$3</f>
        <v>0</v>
      </c>
      <c r="N55" s="162"/>
      <c r="O55" s="67">
        <f t="shared" si="6"/>
        <v>63950195.344484739</v>
      </c>
    </row>
    <row r="56" spans="2:15" x14ac:dyDescent="0.15">
      <c r="B56" s="103">
        <v>0.1</v>
      </c>
      <c r="C56" s="67"/>
      <c r="D56" s="68">
        <f>D44*'After Tax Analysis'!$G$3</f>
        <v>19817250</v>
      </c>
      <c r="E56" s="68">
        <f>E44*'After Tax Analysis'!$G$3</f>
        <v>16278832.500000007</v>
      </c>
      <c r="F56" s="68">
        <f>F44*'After Tax Analysis'!$G$3</f>
        <v>13439589.464624995</v>
      </c>
      <c r="G56" s="68">
        <f>G44*'After Tax Analysis'!$G$3</f>
        <v>9572505.7317816131</v>
      </c>
      <c r="H56" s="68">
        <f>H44*'After Tax Analysis'!$G$3</f>
        <v>4842017.6480781194</v>
      </c>
      <c r="I56" s="68">
        <f>I44*'After Tax Analysis'!$G$3</f>
        <v>0</v>
      </c>
      <c r="J56" s="68">
        <f>J44*'After Tax Analysis'!$G$3</f>
        <v>0</v>
      </c>
      <c r="K56" s="68">
        <f>K44*'After Tax Analysis'!$G$3</f>
        <v>0</v>
      </c>
      <c r="L56" s="68">
        <f>L44*'After Tax Analysis'!$G$3</f>
        <v>0</v>
      </c>
      <c r="M56" s="68">
        <f>M44*'After Tax Analysis'!$G$3</f>
        <v>0</v>
      </c>
      <c r="N56" s="162"/>
      <c r="O56" s="67">
        <f t="shared" si="6"/>
        <v>63950195.344484739</v>
      </c>
    </row>
    <row r="57" spans="2:15" x14ac:dyDescent="0.15">
      <c r="B57" s="103">
        <v>0.15</v>
      </c>
      <c r="C57" s="67"/>
      <c r="D57" s="68">
        <f>D45*'After Tax Analysis'!$G$3</f>
        <v>19817250</v>
      </c>
      <c r="E57" s="68">
        <f>E45*'After Tax Analysis'!$G$3</f>
        <v>16278832.500000007</v>
      </c>
      <c r="F57" s="68">
        <f>F45*'After Tax Analysis'!$G$3</f>
        <v>13439589.464624995</v>
      </c>
      <c r="G57" s="68">
        <f>G45*'After Tax Analysis'!$G$3</f>
        <v>9572505.7317816131</v>
      </c>
      <c r="H57" s="68">
        <f>H45*'After Tax Analysis'!$G$3</f>
        <v>4842017.6480781194</v>
      </c>
      <c r="I57" s="68">
        <f>I45*'After Tax Analysis'!$G$3</f>
        <v>0</v>
      </c>
      <c r="J57" s="68">
        <f>J45*'After Tax Analysis'!$G$3</f>
        <v>0</v>
      </c>
      <c r="K57" s="68">
        <f>K45*'After Tax Analysis'!$G$3</f>
        <v>0</v>
      </c>
      <c r="L57" s="68">
        <f>L45*'After Tax Analysis'!$G$3</f>
        <v>0</v>
      </c>
      <c r="M57" s="68">
        <f>M45*'After Tax Analysis'!$G$3</f>
        <v>0</v>
      </c>
      <c r="N57" s="162"/>
      <c r="O57" s="67">
        <f t="shared" si="6"/>
        <v>63950195.344484739</v>
      </c>
    </row>
    <row r="58" spans="2:15" x14ac:dyDescent="0.15">
      <c r="B58" s="103">
        <v>0.2</v>
      </c>
      <c r="C58" s="67"/>
      <c r="D58" s="68">
        <f>D46*'After Tax Analysis'!$G$3</f>
        <v>19817250</v>
      </c>
      <c r="E58" s="68">
        <f>E46*'After Tax Analysis'!$G$3</f>
        <v>16278832.500000007</v>
      </c>
      <c r="F58" s="68">
        <f>F46*'After Tax Analysis'!$G$3</f>
        <v>13439589.464624995</v>
      </c>
      <c r="G58" s="68">
        <f>G46*'After Tax Analysis'!$G$3</f>
        <v>9572505.7317816131</v>
      </c>
      <c r="H58" s="68">
        <f>H46*'After Tax Analysis'!$G$3</f>
        <v>4842017.6480781194</v>
      </c>
      <c r="I58" s="68">
        <f>I46*'After Tax Analysis'!$G$3</f>
        <v>0</v>
      </c>
      <c r="J58" s="68">
        <f>J46*'After Tax Analysis'!$G$3</f>
        <v>0</v>
      </c>
      <c r="K58" s="68">
        <f>K46*'After Tax Analysis'!$G$3</f>
        <v>0</v>
      </c>
      <c r="L58" s="68">
        <f>L46*'After Tax Analysis'!$G$3</f>
        <v>0</v>
      </c>
      <c r="M58" s="68">
        <f>M46*'After Tax Analysis'!$G$3</f>
        <v>0</v>
      </c>
      <c r="N58" s="162"/>
      <c r="O58" s="67">
        <f t="shared" si="6"/>
        <v>63950195.344484739</v>
      </c>
    </row>
    <row r="59" spans="2:15" x14ac:dyDescent="0.15">
      <c r="B59" s="103">
        <v>0.25</v>
      </c>
      <c r="C59" s="67"/>
      <c r="D59" s="68">
        <f>D47*'After Tax Analysis'!$G$3</f>
        <v>19817250</v>
      </c>
      <c r="E59" s="68">
        <f>E47*'After Tax Analysis'!$G$3</f>
        <v>16278832.500000007</v>
      </c>
      <c r="F59" s="68">
        <f>F47*'After Tax Analysis'!$G$3</f>
        <v>13439589.464624995</v>
      </c>
      <c r="G59" s="68">
        <f>G47*'After Tax Analysis'!$G$3</f>
        <v>9572505.7317816131</v>
      </c>
      <c r="H59" s="68">
        <f>H47*'After Tax Analysis'!$G$3</f>
        <v>4842017.6480781194</v>
      </c>
      <c r="I59" s="68">
        <f>I47*'After Tax Analysis'!$G$3</f>
        <v>0</v>
      </c>
      <c r="J59" s="68">
        <f>J47*'After Tax Analysis'!$G$3</f>
        <v>0</v>
      </c>
      <c r="K59" s="68">
        <f>K47*'After Tax Analysis'!$G$3</f>
        <v>0</v>
      </c>
      <c r="L59" s="68">
        <f>L47*'After Tax Analysis'!$G$3</f>
        <v>0</v>
      </c>
      <c r="M59" s="68">
        <f>M47*'After Tax Analysis'!$G$3</f>
        <v>0</v>
      </c>
      <c r="N59" s="162"/>
      <c r="O59" s="67">
        <f t="shared" si="6"/>
        <v>63950195.344484739</v>
      </c>
    </row>
    <row r="60" spans="2:15" ht="28" x14ac:dyDescent="0.15">
      <c r="B60" s="113" t="s">
        <v>128</v>
      </c>
      <c r="C60" s="67"/>
      <c r="D60" s="67"/>
      <c r="E60" s="67"/>
      <c r="F60" s="67"/>
      <c r="G60" s="67"/>
      <c r="H60" s="67"/>
      <c r="I60" s="67"/>
      <c r="J60" s="67"/>
      <c r="K60" s="67"/>
      <c r="L60" s="67"/>
      <c r="M60" s="67"/>
      <c r="N60" s="162"/>
      <c r="O60" s="67"/>
    </row>
    <row r="61" spans="2:15" x14ac:dyDescent="0.15">
      <c r="B61" s="103">
        <v>-0.25</v>
      </c>
      <c r="C61" s="67"/>
      <c r="D61" s="569">
        <f>-'After Tax Analysis'!E16</f>
        <v>0</v>
      </c>
      <c r="E61" s="15">
        <v>0</v>
      </c>
      <c r="F61" s="15">
        <v>0</v>
      </c>
      <c r="G61" s="15">
        <v>0</v>
      </c>
      <c r="H61" s="15">
        <v>0</v>
      </c>
      <c r="I61" s="15">
        <v>0</v>
      </c>
      <c r="J61" s="15">
        <v>0</v>
      </c>
      <c r="K61" s="15">
        <v>0</v>
      </c>
      <c r="L61" s="15">
        <v>0</v>
      </c>
      <c r="M61" s="15">
        <v>0</v>
      </c>
      <c r="N61" s="162"/>
      <c r="O61" s="67">
        <f t="shared" ref="O61:O71" si="7">SUM(D61:M61)</f>
        <v>0</v>
      </c>
    </row>
    <row r="62" spans="2:15" x14ac:dyDescent="0.15">
      <c r="B62" s="103">
        <v>-0.2</v>
      </c>
      <c r="C62" s="67"/>
      <c r="D62" s="569">
        <f>D61</f>
        <v>0</v>
      </c>
      <c r="E62" s="15">
        <v>0</v>
      </c>
      <c r="F62" s="15">
        <v>0</v>
      </c>
      <c r="G62" s="15">
        <v>0</v>
      </c>
      <c r="H62" s="15">
        <v>0</v>
      </c>
      <c r="I62" s="15">
        <v>0</v>
      </c>
      <c r="J62" s="15">
        <v>0</v>
      </c>
      <c r="K62" s="15">
        <v>0</v>
      </c>
      <c r="L62" s="15">
        <v>0</v>
      </c>
      <c r="M62" s="15">
        <v>0</v>
      </c>
      <c r="N62" s="162"/>
      <c r="O62" s="67">
        <f t="shared" si="7"/>
        <v>0</v>
      </c>
    </row>
    <row r="63" spans="2:15" x14ac:dyDescent="0.15">
      <c r="B63" s="103">
        <v>-0.15</v>
      </c>
      <c r="C63" s="67"/>
      <c r="D63" s="569">
        <f t="shared" ref="D63:D71" si="8">D62</f>
        <v>0</v>
      </c>
      <c r="E63" s="15">
        <v>0</v>
      </c>
      <c r="F63" s="15">
        <v>0</v>
      </c>
      <c r="G63" s="15">
        <v>0</v>
      </c>
      <c r="H63" s="15">
        <v>0</v>
      </c>
      <c r="I63" s="15">
        <v>0</v>
      </c>
      <c r="J63" s="15">
        <v>0</v>
      </c>
      <c r="K63" s="15">
        <v>0</v>
      </c>
      <c r="L63" s="15">
        <v>0</v>
      </c>
      <c r="M63" s="15">
        <v>0</v>
      </c>
      <c r="N63" s="162"/>
      <c r="O63" s="67">
        <f t="shared" si="7"/>
        <v>0</v>
      </c>
    </row>
    <row r="64" spans="2:15" x14ac:dyDescent="0.15">
      <c r="B64" s="103">
        <v>-0.1</v>
      </c>
      <c r="C64" s="67"/>
      <c r="D64" s="569">
        <f t="shared" si="8"/>
        <v>0</v>
      </c>
      <c r="E64" s="15">
        <v>0</v>
      </c>
      <c r="F64" s="15">
        <v>0</v>
      </c>
      <c r="G64" s="15">
        <v>0</v>
      </c>
      <c r="H64" s="15">
        <v>0</v>
      </c>
      <c r="I64" s="15">
        <v>0</v>
      </c>
      <c r="J64" s="15">
        <v>0</v>
      </c>
      <c r="K64" s="15">
        <v>0</v>
      </c>
      <c r="L64" s="15">
        <v>0</v>
      </c>
      <c r="M64" s="15">
        <v>0</v>
      </c>
      <c r="N64" s="162"/>
      <c r="O64" s="67">
        <f t="shared" si="7"/>
        <v>0</v>
      </c>
    </row>
    <row r="65" spans="2:15" x14ac:dyDescent="0.15">
      <c r="B65" s="103">
        <v>-0.05</v>
      </c>
      <c r="C65" s="12"/>
      <c r="D65" s="569">
        <f t="shared" si="8"/>
        <v>0</v>
      </c>
      <c r="E65" s="15">
        <v>0</v>
      </c>
      <c r="F65" s="15">
        <v>0</v>
      </c>
      <c r="G65" s="15">
        <v>0</v>
      </c>
      <c r="H65" s="15">
        <v>0</v>
      </c>
      <c r="I65" s="15">
        <v>0</v>
      </c>
      <c r="J65" s="15">
        <v>0</v>
      </c>
      <c r="K65" s="15">
        <v>0</v>
      </c>
      <c r="L65" s="15">
        <v>0</v>
      </c>
      <c r="M65" s="15">
        <v>0</v>
      </c>
      <c r="N65" s="162"/>
      <c r="O65" s="67">
        <f t="shared" si="7"/>
        <v>0</v>
      </c>
    </row>
    <row r="66" spans="2:15" x14ac:dyDescent="0.15">
      <c r="B66" s="103"/>
      <c r="C66" s="12"/>
      <c r="D66" s="569">
        <f t="shared" si="8"/>
        <v>0</v>
      </c>
      <c r="E66" s="15"/>
      <c r="F66" s="15"/>
      <c r="G66" s="15"/>
      <c r="H66" s="15"/>
      <c r="I66" s="15"/>
      <c r="J66" s="15"/>
      <c r="K66" s="15"/>
      <c r="L66" s="15"/>
      <c r="M66" s="15"/>
      <c r="N66" s="162"/>
      <c r="O66" s="67"/>
    </row>
    <row r="67" spans="2:15" x14ac:dyDescent="0.15">
      <c r="B67" s="103">
        <v>0.05</v>
      </c>
      <c r="C67" s="67"/>
      <c r="D67" s="569">
        <f t="shared" si="8"/>
        <v>0</v>
      </c>
      <c r="E67" s="15">
        <v>0</v>
      </c>
      <c r="F67" s="15">
        <v>0</v>
      </c>
      <c r="G67" s="15">
        <v>0</v>
      </c>
      <c r="H67" s="15">
        <v>0</v>
      </c>
      <c r="I67" s="15">
        <v>0</v>
      </c>
      <c r="J67" s="15">
        <v>0</v>
      </c>
      <c r="K67" s="15">
        <v>0</v>
      </c>
      <c r="L67" s="15">
        <v>0</v>
      </c>
      <c r="M67" s="15">
        <v>0</v>
      </c>
      <c r="N67" s="162"/>
      <c r="O67" s="67">
        <f t="shared" si="7"/>
        <v>0</v>
      </c>
    </row>
    <row r="68" spans="2:15" x14ac:dyDescent="0.15">
      <c r="B68" s="103">
        <v>0.1</v>
      </c>
      <c r="C68" s="67"/>
      <c r="D68" s="569">
        <f t="shared" si="8"/>
        <v>0</v>
      </c>
      <c r="E68" s="15">
        <v>0</v>
      </c>
      <c r="F68" s="15">
        <v>0</v>
      </c>
      <c r="G68" s="15">
        <v>0</v>
      </c>
      <c r="H68" s="15">
        <v>0</v>
      </c>
      <c r="I68" s="15">
        <v>0</v>
      </c>
      <c r="J68" s="15">
        <v>0</v>
      </c>
      <c r="K68" s="15">
        <v>0</v>
      </c>
      <c r="L68" s="15">
        <v>0</v>
      </c>
      <c r="M68" s="15">
        <v>0</v>
      </c>
      <c r="N68" s="162"/>
      <c r="O68" s="67">
        <f t="shared" si="7"/>
        <v>0</v>
      </c>
    </row>
    <row r="69" spans="2:15" x14ac:dyDescent="0.15">
      <c r="B69" s="103">
        <v>0.15</v>
      </c>
      <c r="C69" s="67"/>
      <c r="D69" s="569">
        <f t="shared" si="8"/>
        <v>0</v>
      </c>
      <c r="E69" s="15">
        <v>0</v>
      </c>
      <c r="F69" s="15">
        <v>0</v>
      </c>
      <c r="G69" s="15">
        <v>0</v>
      </c>
      <c r="H69" s="15">
        <v>0</v>
      </c>
      <c r="I69" s="15">
        <v>0</v>
      </c>
      <c r="J69" s="15">
        <v>0</v>
      </c>
      <c r="K69" s="15">
        <v>0</v>
      </c>
      <c r="L69" s="15">
        <v>0</v>
      </c>
      <c r="M69" s="15">
        <v>0</v>
      </c>
      <c r="N69" s="162"/>
      <c r="O69" s="67">
        <f t="shared" si="7"/>
        <v>0</v>
      </c>
    </row>
    <row r="70" spans="2:15" x14ac:dyDescent="0.15">
      <c r="B70" s="103">
        <v>0.2</v>
      </c>
      <c r="C70" s="67"/>
      <c r="D70" s="569">
        <f t="shared" si="8"/>
        <v>0</v>
      </c>
      <c r="E70" s="15">
        <v>0</v>
      </c>
      <c r="F70" s="15">
        <v>0</v>
      </c>
      <c r="G70" s="15">
        <v>0</v>
      </c>
      <c r="H70" s="15">
        <v>0</v>
      </c>
      <c r="I70" s="15">
        <v>0</v>
      </c>
      <c r="J70" s="15">
        <v>0</v>
      </c>
      <c r="K70" s="15">
        <v>0</v>
      </c>
      <c r="L70" s="15">
        <v>0</v>
      </c>
      <c r="M70" s="15">
        <v>0</v>
      </c>
      <c r="N70" s="162"/>
      <c r="O70" s="67">
        <f t="shared" si="7"/>
        <v>0</v>
      </c>
    </row>
    <row r="71" spans="2:15" x14ac:dyDescent="0.15">
      <c r="B71" s="103">
        <v>0.25</v>
      </c>
      <c r="C71" s="67"/>
      <c r="D71" s="569">
        <f t="shared" si="8"/>
        <v>0</v>
      </c>
      <c r="E71" s="15">
        <v>0</v>
      </c>
      <c r="F71" s="15">
        <v>0</v>
      </c>
      <c r="G71" s="15">
        <v>0</v>
      </c>
      <c r="H71" s="15">
        <v>0</v>
      </c>
      <c r="I71" s="15">
        <v>0</v>
      </c>
      <c r="J71" s="15">
        <v>0</v>
      </c>
      <c r="K71" s="15">
        <v>0</v>
      </c>
      <c r="L71" s="15">
        <v>0</v>
      </c>
      <c r="M71" s="15">
        <v>0</v>
      </c>
      <c r="N71" s="162"/>
      <c r="O71" s="67">
        <f t="shared" si="7"/>
        <v>0</v>
      </c>
    </row>
    <row r="72" spans="2:15" x14ac:dyDescent="0.15">
      <c r="B72" s="103" t="s">
        <v>636</v>
      </c>
      <c r="C72" s="67"/>
      <c r="D72" s="67"/>
      <c r="E72" s="67"/>
      <c r="F72" s="67"/>
      <c r="G72" s="67"/>
      <c r="H72" s="67"/>
      <c r="I72" s="67"/>
      <c r="J72" s="67"/>
      <c r="K72" s="67"/>
      <c r="L72" s="67"/>
      <c r="M72" s="67"/>
      <c r="N72" s="162"/>
      <c r="O72" s="12"/>
    </row>
    <row r="73" spans="2:15" x14ac:dyDescent="0.15">
      <c r="B73" s="103">
        <v>-0.25</v>
      </c>
      <c r="C73" s="67"/>
      <c r="D73" s="67">
        <f>D37-D49+D61</f>
        <v>46240250</v>
      </c>
      <c r="E73" s="67">
        <f t="shared" ref="E73:M77" si="9">E37-E49+E61</f>
        <v>37983942.500000022</v>
      </c>
      <c r="F73" s="67">
        <f t="shared" si="9"/>
        <v>31359042.08412499</v>
      </c>
      <c r="G73" s="67">
        <f t="shared" si="9"/>
        <v>22335846.707490433</v>
      </c>
      <c r="H73" s="67">
        <f t="shared" si="9"/>
        <v>11298041.178848946</v>
      </c>
      <c r="I73" s="67">
        <f t="shared" si="9"/>
        <v>0</v>
      </c>
      <c r="J73" s="67">
        <f t="shared" si="9"/>
        <v>0</v>
      </c>
      <c r="K73" s="67">
        <f t="shared" si="9"/>
        <v>0</v>
      </c>
      <c r="L73" s="67">
        <f t="shared" si="9"/>
        <v>0</v>
      </c>
      <c r="M73" s="67">
        <f t="shared" si="9"/>
        <v>0</v>
      </c>
      <c r="N73" s="162"/>
      <c r="O73" s="67">
        <f t="shared" ref="O73:O84" si="10">SUM(D73:M73)</f>
        <v>149217122.47046441</v>
      </c>
    </row>
    <row r="74" spans="2:15" x14ac:dyDescent="0.15">
      <c r="B74" s="103">
        <v>-0.2</v>
      </c>
      <c r="C74" s="67"/>
      <c r="D74" s="67">
        <f>D38-D50+D62</f>
        <v>46240250</v>
      </c>
      <c r="E74" s="67">
        <f t="shared" si="9"/>
        <v>37983942.500000022</v>
      </c>
      <c r="F74" s="67">
        <f t="shared" si="9"/>
        <v>31359042.08412499</v>
      </c>
      <c r="G74" s="67">
        <f t="shared" si="9"/>
        <v>22335846.707490433</v>
      </c>
      <c r="H74" s="67">
        <f t="shared" si="9"/>
        <v>11298041.178848946</v>
      </c>
      <c r="I74" s="67">
        <f t="shared" si="9"/>
        <v>0</v>
      </c>
      <c r="J74" s="67">
        <f t="shared" si="9"/>
        <v>0</v>
      </c>
      <c r="K74" s="67">
        <f t="shared" si="9"/>
        <v>0</v>
      </c>
      <c r="L74" s="67">
        <f t="shared" si="9"/>
        <v>0</v>
      </c>
      <c r="M74" s="67">
        <f t="shared" si="9"/>
        <v>0</v>
      </c>
      <c r="N74" s="162"/>
      <c r="O74" s="67">
        <f t="shared" si="10"/>
        <v>149217122.47046441</v>
      </c>
    </row>
    <row r="75" spans="2:15" x14ac:dyDescent="0.15">
      <c r="B75" s="103">
        <v>-0.15</v>
      </c>
      <c r="C75" s="67"/>
      <c r="D75" s="67">
        <f>D39-D51+D63</f>
        <v>46240250</v>
      </c>
      <c r="E75" s="67">
        <f t="shared" si="9"/>
        <v>37983942.500000022</v>
      </c>
      <c r="F75" s="67">
        <f t="shared" si="9"/>
        <v>31359042.08412499</v>
      </c>
      <c r="G75" s="67">
        <f t="shared" si="9"/>
        <v>22335846.707490433</v>
      </c>
      <c r="H75" s="67">
        <f t="shared" si="9"/>
        <v>11298041.178848946</v>
      </c>
      <c r="I75" s="67">
        <f t="shared" si="9"/>
        <v>0</v>
      </c>
      <c r="J75" s="67">
        <f t="shared" si="9"/>
        <v>0</v>
      </c>
      <c r="K75" s="67">
        <f t="shared" si="9"/>
        <v>0</v>
      </c>
      <c r="L75" s="67">
        <f t="shared" si="9"/>
        <v>0</v>
      </c>
      <c r="M75" s="67">
        <f t="shared" si="9"/>
        <v>0</v>
      </c>
      <c r="N75" s="162"/>
      <c r="O75" s="67">
        <f t="shared" si="10"/>
        <v>149217122.47046441</v>
      </c>
    </row>
    <row r="76" spans="2:15" x14ac:dyDescent="0.15">
      <c r="B76" s="103">
        <v>-0.1</v>
      </c>
      <c r="C76" s="67"/>
      <c r="D76" s="67">
        <f>D40-D52+D64</f>
        <v>46240250</v>
      </c>
      <c r="E76" s="67">
        <f t="shared" si="9"/>
        <v>37983942.500000022</v>
      </c>
      <c r="F76" s="67">
        <f t="shared" si="9"/>
        <v>31359042.08412499</v>
      </c>
      <c r="G76" s="67">
        <f t="shared" si="9"/>
        <v>22335846.707490433</v>
      </c>
      <c r="H76" s="67">
        <f t="shared" si="9"/>
        <v>11298041.178848946</v>
      </c>
      <c r="I76" s="67">
        <f t="shared" si="9"/>
        <v>0</v>
      </c>
      <c r="J76" s="67">
        <f t="shared" si="9"/>
        <v>0</v>
      </c>
      <c r="K76" s="67">
        <f t="shared" si="9"/>
        <v>0</v>
      </c>
      <c r="L76" s="67">
        <f t="shared" si="9"/>
        <v>0</v>
      </c>
      <c r="M76" s="67">
        <f t="shared" si="9"/>
        <v>0</v>
      </c>
      <c r="N76" s="162"/>
      <c r="O76" s="67">
        <f t="shared" si="10"/>
        <v>149217122.47046441</v>
      </c>
    </row>
    <row r="77" spans="2:15" x14ac:dyDescent="0.15">
      <c r="B77" s="103">
        <v>-0.05</v>
      </c>
      <c r="C77" s="12"/>
      <c r="D77" s="67">
        <f>D41-D53+D65</f>
        <v>46240250</v>
      </c>
      <c r="E77" s="67">
        <f t="shared" si="9"/>
        <v>37983942.500000022</v>
      </c>
      <c r="F77" s="67">
        <f t="shared" si="9"/>
        <v>31359042.08412499</v>
      </c>
      <c r="G77" s="67">
        <f t="shared" si="9"/>
        <v>22335846.707490433</v>
      </c>
      <c r="H77" s="67">
        <f t="shared" si="9"/>
        <v>11298041.178848946</v>
      </c>
      <c r="I77" s="67">
        <f t="shared" si="9"/>
        <v>0</v>
      </c>
      <c r="J77" s="67">
        <f t="shared" si="9"/>
        <v>0</v>
      </c>
      <c r="K77" s="67">
        <f t="shared" si="9"/>
        <v>0</v>
      </c>
      <c r="L77" s="67">
        <f t="shared" si="9"/>
        <v>0</v>
      </c>
      <c r="M77" s="67">
        <f t="shared" si="9"/>
        <v>0</v>
      </c>
      <c r="N77" s="162"/>
      <c r="O77" s="67">
        <f t="shared" si="10"/>
        <v>149217122.47046441</v>
      </c>
    </row>
    <row r="78" spans="2:15" x14ac:dyDescent="0.15">
      <c r="B78" s="103"/>
      <c r="C78" s="12"/>
      <c r="D78" s="67"/>
      <c r="E78" s="67"/>
      <c r="F78" s="67"/>
      <c r="G78" s="67"/>
      <c r="H78" s="67"/>
      <c r="I78" s="67"/>
      <c r="J78" s="67"/>
      <c r="K78" s="67"/>
      <c r="L78" s="67"/>
      <c r="M78" s="67"/>
      <c r="N78" s="162"/>
      <c r="O78" s="67"/>
    </row>
    <row r="79" spans="2:15" x14ac:dyDescent="0.15">
      <c r="B79" s="103">
        <v>0.05</v>
      </c>
      <c r="C79" s="12"/>
      <c r="D79" s="67">
        <f t="shared" ref="D79:M83" si="11">D43-D55+D67</f>
        <v>46240250</v>
      </c>
      <c r="E79" s="67">
        <f t="shared" si="11"/>
        <v>37983942.500000022</v>
      </c>
      <c r="F79" s="67">
        <f t="shared" si="11"/>
        <v>31359042.08412499</v>
      </c>
      <c r="G79" s="67">
        <f t="shared" si="11"/>
        <v>22335846.707490433</v>
      </c>
      <c r="H79" s="67">
        <f t="shared" si="11"/>
        <v>11298041.178848946</v>
      </c>
      <c r="I79" s="67">
        <f t="shared" si="11"/>
        <v>0</v>
      </c>
      <c r="J79" s="67">
        <f t="shared" si="11"/>
        <v>0</v>
      </c>
      <c r="K79" s="67">
        <f t="shared" si="11"/>
        <v>0</v>
      </c>
      <c r="L79" s="67">
        <f t="shared" si="11"/>
        <v>0</v>
      </c>
      <c r="M79" s="67">
        <f t="shared" si="11"/>
        <v>0</v>
      </c>
      <c r="N79" s="162"/>
      <c r="O79" s="67">
        <f t="shared" si="10"/>
        <v>149217122.47046441</v>
      </c>
    </row>
    <row r="80" spans="2:15" x14ac:dyDescent="0.15">
      <c r="B80" s="103">
        <v>0.1</v>
      </c>
      <c r="C80" s="104"/>
      <c r="D80" s="67">
        <f t="shared" si="11"/>
        <v>46240250</v>
      </c>
      <c r="E80" s="67">
        <f t="shared" si="11"/>
        <v>37983942.500000022</v>
      </c>
      <c r="F80" s="67">
        <f t="shared" si="11"/>
        <v>31359042.08412499</v>
      </c>
      <c r="G80" s="67">
        <f t="shared" si="11"/>
        <v>22335846.707490433</v>
      </c>
      <c r="H80" s="67">
        <f t="shared" si="11"/>
        <v>11298041.178848946</v>
      </c>
      <c r="I80" s="67">
        <f t="shared" si="11"/>
        <v>0</v>
      </c>
      <c r="J80" s="67">
        <f t="shared" si="11"/>
        <v>0</v>
      </c>
      <c r="K80" s="67">
        <f t="shared" si="11"/>
        <v>0</v>
      </c>
      <c r="L80" s="67">
        <f t="shared" si="11"/>
        <v>0</v>
      </c>
      <c r="M80" s="67">
        <f t="shared" si="11"/>
        <v>0</v>
      </c>
      <c r="N80" s="162"/>
      <c r="O80" s="67">
        <f t="shared" si="10"/>
        <v>149217122.47046441</v>
      </c>
    </row>
    <row r="81" spans="2:15" x14ac:dyDescent="0.15">
      <c r="B81" s="103">
        <v>0.15</v>
      </c>
      <c r="C81" s="104"/>
      <c r="D81" s="67">
        <f t="shared" si="11"/>
        <v>46240250</v>
      </c>
      <c r="E81" s="67">
        <f t="shared" si="11"/>
        <v>37983942.500000022</v>
      </c>
      <c r="F81" s="67">
        <f t="shared" si="11"/>
        <v>31359042.08412499</v>
      </c>
      <c r="G81" s="67">
        <f t="shared" si="11"/>
        <v>22335846.707490433</v>
      </c>
      <c r="H81" s="67">
        <f t="shared" si="11"/>
        <v>11298041.178848946</v>
      </c>
      <c r="I81" s="67">
        <f t="shared" si="11"/>
        <v>0</v>
      </c>
      <c r="J81" s="67">
        <f t="shared" si="11"/>
        <v>0</v>
      </c>
      <c r="K81" s="67">
        <f t="shared" si="11"/>
        <v>0</v>
      </c>
      <c r="L81" s="67">
        <f t="shared" si="11"/>
        <v>0</v>
      </c>
      <c r="M81" s="67">
        <f t="shared" si="11"/>
        <v>0</v>
      </c>
      <c r="N81" s="162"/>
      <c r="O81" s="67">
        <f t="shared" si="10"/>
        <v>149217122.47046441</v>
      </c>
    </row>
    <row r="82" spans="2:15" x14ac:dyDescent="0.15">
      <c r="B82" s="103">
        <v>0.2</v>
      </c>
      <c r="C82" s="104"/>
      <c r="D82" s="67">
        <f t="shared" si="11"/>
        <v>46240250</v>
      </c>
      <c r="E82" s="67">
        <f t="shared" si="11"/>
        <v>37983942.500000022</v>
      </c>
      <c r="F82" s="67">
        <f t="shared" si="11"/>
        <v>31359042.08412499</v>
      </c>
      <c r="G82" s="67">
        <f t="shared" si="11"/>
        <v>22335846.707490433</v>
      </c>
      <c r="H82" s="67">
        <f t="shared" si="11"/>
        <v>11298041.178848946</v>
      </c>
      <c r="I82" s="67">
        <f t="shared" si="11"/>
        <v>0</v>
      </c>
      <c r="J82" s="67">
        <f t="shared" si="11"/>
        <v>0</v>
      </c>
      <c r="K82" s="67">
        <f t="shared" si="11"/>
        <v>0</v>
      </c>
      <c r="L82" s="67">
        <f t="shared" si="11"/>
        <v>0</v>
      </c>
      <c r="M82" s="67">
        <f t="shared" si="11"/>
        <v>0</v>
      </c>
      <c r="N82" s="162"/>
      <c r="O82" s="67">
        <f t="shared" si="10"/>
        <v>149217122.47046441</v>
      </c>
    </row>
    <row r="83" spans="2:15" x14ac:dyDescent="0.15">
      <c r="B83" s="103">
        <v>0.25</v>
      </c>
      <c r="C83" s="104"/>
      <c r="D83" s="67">
        <f t="shared" si="11"/>
        <v>46240250</v>
      </c>
      <c r="E83" s="67">
        <f t="shared" si="11"/>
        <v>37983942.500000022</v>
      </c>
      <c r="F83" s="67">
        <f t="shared" si="11"/>
        <v>31359042.08412499</v>
      </c>
      <c r="G83" s="67">
        <f t="shared" si="11"/>
        <v>22335846.707490433</v>
      </c>
      <c r="H83" s="67">
        <f t="shared" si="11"/>
        <v>11298041.178848946</v>
      </c>
      <c r="I83" s="67">
        <f t="shared" si="11"/>
        <v>0</v>
      </c>
      <c r="J83" s="67">
        <f t="shared" si="11"/>
        <v>0</v>
      </c>
      <c r="K83" s="67">
        <f t="shared" si="11"/>
        <v>0</v>
      </c>
      <c r="L83" s="67">
        <f t="shared" si="11"/>
        <v>0</v>
      </c>
      <c r="M83" s="67">
        <f t="shared" si="11"/>
        <v>0</v>
      </c>
      <c r="N83" s="162"/>
      <c r="O83" s="67">
        <f t="shared" si="10"/>
        <v>149217122.47046441</v>
      </c>
    </row>
    <row r="84" spans="2:15" x14ac:dyDescent="0.15">
      <c r="B84" s="103" t="s">
        <v>292</v>
      </c>
      <c r="C84" s="104"/>
      <c r="D84" s="92">
        <f>D22</f>
        <v>3772500</v>
      </c>
      <c r="E84" s="92">
        <f t="shared" ref="E84:M84" si="12">E22</f>
        <v>6218850</v>
      </c>
      <c r="F84" s="92">
        <f t="shared" si="12"/>
        <v>4083150</v>
      </c>
      <c r="G84" s="92">
        <f t="shared" si="12"/>
        <v>2775510</v>
      </c>
      <c r="H84" s="92">
        <f t="shared" si="12"/>
        <v>1352955</v>
      </c>
      <c r="I84" s="92">
        <f t="shared" si="12"/>
        <v>0</v>
      </c>
      <c r="J84" s="92">
        <f t="shared" si="12"/>
        <v>0</v>
      </c>
      <c r="K84" s="92">
        <f t="shared" si="12"/>
        <v>0</v>
      </c>
      <c r="L84" s="92">
        <f t="shared" si="12"/>
        <v>0</v>
      </c>
      <c r="M84" s="92">
        <f t="shared" si="12"/>
        <v>0</v>
      </c>
      <c r="N84" s="162"/>
      <c r="O84" s="67">
        <f t="shared" si="10"/>
        <v>18202965</v>
      </c>
    </row>
    <row r="85" spans="2:15" ht="28" x14ac:dyDescent="0.15">
      <c r="B85" s="113" t="s">
        <v>650</v>
      </c>
      <c r="C85" s="104"/>
      <c r="D85" s="12"/>
      <c r="E85" s="103"/>
      <c r="F85" s="67"/>
      <c r="G85" s="12"/>
      <c r="H85" s="12"/>
      <c r="I85" s="12"/>
      <c r="J85" s="12"/>
      <c r="K85" s="12"/>
      <c r="L85" s="12"/>
      <c r="M85" s="12"/>
      <c r="N85" s="162"/>
      <c r="O85" s="12"/>
    </row>
    <row r="86" spans="2:15" x14ac:dyDescent="0.15">
      <c r="B86" s="103">
        <v>-0.25</v>
      </c>
      <c r="C86" s="104"/>
      <c r="D86" s="67">
        <f>D73+D$84</f>
        <v>50012750</v>
      </c>
      <c r="E86" s="67">
        <f t="shared" ref="E86:M90" si="13">E73+E$84</f>
        <v>44202792.500000022</v>
      </c>
      <c r="F86" s="67">
        <f t="shared" si="13"/>
        <v>35442192.08412499</v>
      </c>
      <c r="G86" s="67">
        <f t="shared" si="13"/>
        <v>25111356.707490433</v>
      </c>
      <c r="H86" s="67">
        <f t="shared" si="13"/>
        <v>12650996.178848946</v>
      </c>
      <c r="I86" s="67">
        <f t="shared" si="13"/>
        <v>0</v>
      </c>
      <c r="J86" s="67">
        <f t="shared" si="13"/>
        <v>0</v>
      </c>
      <c r="K86" s="67">
        <f t="shared" si="13"/>
        <v>0</v>
      </c>
      <c r="L86" s="67">
        <f t="shared" si="13"/>
        <v>0</v>
      </c>
      <c r="M86" s="67">
        <f t="shared" si="13"/>
        <v>0</v>
      </c>
      <c r="N86" s="162"/>
      <c r="O86" s="67">
        <f t="shared" ref="O86:O96" si="14">SUM(D86:M86)</f>
        <v>167420087.47046441</v>
      </c>
    </row>
    <row r="87" spans="2:15" x14ac:dyDescent="0.15">
      <c r="B87" s="103">
        <v>-0.2</v>
      </c>
      <c r="C87" s="104"/>
      <c r="D87" s="67">
        <f>D74+D$84</f>
        <v>50012750</v>
      </c>
      <c r="E87" s="67">
        <f t="shared" si="13"/>
        <v>44202792.500000022</v>
      </c>
      <c r="F87" s="67">
        <f t="shared" si="13"/>
        <v>35442192.08412499</v>
      </c>
      <c r="G87" s="67">
        <f t="shared" si="13"/>
        <v>25111356.707490433</v>
      </c>
      <c r="H87" s="67">
        <f t="shared" si="13"/>
        <v>12650996.178848946</v>
      </c>
      <c r="I87" s="67">
        <f t="shared" si="13"/>
        <v>0</v>
      </c>
      <c r="J87" s="67">
        <f t="shared" si="13"/>
        <v>0</v>
      </c>
      <c r="K87" s="67">
        <f t="shared" si="13"/>
        <v>0</v>
      </c>
      <c r="L87" s="67">
        <f t="shared" si="13"/>
        <v>0</v>
      </c>
      <c r="M87" s="67">
        <f t="shared" si="13"/>
        <v>0</v>
      </c>
      <c r="N87" s="162"/>
      <c r="O87" s="67">
        <f t="shared" si="14"/>
        <v>167420087.47046441</v>
      </c>
    </row>
    <row r="88" spans="2:15" x14ac:dyDescent="0.15">
      <c r="B88" s="103">
        <v>-0.15</v>
      </c>
      <c r="C88" s="104"/>
      <c r="D88" s="67">
        <f>D75+D$84</f>
        <v>50012750</v>
      </c>
      <c r="E88" s="67">
        <f t="shared" si="13"/>
        <v>44202792.500000022</v>
      </c>
      <c r="F88" s="67">
        <f t="shared" si="13"/>
        <v>35442192.08412499</v>
      </c>
      <c r="G88" s="67">
        <f t="shared" si="13"/>
        <v>25111356.707490433</v>
      </c>
      <c r="H88" s="67">
        <f t="shared" si="13"/>
        <v>12650996.178848946</v>
      </c>
      <c r="I88" s="67">
        <f t="shared" si="13"/>
        <v>0</v>
      </c>
      <c r="J88" s="67">
        <f t="shared" si="13"/>
        <v>0</v>
      </c>
      <c r="K88" s="67">
        <f t="shared" si="13"/>
        <v>0</v>
      </c>
      <c r="L88" s="67">
        <f t="shared" si="13"/>
        <v>0</v>
      </c>
      <c r="M88" s="67">
        <f t="shared" si="13"/>
        <v>0</v>
      </c>
      <c r="N88" s="162"/>
      <c r="O88" s="67">
        <f t="shared" si="14"/>
        <v>167420087.47046441</v>
      </c>
    </row>
    <row r="89" spans="2:15" x14ac:dyDescent="0.15">
      <c r="B89" s="103">
        <v>-0.1</v>
      </c>
      <c r="C89" s="104"/>
      <c r="D89" s="67">
        <f>D76+D$84</f>
        <v>50012750</v>
      </c>
      <c r="E89" s="67">
        <f t="shared" si="13"/>
        <v>44202792.500000022</v>
      </c>
      <c r="F89" s="67">
        <f t="shared" si="13"/>
        <v>35442192.08412499</v>
      </c>
      <c r="G89" s="67">
        <f t="shared" si="13"/>
        <v>25111356.707490433</v>
      </c>
      <c r="H89" s="67">
        <f t="shared" si="13"/>
        <v>12650996.178848946</v>
      </c>
      <c r="I89" s="67">
        <f t="shared" si="13"/>
        <v>0</v>
      </c>
      <c r="J89" s="67">
        <f t="shared" si="13"/>
        <v>0</v>
      </c>
      <c r="K89" s="67">
        <f t="shared" si="13"/>
        <v>0</v>
      </c>
      <c r="L89" s="67">
        <f t="shared" si="13"/>
        <v>0</v>
      </c>
      <c r="M89" s="67">
        <f t="shared" si="13"/>
        <v>0</v>
      </c>
      <c r="N89" s="162"/>
      <c r="O89" s="67">
        <f t="shared" si="14"/>
        <v>167420087.47046441</v>
      </c>
    </row>
    <row r="90" spans="2:15" x14ac:dyDescent="0.15">
      <c r="B90" s="103">
        <v>-0.05</v>
      </c>
      <c r="C90" s="12"/>
      <c r="D90" s="67">
        <f>D77+D$84</f>
        <v>50012750</v>
      </c>
      <c r="E90" s="67">
        <f t="shared" si="13"/>
        <v>44202792.500000022</v>
      </c>
      <c r="F90" s="67">
        <f t="shared" si="13"/>
        <v>35442192.08412499</v>
      </c>
      <c r="G90" s="67">
        <f t="shared" si="13"/>
        <v>25111356.707490433</v>
      </c>
      <c r="H90" s="67">
        <f t="shared" si="13"/>
        <v>12650996.178848946</v>
      </c>
      <c r="I90" s="67">
        <f t="shared" si="13"/>
        <v>0</v>
      </c>
      <c r="J90" s="67">
        <f t="shared" si="13"/>
        <v>0</v>
      </c>
      <c r="K90" s="67">
        <f t="shared" si="13"/>
        <v>0</v>
      </c>
      <c r="L90" s="67">
        <f t="shared" si="13"/>
        <v>0</v>
      </c>
      <c r="M90" s="67">
        <f t="shared" si="13"/>
        <v>0</v>
      </c>
      <c r="N90" s="162"/>
      <c r="O90" s="67">
        <f t="shared" si="14"/>
        <v>167420087.47046441</v>
      </c>
    </row>
    <row r="91" spans="2:15" x14ac:dyDescent="0.15">
      <c r="B91" s="103"/>
      <c r="C91" s="12"/>
      <c r="D91" s="67"/>
      <c r="E91" s="67"/>
      <c r="F91" s="67"/>
      <c r="G91" s="67"/>
      <c r="H91" s="67"/>
      <c r="I91" s="67"/>
      <c r="J91" s="67"/>
      <c r="K91" s="67"/>
      <c r="L91" s="67"/>
      <c r="M91" s="67"/>
      <c r="N91" s="162"/>
      <c r="O91" s="67"/>
    </row>
    <row r="92" spans="2:15" x14ac:dyDescent="0.15">
      <c r="B92" s="103">
        <v>0.05</v>
      </c>
      <c r="C92" s="12"/>
      <c r="D92" s="67">
        <f t="shared" ref="D92:M96" si="15">D79+D$84</f>
        <v>50012750</v>
      </c>
      <c r="E92" s="67">
        <f t="shared" si="15"/>
        <v>44202792.500000022</v>
      </c>
      <c r="F92" s="67">
        <f t="shared" si="15"/>
        <v>35442192.08412499</v>
      </c>
      <c r="G92" s="67">
        <f t="shared" si="15"/>
        <v>25111356.707490433</v>
      </c>
      <c r="H92" s="67">
        <f t="shared" si="15"/>
        <v>12650996.178848946</v>
      </c>
      <c r="I92" s="67">
        <f t="shared" si="15"/>
        <v>0</v>
      </c>
      <c r="J92" s="67">
        <f t="shared" si="15"/>
        <v>0</v>
      </c>
      <c r="K92" s="67">
        <f t="shared" si="15"/>
        <v>0</v>
      </c>
      <c r="L92" s="67">
        <f t="shared" si="15"/>
        <v>0</v>
      </c>
      <c r="M92" s="67">
        <f t="shared" si="15"/>
        <v>0</v>
      </c>
      <c r="N92" s="162"/>
      <c r="O92" s="67">
        <f t="shared" si="14"/>
        <v>167420087.47046441</v>
      </c>
    </row>
    <row r="93" spans="2:15" x14ac:dyDescent="0.15">
      <c r="B93" s="103">
        <v>0.1</v>
      </c>
      <c r="C93" s="12"/>
      <c r="D93" s="67">
        <f t="shared" si="15"/>
        <v>50012750</v>
      </c>
      <c r="E93" s="67">
        <f t="shared" si="15"/>
        <v>44202792.500000022</v>
      </c>
      <c r="F93" s="67">
        <f t="shared" si="15"/>
        <v>35442192.08412499</v>
      </c>
      <c r="G93" s="67">
        <f t="shared" si="15"/>
        <v>25111356.707490433</v>
      </c>
      <c r="H93" s="67">
        <f t="shared" si="15"/>
        <v>12650996.178848946</v>
      </c>
      <c r="I93" s="67">
        <f t="shared" si="15"/>
        <v>0</v>
      </c>
      <c r="J93" s="67">
        <f t="shared" si="15"/>
        <v>0</v>
      </c>
      <c r="K93" s="67">
        <f t="shared" si="15"/>
        <v>0</v>
      </c>
      <c r="L93" s="67">
        <f t="shared" si="15"/>
        <v>0</v>
      </c>
      <c r="M93" s="67">
        <f t="shared" si="15"/>
        <v>0</v>
      </c>
      <c r="N93" s="162"/>
      <c r="O93" s="67">
        <f t="shared" si="14"/>
        <v>167420087.47046441</v>
      </c>
    </row>
    <row r="94" spans="2:15" x14ac:dyDescent="0.15">
      <c r="B94" s="103">
        <v>0.15</v>
      </c>
      <c r="C94" s="12"/>
      <c r="D94" s="67">
        <f t="shared" si="15"/>
        <v>50012750</v>
      </c>
      <c r="E94" s="67">
        <f t="shared" si="15"/>
        <v>44202792.500000022</v>
      </c>
      <c r="F94" s="67">
        <f t="shared" si="15"/>
        <v>35442192.08412499</v>
      </c>
      <c r="G94" s="67">
        <f t="shared" si="15"/>
        <v>25111356.707490433</v>
      </c>
      <c r="H94" s="67">
        <f t="shared" si="15"/>
        <v>12650996.178848946</v>
      </c>
      <c r="I94" s="67">
        <f t="shared" si="15"/>
        <v>0</v>
      </c>
      <c r="J94" s="67">
        <f t="shared" si="15"/>
        <v>0</v>
      </c>
      <c r="K94" s="67">
        <f t="shared" si="15"/>
        <v>0</v>
      </c>
      <c r="L94" s="67">
        <f t="shared" si="15"/>
        <v>0</v>
      </c>
      <c r="M94" s="67">
        <f t="shared" si="15"/>
        <v>0</v>
      </c>
      <c r="N94" s="162"/>
      <c r="O94" s="67">
        <f t="shared" si="14"/>
        <v>167420087.47046441</v>
      </c>
    </row>
    <row r="95" spans="2:15" x14ac:dyDescent="0.15">
      <c r="B95" s="103">
        <v>0.2</v>
      </c>
      <c r="C95" s="12"/>
      <c r="D95" s="67">
        <f t="shared" si="15"/>
        <v>50012750</v>
      </c>
      <c r="E95" s="67">
        <f t="shared" si="15"/>
        <v>44202792.500000022</v>
      </c>
      <c r="F95" s="67">
        <f t="shared" si="15"/>
        <v>35442192.08412499</v>
      </c>
      <c r="G95" s="67">
        <f t="shared" si="15"/>
        <v>25111356.707490433</v>
      </c>
      <c r="H95" s="67">
        <f t="shared" si="15"/>
        <v>12650996.178848946</v>
      </c>
      <c r="I95" s="67">
        <f t="shared" si="15"/>
        <v>0</v>
      </c>
      <c r="J95" s="67">
        <f t="shared" si="15"/>
        <v>0</v>
      </c>
      <c r="K95" s="67">
        <f t="shared" si="15"/>
        <v>0</v>
      </c>
      <c r="L95" s="67">
        <f t="shared" si="15"/>
        <v>0</v>
      </c>
      <c r="M95" s="67">
        <f t="shared" si="15"/>
        <v>0</v>
      </c>
      <c r="N95" s="162"/>
      <c r="O95" s="67">
        <f t="shared" si="14"/>
        <v>167420087.47046441</v>
      </c>
    </row>
    <row r="96" spans="2:15" ht="14" thickBot="1" x14ac:dyDescent="0.2">
      <c r="B96" s="103">
        <v>0.25</v>
      </c>
      <c r="C96" s="94"/>
      <c r="D96" s="95">
        <f t="shared" si="15"/>
        <v>50012750</v>
      </c>
      <c r="E96" s="95">
        <f t="shared" si="15"/>
        <v>44202792.500000022</v>
      </c>
      <c r="F96" s="95">
        <f t="shared" si="15"/>
        <v>35442192.08412499</v>
      </c>
      <c r="G96" s="95">
        <f t="shared" si="15"/>
        <v>25111356.707490433</v>
      </c>
      <c r="H96" s="95">
        <f t="shared" si="15"/>
        <v>12650996.178848946</v>
      </c>
      <c r="I96" s="95">
        <f t="shared" si="15"/>
        <v>0</v>
      </c>
      <c r="J96" s="95">
        <f t="shared" si="15"/>
        <v>0</v>
      </c>
      <c r="K96" s="95">
        <f t="shared" si="15"/>
        <v>0</v>
      </c>
      <c r="L96" s="95">
        <f t="shared" si="15"/>
        <v>0</v>
      </c>
      <c r="M96" s="95">
        <f t="shared" si="15"/>
        <v>0</v>
      </c>
      <c r="N96" s="163"/>
      <c r="O96" s="95">
        <f t="shared" si="14"/>
        <v>167420087.47046441</v>
      </c>
    </row>
    <row r="97" spans="2:15" ht="14" thickTop="1" x14ac:dyDescent="0.15">
      <c r="B97" s="96" t="s">
        <v>638</v>
      </c>
      <c r="C97" s="96"/>
      <c r="D97" s="96"/>
      <c r="E97" s="96"/>
      <c r="F97" s="96"/>
      <c r="G97" s="96"/>
      <c r="H97" s="96"/>
      <c r="I97" s="96"/>
      <c r="J97" s="96"/>
      <c r="K97" s="96"/>
      <c r="L97" s="96"/>
      <c r="M97" s="96"/>
      <c r="N97" s="96"/>
      <c r="O97" s="96"/>
    </row>
    <row r="98" spans="2:15" x14ac:dyDescent="0.15">
      <c r="B98" s="103">
        <v>-0.25</v>
      </c>
      <c r="C98" s="12"/>
      <c r="D98" s="92">
        <f>'Lvl Prin Pmt Int Rate Sens Calc'!D35</f>
        <v>0</v>
      </c>
      <c r="E98" s="92">
        <f>'Lvl Prin Pmt Int Rate Sens Calc'!E35</f>
        <v>0</v>
      </c>
      <c r="F98" s="92">
        <f>'Lvl Prin Pmt Int Rate Sens Calc'!F35</f>
        <v>0</v>
      </c>
      <c r="G98" s="92">
        <f>'Lvl Prin Pmt Int Rate Sens Calc'!G35</f>
        <v>0</v>
      </c>
      <c r="H98" s="92">
        <f>'Lvl Prin Pmt Int Rate Sens Calc'!H35</f>
        <v>0</v>
      </c>
      <c r="I98" s="92">
        <f>'Lvl Prin Pmt Int Rate Sens Calc'!I35</f>
        <v>0</v>
      </c>
      <c r="J98" s="92">
        <f>'Lvl Prin Pmt Int Rate Sens Calc'!J35</f>
        <v>0</v>
      </c>
      <c r="K98" s="92">
        <f>'Lvl Prin Pmt Int Rate Sens Calc'!K35</f>
        <v>0</v>
      </c>
      <c r="L98" s="92">
        <f>'Lvl Prin Pmt Int Rate Sens Calc'!L35</f>
        <v>0</v>
      </c>
      <c r="M98" s="92">
        <f>'Lvl Prin Pmt Int Rate Sens Calc'!M35</f>
        <v>0</v>
      </c>
      <c r="N98" s="57"/>
      <c r="O98" s="67">
        <f t="shared" ref="O98:O108" si="16">SUM(D98:M98)</f>
        <v>0</v>
      </c>
    </row>
    <row r="99" spans="2:15" x14ac:dyDescent="0.15">
      <c r="B99" s="103">
        <v>-0.2</v>
      </c>
      <c r="C99" s="12"/>
      <c r="D99" s="92">
        <f>'Lvl Prin Pmt Int Rate Sens Calc'!D56</f>
        <v>0</v>
      </c>
      <c r="E99" s="92">
        <f>'Lvl Prin Pmt Int Rate Sens Calc'!E56</f>
        <v>0</v>
      </c>
      <c r="F99" s="92">
        <f>'Lvl Prin Pmt Int Rate Sens Calc'!F56</f>
        <v>0</v>
      </c>
      <c r="G99" s="92">
        <f>'Lvl Prin Pmt Int Rate Sens Calc'!G56</f>
        <v>0</v>
      </c>
      <c r="H99" s="92">
        <f>'Lvl Prin Pmt Int Rate Sens Calc'!H56</f>
        <v>0</v>
      </c>
      <c r="I99" s="92">
        <f>'Lvl Prin Pmt Int Rate Sens Calc'!I56</f>
        <v>0</v>
      </c>
      <c r="J99" s="92">
        <f>'Lvl Prin Pmt Int Rate Sens Calc'!J56</f>
        <v>0</v>
      </c>
      <c r="K99" s="92">
        <f>'Lvl Prin Pmt Int Rate Sens Calc'!K56</f>
        <v>0</v>
      </c>
      <c r="L99" s="92">
        <f>'Lvl Prin Pmt Int Rate Sens Calc'!L56</f>
        <v>0</v>
      </c>
      <c r="M99" s="92">
        <f>'Lvl Prin Pmt Int Rate Sens Calc'!M56</f>
        <v>0</v>
      </c>
      <c r="N99" s="57"/>
      <c r="O99" s="67">
        <f t="shared" si="16"/>
        <v>0</v>
      </c>
    </row>
    <row r="100" spans="2:15" x14ac:dyDescent="0.15">
      <c r="B100" s="103">
        <v>-0.15</v>
      </c>
      <c r="C100" s="12"/>
      <c r="D100" s="92">
        <f>'Lvl Prin Pmt Int Rate Sens Calc'!D77</f>
        <v>0</v>
      </c>
      <c r="E100" s="92">
        <f>'Lvl Prin Pmt Int Rate Sens Calc'!E77</f>
        <v>0</v>
      </c>
      <c r="F100" s="92">
        <f>'Lvl Prin Pmt Int Rate Sens Calc'!F77</f>
        <v>0</v>
      </c>
      <c r="G100" s="92">
        <f>'Lvl Prin Pmt Int Rate Sens Calc'!G77</f>
        <v>0</v>
      </c>
      <c r="H100" s="92">
        <f>'Lvl Prin Pmt Int Rate Sens Calc'!H77</f>
        <v>0</v>
      </c>
      <c r="I100" s="92">
        <f>'Lvl Prin Pmt Int Rate Sens Calc'!I77</f>
        <v>0</v>
      </c>
      <c r="J100" s="92">
        <f>'Lvl Prin Pmt Int Rate Sens Calc'!J77</f>
        <v>0</v>
      </c>
      <c r="K100" s="92">
        <f>'Lvl Prin Pmt Int Rate Sens Calc'!K77</f>
        <v>0</v>
      </c>
      <c r="L100" s="92">
        <f>'Lvl Prin Pmt Int Rate Sens Calc'!L77</f>
        <v>0</v>
      </c>
      <c r="M100" s="92">
        <f>'Lvl Prin Pmt Int Rate Sens Calc'!M77</f>
        <v>0</v>
      </c>
      <c r="N100" s="57"/>
      <c r="O100" s="67">
        <f t="shared" si="16"/>
        <v>0</v>
      </c>
    </row>
    <row r="101" spans="2:15" x14ac:dyDescent="0.15">
      <c r="B101" s="103">
        <v>-0.1</v>
      </c>
      <c r="C101" s="12"/>
      <c r="D101" s="92">
        <f>'Lvl Prin Pmt Int Rate Sens Calc'!D98</f>
        <v>0</v>
      </c>
      <c r="E101" s="92">
        <f>'Lvl Prin Pmt Int Rate Sens Calc'!E98</f>
        <v>0</v>
      </c>
      <c r="F101" s="92">
        <f>'Lvl Prin Pmt Int Rate Sens Calc'!F98</f>
        <v>0</v>
      </c>
      <c r="G101" s="92">
        <f>'Lvl Prin Pmt Int Rate Sens Calc'!G98</f>
        <v>0</v>
      </c>
      <c r="H101" s="92">
        <f>'Lvl Prin Pmt Int Rate Sens Calc'!H98</f>
        <v>0</v>
      </c>
      <c r="I101" s="92">
        <f>'Lvl Prin Pmt Int Rate Sens Calc'!I98</f>
        <v>0</v>
      </c>
      <c r="J101" s="92">
        <f>'Lvl Prin Pmt Int Rate Sens Calc'!J98</f>
        <v>0</v>
      </c>
      <c r="K101" s="92">
        <f>'Lvl Prin Pmt Int Rate Sens Calc'!K98</f>
        <v>0</v>
      </c>
      <c r="L101" s="92">
        <f>'Lvl Prin Pmt Int Rate Sens Calc'!L98</f>
        <v>0</v>
      </c>
      <c r="M101" s="92">
        <f>'Lvl Prin Pmt Int Rate Sens Calc'!M98</f>
        <v>0</v>
      </c>
      <c r="N101" s="57"/>
      <c r="O101" s="67">
        <f t="shared" si="16"/>
        <v>0</v>
      </c>
    </row>
    <row r="102" spans="2:15" x14ac:dyDescent="0.15">
      <c r="B102" s="103">
        <v>-0.05</v>
      </c>
      <c r="C102" s="12"/>
      <c r="D102" s="92">
        <f>'Lvl Prin Pmt Int Rate Sens Calc'!D119</f>
        <v>0</v>
      </c>
      <c r="E102" s="92">
        <f>'Lvl Prin Pmt Int Rate Sens Calc'!E119</f>
        <v>0</v>
      </c>
      <c r="F102" s="92">
        <f>'Lvl Prin Pmt Int Rate Sens Calc'!F119</f>
        <v>0</v>
      </c>
      <c r="G102" s="92">
        <f>'Lvl Prin Pmt Int Rate Sens Calc'!G119</f>
        <v>0</v>
      </c>
      <c r="H102" s="92">
        <f>'Lvl Prin Pmt Int Rate Sens Calc'!H119</f>
        <v>0</v>
      </c>
      <c r="I102" s="92">
        <f>'Lvl Prin Pmt Int Rate Sens Calc'!I119</f>
        <v>0</v>
      </c>
      <c r="J102" s="92">
        <f>'Lvl Prin Pmt Int Rate Sens Calc'!J119</f>
        <v>0</v>
      </c>
      <c r="K102" s="92">
        <f>'Lvl Prin Pmt Int Rate Sens Calc'!K119</f>
        <v>0</v>
      </c>
      <c r="L102" s="92">
        <f>'Lvl Prin Pmt Int Rate Sens Calc'!L119</f>
        <v>0</v>
      </c>
      <c r="M102" s="92">
        <f>'Lvl Prin Pmt Int Rate Sens Calc'!M119</f>
        <v>0</v>
      </c>
      <c r="N102" s="57"/>
      <c r="O102" s="67">
        <f t="shared" si="16"/>
        <v>0</v>
      </c>
    </row>
    <row r="103" spans="2:15" x14ac:dyDescent="0.15">
      <c r="B103" s="103"/>
      <c r="C103" s="12"/>
      <c r="D103" s="92">
        <f>'Lvl Prin Pmt Int Rate Sens Calc'!D140</f>
        <v>0</v>
      </c>
      <c r="E103" s="92">
        <f>'Lvl Prin Pmt Int Rate Sens Calc'!E140</f>
        <v>0</v>
      </c>
      <c r="F103" s="92">
        <f>'Lvl Prin Pmt Int Rate Sens Calc'!F140</f>
        <v>0</v>
      </c>
      <c r="G103" s="92">
        <f>'Lvl Prin Pmt Int Rate Sens Calc'!G140</f>
        <v>0</v>
      </c>
      <c r="H103" s="92">
        <f>'Lvl Prin Pmt Int Rate Sens Calc'!H140</f>
        <v>0</v>
      </c>
      <c r="I103" s="92">
        <f>'Lvl Prin Pmt Int Rate Sens Calc'!I140</f>
        <v>0</v>
      </c>
      <c r="J103" s="92">
        <f>'Lvl Prin Pmt Int Rate Sens Calc'!J140</f>
        <v>0</v>
      </c>
      <c r="K103" s="92">
        <f>'Lvl Prin Pmt Int Rate Sens Calc'!K140</f>
        <v>0</v>
      </c>
      <c r="L103" s="92">
        <f>'Lvl Prin Pmt Int Rate Sens Calc'!L140</f>
        <v>0</v>
      </c>
      <c r="M103" s="92">
        <f>'Lvl Prin Pmt Int Rate Sens Calc'!M140</f>
        <v>0</v>
      </c>
      <c r="N103" s="57"/>
      <c r="O103" s="67"/>
    </row>
    <row r="104" spans="2:15" x14ac:dyDescent="0.15">
      <c r="B104" s="103">
        <v>0.05</v>
      </c>
      <c r="C104" s="12"/>
      <c r="D104" s="92">
        <f>'Lvl Prin Pmt Int Rate Sens Calc'!D161</f>
        <v>0</v>
      </c>
      <c r="E104" s="92">
        <f>'Lvl Prin Pmt Int Rate Sens Calc'!E161</f>
        <v>0</v>
      </c>
      <c r="F104" s="92">
        <f>'Lvl Prin Pmt Int Rate Sens Calc'!F161</f>
        <v>0</v>
      </c>
      <c r="G104" s="92">
        <f>'Lvl Prin Pmt Int Rate Sens Calc'!G161</f>
        <v>0</v>
      </c>
      <c r="H104" s="92">
        <f>'Lvl Prin Pmt Int Rate Sens Calc'!H161</f>
        <v>0</v>
      </c>
      <c r="I104" s="92">
        <f>'Lvl Prin Pmt Int Rate Sens Calc'!I161</f>
        <v>0</v>
      </c>
      <c r="J104" s="92">
        <f>'Lvl Prin Pmt Int Rate Sens Calc'!J161</f>
        <v>0</v>
      </c>
      <c r="K104" s="92">
        <f>'Lvl Prin Pmt Int Rate Sens Calc'!K161</f>
        <v>0</v>
      </c>
      <c r="L104" s="92">
        <f>'Lvl Prin Pmt Int Rate Sens Calc'!L161</f>
        <v>0</v>
      </c>
      <c r="M104" s="92">
        <f>'Lvl Prin Pmt Int Rate Sens Calc'!M161</f>
        <v>0</v>
      </c>
      <c r="N104" s="57"/>
      <c r="O104" s="67">
        <f t="shared" si="16"/>
        <v>0</v>
      </c>
    </row>
    <row r="105" spans="2:15" x14ac:dyDescent="0.15">
      <c r="B105" s="103">
        <v>0.1</v>
      </c>
      <c r="C105" s="12"/>
      <c r="D105" s="92">
        <f>'Lvl Prin Pmt Int Rate Sens Calc'!D182</f>
        <v>0</v>
      </c>
      <c r="E105" s="92">
        <f>'Lvl Prin Pmt Int Rate Sens Calc'!E182</f>
        <v>0</v>
      </c>
      <c r="F105" s="92">
        <f>'Lvl Prin Pmt Int Rate Sens Calc'!F182</f>
        <v>0</v>
      </c>
      <c r="G105" s="92">
        <f>'Lvl Prin Pmt Int Rate Sens Calc'!G182</f>
        <v>0</v>
      </c>
      <c r="H105" s="92">
        <f>'Lvl Prin Pmt Int Rate Sens Calc'!H182</f>
        <v>0</v>
      </c>
      <c r="I105" s="92">
        <f>'Lvl Prin Pmt Int Rate Sens Calc'!I182</f>
        <v>0</v>
      </c>
      <c r="J105" s="92">
        <f>'Lvl Prin Pmt Int Rate Sens Calc'!J182</f>
        <v>0</v>
      </c>
      <c r="K105" s="92">
        <f>'Lvl Prin Pmt Int Rate Sens Calc'!K182</f>
        <v>0</v>
      </c>
      <c r="L105" s="92">
        <f>'Lvl Prin Pmt Int Rate Sens Calc'!L182</f>
        <v>0</v>
      </c>
      <c r="M105" s="92">
        <f>'Lvl Prin Pmt Int Rate Sens Calc'!M182</f>
        <v>0</v>
      </c>
      <c r="N105" s="57"/>
      <c r="O105" s="67">
        <f t="shared" si="16"/>
        <v>0</v>
      </c>
    </row>
    <row r="106" spans="2:15" x14ac:dyDescent="0.15">
      <c r="B106" s="103">
        <v>0.15</v>
      </c>
      <c r="C106" s="12"/>
      <c r="D106" s="92">
        <f>'Lvl Prin Pmt Int Rate Sens Calc'!D203</f>
        <v>0</v>
      </c>
      <c r="E106" s="92">
        <f>'Lvl Prin Pmt Int Rate Sens Calc'!E203</f>
        <v>0</v>
      </c>
      <c r="F106" s="92">
        <f>'Lvl Prin Pmt Int Rate Sens Calc'!F203</f>
        <v>0</v>
      </c>
      <c r="G106" s="92">
        <f>'Lvl Prin Pmt Int Rate Sens Calc'!G203</f>
        <v>0</v>
      </c>
      <c r="H106" s="92">
        <f>'Lvl Prin Pmt Int Rate Sens Calc'!H203</f>
        <v>0</v>
      </c>
      <c r="I106" s="92">
        <f>'Lvl Prin Pmt Int Rate Sens Calc'!I203</f>
        <v>0</v>
      </c>
      <c r="J106" s="92">
        <f>'Lvl Prin Pmt Int Rate Sens Calc'!J203</f>
        <v>0</v>
      </c>
      <c r="K106" s="92">
        <f>'Lvl Prin Pmt Int Rate Sens Calc'!K203</f>
        <v>0</v>
      </c>
      <c r="L106" s="92">
        <f>'Lvl Prin Pmt Int Rate Sens Calc'!L203</f>
        <v>0</v>
      </c>
      <c r="M106" s="92">
        <f>'Lvl Prin Pmt Int Rate Sens Calc'!M203</f>
        <v>0</v>
      </c>
      <c r="N106" s="57"/>
      <c r="O106" s="67">
        <f t="shared" si="16"/>
        <v>0</v>
      </c>
    </row>
    <row r="107" spans="2:15" x14ac:dyDescent="0.15">
      <c r="B107" s="103">
        <v>0.2</v>
      </c>
      <c r="C107" s="12"/>
      <c r="D107" s="92">
        <f>'Lvl Prin Pmt Int Rate Sens Calc'!D224</f>
        <v>0</v>
      </c>
      <c r="E107" s="92">
        <f>'Lvl Prin Pmt Int Rate Sens Calc'!E224</f>
        <v>0</v>
      </c>
      <c r="F107" s="92">
        <f>'Lvl Prin Pmt Int Rate Sens Calc'!F224</f>
        <v>0</v>
      </c>
      <c r="G107" s="92">
        <f>'Lvl Prin Pmt Int Rate Sens Calc'!G224</f>
        <v>0</v>
      </c>
      <c r="H107" s="92">
        <f>'Lvl Prin Pmt Int Rate Sens Calc'!H224</f>
        <v>0</v>
      </c>
      <c r="I107" s="92">
        <f>'Lvl Prin Pmt Int Rate Sens Calc'!I224</f>
        <v>0</v>
      </c>
      <c r="J107" s="92">
        <f>'Lvl Prin Pmt Int Rate Sens Calc'!J224</f>
        <v>0</v>
      </c>
      <c r="K107" s="92">
        <f>'Lvl Prin Pmt Int Rate Sens Calc'!K224</f>
        <v>0</v>
      </c>
      <c r="L107" s="92">
        <f>'Lvl Prin Pmt Int Rate Sens Calc'!L224</f>
        <v>0</v>
      </c>
      <c r="M107" s="92">
        <f>'Lvl Prin Pmt Int Rate Sens Calc'!M224</f>
        <v>0</v>
      </c>
      <c r="N107" s="57"/>
      <c r="O107" s="67">
        <f t="shared" si="16"/>
        <v>0</v>
      </c>
    </row>
    <row r="108" spans="2:15" x14ac:dyDescent="0.15">
      <c r="B108" s="103">
        <v>0.25</v>
      </c>
      <c r="C108" s="12"/>
      <c r="D108" s="92">
        <f>'Lvl Prin Pmt Int Rate Sens Calc'!D245</f>
        <v>0</v>
      </c>
      <c r="E108" s="92">
        <f>'Lvl Prin Pmt Int Rate Sens Calc'!E245</f>
        <v>0</v>
      </c>
      <c r="F108" s="92">
        <f>'Lvl Prin Pmt Int Rate Sens Calc'!F245</f>
        <v>0</v>
      </c>
      <c r="G108" s="92">
        <f>'Lvl Prin Pmt Int Rate Sens Calc'!G245</f>
        <v>0</v>
      </c>
      <c r="H108" s="92">
        <f>'Lvl Prin Pmt Int Rate Sens Calc'!H245</f>
        <v>0</v>
      </c>
      <c r="I108" s="92">
        <f>'Lvl Prin Pmt Int Rate Sens Calc'!I245</f>
        <v>0</v>
      </c>
      <c r="J108" s="92">
        <f>'Lvl Prin Pmt Int Rate Sens Calc'!J245</f>
        <v>0</v>
      </c>
      <c r="K108" s="92">
        <f>'Lvl Prin Pmt Int Rate Sens Calc'!K245</f>
        <v>0</v>
      </c>
      <c r="L108" s="92">
        <f>'Lvl Prin Pmt Int Rate Sens Calc'!L245</f>
        <v>0</v>
      </c>
      <c r="M108" s="92">
        <f>'Lvl Prin Pmt Int Rate Sens Calc'!M245</f>
        <v>0</v>
      </c>
      <c r="N108" s="57"/>
      <c r="O108" s="67">
        <f t="shared" si="16"/>
        <v>0</v>
      </c>
    </row>
    <row r="109" spans="2:15" x14ac:dyDescent="0.15">
      <c r="B109" s="12" t="s">
        <v>639</v>
      </c>
      <c r="C109" s="12"/>
      <c r="D109" s="12"/>
      <c r="E109" s="12"/>
      <c r="F109" s="12"/>
      <c r="G109" s="12"/>
      <c r="H109" s="12"/>
      <c r="I109" s="12"/>
      <c r="J109" s="12"/>
      <c r="K109" s="12"/>
      <c r="L109" s="12"/>
      <c r="M109" s="12"/>
      <c r="N109" s="12"/>
      <c r="O109" s="12"/>
    </row>
    <row r="110" spans="2:15" x14ac:dyDescent="0.15">
      <c r="B110" s="103">
        <v>-0.25</v>
      </c>
      <c r="C110" s="67">
        <f>C$121+C$122+C124</f>
        <v>-32550000</v>
      </c>
      <c r="D110" s="15"/>
      <c r="E110" s="15"/>
      <c r="F110" s="15"/>
      <c r="G110" s="15"/>
      <c r="H110" s="15"/>
      <c r="I110" s="15"/>
      <c r="J110" s="15"/>
      <c r="K110" s="15"/>
      <c r="L110" s="15"/>
      <c r="M110" s="15"/>
      <c r="N110" s="12"/>
      <c r="O110" s="67">
        <f t="shared" ref="O110:O120" si="17">SUM(C110:M110)</f>
        <v>-32550000</v>
      </c>
    </row>
    <row r="111" spans="2:15" x14ac:dyDescent="0.15">
      <c r="B111" s="103">
        <v>-0.2</v>
      </c>
      <c r="C111" s="67">
        <f>C$121+C$122+C125</f>
        <v>-32550000</v>
      </c>
      <c r="D111" s="15"/>
      <c r="E111" s="15"/>
      <c r="F111" s="15"/>
      <c r="G111" s="15"/>
      <c r="H111" s="15"/>
      <c r="I111" s="15"/>
      <c r="J111" s="15"/>
      <c r="K111" s="15"/>
      <c r="L111" s="15"/>
      <c r="M111" s="15"/>
      <c r="N111" s="12"/>
      <c r="O111" s="67">
        <f t="shared" si="17"/>
        <v>-32550000</v>
      </c>
    </row>
    <row r="112" spans="2:15" x14ac:dyDescent="0.15">
      <c r="B112" s="103">
        <v>-0.15</v>
      </c>
      <c r="C112" s="67">
        <f>C$121+C$122+C126</f>
        <v>-32550000</v>
      </c>
      <c r="D112" s="15"/>
      <c r="E112" s="15"/>
      <c r="F112" s="15"/>
      <c r="G112" s="15"/>
      <c r="H112" s="15"/>
      <c r="I112" s="15"/>
      <c r="J112" s="15"/>
      <c r="K112" s="15"/>
      <c r="L112" s="15"/>
      <c r="M112" s="15"/>
      <c r="N112" s="12"/>
      <c r="O112" s="67">
        <f t="shared" si="17"/>
        <v>-32550000</v>
      </c>
    </row>
    <row r="113" spans="2:15" x14ac:dyDescent="0.15">
      <c r="B113" s="103">
        <v>-0.1</v>
      </c>
      <c r="C113" s="67">
        <f>C$121+C$122+C127</f>
        <v>-32550000</v>
      </c>
      <c r="D113" s="15"/>
      <c r="E113" s="15"/>
      <c r="F113" s="15"/>
      <c r="G113" s="15"/>
      <c r="H113" s="15"/>
      <c r="I113" s="15"/>
      <c r="J113" s="15"/>
      <c r="K113" s="15"/>
      <c r="L113" s="15"/>
      <c r="M113" s="15"/>
      <c r="N113" s="12"/>
      <c r="O113" s="67">
        <f t="shared" si="17"/>
        <v>-32550000</v>
      </c>
    </row>
    <row r="114" spans="2:15" x14ac:dyDescent="0.15">
      <c r="B114" s="103">
        <v>-0.05</v>
      </c>
      <c r="C114" s="67">
        <f>C$121+C$122+C128</f>
        <v>-32550000</v>
      </c>
      <c r="D114" s="15"/>
      <c r="E114" s="15"/>
      <c r="F114" s="15"/>
      <c r="G114" s="15"/>
      <c r="H114" s="15"/>
      <c r="I114" s="15"/>
      <c r="J114" s="15"/>
      <c r="K114" s="15"/>
      <c r="L114" s="15"/>
      <c r="M114" s="15"/>
      <c r="N114" s="12"/>
      <c r="O114" s="67">
        <f t="shared" si="17"/>
        <v>-32550000</v>
      </c>
    </row>
    <row r="115" spans="2:15" x14ac:dyDescent="0.15">
      <c r="B115" s="103"/>
      <c r="C115" s="67"/>
      <c r="D115" s="15"/>
      <c r="E115" s="15"/>
      <c r="F115" s="15"/>
      <c r="G115" s="15"/>
      <c r="H115" s="15"/>
      <c r="I115" s="15"/>
      <c r="J115" s="15"/>
      <c r="K115" s="15"/>
      <c r="L115" s="15"/>
      <c r="M115" s="15"/>
      <c r="N115" s="12"/>
      <c r="O115" s="67"/>
    </row>
    <row r="116" spans="2:15" x14ac:dyDescent="0.15">
      <c r="B116" s="103">
        <v>0.05</v>
      </c>
      <c r="C116" s="67">
        <f>C$121+C$122+C130</f>
        <v>-32550000</v>
      </c>
      <c r="D116" s="15"/>
      <c r="E116" s="15"/>
      <c r="F116" s="15"/>
      <c r="G116" s="15"/>
      <c r="H116" s="15"/>
      <c r="I116" s="15"/>
      <c r="J116" s="15"/>
      <c r="K116" s="15"/>
      <c r="L116" s="15"/>
      <c r="M116" s="15"/>
      <c r="N116" s="12"/>
      <c r="O116" s="67">
        <f t="shared" si="17"/>
        <v>-32550000</v>
      </c>
    </row>
    <row r="117" spans="2:15" x14ac:dyDescent="0.15">
      <c r="B117" s="103">
        <v>0.1</v>
      </c>
      <c r="C117" s="67">
        <f>C$121+C$122+C131</f>
        <v>-32550000</v>
      </c>
      <c r="D117" s="15"/>
      <c r="E117" s="15"/>
      <c r="F117" s="15"/>
      <c r="G117" s="15"/>
      <c r="H117" s="15"/>
      <c r="I117" s="15"/>
      <c r="J117" s="15"/>
      <c r="K117" s="15"/>
      <c r="L117" s="15"/>
      <c r="M117" s="15"/>
      <c r="N117" s="12"/>
      <c r="O117" s="67">
        <f t="shared" si="17"/>
        <v>-32550000</v>
      </c>
    </row>
    <row r="118" spans="2:15" x14ac:dyDescent="0.15">
      <c r="B118" s="103">
        <v>0.15</v>
      </c>
      <c r="C118" s="67">
        <f>C$121+C$122+C132</f>
        <v>-32550000</v>
      </c>
      <c r="D118" s="15"/>
      <c r="E118" s="15"/>
      <c r="F118" s="15"/>
      <c r="G118" s="15"/>
      <c r="H118" s="15"/>
      <c r="I118" s="15"/>
      <c r="J118" s="15"/>
      <c r="K118" s="15"/>
      <c r="L118" s="15"/>
      <c r="M118" s="15"/>
      <c r="N118" s="12"/>
      <c r="O118" s="67">
        <f t="shared" si="17"/>
        <v>-32550000</v>
      </c>
    </row>
    <row r="119" spans="2:15" x14ac:dyDescent="0.15">
      <c r="B119" s="103">
        <v>0.2</v>
      </c>
      <c r="C119" s="67">
        <f>C$121+C$122+C133</f>
        <v>-32550000</v>
      </c>
      <c r="D119" s="15"/>
      <c r="E119" s="15"/>
      <c r="F119" s="15"/>
      <c r="G119" s="15"/>
      <c r="H119" s="15"/>
      <c r="I119" s="15"/>
      <c r="J119" s="15"/>
      <c r="K119" s="15"/>
      <c r="L119" s="15"/>
      <c r="M119" s="15"/>
      <c r="N119" s="12"/>
      <c r="O119" s="67">
        <f t="shared" si="17"/>
        <v>-32550000</v>
      </c>
    </row>
    <row r="120" spans="2:15" x14ac:dyDescent="0.15">
      <c r="B120" s="103">
        <v>0.25</v>
      </c>
      <c r="C120" s="67">
        <f>C$121+C$122+C134</f>
        <v>-32550000</v>
      </c>
      <c r="D120" s="15"/>
      <c r="E120" s="15"/>
      <c r="F120" s="15"/>
      <c r="G120" s="15"/>
      <c r="H120" s="15"/>
      <c r="I120" s="15"/>
      <c r="J120" s="15"/>
      <c r="K120" s="15"/>
      <c r="L120" s="15"/>
      <c r="M120" s="15"/>
      <c r="N120" s="12"/>
      <c r="O120" s="67">
        <f t="shared" si="17"/>
        <v>-32550000</v>
      </c>
    </row>
    <row r="121" spans="2:15" x14ac:dyDescent="0.15">
      <c r="B121" s="99" t="s">
        <v>207</v>
      </c>
      <c r="C121" s="92">
        <f>'After Tax Analysis'!D22</f>
        <v>-31050000</v>
      </c>
      <c r="D121" s="110">
        <f>'After Tax Analysis'!E22</f>
        <v>0</v>
      </c>
      <c r="E121" s="110">
        <f>'After Tax Analysis'!F22</f>
        <v>0</v>
      </c>
      <c r="F121" s="110">
        <f>'After Tax Analysis'!G22</f>
        <v>0</v>
      </c>
      <c r="G121" s="110">
        <f>'After Tax Analysis'!H22</f>
        <v>0</v>
      </c>
      <c r="H121" s="110">
        <f>'After Tax Analysis'!I22</f>
        <v>12847035</v>
      </c>
      <c r="I121" s="110">
        <f>'After Tax Analysis'!J22</f>
        <v>0</v>
      </c>
      <c r="J121" s="110">
        <f>'After Tax Analysis'!K22</f>
        <v>0</v>
      </c>
      <c r="K121" s="110">
        <f>'After Tax Analysis'!L22</f>
        <v>0</v>
      </c>
      <c r="L121" s="110">
        <f>'After Tax Analysis'!M22</f>
        <v>0</v>
      </c>
      <c r="M121" s="110">
        <f>'After Tax Analysis'!N22</f>
        <v>0</v>
      </c>
      <c r="N121" s="110">
        <f>'After Tax Analysis'!O22</f>
        <v>0</v>
      </c>
      <c r="O121" s="67">
        <f>SUM(C121:N121)</f>
        <v>-18202965</v>
      </c>
    </row>
    <row r="122" spans="2:15" x14ac:dyDescent="0.15">
      <c r="B122" s="99" t="s">
        <v>640</v>
      </c>
      <c r="C122" s="92">
        <f>'After Tax Analysis'!D23</f>
        <v>-1500000</v>
      </c>
      <c r="D122" s="110">
        <f>'After Tax Analysis'!E23</f>
        <v>0</v>
      </c>
      <c r="E122" s="110">
        <f>'After Tax Analysis'!F23</f>
        <v>0</v>
      </c>
      <c r="F122" s="110">
        <f>'After Tax Analysis'!G23</f>
        <v>0</v>
      </c>
      <c r="G122" s="110">
        <f>'After Tax Analysis'!H23</f>
        <v>0</v>
      </c>
      <c r="H122" s="110">
        <f>'After Tax Analysis'!I23</f>
        <v>1500000</v>
      </c>
      <c r="I122" s="110">
        <f>'After Tax Analysis'!J23</f>
        <v>0</v>
      </c>
      <c r="J122" s="110">
        <f>'After Tax Analysis'!K23</f>
        <v>0</v>
      </c>
      <c r="K122" s="110">
        <f>'After Tax Analysis'!L23</f>
        <v>0</v>
      </c>
      <c r="L122" s="110">
        <f>'After Tax Analysis'!M23</f>
        <v>0</v>
      </c>
      <c r="M122" s="110">
        <f>'After Tax Analysis'!N23</f>
        <v>0</v>
      </c>
      <c r="N122" s="110">
        <f>'After Tax Analysis'!O23</f>
        <v>0</v>
      </c>
      <c r="O122" s="62">
        <f>SUM(C122:N122)</f>
        <v>0</v>
      </c>
    </row>
    <row r="123" spans="2:15" x14ac:dyDescent="0.15">
      <c r="B123" s="99" t="s">
        <v>309</v>
      </c>
      <c r="C123" s="12"/>
      <c r="D123" s="12"/>
      <c r="E123" s="12"/>
      <c r="F123" s="12"/>
      <c r="G123" s="12"/>
      <c r="H123" s="12"/>
      <c r="I123" s="12"/>
      <c r="J123" s="12"/>
      <c r="K123" s="12"/>
      <c r="L123" s="12"/>
      <c r="M123" s="12"/>
      <c r="N123" s="12"/>
      <c r="O123" s="12"/>
    </row>
    <row r="124" spans="2:15" x14ac:dyDescent="0.15">
      <c r="B124" s="103">
        <v>-0.25</v>
      </c>
      <c r="C124" s="63">
        <f>D5</f>
        <v>0</v>
      </c>
      <c r="D124" s="15"/>
      <c r="E124" s="15"/>
      <c r="F124" s="15"/>
      <c r="G124" s="15"/>
      <c r="H124" s="15"/>
      <c r="I124" s="15"/>
      <c r="J124" s="15"/>
      <c r="K124" s="15"/>
      <c r="L124" s="15"/>
      <c r="M124" s="15"/>
      <c r="N124" s="15"/>
      <c r="O124" s="63">
        <f t="shared" ref="O124:O134" si="18">SUM(C124:M124)</f>
        <v>0</v>
      </c>
    </row>
    <row r="125" spans="2:15" x14ac:dyDescent="0.15">
      <c r="B125" s="103">
        <v>-0.2</v>
      </c>
      <c r="C125" s="63">
        <f>D6</f>
        <v>0</v>
      </c>
      <c r="D125" s="15"/>
      <c r="E125" s="15"/>
      <c r="F125" s="15"/>
      <c r="G125" s="15"/>
      <c r="H125" s="15"/>
      <c r="I125" s="15"/>
      <c r="J125" s="15"/>
      <c r="K125" s="15"/>
      <c r="L125" s="15"/>
      <c r="M125" s="15"/>
      <c r="N125" s="15"/>
      <c r="O125" s="63">
        <f t="shared" si="18"/>
        <v>0</v>
      </c>
    </row>
    <row r="126" spans="2:15" x14ac:dyDescent="0.15">
      <c r="B126" s="103">
        <v>-0.15</v>
      </c>
      <c r="C126" s="63">
        <f>D7</f>
        <v>0</v>
      </c>
      <c r="D126" s="15"/>
      <c r="E126" s="15"/>
      <c r="F126" s="15"/>
      <c r="G126" s="15"/>
      <c r="H126" s="15"/>
      <c r="I126" s="15"/>
      <c r="J126" s="15"/>
      <c r="K126" s="15"/>
      <c r="L126" s="15"/>
      <c r="M126" s="15"/>
      <c r="N126" s="15"/>
      <c r="O126" s="63">
        <f t="shared" si="18"/>
        <v>0</v>
      </c>
    </row>
    <row r="127" spans="2:15" x14ac:dyDescent="0.15">
      <c r="B127" s="103">
        <v>-0.1</v>
      </c>
      <c r="C127" s="63">
        <f>D8</f>
        <v>0</v>
      </c>
      <c r="D127" s="15"/>
      <c r="E127" s="15"/>
      <c r="F127" s="15"/>
      <c r="G127" s="15"/>
      <c r="H127" s="15"/>
      <c r="I127" s="15"/>
      <c r="J127" s="15"/>
      <c r="K127" s="15"/>
      <c r="L127" s="15"/>
      <c r="M127" s="15"/>
      <c r="N127" s="15"/>
      <c r="O127" s="63">
        <f t="shared" si="18"/>
        <v>0</v>
      </c>
    </row>
    <row r="128" spans="2:15" x14ac:dyDescent="0.15">
      <c r="B128" s="103">
        <v>-0.05</v>
      </c>
      <c r="C128" s="63">
        <f>D9</f>
        <v>0</v>
      </c>
      <c r="D128" s="15"/>
      <c r="E128" s="15"/>
      <c r="F128" s="15"/>
      <c r="G128" s="15"/>
      <c r="H128" s="15"/>
      <c r="I128" s="15"/>
      <c r="J128" s="15"/>
      <c r="K128" s="15"/>
      <c r="L128" s="15"/>
      <c r="M128" s="15"/>
      <c r="N128" s="15"/>
      <c r="O128" s="63">
        <f t="shared" si="18"/>
        <v>0</v>
      </c>
    </row>
    <row r="129" spans="2:15" x14ac:dyDescent="0.15">
      <c r="B129" s="103"/>
      <c r="C129" s="63"/>
      <c r="D129" s="15"/>
      <c r="E129" s="15"/>
      <c r="F129" s="15"/>
      <c r="G129" s="15"/>
      <c r="H129" s="15"/>
      <c r="I129" s="15"/>
      <c r="J129" s="15"/>
      <c r="K129" s="15"/>
      <c r="L129" s="15"/>
      <c r="M129" s="15"/>
      <c r="N129" s="15"/>
      <c r="O129" s="63"/>
    </row>
    <row r="130" spans="2:15" x14ac:dyDescent="0.15">
      <c r="B130" s="103">
        <v>0.05</v>
      </c>
      <c r="C130" s="63">
        <f>D11</f>
        <v>0</v>
      </c>
      <c r="D130" s="15"/>
      <c r="E130" s="15"/>
      <c r="F130" s="15"/>
      <c r="G130" s="15"/>
      <c r="H130" s="15"/>
      <c r="I130" s="15"/>
      <c r="J130" s="15"/>
      <c r="K130" s="15"/>
      <c r="L130" s="15"/>
      <c r="M130" s="15"/>
      <c r="N130" s="15"/>
      <c r="O130" s="63">
        <f t="shared" si="18"/>
        <v>0</v>
      </c>
    </row>
    <row r="131" spans="2:15" x14ac:dyDescent="0.15">
      <c r="B131" s="103">
        <v>0.1</v>
      </c>
      <c r="C131" s="63">
        <f>D12</f>
        <v>0</v>
      </c>
      <c r="D131" s="15"/>
      <c r="E131" s="15"/>
      <c r="F131" s="15"/>
      <c r="G131" s="15"/>
      <c r="H131" s="15"/>
      <c r="I131" s="15"/>
      <c r="J131" s="15"/>
      <c r="K131" s="15"/>
      <c r="L131" s="15"/>
      <c r="M131" s="15"/>
      <c r="N131" s="15"/>
      <c r="O131" s="63">
        <f t="shared" si="18"/>
        <v>0</v>
      </c>
    </row>
    <row r="132" spans="2:15" x14ac:dyDescent="0.15">
      <c r="B132" s="103">
        <v>0.15</v>
      </c>
      <c r="C132" s="63">
        <f>D13</f>
        <v>0</v>
      </c>
      <c r="D132" s="15"/>
      <c r="E132" s="15"/>
      <c r="F132" s="15"/>
      <c r="G132" s="15"/>
      <c r="H132" s="15"/>
      <c r="I132" s="15"/>
      <c r="J132" s="15"/>
      <c r="K132" s="15"/>
      <c r="L132" s="15"/>
      <c r="M132" s="15"/>
      <c r="N132" s="15"/>
      <c r="O132" s="63">
        <f t="shared" si="18"/>
        <v>0</v>
      </c>
    </row>
    <row r="133" spans="2:15" x14ac:dyDescent="0.15">
      <c r="B133" s="103">
        <v>0.2</v>
      </c>
      <c r="C133" s="63">
        <f>D14</f>
        <v>0</v>
      </c>
      <c r="D133" s="15"/>
      <c r="E133" s="15"/>
      <c r="F133" s="15"/>
      <c r="G133" s="15"/>
      <c r="H133" s="15"/>
      <c r="I133" s="15"/>
      <c r="J133" s="15"/>
      <c r="K133" s="15"/>
      <c r="L133" s="15"/>
      <c r="M133" s="15"/>
      <c r="N133" s="15"/>
      <c r="O133" s="63">
        <f t="shared" si="18"/>
        <v>0</v>
      </c>
    </row>
    <row r="134" spans="2:15" x14ac:dyDescent="0.15">
      <c r="B134" s="103">
        <v>0.25</v>
      </c>
      <c r="C134" s="63">
        <f>D15</f>
        <v>0</v>
      </c>
      <c r="D134" s="15"/>
      <c r="E134" s="15"/>
      <c r="F134" s="15"/>
      <c r="G134" s="15"/>
      <c r="H134" s="15"/>
      <c r="I134" s="15"/>
      <c r="J134" s="15"/>
      <c r="K134" s="15"/>
      <c r="L134" s="15"/>
      <c r="M134" s="15"/>
      <c r="N134" s="15"/>
      <c r="O134" s="63">
        <f t="shared" si="18"/>
        <v>0</v>
      </c>
    </row>
    <row r="135" spans="2:15" x14ac:dyDescent="0.15">
      <c r="B135" s="12" t="s">
        <v>311</v>
      </c>
      <c r="C135" s="229"/>
      <c r="D135" s="110">
        <f>'After Tax Analysis'!E25</f>
        <v>0</v>
      </c>
      <c r="E135" s="110">
        <f>'After Tax Analysis'!F25</f>
        <v>0</v>
      </c>
      <c r="F135" s="110">
        <f>'After Tax Analysis'!G25</f>
        <v>0</v>
      </c>
      <c r="G135" s="110">
        <f>'After Tax Analysis'!H25</f>
        <v>0</v>
      </c>
      <c r="H135" s="110">
        <f>'After Tax Analysis'!I25</f>
        <v>-2596968.7000000002</v>
      </c>
      <c r="I135" s="110">
        <f>'After Tax Analysis'!J25</f>
        <v>0</v>
      </c>
      <c r="J135" s="110">
        <f>'After Tax Analysis'!K25</f>
        <v>0</v>
      </c>
      <c r="K135" s="110">
        <f>'After Tax Analysis'!L25</f>
        <v>0</v>
      </c>
      <c r="L135" s="110">
        <f>'After Tax Analysis'!M25</f>
        <v>0</v>
      </c>
      <c r="M135" s="110">
        <f>'After Tax Analysis'!N25</f>
        <v>0</v>
      </c>
      <c r="N135" s="110">
        <f>'After Tax Analysis'!O25</f>
        <v>0</v>
      </c>
      <c r="O135" s="68">
        <f>SUM(C135:N135)</f>
        <v>-2596968.7000000002</v>
      </c>
    </row>
    <row r="136" spans="2:15" x14ac:dyDescent="0.15">
      <c r="B136" s="12" t="s">
        <v>115</v>
      </c>
      <c r="C136" s="110">
        <f>'After Tax Analysis'!D26</f>
        <v>-60000000</v>
      </c>
      <c r="D136" s="110">
        <f>'After Tax Analysis'!E26</f>
        <v>0</v>
      </c>
      <c r="E136" s="110">
        <f>'After Tax Analysis'!F26</f>
        <v>0</v>
      </c>
      <c r="F136" s="110">
        <f>'After Tax Analysis'!G26</f>
        <v>0</v>
      </c>
      <c r="G136" s="110">
        <f>'After Tax Analysis'!H26</f>
        <v>0</v>
      </c>
      <c r="H136" s="110">
        <f>'After Tax Analysis'!I26</f>
        <v>60000000</v>
      </c>
      <c r="I136" s="110">
        <f>'After Tax Analysis'!J26</f>
        <v>0</v>
      </c>
      <c r="J136" s="110">
        <f>'After Tax Analysis'!K26</f>
        <v>0</v>
      </c>
      <c r="K136" s="110">
        <f>'After Tax Analysis'!L26</f>
        <v>0</v>
      </c>
      <c r="L136" s="110">
        <f>'After Tax Analysis'!M26</f>
        <v>0</v>
      </c>
      <c r="M136" s="110">
        <f>'After Tax Analysis'!N26</f>
        <v>0</v>
      </c>
      <c r="N136" s="110">
        <f>'After Tax Analysis'!O26</f>
        <v>0</v>
      </c>
      <c r="O136" s="68">
        <f>SUM(C136:N136)</f>
        <v>0</v>
      </c>
    </row>
    <row r="137" spans="2:15" x14ac:dyDescent="0.15">
      <c r="B137" s="12" t="s">
        <v>641</v>
      </c>
      <c r="C137" s="12"/>
      <c r="D137" s="12"/>
      <c r="E137" s="12"/>
      <c r="F137" s="12"/>
      <c r="G137" s="12"/>
      <c r="H137" s="12"/>
      <c r="I137" s="12"/>
      <c r="J137" s="12"/>
      <c r="K137" s="12"/>
      <c r="L137" s="12"/>
      <c r="M137" s="12"/>
      <c r="N137" s="12"/>
      <c r="O137" s="12"/>
    </row>
    <row r="138" spans="2:15" x14ac:dyDescent="0.15">
      <c r="B138" s="103">
        <v>-0.25</v>
      </c>
      <c r="C138" s="67">
        <f>C98+C$121+C$122+C124+C$135+C$136</f>
        <v>-92550000</v>
      </c>
      <c r="D138" s="67">
        <f t="shared" ref="D138:N142" si="19">D98+D$121+D$122+D124+D$135+D$136</f>
        <v>0</v>
      </c>
      <c r="E138" s="67">
        <f t="shared" si="19"/>
        <v>0</v>
      </c>
      <c r="F138" s="67">
        <f t="shared" si="19"/>
        <v>0</v>
      </c>
      <c r="G138" s="67">
        <f t="shared" si="19"/>
        <v>0</v>
      </c>
      <c r="H138" s="67">
        <f t="shared" si="19"/>
        <v>71750066.299999997</v>
      </c>
      <c r="I138" s="67">
        <f t="shared" si="19"/>
        <v>0</v>
      </c>
      <c r="J138" s="67">
        <f t="shared" si="19"/>
        <v>0</v>
      </c>
      <c r="K138" s="67">
        <f t="shared" si="19"/>
        <v>0</v>
      </c>
      <c r="L138" s="67">
        <f t="shared" si="19"/>
        <v>0</v>
      </c>
      <c r="M138" s="67">
        <f t="shared" si="19"/>
        <v>0</v>
      </c>
      <c r="N138" s="67">
        <f t="shared" si="19"/>
        <v>0</v>
      </c>
      <c r="O138" s="67">
        <f t="shared" ref="O138:O148" si="20">SUM(C138:N138)</f>
        <v>-20799933.700000003</v>
      </c>
    </row>
    <row r="139" spans="2:15" x14ac:dyDescent="0.15">
      <c r="B139" s="103">
        <v>-0.2</v>
      </c>
      <c r="C139" s="67">
        <f>C99+C$121+C$122+C125+C$135+C$136</f>
        <v>-92550000</v>
      </c>
      <c r="D139" s="67">
        <f t="shared" si="19"/>
        <v>0</v>
      </c>
      <c r="E139" s="67">
        <f t="shared" si="19"/>
        <v>0</v>
      </c>
      <c r="F139" s="67">
        <f t="shared" si="19"/>
        <v>0</v>
      </c>
      <c r="G139" s="67">
        <f t="shared" si="19"/>
        <v>0</v>
      </c>
      <c r="H139" s="67">
        <f t="shared" si="19"/>
        <v>71750066.299999997</v>
      </c>
      <c r="I139" s="67">
        <f t="shared" si="19"/>
        <v>0</v>
      </c>
      <c r="J139" s="67">
        <f t="shared" si="19"/>
        <v>0</v>
      </c>
      <c r="K139" s="67">
        <f t="shared" si="19"/>
        <v>0</v>
      </c>
      <c r="L139" s="67">
        <f t="shared" si="19"/>
        <v>0</v>
      </c>
      <c r="M139" s="67">
        <f t="shared" si="19"/>
        <v>0</v>
      </c>
      <c r="N139" s="67">
        <f t="shared" si="19"/>
        <v>0</v>
      </c>
      <c r="O139" s="67">
        <f t="shared" si="20"/>
        <v>-20799933.700000003</v>
      </c>
    </row>
    <row r="140" spans="2:15" x14ac:dyDescent="0.15">
      <c r="B140" s="103">
        <v>-0.15</v>
      </c>
      <c r="C140" s="67">
        <f>C100+C$121+C$122+C126+C$135+C$136</f>
        <v>-92550000</v>
      </c>
      <c r="D140" s="67">
        <f t="shared" si="19"/>
        <v>0</v>
      </c>
      <c r="E140" s="67">
        <f t="shared" si="19"/>
        <v>0</v>
      </c>
      <c r="F140" s="67">
        <f t="shared" si="19"/>
        <v>0</v>
      </c>
      <c r="G140" s="67">
        <f t="shared" si="19"/>
        <v>0</v>
      </c>
      <c r="H140" s="67">
        <f t="shared" si="19"/>
        <v>71750066.299999997</v>
      </c>
      <c r="I140" s="67">
        <f t="shared" si="19"/>
        <v>0</v>
      </c>
      <c r="J140" s="67">
        <f t="shared" si="19"/>
        <v>0</v>
      </c>
      <c r="K140" s="67">
        <f t="shared" si="19"/>
        <v>0</v>
      </c>
      <c r="L140" s="67">
        <f t="shared" si="19"/>
        <v>0</v>
      </c>
      <c r="M140" s="67">
        <f t="shared" si="19"/>
        <v>0</v>
      </c>
      <c r="N140" s="67">
        <f t="shared" si="19"/>
        <v>0</v>
      </c>
      <c r="O140" s="67">
        <f t="shared" si="20"/>
        <v>-20799933.700000003</v>
      </c>
    </row>
    <row r="141" spans="2:15" x14ac:dyDescent="0.15">
      <c r="B141" s="103">
        <v>-0.1</v>
      </c>
      <c r="C141" s="67">
        <f>C101+C$121+C$122+C127+C$135+C$136</f>
        <v>-92550000</v>
      </c>
      <c r="D141" s="67">
        <f t="shared" si="19"/>
        <v>0</v>
      </c>
      <c r="E141" s="67">
        <f t="shared" si="19"/>
        <v>0</v>
      </c>
      <c r="F141" s="67">
        <f t="shared" si="19"/>
        <v>0</v>
      </c>
      <c r="G141" s="67">
        <f t="shared" si="19"/>
        <v>0</v>
      </c>
      <c r="H141" s="67">
        <f t="shared" si="19"/>
        <v>71750066.299999997</v>
      </c>
      <c r="I141" s="67">
        <f t="shared" si="19"/>
        <v>0</v>
      </c>
      <c r="J141" s="67">
        <f t="shared" si="19"/>
        <v>0</v>
      </c>
      <c r="K141" s="67">
        <f t="shared" si="19"/>
        <v>0</v>
      </c>
      <c r="L141" s="67">
        <f t="shared" si="19"/>
        <v>0</v>
      </c>
      <c r="M141" s="67">
        <f t="shared" si="19"/>
        <v>0</v>
      </c>
      <c r="N141" s="67">
        <f t="shared" si="19"/>
        <v>0</v>
      </c>
      <c r="O141" s="67">
        <f t="shared" si="20"/>
        <v>-20799933.700000003</v>
      </c>
    </row>
    <row r="142" spans="2:15" x14ac:dyDescent="0.15">
      <c r="B142" s="103">
        <v>-0.05</v>
      </c>
      <c r="C142" s="67">
        <f>C102+C$121+C$122+C128+C$135+C$136</f>
        <v>-92550000</v>
      </c>
      <c r="D142" s="67">
        <f t="shared" si="19"/>
        <v>0</v>
      </c>
      <c r="E142" s="67">
        <f t="shared" si="19"/>
        <v>0</v>
      </c>
      <c r="F142" s="67">
        <f t="shared" si="19"/>
        <v>0</v>
      </c>
      <c r="G142" s="67">
        <f t="shared" si="19"/>
        <v>0</v>
      </c>
      <c r="H142" s="67">
        <f t="shared" si="19"/>
        <v>71750066.299999997</v>
      </c>
      <c r="I142" s="67">
        <f t="shared" si="19"/>
        <v>0</v>
      </c>
      <c r="J142" s="67">
        <f t="shared" si="19"/>
        <v>0</v>
      </c>
      <c r="K142" s="67">
        <f t="shared" si="19"/>
        <v>0</v>
      </c>
      <c r="L142" s="67">
        <f t="shared" si="19"/>
        <v>0</v>
      </c>
      <c r="M142" s="67">
        <f t="shared" si="19"/>
        <v>0</v>
      </c>
      <c r="N142" s="67">
        <f t="shared" si="19"/>
        <v>0</v>
      </c>
      <c r="O142" s="67">
        <f t="shared" si="20"/>
        <v>-20799933.700000003</v>
      </c>
    </row>
    <row r="143" spans="2:15" x14ac:dyDescent="0.15">
      <c r="B143" s="103"/>
      <c r="C143" s="67"/>
      <c r="D143" s="67"/>
      <c r="E143" s="67"/>
      <c r="F143" s="67"/>
      <c r="G143" s="67"/>
      <c r="H143" s="67"/>
      <c r="I143" s="67"/>
      <c r="J143" s="67"/>
      <c r="K143" s="67"/>
      <c r="L143" s="67"/>
      <c r="M143" s="67"/>
      <c r="N143" s="67"/>
      <c r="O143" s="67"/>
    </row>
    <row r="144" spans="2:15" x14ac:dyDescent="0.15">
      <c r="B144" s="103">
        <v>0.05</v>
      </c>
      <c r="C144" s="67">
        <f t="shared" ref="C144:N148" si="21">C104+C$121+C$122+C130+C$135+C$136</f>
        <v>-92550000</v>
      </c>
      <c r="D144" s="67">
        <f t="shared" si="21"/>
        <v>0</v>
      </c>
      <c r="E144" s="67">
        <f t="shared" si="21"/>
        <v>0</v>
      </c>
      <c r="F144" s="67">
        <f t="shared" si="21"/>
        <v>0</v>
      </c>
      <c r="G144" s="67">
        <f t="shared" si="21"/>
        <v>0</v>
      </c>
      <c r="H144" s="67">
        <f t="shared" si="21"/>
        <v>71750066.299999997</v>
      </c>
      <c r="I144" s="67">
        <f t="shared" si="21"/>
        <v>0</v>
      </c>
      <c r="J144" s="67">
        <f t="shared" si="21"/>
        <v>0</v>
      </c>
      <c r="K144" s="67">
        <f t="shared" si="21"/>
        <v>0</v>
      </c>
      <c r="L144" s="67">
        <f t="shared" si="21"/>
        <v>0</v>
      </c>
      <c r="M144" s="67">
        <f t="shared" si="21"/>
        <v>0</v>
      </c>
      <c r="N144" s="67">
        <f t="shared" si="21"/>
        <v>0</v>
      </c>
      <c r="O144" s="67">
        <f t="shared" si="20"/>
        <v>-20799933.700000003</v>
      </c>
    </row>
    <row r="145" spans="2:15" x14ac:dyDescent="0.15">
      <c r="B145" s="103">
        <v>0.1</v>
      </c>
      <c r="C145" s="67">
        <f t="shared" si="21"/>
        <v>-92550000</v>
      </c>
      <c r="D145" s="67">
        <f t="shared" si="21"/>
        <v>0</v>
      </c>
      <c r="E145" s="67">
        <f t="shared" si="21"/>
        <v>0</v>
      </c>
      <c r="F145" s="67">
        <f t="shared" si="21"/>
        <v>0</v>
      </c>
      <c r="G145" s="67">
        <f t="shared" si="21"/>
        <v>0</v>
      </c>
      <c r="H145" s="67">
        <f t="shared" si="21"/>
        <v>71750066.299999997</v>
      </c>
      <c r="I145" s="67">
        <f t="shared" si="21"/>
        <v>0</v>
      </c>
      <c r="J145" s="67">
        <f t="shared" si="21"/>
        <v>0</v>
      </c>
      <c r="K145" s="67">
        <f t="shared" si="21"/>
        <v>0</v>
      </c>
      <c r="L145" s="67">
        <f t="shared" si="21"/>
        <v>0</v>
      </c>
      <c r="M145" s="67">
        <f t="shared" si="21"/>
        <v>0</v>
      </c>
      <c r="N145" s="67">
        <f t="shared" si="21"/>
        <v>0</v>
      </c>
      <c r="O145" s="67">
        <f t="shared" si="20"/>
        <v>-20799933.700000003</v>
      </c>
    </row>
    <row r="146" spans="2:15" x14ac:dyDescent="0.15">
      <c r="B146" s="103">
        <v>0.15</v>
      </c>
      <c r="C146" s="67">
        <f t="shared" si="21"/>
        <v>-92550000</v>
      </c>
      <c r="D146" s="67">
        <f t="shared" si="21"/>
        <v>0</v>
      </c>
      <c r="E146" s="67">
        <f t="shared" si="21"/>
        <v>0</v>
      </c>
      <c r="F146" s="67">
        <f t="shared" si="21"/>
        <v>0</v>
      </c>
      <c r="G146" s="67">
        <f t="shared" si="21"/>
        <v>0</v>
      </c>
      <c r="H146" s="67">
        <f t="shared" si="21"/>
        <v>71750066.299999997</v>
      </c>
      <c r="I146" s="67">
        <f t="shared" si="21"/>
        <v>0</v>
      </c>
      <c r="J146" s="67">
        <f t="shared" si="21"/>
        <v>0</v>
      </c>
      <c r="K146" s="67">
        <f t="shared" si="21"/>
        <v>0</v>
      </c>
      <c r="L146" s="67">
        <f t="shared" si="21"/>
        <v>0</v>
      </c>
      <c r="M146" s="67">
        <f t="shared" si="21"/>
        <v>0</v>
      </c>
      <c r="N146" s="67">
        <f t="shared" si="21"/>
        <v>0</v>
      </c>
      <c r="O146" s="67">
        <f t="shared" si="20"/>
        <v>-20799933.700000003</v>
      </c>
    </row>
    <row r="147" spans="2:15" x14ac:dyDescent="0.15">
      <c r="B147" s="103">
        <v>0.2</v>
      </c>
      <c r="C147" s="67">
        <f t="shared" si="21"/>
        <v>-92550000</v>
      </c>
      <c r="D147" s="67">
        <f t="shared" si="21"/>
        <v>0</v>
      </c>
      <c r="E147" s="67">
        <f t="shared" si="21"/>
        <v>0</v>
      </c>
      <c r="F147" s="67">
        <f t="shared" si="21"/>
        <v>0</v>
      </c>
      <c r="G147" s="67">
        <f t="shared" si="21"/>
        <v>0</v>
      </c>
      <c r="H147" s="67">
        <f t="shared" si="21"/>
        <v>71750066.299999997</v>
      </c>
      <c r="I147" s="67">
        <f t="shared" si="21"/>
        <v>0</v>
      </c>
      <c r="J147" s="67">
        <f t="shared" si="21"/>
        <v>0</v>
      </c>
      <c r="K147" s="67">
        <f t="shared" si="21"/>
        <v>0</v>
      </c>
      <c r="L147" s="67">
        <f t="shared" si="21"/>
        <v>0</v>
      </c>
      <c r="M147" s="67">
        <f t="shared" si="21"/>
        <v>0</v>
      </c>
      <c r="N147" s="67">
        <f t="shared" si="21"/>
        <v>0</v>
      </c>
      <c r="O147" s="67">
        <f t="shared" si="20"/>
        <v>-20799933.700000003</v>
      </c>
    </row>
    <row r="148" spans="2:15" ht="14" thickBot="1" x14ac:dyDescent="0.2">
      <c r="B148" s="103">
        <v>0.25</v>
      </c>
      <c r="C148" s="67">
        <f t="shared" si="21"/>
        <v>-92550000</v>
      </c>
      <c r="D148" s="67">
        <f t="shared" si="21"/>
        <v>0</v>
      </c>
      <c r="E148" s="67">
        <f t="shared" si="21"/>
        <v>0</v>
      </c>
      <c r="F148" s="67">
        <f t="shared" si="21"/>
        <v>0</v>
      </c>
      <c r="G148" s="67">
        <f t="shared" si="21"/>
        <v>0</v>
      </c>
      <c r="H148" s="67">
        <f t="shared" si="21"/>
        <v>71750066.299999997</v>
      </c>
      <c r="I148" s="67">
        <f t="shared" si="21"/>
        <v>0</v>
      </c>
      <c r="J148" s="67">
        <f t="shared" si="21"/>
        <v>0</v>
      </c>
      <c r="K148" s="67">
        <f t="shared" si="21"/>
        <v>0</v>
      </c>
      <c r="L148" s="67">
        <f t="shared" si="21"/>
        <v>0</v>
      </c>
      <c r="M148" s="67">
        <f t="shared" si="21"/>
        <v>0</v>
      </c>
      <c r="N148" s="95">
        <f t="shared" si="21"/>
        <v>0</v>
      </c>
      <c r="O148" s="95">
        <f t="shared" si="20"/>
        <v>-20799933.700000003</v>
      </c>
    </row>
    <row r="149" spans="2:15" ht="14" thickTop="1" x14ac:dyDescent="0.15">
      <c r="B149" s="96" t="s">
        <v>642</v>
      </c>
      <c r="C149" s="26">
        <v>0</v>
      </c>
      <c r="D149" s="26">
        <v>1</v>
      </c>
      <c r="E149" s="26">
        <v>2</v>
      </c>
      <c r="F149" s="26">
        <v>3</v>
      </c>
      <c r="G149" s="26">
        <v>4</v>
      </c>
      <c r="H149" s="26">
        <v>5</v>
      </c>
      <c r="I149" s="26">
        <v>6</v>
      </c>
      <c r="J149" s="26">
        <v>7</v>
      </c>
      <c r="K149" s="26">
        <v>8</v>
      </c>
      <c r="L149" s="26">
        <v>9</v>
      </c>
      <c r="M149" s="26">
        <v>10</v>
      </c>
      <c r="O149" s="96"/>
    </row>
    <row r="150" spans="2:15" x14ac:dyDescent="0.15">
      <c r="B150" s="103">
        <v>-0.25</v>
      </c>
      <c r="C150" s="68">
        <f>C86+C138</f>
        <v>-92550000</v>
      </c>
      <c r="D150" s="68">
        <f t="shared" ref="D150:L154" si="22">D86+D138</f>
        <v>50012750</v>
      </c>
      <c r="E150" s="68">
        <f t="shared" si="22"/>
        <v>44202792.500000022</v>
      </c>
      <c r="F150" s="68">
        <f t="shared" si="22"/>
        <v>35442192.08412499</v>
      </c>
      <c r="G150" s="68">
        <f t="shared" si="22"/>
        <v>25111356.707490433</v>
      </c>
      <c r="H150" s="68">
        <f t="shared" si="22"/>
        <v>84401062.478848949</v>
      </c>
      <c r="I150" s="68">
        <f t="shared" si="22"/>
        <v>0</v>
      </c>
      <c r="J150" s="68">
        <f t="shared" si="22"/>
        <v>0</v>
      </c>
      <c r="K150" s="68">
        <f t="shared" si="22"/>
        <v>0</v>
      </c>
      <c r="L150" s="68">
        <f t="shared" si="22"/>
        <v>0</v>
      </c>
      <c r="M150" s="68">
        <f>M86+M138+N138</f>
        <v>0</v>
      </c>
      <c r="N150" s="164"/>
      <c r="O150" s="67">
        <f>SUM(C150:N150)</f>
        <v>146620153.77046439</v>
      </c>
    </row>
    <row r="151" spans="2:15" x14ac:dyDescent="0.15">
      <c r="B151" s="103">
        <v>-0.2</v>
      </c>
      <c r="C151" s="68">
        <f>C87+C139</f>
        <v>-92550000</v>
      </c>
      <c r="D151" s="68">
        <f t="shared" si="22"/>
        <v>50012750</v>
      </c>
      <c r="E151" s="68">
        <f t="shared" si="22"/>
        <v>44202792.500000022</v>
      </c>
      <c r="F151" s="68">
        <f t="shared" si="22"/>
        <v>35442192.08412499</v>
      </c>
      <c r="G151" s="68">
        <f t="shared" si="22"/>
        <v>25111356.707490433</v>
      </c>
      <c r="H151" s="68">
        <f t="shared" si="22"/>
        <v>84401062.478848949</v>
      </c>
      <c r="I151" s="68">
        <f t="shared" si="22"/>
        <v>0</v>
      </c>
      <c r="J151" s="68">
        <f t="shared" si="22"/>
        <v>0</v>
      </c>
      <c r="K151" s="68">
        <f t="shared" si="22"/>
        <v>0</v>
      </c>
      <c r="L151" s="68">
        <f t="shared" si="22"/>
        <v>0</v>
      </c>
      <c r="M151" s="68">
        <f>M87+M139+N139</f>
        <v>0</v>
      </c>
      <c r="N151" s="164"/>
      <c r="O151" s="67">
        <f t="shared" ref="O151:O160" si="23">SUM(C151:N151)</f>
        <v>146620153.77046439</v>
      </c>
    </row>
    <row r="152" spans="2:15" x14ac:dyDescent="0.15">
      <c r="B152" s="103">
        <v>-0.15</v>
      </c>
      <c r="C152" s="68">
        <f>C88+C140</f>
        <v>-92550000</v>
      </c>
      <c r="D152" s="68">
        <f t="shared" si="22"/>
        <v>50012750</v>
      </c>
      <c r="E152" s="68">
        <f t="shared" si="22"/>
        <v>44202792.500000022</v>
      </c>
      <c r="F152" s="68">
        <f t="shared" si="22"/>
        <v>35442192.08412499</v>
      </c>
      <c r="G152" s="68">
        <f t="shared" si="22"/>
        <v>25111356.707490433</v>
      </c>
      <c r="H152" s="68">
        <f t="shared" si="22"/>
        <v>84401062.478848949</v>
      </c>
      <c r="I152" s="68">
        <f t="shared" si="22"/>
        <v>0</v>
      </c>
      <c r="J152" s="68">
        <f t="shared" si="22"/>
        <v>0</v>
      </c>
      <c r="K152" s="68">
        <f t="shared" si="22"/>
        <v>0</v>
      </c>
      <c r="L152" s="68">
        <f t="shared" si="22"/>
        <v>0</v>
      </c>
      <c r="M152" s="68">
        <f>M88+M140+N140</f>
        <v>0</v>
      </c>
      <c r="N152" s="164"/>
      <c r="O152" s="67">
        <f t="shared" si="23"/>
        <v>146620153.77046439</v>
      </c>
    </row>
    <row r="153" spans="2:15" x14ac:dyDescent="0.15">
      <c r="B153" s="103">
        <v>-0.1</v>
      </c>
      <c r="C153" s="68">
        <f>C89+C141</f>
        <v>-92550000</v>
      </c>
      <c r="D153" s="68">
        <f t="shared" si="22"/>
        <v>50012750</v>
      </c>
      <c r="E153" s="68">
        <f t="shared" si="22"/>
        <v>44202792.500000022</v>
      </c>
      <c r="F153" s="68">
        <f t="shared" si="22"/>
        <v>35442192.08412499</v>
      </c>
      <c r="G153" s="68">
        <f t="shared" si="22"/>
        <v>25111356.707490433</v>
      </c>
      <c r="H153" s="68">
        <f t="shared" si="22"/>
        <v>84401062.478848949</v>
      </c>
      <c r="I153" s="68">
        <f t="shared" si="22"/>
        <v>0</v>
      </c>
      <c r="J153" s="68">
        <f t="shared" si="22"/>
        <v>0</v>
      </c>
      <c r="K153" s="68">
        <f t="shared" si="22"/>
        <v>0</v>
      </c>
      <c r="L153" s="68">
        <f t="shared" si="22"/>
        <v>0</v>
      </c>
      <c r="M153" s="68">
        <f>M89+M141+N141</f>
        <v>0</v>
      </c>
      <c r="N153" s="164"/>
      <c r="O153" s="67">
        <f t="shared" si="23"/>
        <v>146620153.77046439</v>
      </c>
    </row>
    <row r="154" spans="2:15" x14ac:dyDescent="0.15">
      <c r="B154" s="103">
        <v>-0.05</v>
      </c>
      <c r="C154" s="68">
        <f>C90+C142</f>
        <v>-92550000</v>
      </c>
      <c r="D154" s="68">
        <f t="shared" si="22"/>
        <v>50012750</v>
      </c>
      <c r="E154" s="68">
        <f t="shared" si="22"/>
        <v>44202792.500000022</v>
      </c>
      <c r="F154" s="68">
        <f t="shared" si="22"/>
        <v>35442192.08412499</v>
      </c>
      <c r="G154" s="68">
        <f t="shared" si="22"/>
        <v>25111356.707490433</v>
      </c>
      <c r="H154" s="68">
        <f t="shared" si="22"/>
        <v>84401062.478848949</v>
      </c>
      <c r="I154" s="68">
        <f t="shared" si="22"/>
        <v>0</v>
      </c>
      <c r="J154" s="68">
        <f t="shared" si="22"/>
        <v>0</v>
      </c>
      <c r="K154" s="68">
        <f t="shared" si="22"/>
        <v>0</v>
      </c>
      <c r="L154" s="68">
        <f t="shared" si="22"/>
        <v>0</v>
      </c>
      <c r="M154" s="68">
        <f>M90+M142+N142</f>
        <v>0</v>
      </c>
      <c r="N154" s="164"/>
      <c r="O154" s="67">
        <f t="shared" si="23"/>
        <v>146620153.77046439</v>
      </c>
    </row>
    <row r="155" spans="2:15" x14ac:dyDescent="0.15">
      <c r="B155" s="103">
        <v>0</v>
      </c>
      <c r="C155" s="68">
        <f>'After Tax Analysis'!D28</f>
        <v>-92550000</v>
      </c>
      <c r="D155" s="68">
        <f>'After Tax Analysis'!E28</f>
        <v>50012750</v>
      </c>
      <c r="E155" s="68">
        <f>'After Tax Analysis'!F28</f>
        <v>44202792.500000022</v>
      </c>
      <c r="F155" s="68">
        <f>'After Tax Analysis'!G28</f>
        <v>35442192.08412499</v>
      </c>
      <c r="G155" s="68">
        <f>'After Tax Analysis'!H28</f>
        <v>25111356.707490433</v>
      </c>
      <c r="H155" s="68">
        <f>'After Tax Analysis'!I28</f>
        <v>84401062.478848949</v>
      </c>
      <c r="I155" s="68">
        <f>'After Tax Analysis'!J28</f>
        <v>0</v>
      </c>
      <c r="J155" s="68">
        <f>'After Tax Analysis'!K28</f>
        <v>0</v>
      </c>
      <c r="K155" s="68">
        <f>'After Tax Analysis'!L28</f>
        <v>0</v>
      </c>
      <c r="L155" s="68">
        <f>'After Tax Analysis'!M28</f>
        <v>0</v>
      </c>
      <c r="M155" s="68">
        <f>'After Tax Analysis'!N28</f>
        <v>0</v>
      </c>
      <c r="N155" s="164"/>
      <c r="O155" s="67"/>
    </row>
    <row r="156" spans="2:15" x14ac:dyDescent="0.15">
      <c r="B156" s="103">
        <v>0.05</v>
      </c>
      <c r="C156" s="68">
        <f t="shared" ref="C156:L160" si="24">C92+C144</f>
        <v>-92550000</v>
      </c>
      <c r="D156" s="68">
        <f t="shared" si="24"/>
        <v>50012750</v>
      </c>
      <c r="E156" s="68">
        <f t="shared" si="24"/>
        <v>44202792.500000022</v>
      </c>
      <c r="F156" s="68">
        <f t="shared" si="24"/>
        <v>35442192.08412499</v>
      </c>
      <c r="G156" s="68">
        <f t="shared" si="24"/>
        <v>25111356.707490433</v>
      </c>
      <c r="H156" s="68">
        <f t="shared" si="24"/>
        <v>84401062.478848949</v>
      </c>
      <c r="I156" s="68">
        <f t="shared" si="24"/>
        <v>0</v>
      </c>
      <c r="J156" s="68">
        <f t="shared" si="24"/>
        <v>0</v>
      </c>
      <c r="K156" s="68">
        <f t="shared" si="24"/>
        <v>0</v>
      </c>
      <c r="L156" s="68">
        <f t="shared" si="24"/>
        <v>0</v>
      </c>
      <c r="M156" s="68">
        <f>M92+M144+N144</f>
        <v>0</v>
      </c>
      <c r="N156" s="164"/>
      <c r="O156" s="67">
        <f t="shared" si="23"/>
        <v>146620153.77046439</v>
      </c>
    </row>
    <row r="157" spans="2:15" x14ac:dyDescent="0.15">
      <c r="B157" s="103">
        <v>0.1</v>
      </c>
      <c r="C157" s="68">
        <f t="shared" si="24"/>
        <v>-92550000</v>
      </c>
      <c r="D157" s="68">
        <f t="shared" si="24"/>
        <v>50012750</v>
      </c>
      <c r="E157" s="68">
        <f t="shared" si="24"/>
        <v>44202792.500000022</v>
      </c>
      <c r="F157" s="68">
        <f t="shared" si="24"/>
        <v>35442192.08412499</v>
      </c>
      <c r="G157" s="68">
        <f t="shared" si="24"/>
        <v>25111356.707490433</v>
      </c>
      <c r="H157" s="68">
        <f t="shared" si="24"/>
        <v>84401062.478848949</v>
      </c>
      <c r="I157" s="68">
        <f t="shared" si="24"/>
        <v>0</v>
      </c>
      <c r="J157" s="68">
        <f t="shared" si="24"/>
        <v>0</v>
      </c>
      <c r="K157" s="68">
        <f t="shared" si="24"/>
        <v>0</v>
      </c>
      <c r="L157" s="68">
        <f t="shared" si="24"/>
        <v>0</v>
      </c>
      <c r="M157" s="68">
        <f>M93+M145+N145</f>
        <v>0</v>
      </c>
      <c r="N157" s="164"/>
      <c r="O157" s="67">
        <f t="shared" si="23"/>
        <v>146620153.77046439</v>
      </c>
    </row>
    <row r="158" spans="2:15" x14ac:dyDescent="0.15">
      <c r="B158" s="103">
        <v>0.15</v>
      </c>
      <c r="C158" s="68">
        <f t="shared" si="24"/>
        <v>-92550000</v>
      </c>
      <c r="D158" s="68">
        <f t="shared" si="24"/>
        <v>50012750</v>
      </c>
      <c r="E158" s="68">
        <f t="shared" si="24"/>
        <v>44202792.500000022</v>
      </c>
      <c r="F158" s="68">
        <f t="shared" si="24"/>
        <v>35442192.08412499</v>
      </c>
      <c r="G158" s="68">
        <f t="shared" si="24"/>
        <v>25111356.707490433</v>
      </c>
      <c r="H158" s="68">
        <f t="shared" si="24"/>
        <v>84401062.478848949</v>
      </c>
      <c r="I158" s="68">
        <f t="shared" si="24"/>
        <v>0</v>
      </c>
      <c r="J158" s="68">
        <f t="shared" si="24"/>
        <v>0</v>
      </c>
      <c r="K158" s="68">
        <f t="shared" si="24"/>
        <v>0</v>
      </c>
      <c r="L158" s="68">
        <f t="shared" si="24"/>
        <v>0</v>
      </c>
      <c r="M158" s="68">
        <f>M94+M146+N146</f>
        <v>0</v>
      </c>
      <c r="N158" s="164"/>
      <c r="O158" s="67">
        <f t="shared" si="23"/>
        <v>146620153.77046439</v>
      </c>
    </row>
    <row r="159" spans="2:15" x14ac:dyDescent="0.15">
      <c r="B159" s="103">
        <v>0.2</v>
      </c>
      <c r="C159" s="68">
        <f t="shared" si="24"/>
        <v>-92550000</v>
      </c>
      <c r="D159" s="68">
        <f t="shared" si="24"/>
        <v>50012750</v>
      </c>
      <c r="E159" s="68">
        <f t="shared" si="24"/>
        <v>44202792.500000022</v>
      </c>
      <c r="F159" s="68">
        <f t="shared" si="24"/>
        <v>35442192.08412499</v>
      </c>
      <c r="G159" s="68">
        <f t="shared" si="24"/>
        <v>25111356.707490433</v>
      </c>
      <c r="H159" s="68">
        <f t="shared" si="24"/>
        <v>84401062.478848949</v>
      </c>
      <c r="I159" s="68">
        <f t="shared" si="24"/>
        <v>0</v>
      </c>
      <c r="J159" s="68">
        <f t="shared" si="24"/>
        <v>0</v>
      </c>
      <c r="K159" s="68">
        <f t="shared" si="24"/>
        <v>0</v>
      </c>
      <c r="L159" s="68">
        <f t="shared" si="24"/>
        <v>0</v>
      </c>
      <c r="M159" s="68">
        <f>M95+M147+N147</f>
        <v>0</v>
      </c>
      <c r="N159" s="164"/>
      <c r="O159" s="67">
        <f t="shared" si="23"/>
        <v>146620153.77046439</v>
      </c>
    </row>
    <row r="160" spans="2:15" x14ac:dyDescent="0.15">
      <c r="B160" s="103">
        <v>0.25</v>
      </c>
      <c r="C160" s="68">
        <f t="shared" si="24"/>
        <v>-92550000</v>
      </c>
      <c r="D160" s="68">
        <f t="shared" si="24"/>
        <v>50012750</v>
      </c>
      <c r="E160" s="68">
        <f t="shared" si="24"/>
        <v>44202792.500000022</v>
      </c>
      <c r="F160" s="68">
        <f t="shared" si="24"/>
        <v>35442192.08412499</v>
      </c>
      <c r="G160" s="68">
        <f t="shared" si="24"/>
        <v>25111356.707490433</v>
      </c>
      <c r="H160" s="68">
        <f t="shared" si="24"/>
        <v>84401062.478848949</v>
      </c>
      <c r="I160" s="68">
        <f t="shared" si="24"/>
        <v>0</v>
      </c>
      <c r="J160" s="68">
        <f t="shared" si="24"/>
        <v>0</v>
      </c>
      <c r="K160" s="68">
        <f t="shared" si="24"/>
        <v>0</v>
      </c>
      <c r="L160" s="68">
        <f t="shared" si="24"/>
        <v>0</v>
      </c>
      <c r="M160" s="68">
        <f>M96+M148+N148</f>
        <v>0</v>
      </c>
      <c r="N160" s="164"/>
      <c r="O160" s="67">
        <f t="shared" si="23"/>
        <v>146620153.77046439</v>
      </c>
    </row>
    <row r="161" spans="2:15" x14ac:dyDescent="0.15">
      <c r="B161" s="12" t="s">
        <v>340</v>
      </c>
      <c r="C161" s="101">
        <f>'After Tax Analysis'!D30</f>
        <v>1</v>
      </c>
      <c r="D161" s="101">
        <f>'After Tax Analysis'!E30</f>
        <v>0.86206896551724144</v>
      </c>
      <c r="E161" s="101">
        <f>'After Tax Analysis'!F30</f>
        <v>0.74316290130796681</v>
      </c>
      <c r="F161" s="101">
        <f>'After Tax Analysis'!G30</f>
        <v>0.64065767354135073</v>
      </c>
      <c r="G161" s="101">
        <f>'After Tax Analysis'!H30</f>
        <v>0.5522910978804747</v>
      </c>
      <c r="H161" s="101">
        <f>'After Tax Analysis'!I30</f>
        <v>0.47611301541420237</v>
      </c>
      <c r="I161" s="101">
        <f>'After Tax Analysis'!J30</f>
        <v>0.41044225466741585</v>
      </c>
      <c r="J161" s="101">
        <f>'After Tax Analysis'!K30</f>
        <v>0.35382952988570338</v>
      </c>
      <c r="K161" s="101">
        <f>'After Tax Analysis'!L30</f>
        <v>0.30502545679802012</v>
      </c>
      <c r="L161" s="101">
        <f>'After Tax Analysis'!M30</f>
        <v>0.26295297999829326</v>
      </c>
      <c r="M161" s="101">
        <f>'After Tax Analysis'!N30</f>
        <v>0.22668360344680452</v>
      </c>
      <c r="N161" s="164"/>
      <c r="O161" s="102">
        <v>0</v>
      </c>
    </row>
    <row r="162" spans="2:15" x14ac:dyDescent="0.15">
      <c r="B162" s="12" t="s">
        <v>643</v>
      </c>
      <c r="C162" s="12"/>
      <c r="D162" s="12"/>
      <c r="E162" s="12"/>
      <c r="F162" s="12"/>
      <c r="G162" s="12"/>
      <c r="H162" s="12"/>
      <c r="I162" s="12"/>
      <c r="J162" s="12"/>
      <c r="K162" s="12"/>
      <c r="L162" s="12"/>
      <c r="M162" s="12"/>
      <c r="N162" s="164"/>
      <c r="O162" s="12"/>
    </row>
    <row r="163" spans="2:15" x14ac:dyDescent="0.15">
      <c r="B163" s="103">
        <v>-0.25</v>
      </c>
      <c r="C163" s="67">
        <f>C150*C$161</f>
        <v>-92550000</v>
      </c>
      <c r="D163" s="67">
        <f t="shared" ref="D163:M167" si="25">D150*D$161</f>
        <v>43114439.655172415</v>
      </c>
      <c r="E163" s="67">
        <f t="shared" si="25"/>
        <v>32849875.520214051</v>
      </c>
      <c r="F163" s="67">
        <f t="shared" si="25"/>
        <v>22706312.325821191</v>
      </c>
      <c r="G163" s="67">
        <f t="shared" si="25"/>
        <v>13868778.765248114</v>
      </c>
      <c r="H163" s="67">
        <f t="shared" si="25"/>
        <v>40184444.360967264</v>
      </c>
      <c r="I163" s="67">
        <f t="shared" si="25"/>
        <v>0</v>
      </c>
      <c r="J163" s="67">
        <f t="shared" si="25"/>
        <v>0</v>
      </c>
      <c r="K163" s="67">
        <f t="shared" si="25"/>
        <v>0</v>
      </c>
      <c r="L163" s="67">
        <f t="shared" si="25"/>
        <v>0</v>
      </c>
      <c r="M163" s="67">
        <f t="shared" si="25"/>
        <v>0</v>
      </c>
      <c r="N163" s="164"/>
      <c r="O163" s="67">
        <f t="shared" ref="O163:O173" si="26">SUM(C163:M163)</f>
        <v>60173850.627423033</v>
      </c>
    </row>
    <row r="164" spans="2:15" x14ac:dyDescent="0.15">
      <c r="B164" s="103">
        <v>-0.2</v>
      </c>
      <c r="C164" s="67">
        <f>C151*C$161</f>
        <v>-92550000</v>
      </c>
      <c r="D164" s="67">
        <f t="shared" si="25"/>
        <v>43114439.655172415</v>
      </c>
      <c r="E164" s="67">
        <f t="shared" si="25"/>
        <v>32849875.520214051</v>
      </c>
      <c r="F164" s="67">
        <f t="shared" si="25"/>
        <v>22706312.325821191</v>
      </c>
      <c r="G164" s="67">
        <f t="shared" si="25"/>
        <v>13868778.765248114</v>
      </c>
      <c r="H164" s="67">
        <f t="shared" si="25"/>
        <v>40184444.360967264</v>
      </c>
      <c r="I164" s="67">
        <f t="shared" si="25"/>
        <v>0</v>
      </c>
      <c r="J164" s="67">
        <f t="shared" si="25"/>
        <v>0</v>
      </c>
      <c r="K164" s="67">
        <f t="shared" si="25"/>
        <v>0</v>
      </c>
      <c r="L164" s="67">
        <f t="shared" si="25"/>
        <v>0</v>
      </c>
      <c r="M164" s="67">
        <f t="shared" si="25"/>
        <v>0</v>
      </c>
      <c r="N164" s="164"/>
      <c r="O164" s="67">
        <f t="shared" si="26"/>
        <v>60173850.627423033</v>
      </c>
    </row>
    <row r="165" spans="2:15" x14ac:dyDescent="0.15">
      <c r="B165" s="103">
        <v>-0.15</v>
      </c>
      <c r="C165" s="67">
        <f>C152*C$161</f>
        <v>-92550000</v>
      </c>
      <c r="D165" s="67">
        <f t="shared" si="25"/>
        <v>43114439.655172415</v>
      </c>
      <c r="E165" s="67">
        <f t="shared" si="25"/>
        <v>32849875.520214051</v>
      </c>
      <c r="F165" s="67">
        <f t="shared" si="25"/>
        <v>22706312.325821191</v>
      </c>
      <c r="G165" s="67">
        <f t="shared" si="25"/>
        <v>13868778.765248114</v>
      </c>
      <c r="H165" s="67">
        <f t="shared" si="25"/>
        <v>40184444.360967264</v>
      </c>
      <c r="I165" s="67">
        <f t="shared" si="25"/>
        <v>0</v>
      </c>
      <c r="J165" s="67">
        <f t="shared" si="25"/>
        <v>0</v>
      </c>
      <c r="K165" s="67">
        <f t="shared" si="25"/>
        <v>0</v>
      </c>
      <c r="L165" s="67">
        <f t="shared" si="25"/>
        <v>0</v>
      </c>
      <c r="M165" s="67">
        <f t="shared" si="25"/>
        <v>0</v>
      </c>
      <c r="N165" s="164"/>
      <c r="O165" s="67">
        <f t="shared" si="26"/>
        <v>60173850.627423033</v>
      </c>
    </row>
    <row r="166" spans="2:15" x14ac:dyDescent="0.15">
      <c r="B166" s="103">
        <v>-0.1</v>
      </c>
      <c r="C166" s="67">
        <f>C153*C$161</f>
        <v>-92550000</v>
      </c>
      <c r="D166" s="67">
        <f t="shared" si="25"/>
        <v>43114439.655172415</v>
      </c>
      <c r="E166" s="67">
        <f t="shared" si="25"/>
        <v>32849875.520214051</v>
      </c>
      <c r="F166" s="67">
        <f t="shared" si="25"/>
        <v>22706312.325821191</v>
      </c>
      <c r="G166" s="67">
        <f t="shared" si="25"/>
        <v>13868778.765248114</v>
      </c>
      <c r="H166" s="67">
        <f t="shared" si="25"/>
        <v>40184444.360967264</v>
      </c>
      <c r="I166" s="67">
        <f t="shared" si="25"/>
        <v>0</v>
      </c>
      <c r="J166" s="67">
        <f t="shared" si="25"/>
        <v>0</v>
      </c>
      <c r="K166" s="67">
        <f t="shared" si="25"/>
        <v>0</v>
      </c>
      <c r="L166" s="67">
        <f t="shared" si="25"/>
        <v>0</v>
      </c>
      <c r="M166" s="67">
        <f t="shared" si="25"/>
        <v>0</v>
      </c>
      <c r="N166" s="164"/>
      <c r="O166" s="67">
        <f t="shared" si="26"/>
        <v>60173850.627423033</v>
      </c>
    </row>
    <row r="167" spans="2:15" x14ac:dyDescent="0.15">
      <c r="B167" s="103">
        <v>-0.05</v>
      </c>
      <c r="C167" s="67">
        <f>C154*C$161</f>
        <v>-92550000</v>
      </c>
      <c r="D167" s="67">
        <f t="shared" si="25"/>
        <v>43114439.655172415</v>
      </c>
      <c r="E167" s="67">
        <f t="shared" si="25"/>
        <v>32849875.520214051</v>
      </c>
      <c r="F167" s="67">
        <f t="shared" si="25"/>
        <v>22706312.325821191</v>
      </c>
      <c r="G167" s="67">
        <f t="shared" si="25"/>
        <v>13868778.765248114</v>
      </c>
      <c r="H167" s="67">
        <f t="shared" si="25"/>
        <v>40184444.360967264</v>
      </c>
      <c r="I167" s="67">
        <f t="shared" si="25"/>
        <v>0</v>
      </c>
      <c r="J167" s="67">
        <f t="shared" si="25"/>
        <v>0</v>
      </c>
      <c r="K167" s="67">
        <f t="shared" si="25"/>
        <v>0</v>
      </c>
      <c r="L167" s="67">
        <f t="shared" si="25"/>
        <v>0</v>
      </c>
      <c r="M167" s="67">
        <f t="shared" si="25"/>
        <v>0</v>
      </c>
      <c r="N167" s="164"/>
      <c r="O167" s="67">
        <f t="shared" si="26"/>
        <v>60173850.627423033</v>
      </c>
    </row>
    <row r="168" spans="2:15" x14ac:dyDescent="0.15">
      <c r="B168" s="103"/>
      <c r="C168" s="67"/>
      <c r="D168" s="67"/>
      <c r="E168" s="67"/>
      <c r="F168" s="67"/>
      <c r="G168" s="67"/>
      <c r="H168" s="67"/>
      <c r="I168" s="67"/>
      <c r="J168" s="67"/>
      <c r="K168" s="67"/>
      <c r="L168" s="67"/>
      <c r="M168" s="67"/>
      <c r="N168" s="164"/>
      <c r="O168" s="67"/>
    </row>
    <row r="169" spans="2:15" x14ac:dyDescent="0.15">
      <c r="B169" s="103">
        <v>0.05</v>
      </c>
      <c r="C169" s="67">
        <f t="shared" ref="C169:M173" si="27">C156*C$161</f>
        <v>-92550000</v>
      </c>
      <c r="D169" s="67">
        <f t="shared" si="27"/>
        <v>43114439.655172415</v>
      </c>
      <c r="E169" s="67">
        <f t="shared" si="27"/>
        <v>32849875.520214051</v>
      </c>
      <c r="F169" s="67">
        <f t="shared" si="27"/>
        <v>22706312.325821191</v>
      </c>
      <c r="G169" s="67">
        <f t="shared" si="27"/>
        <v>13868778.765248114</v>
      </c>
      <c r="H169" s="67">
        <f t="shared" si="27"/>
        <v>40184444.360967264</v>
      </c>
      <c r="I169" s="67">
        <f t="shared" si="27"/>
        <v>0</v>
      </c>
      <c r="J169" s="67">
        <f t="shared" si="27"/>
        <v>0</v>
      </c>
      <c r="K169" s="67">
        <f t="shared" si="27"/>
        <v>0</v>
      </c>
      <c r="L169" s="67">
        <f t="shared" si="27"/>
        <v>0</v>
      </c>
      <c r="M169" s="67">
        <f t="shared" si="27"/>
        <v>0</v>
      </c>
      <c r="N169" s="164"/>
      <c r="O169" s="67">
        <f t="shared" si="26"/>
        <v>60173850.627423033</v>
      </c>
    </row>
    <row r="170" spans="2:15" x14ac:dyDescent="0.15">
      <c r="B170" s="103">
        <v>0.1</v>
      </c>
      <c r="C170" s="67">
        <f t="shared" si="27"/>
        <v>-92550000</v>
      </c>
      <c r="D170" s="67">
        <f t="shared" si="27"/>
        <v>43114439.655172415</v>
      </c>
      <c r="E170" s="67">
        <f t="shared" si="27"/>
        <v>32849875.520214051</v>
      </c>
      <c r="F170" s="67">
        <f t="shared" si="27"/>
        <v>22706312.325821191</v>
      </c>
      <c r="G170" s="67">
        <f t="shared" si="27"/>
        <v>13868778.765248114</v>
      </c>
      <c r="H170" s="67">
        <f t="shared" si="27"/>
        <v>40184444.360967264</v>
      </c>
      <c r="I170" s="67">
        <f t="shared" si="27"/>
        <v>0</v>
      </c>
      <c r="J170" s="67">
        <f t="shared" si="27"/>
        <v>0</v>
      </c>
      <c r="K170" s="67">
        <f t="shared" si="27"/>
        <v>0</v>
      </c>
      <c r="L170" s="67">
        <f t="shared" si="27"/>
        <v>0</v>
      </c>
      <c r="M170" s="67">
        <f t="shared" si="27"/>
        <v>0</v>
      </c>
      <c r="N170" s="164"/>
      <c r="O170" s="67">
        <f t="shared" si="26"/>
        <v>60173850.627423033</v>
      </c>
    </row>
    <row r="171" spans="2:15" x14ac:dyDescent="0.15">
      <c r="B171" s="103">
        <v>0.15</v>
      </c>
      <c r="C171" s="67">
        <f t="shared" si="27"/>
        <v>-92550000</v>
      </c>
      <c r="D171" s="67">
        <f t="shared" si="27"/>
        <v>43114439.655172415</v>
      </c>
      <c r="E171" s="67">
        <f t="shared" si="27"/>
        <v>32849875.520214051</v>
      </c>
      <c r="F171" s="67">
        <f t="shared" si="27"/>
        <v>22706312.325821191</v>
      </c>
      <c r="G171" s="67">
        <f t="shared" si="27"/>
        <v>13868778.765248114</v>
      </c>
      <c r="H171" s="67">
        <f t="shared" si="27"/>
        <v>40184444.360967264</v>
      </c>
      <c r="I171" s="67">
        <f t="shared" si="27"/>
        <v>0</v>
      </c>
      <c r="J171" s="67">
        <f t="shared" si="27"/>
        <v>0</v>
      </c>
      <c r="K171" s="67">
        <f t="shared" si="27"/>
        <v>0</v>
      </c>
      <c r="L171" s="67">
        <f t="shared" si="27"/>
        <v>0</v>
      </c>
      <c r="M171" s="67">
        <f t="shared" si="27"/>
        <v>0</v>
      </c>
      <c r="N171" s="164"/>
      <c r="O171" s="67">
        <f t="shared" si="26"/>
        <v>60173850.627423033</v>
      </c>
    </row>
    <row r="172" spans="2:15" x14ac:dyDescent="0.15">
      <c r="B172" s="103">
        <v>0.2</v>
      </c>
      <c r="C172" s="67">
        <f t="shared" si="27"/>
        <v>-92550000</v>
      </c>
      <c r="D172" s="67">
        <f t="shared" si="27"/>
        <v>43114439.655172415</v>
      </c>
      <c r="E172" s="67">
        <f t="shared" si="27"/>
        <v>32849875.520214051</v>
      </c>
      <c r="F172" s="67">
        <f t="shared" si="27"/>
        <v>22706312.325821191</v>
      </c>
      <c r="G172" s="67">
        <f t="shared" si="27"/>
        <v>13868778.765248114</v>
      </c>
      <c r="H172" s="67">
        <f t="shared" si="27"/>
        <v>40184444.360967264</v>
      </c>
      <c r="I172" s="67">
        <f t="shared" si="27"/>
        <v>0</v>
      </c>
      <c r="J172" s="67">
        <f t="shared" si="27"/>
        <v>0</v>
      </c>
      <c r="K172" s="67">
        <f t="shared" si="27"/>
        <v>0</v>
      </c>
      <c r="L172" s="67">
        <f t="shared" si="27"/>
        <v>0</v>
      </c>
      <c r="M172" s="67">
        <f t="shared" si="27"/>
        <v>0</v>
      </c>
      <c r="N172" s="164"/>
      <c r="O172" s="67">
        <f t="shared" si="26"/>
        <v>60173850.627423033</v>
      </c>
    </row>
    <row r="173" spans="2:15" x14ac:dyDescent="0.15">
      <c r="B173" s="103">
        <v>0.25</v>
      </c>
      <c r="C173" s="67">
        <f t="shared" si="27"/>
        <v>-92550000</v>
      </c>
      <c r="D173" s="67">
        <f t="shared" si="27"/>
        <v>43114439.655172415</v>
      </c>
      <c r="E173" s="67">
        <f t="shared" si="27"/>
        <v>32849875.520214051</v>
      </c>
      <c r="F173" s="67">
        <f t="shared" si="27"/>
        <v>22706312.325821191</v>
      </c>
      <c r="G173" s="67">
        <f t="shared" si="27"/>
        <v>13868778.765248114</v>
      </c>
      <c r="H173" s="67">
        <f t="shared" si="27"/>
        <v>40184444.360967264</v>
      </c>
      <c r="I173" s="67">
        <f t="shared" si="27"/>
        <v>0</v>
      </c>
      <c r="J173" s="67">
        <f t="shared" si="27"/>
        <v>0</v>
      </c>
      <c r="K173" s="67">
        <f t="shared" si="27"/>
        <v>0</v>
      </c>
      <c r="L173" s="67">
        <f t="shared" si="27"/>
        <v>0</v>
      </c>
      <c r="M173" s="67">
        <f t="shared" si="27"/>
        <v>0</v>
      </c>
      <c r="N173" s="164"/>
      <c r="O173" s="67">
        <f t="shared" si="26"/>
        <v>60173850.627423033</v>
      </c>
    </row>
    <row r="174" spans="2:15" x14ac:dyDescent="0.15">
      <c r="B174" s="12" t="s">
        <v>317</v>
      </c>
      <c r="C174" s="12"/>
      <c r="D174" s="12"/>
      <c r="E174" s="12"/>
      <c r="F174" s="12"/>
      <c r="G174" s="12"/>
      <c r="H174" s="12"/>
      <c r="I174" s="12"/>
      <c r="J174" s="12"/>
      <c r="K174" s="12"/>
      <c r="L174" s="12"/>
      <c r="M174" s="12"/>
      <c r="N174" s="164"/>
      <c r="O174" s="12"/>
    </row>
    <row r="175" spans="2:15" x14ac:dyDescent="0.15">
      <c r="B175" s="103">
        <v>-0.25</v>
      </c>
      <c r="C175" s="67">
        <f>C163</f>
        <v>-92550000</v>
      </c>
      <c r="D175" s="67">
        <f>C175+D163</f>
        <v>-49435560.344827585</v>
      </c>
      <c r="E175" s="67">
        <f t="shared" ref="E175:M179" si="28">D175+E163</f>
        <v>-16585684.824613534</v>
      </c>
      <c r="F175" s="67">
        <f t="shared" si="28"/>
        <v>6120627.5012076572</v>
      </c>
      <c r="G175" s="67">
        <f t="shared" si="28"/>
        <v>19989406.26645577</v>
      </c>
      <c r="H175" s="67">
        <f t="shared" si="28"/>
        <v>60173850.627423033</v>
      </c>
      <c r="I175" s="67">
        <f t="shared" si="28"/>
        <v>60173850.627423033</v>
      </c>
      <c r="J175" s="67">
        <f t="shared" si="28"/>
        <v>60173850.627423033</v>
      </c>
      <c r="K175" s="67">
        <f t="shared" si="28"/>
        <v>60173850.627423033</v>
      </c>
      <c r="L175" s="67">
        <f t="shared" si="28"/>
        <v>60173850.627423033</v>
      </c>
      <c r="M175" s="67">
        <f t="shared" si="28"/>
        <v>60173850.627423033</v>
      </c>
      <c r="N175" s="164"/>
      <c r="O175" s="12"/>
    </row>
    <row r="176" spans="2:15" x14ac:dyDescent="0.15">
      <c r="B176" s="103">
        <v>-0.2</v>
      </c>
      <c r="C176" s="67">
        <f>C164</f>
        <v>-92550000</v>
      </c>
      <c r="D176" s="67">
        <f>C176+D164</f>
        <v>-49435560.344827585</v>
      </c>
      <c r="E176" s="67">
        <f t="shared" si="28"/>
        <v>-16585684.824613534</v>
      </c>
      <c r="F176" s="67">
        <f t="shared" si="28"/>
        <v>6120627.5012076572</v>
      </c>
      <c r="G176" s="67">
        <f t="shared" si="28"/>
        <v>19989406.26645577</v>
      </c>
      <c r="H176" s="67">
        <f t="shared" si="28"/>
        <v>60173850.627423033</v>
      </c>
      <c r="I176" s="67">
        <f t="shared" si="28"/>
        <v>60173850.627423033</v>
      </c>
      <c r="J176" s="67">
        <f t="shared" si="28"/>
        <v>60173850.627423033</v>
      </c>
      <c r="K176" s="67">
        <f t="shared" si="28"/>
        <v>60173850.627423033</v>
      </c>
      <c r="L176" s="67">
        <f t="shared" si="28"/>
        <v>60173850.627423033</v>
      </c>
      <c r="M176" s="67">
        <f t="shared" si="28"/>
        <v>60173850.627423033</v>
      </c>
      <c r="N176" s="164"/>
      <c r="O176" s="12"/>
    </row>
    <row r="177" spans="2:15" x14ac:dyDescent="0.15">
      <c r="B177" s="103">
        <v>-0.15</v>
      </c>
      <c r="C177" s="67">
        <f>C165</f>
        <v>-92550000</v>
      </c>
      <c r="D177" s="67">
        <f>C177+D165</f>
        <v>-49435560.344827585</v>
      </c>
      <c r="E177" s="67">
        <f t="shared" si="28"/>
        <v>-16585684.824613534</v>
      </c>
      <c r="F177" s="67">
        <f t="shared" si="28"/>
        <v>6120627.5012076572</v>
      </c>
      <c r="G177" s="67">
        <f t="shared" si="28"/>
        <v>19989406.26645577</v>
      </c>
      <c r="H177" s="67">
        <f t="shared" si="28"/>
        <v>60173850.627423033</v>
      </c>
      <c r="I177" s="67">
        <f t="shared" si="28"/>
        <v>60173850.627423033</v>
      </c>
      <c r="J177" s="67">
        <f t="shared" si="28"/>
        <v>60173850.627423033</v>
      </c>
      <c r="K177" s="67">
        <f t="shared" si="28"/>
        <v>60173850.627423033</v>
      </c>
      <c r="L177" s="67">
        <f t="shared" si="28"/>
        <v>60173850.627423033</v>
      </c>
      <c r="M177" s="67">
        <f t="shared" si="28"/>
        <v>60173850.627423033</v>
      </c>
      <c r="N177" s="164"/>
      <c r="O177" s="12"/>
    </row>
    <row r="178" spans="2:15" x14ac:dyDescent="0.15">
      <c r="B178" s="103">
        <v>-0.1</v>
      </c>
      <c r="C178" s="67">
        <f>C166</f>
        <v>-92550000</v>
      </c>
      <c r="D178" s="67">
        <f>C178+D166</f>
        <v>-49435560.344827585</v>
      </c>
      <c r="E178" s="67">
        <f t="shared" si="28"/>
        <v>-16585684.824613534</v>
      </c>
      <c r="F178" s="67">
        <f t="shared" si="28"/>
        <v>6120627.5012076572</v>
      </c>
      <c r="G178" s="67">
        <f t="shared" si="28"/>
        <v>19989406.26645577</v>
      </c>
      <c r="H178" s="67">
        <f t="shared" si="28"/>
        <v>60173850.627423033</v>
      </c>
      <c r="I178" s="67">
        <f t="shared" si="28"/>
        <v>60173850.627423033</v>
      </c>
      <c r="J178" s="67">
        <f t="shared" si="28"/>
        <v>60173850.627423033</v>
      </c>
      <c r="K178" s="67">
        <f t="shared" si="28"/>
        <v>60173850.627423033</v>
      </c>
      <c r="L178" s="67">
        <f t="shared" si="28"/>
        <v>60173850.627423033</v>
      </c>
      <c r="M178" s="67">
        <f t="shared" si="28"/>
        <v>60173850.627423033</v>
      </c>
      <c r="N178" s="164"/>
      <c r="O178" s="12"/>
    </row>
    <row r="179" spans="2:15" x14ac:dyDescent="0.15">
      <c r="B179" s="103">
        <v>-0.05</v>
      </c>
      <c r="C179" s="67">
        <f>C167</f>
        <v>-92550000</v>
      </c>
      <c r="D179" s="67">
        <f>C179+D167</f>
        <v>-49435560.344827585</v>
      </c>
      <c r="E179" s="67">
        <f t="shared" si="28"/>
        <v>-16585684.824613534</v>
      </c>
      <c r="F179" s="67">
        <f t="shared" si="28"/>
        <v>6120627.5012076572</v>
      </c>
      <c r="G179" s="67">
        <f t="shared" si="28"/>
        <v>19989406.26645577</v>
      </c>
      <c r="H179" s="67">
        <f t="shared" si="28"/>
        <v>60173850.627423033</v>
      </c>
      <c r="I179" s="67">
        <f t="shared" si="28"/>
        <v>60173850.627423033</v>
      </c>
      <c r="J179" s="67">
        <f t="shared" si="28"/>
        <v>60173850.627423033</v>
      </c>
      <c r="K179" s="67">
        <f t="shared" si="28"/>
        <v>60173850.627423033</v>
      </c>
      <c r="L179" s="67">
        <f t="shared" si="28"/>
        <v>60173850.627423033</v>
      </c>
      <c r="M179" s="67">
        <f t="shared" si="28"/>
        <v>60173850.627423033</v>
      </c>
      <c r="N179" s="164"/>
      <c r="O179" s="12"/>
    </row>
    <row r="180" spans="2:15" x14ac:dyDescent="0.15">
      <c r="B180" s="103"/>
      <c r="C180" s="67"/>
      <c r="D180" s="67"/>
      <c r="E180" s="67"/>
      <c r="F180" s="67"/>
      <c r="G180" s="67"/>
      <c r="H180" s="67"/>
      <c r="I180" s="67"/>
      <c r="J180" s="67"/>
      <c r="K180" s="67"/>
      <c r="L180" s="67"/>
      <c r="M180" s="67"/>
      <c r="N180" s="164"/>
      <c r="O180" s="12"/>
    </row>
    <row r="181" spans="2:15" x14ac:dyDescent="0.15">
      <c r="B181" s="103">
        <v>0.05</v>
      </c>
      <c r="C181" s="67">
        <f>C169</f>
        <v>-92550000</v>
      </c>
      <c r="D181" s="67">
        <f t="shared" ref="D181:M185" si="29">C181+D169</f>
        <v>-49435560.344827585</v>
      </c>
      <c r="E181" s="67">
        <f t="shared" si="29"/>
        <v>-16585684.824613534</v>
      </c>
      <c r="F181" s="67">
        <f t="shared" si="29"/>
        <v>6120627.5012076572</v>
      </c>
      <c r="G181" s="67">
        <f t="shared" si="29"/>
        <v>19989406.26645577</v>
      </c>
      <c r="H181" s="67">
        <f t="shared" si="29"/>
        <v>60173850.627423033</v>
      </c>
      <c r="I181" s="67">
        <f t="shared" si="29"/>
        <v>60173850.627423033</v>
      </c>
      <c r="J181" s="67">
        <f t="shared" si="29"/>
        <v>60173850.627423033</v>
      </c>
      <c r="K181" s="67">
        <f t="shared" si="29"/>
        <v>60173850.627423033</v>
      </c>
      <c r="L181" s="67">
        <f t="shared" si="29"/>
        <v>60173850.627423033</v>
      </c>
      <c r="M181" s="67">
        <f t="shared" si="29"/>
        <v>60173850.627423033</v>
      </c>
      <c r="N181" s="164"/>
      <c r="O181" s="12"/>
    </row>
    <row r="182" spans="2:15" x14ac:dyDescent="0.15">
      <c r="B182" s="103">
        <v>0.1</v>
      </c>
      <c r="C182" s="67">
        <f>C170</f>
        <v>-92550000</v>
      </c>
      <c r="D182" s="67">
        <f t="shared" si="29"/>
        <v>-49435560.344827585</v>
      </c>
      <c r="E182" s="67">
        <f t="shared" si="29"/>
        <v>-16585684.824613534</v>
      </c>
      <c r="F182" s="67">
        <f t="shared" si="29"/>
        <v>6120627.5012076572</v>
      </c>
      <c r="G182" s="67">
        <f t="shared" si="29"/>
        <v>19989406.26645577</v>
      </c>
      <c r="H182" s="67">
        <f t="shared" si="29"/>
        <v>60173850.627423033</v>
      </c>
      <c r="I182" s="67">
        <f t="shared" si="29"/>
        <v>60173850.627423033</v>
      </c>
      <c r="J182" s="67">
        <f t="shared" si="29"/>
        <v>60173850.627423033</v>
      </c>
      <c r="K182" s="67">
        <f t="shared" si="29"/>
        <v>60173850.627423033</v>
      </c>
      <c r="L182" s="67">
        <f t="shared" si="29"/>
        <v>60173850.627423033</v>
      </c>
      <c r="M182" s="67">
        <f t="shared" si="29"/>
        <v>60173850.627423033</v>
      </c>
      <c r="N182" s="164"/>
      <c r="O182" s="12"/>
    </row>
    <row r="183" spans="2:15" x14ac:dyDescent="0.15">
      <c r="B183" s="103">
        <v>0.15</v>
      </c>
      <c r="C183" s="67">
        <f>C171</f>
        <v>-92550000</v>
      </c>
      <c r="D183" s="67">
        <f t="shared" si="29"/>
        <v>-49435560.344827585</v>
      </c>
      <c r="E183" s="67">
        <f t="shared" si="29"/>
        <v>-16585684.824613534</v>
      </c>
      <c r="F183" s="67">
        <f t="shared" si="29"/>
        <v>6120627.5012076572</v>
      </c>
      <c r="G183" s="67">
        <f t="shared" si="29"/>
        <v>19989406.26645577</v>
      </c>
      <c r="H183" s="67">
        <f t="shared" si="29"/>
        <v>60173850.627423033</v>
      </c>
      <c r="I183" s="67">
        <f t="shared" si="29"/>
        <v>60173850.627423033</v>
      </c>
      <c r="J183" s="67">
        <f t="shared" si="29"/>
        <v>60173850.627423033</v>
      </c>
      <c r="K183" s="67">
        <f t="shared" si="29"/>
        <v>60173850.627423033</v>
      </c>
      <c r="L183" s="67">
        <f t="shared" si="29"/>
        <v>60173850.627423033</v>
      </c>
      <c r="M183" s="67">
        <f t="shared" si="29"/>
        <v>60173850.627423033</v>
      </c>
      <c r="N183" s="164"/>
      <c r="O183" s="12"/>
    </row>
    <row r="184" spans="2:15" x14ac:dyDescent="0.15">
      <c r="B184" s="103">
        <v>0.2</v>
      </c>
      <c r="C184" s="67">
        <f>C172</f>
        <v>-92550000</v>
      </c>
      <c r="D184" s="67">
        <f t="shared" si="29"/>
        <v>-49435560.344827585</v>
      </c>
      <c r="E184" s="67">
        <f t="shared" si="29"/>
        <v>-16585684.824613534</v>
      </c>
      <c r="F184" s="67">
        <f t="shared" si="29"/>
        <v>6120627.5012076572</v>
      </c>
      <c r="G184" s="67">
        <f t="shared" si="29"/>
        <v>19989406.26645577</v>
      </c>
      <c r="H184" s="67">
        <f t="shared" si="29"/>
        <v>60173850.627423033</v>
      </c>
      <c r="I184" s="67">
        <f t="shared" si="29"/>
        <v>60173850.627423033</v>
      </c>
      <c r="J184" s="67">
        <f t="shared" si="29"/>
        <v>60173850.627423033</v>
      </c>
      <c r="K184" s="67">
        <f t="shared" si="29"/>
        <v>60173850.627423033</v>
      </c>
      <c r="L184" s="67">
        <f t="shared" si="29"/>
        <v>60173850.627423033</v>
      </c>
      <c r="M184" s="67">
        <f t="shared" si="29"/>
        <v>60173850.627423033</v>
      </c>
      <c r="N184" s="164"/>
      <c r="O184" s="12"/>
    </row>
    <row r="185" spans="2:15" ht="14" thickBot="1" x14ac:dyDescent="0.2">
      <c r="B185" s="103">
        <v>0.25</v>
      </c>
      <c r="C185" s="95">
        <f>C173</f>
        <v>-92550000</v>
      </c>
      <c r="D185" s="95">
        <f t="shared" si="29"/>
        <v>-49435560.344827585</v>
      </c>
      <c r="E185" s="95">
        <f t="shared" si="29"/>
        <v>-16585684.824613534</v>
      </c>
      <c r="F185" s="95">
        <f t="shared" si="29"/>
        <v>6120627.5012076572</v>
      </c>
      <c r="G185" s="95">
        <f t="shared" si="29"/>
        <v>19989406.26645577</v>
      </c>
      <c r="H185" s="95">
        <f t="shared" si="29"/>
        <v>60173850.627423033</v>
      </c>
      <c r="I185" s="95">
        <f t="shared" si="29"/>
        <v>60173850.627423033</v>
      </c>
      <c r="J185" s="95">
        <f t="shared" si="29"/>
        <v>60173850.627423033</v>
      </c>
      <c r="K185" s="95">
        <f t="shared" si="29"/>
        <v>60173850.627423033</v>
      </c>
      <c r="L185" s="95">
        <f t="shared" si="29"/>
        <v>60173850.627423033</v>
      </c>
      <c r="M185" s="95">
        <f t="shared" si="29"/>
        <v>60173850.627423033</v>
      </c>
      <c r="N185" s="154"/>
      <c r="O185" s="94"/>
    </row>
    <row r="186" spans="2:15" ht="15" thickTop="1" thickBot="1" x14ac:dyDescent="0.2"/>
    <row r="187" spans="2:15" x14ac:dyDescent="0.15">
      <c r="B187" s="526" t="s">
        <v>436</v>
      </c>
      <c r="C187" s="527"/>
      <c r="D187" s="528" t="s">
        <v>652</v>
      </c>
      <c r="E187" s="526" t="s">
        <v>341</v>
      </c>
      <c r="F187" s="527"/>
      <c r="G187" s="529" t="s">
        <v>652</v>
      </c>
    </row>
    <row r="188" spans="2:15" x14ac:dyDescent="0.15">
      <c r="B188" s="530">
        <v>-0.25</v>
      </c>
      <c r="C188" s="531">
        <f>IF(ISNUMBER(IRR(C150:M150)),IRR(C150:M150),"NMF")</f>
        <v>0.40549033935008683</v>
      </c>
      <c r="D188" s="534">
        <f>IF(ISNUMBER((C188-$C$193)/$C$193),(C188-$C$193)/$C$193,0)</f>
        <v>0</v>
      </c>
      <c r="E188" s="530">
        <v>-0.25</v>
      </c>
      <c r="F188" s="533">
        <f>O163</f>
        <v>60173850.627423033</v>
      </c>
      <c r="G188" s="534">
        <f>IF(ISNUMBER((F188-$F$193)/$F$193),(F188-$F$193)/$F$193,0)</f>
        <v>0</v>
      </c>
    </row>
    <row r="189" spans="2:15" x14ac:dyDescent="0.15">
      <c r="B189" s="530">
        <v>-0.2</v>
      </c>
      <c r="C189" s="531">
        <f t="shared" ref="C189:C198" si="30">IF(ISNUMBER(IRR(C151:M151)),IRR(C151:M151),"NMF")</f>
        <v>0.40549033935008683</v>
      </c>
      <c r="D189" s="534">
        <f t="shared" ref="D189:D198" si="31">IF(ISNUMBER((C189-$C$193)/$C$193),(C189-$C$193)/$C$193,0)</f>
        <v>0</v>
      </c>
      <c r="E189" s="530">
        <v>-0.2</v>
      </c>
      <c r="F189" s="533">
        <f>O164</f>
        <v>60173850.627423033</v>
      </c>
      <c r="G189" s="534">
        <f t="shared" ref="G189:G198" si="32">IF(ISNUMBER((F189-$F$193)/$F$193),(F189-$F$193)/$F$193,0)</f>
        <v>0</v>
      </c>
    </row>
    <row r="190" spans="2:15" x14ac:dyDescent="0.15">
      <c r="B190" s="530">
        <v>-0.15</v>
      </c>
      <c r="C190" s="531">
        <f t="shared" si="30"/>
        <v>0.40549033935008683</v>
      </c>
      <c r="D190" s="534">
        <f t="shared" si="31"/>
        <v>0</v>
      </c>
      <c r="E190" s="530">
        <v>-0.15</v>
      </c>
      <c r="F190" s="533">
        <f>O165</f>
        <v>60173850.627423033</v>
      </c>
      <c r="G190" s="534">
        <f t="shared" si="32"/>
        <v>0</v>
      </c>
    </row>
    <row r="191" spans="2:15" x14ac:dyDescent="0.15">
      <c r="B191" s="530">
        <v>-0.1</v>
      </c>
      <c r="C191" s="531">
        <f t="shared" si="30"/>
        <v>0.40549033935008683</v>
      </c>
      <c r="D191" s="534">
        <f t="shared" si="31"/>
        <v>0</v>
      </c>
      <c r="E191" s="530">
        <v>-0.1</v>
      </c>
      <c r="F191" s="533">
        <f>O166</f>
        <v>60173850.627423033</v>
      </c>
      <c r="G191" s="534">
        <f t="shared" si="32"/>
        <v>0</v>
      </c>
    </row>
    <row r="192" spans="2:15" x14ac:dyDescent="0.15">
      <c r="B192" s="530">
        <v>-0.05</v>
      </c>
      <c r="C192" s="531">
        <f t="shared" si="30"/>
        <v>0.40549033935008683</v>
      </c>
      <c r="D192" s="534">
        <f t="shared" si="31"/>
        <v>0</v>
      </c>
      <c r="E192" s="530">
        <v>-0.05</v>
      </c>
      <c r="F192" s="533">
        <f>O167</f>
        <v>60173850.627423033</v>
      </c>
      <c r="G192" s="534">
        <f t="shared" si="32"/>
        <v>0</v>
      </c>
    </row>
    <row r="193" spans="2:7" x14ac:dyDescent="0.15">
      <c r="B193" s="535" t="s">
        <v>653</v>
      </c>
      <c r="C193" s="531">
        <f>IF(ISNUMBER(IRR(C155:M155)),IRR(C155:M155),"NMF")</f>
        <v>0.40549033935008683</v>
      </c>
      <c r="D193" s="534">
        <f t="shared" si="31"/>
        <v>0</v>
      </c>
      <c r="E193" s="535" t="s">
        <v>653</v>
      </c>
      <c r="F193" s="533">
        <f>'After Tax Analysis'!D38</f>
        <v>60173850.627423033</v>
      </c>
      <c r="G193" s="534">
        <f t="shared" si="32"/>
        <v>0</v>
      </c>
    </row>
    <row r="194" spans="2:7" x14ac:dyDescent="0.15">
      <c r="B194" s="530">
        <v>0.05</v>
      </c>
      <c r="C194" s="531">
        <f t="shared" si="30"/>
        <v>0.40549033935008683</v>
      </c>
      <c r="D194" s="534">
        <f t="shared" si="31"/>
        <v>0</v>
      </c>
      <c r="E194" s="530">
        <v>0.05</v>
      </c>
      <c r="F194" s="533">
        <f>O169</f>
        <v>60173850.627423033</v>
      </c>
      <c r="G194" s="534">
        <f t="shared" si="32"/>
        <v>0</v>
      </c>
    </row>
    <row r="195" spans="2:7" x14ac:dyDescent="0.15">
      <c r="B195" s="530">
        <v>0.1</v>
      </c>
      <c r="C195" s="531">
        <f t="shared" si="30"/>
        <v>0.40549033935008683</v>
      </c>
      <c r="D195" s="534">
        <f t="shared" si="31"/>
        <v>0</v>
      </c>
      <c r="E195" s="530">
        <v>0.1</v>
      </c>
      <c r="F195" s="533">
        <f>O170</f>
        <v>60173850.627423033</v>
      </c>
      <c r="G195" s="534">
        <f t="shared" si="32"/>
        <v>0</v>
      </c>
    </row>
    <row r="196" spans="2:7" x14ac:dyDescent="0.15">
      <c r="B196" s="530">
        <v>0.15</v>
      </c>
      <c r="C196" s="531">
        <f t="shared" si="30"/>
        <v>0.40549033935008683</v>
      </c>
      <c r="D196" s="534">
        <f t="shared" si="31"/>
        <v>0</v>
      </c>
      <c r="E196" s="530">
        <v>0.15</v>
      </c>
      <c r="F196" s="533">
        <f>O171</f>
        <v>60173850.627423033</v>
      </c>
      <c r="G196" s="534">
        <f t="shared" si="32"/>
        <v>0</v>
      </c>
    </row>
    <row r="197" spans="2:7" x14ac:dyDescent="0.15">
      <c r="B197" s="530">
        <v>0.2</v>
      </c>
      <c r="C197" s="531">
        <f t="shared" si="30"/>
        <v>0.40549033935008683</v>
      </c>
      <c r="D197" s="534">
        <f t="shared" si="31"/>
        <v>0</v>
      </c>
      <c r="E197" s="530">
        <v>0.2</v>
      </c>
      <c r="F197" s="533">
        <f>O172</f>
        <v>60173850.627423033</v>
      </c>
      <c r="G197" s="534">
        <f t="shared" si="32"/>
        <v>0</v>
      </c>
    </row>
    <row r="198" spans="2:7" ht="14" thickBot="1" x14ac:dyDescent="0.2">
      <c r="B198" s="536">
        <v>0.25</v>
      </c>
      <c r="C198" s="531">
        <f t="shared" si="30"/>
        <v>0.40549033935008683</v>
      </c>
      <c r="D198" s="534">
        <f t="shared" si="31"/>
        <v>0</v>
      </c>
      <c r="E198" s="536">
        <v>0.25</v>
      </c>
      <c r="F198" s="537">
        <f>O173</f>
        <v>60173850.627423033</v>
      </c>
      <c r="G198" s="534">
        <f t="shared" si="32"/>
        <v>0</v>
      </c>
    </row>
  </sheetData>
  <sheetProtection password="AA36" sheet="1" objects="1" scenarios="1"/>
  <phoneticPr fontId="0" type="noConversion"/>
  <pageMargins left="0.75" right="0.75" top="1" bottom="1" header="0.5" footer="0.5"/>
  <pageSetup orientation="portrait" horizontalDpi="0" verticalDpi="0"/>
  <headerFooter alignWithMargins="0"/>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214"/>
  <sheetViews>
    <sheetView zoomScale="75" workbookViewId="0"/>
  </sheetViews>
  <sheetFormatPr baseColWidth="10" defaultColWidth="8.83203125" defaultRowHeight="13" x14ac:dyDescent="0.15"/>
  <cols>
    <col min="2" max="2" width="19.1640625" customWidth="1"/>
    <col min="3" max="3" width="15" customWidth="1"/>
    <col min="4" max="4" width="12.5" customWidth="1"/>
    <col min="5" max="5" width="13.6640625" customWidth="1"/>
    <col min="6" max="15" width="12.5" customWidth="1"/>
  </cols>
  <sheetData>
    <row r="1" spans="1:11" ht="18" x14ac:dyDescent="0.2">
      <c r="A1" s="549" t="s">
        <v>676</v>
      </c>
    </row>
    <row r="2" spans="1:11" ht="18" x14ac:dyDescent="0.2">
      <c r="A2" s="549"/>
    </row>
    <row r="3" spans="1:11" ht="14" thickBot="1" x14ac:dyDescent="0.2">
      <c r="B3" t="s">
        <v>677</v>
      </c>
      <c r="E3" s="1" t="s">
        <v>678</v>
      </c>
    </row>
    <row r="4" spans="1:11" x14ac:dyDescent="0.15">
      <c r="B4" s="417" t="str">
        <f>'Level Payment Fin Sens Wksht'!C4</f>
        <v>Base Case Loan Proceeds</v>
      </c>
      <c r="C4" s="505">
        <f>'Level Payment Fin Sens Wksht'!D4</f>
        <v>0</v>
      </c>
      <c r="D4" s="420" t="str">
        <f>'Level Payment Fin Sens Wksht'!E4</f>
        <v>Debt Ratio</v>
      </c>
      <c r="E4" s="508" t="s">
        <v>437</v>
      </c>
      <c r="G4" s="484" t="s">
        <v>119</v>
      </c>
      <c r="H4" s="485"/>
      <c r="I4" s="486">
        <f>'Initial Inputs'!C35</f>
        <v>0</v>
      </c>
    </row>
    <row r="5" spans="1:11" x14ac:dyDescent="0.15">
      <c r="B5" s="476">
        <f>'Level Payment Fin Sens Wksht'!C5</f>
        <v>-0.25</v>
      </c>
      <c r="C5" s="506">
        <f>'Level Payment Fin Sens Wksht'!D5</f>
        <v>0</v>
      </c>
      <c r="D5" s="421">
        <f>'Level Payment Fin Sens Wksht'!E5</f>
        <v>0</v>
      </c>
      <c r="E5" s="509">
        <f>$I$6*(1+B5)</f>
        <v>0.06</v>
      </c>
      <c r="G5" s="487"/>
      <c r="H5" s="12"/>
      <c r="I5" s="488"/>
    </row>
    <row r="6" spans="1:11" x14ac:dyDescent="0.15">
      <c r="B6" s="476">
        <f>'Level Payment Fin Sens Wksht'!C6</f>
        <v>-0.2</v>
      </c>
      <c r="C6" s="506">
        <f>'Level Payment Fin Sens Wksht'!D6</f>
        <v>0</v>
      </c>
      <c r="D6" s="421">
        <f>'Level Payment Fin Sens Wksht'!E6</f>
        <v>0</v>
      </c>
      <c r="E6" s="509">
        <f t="shared" ref="E6:E15" si="0">$I$6*(1+B6)</f>
        <v>6.4000000000000001E-2</v>
      </c>
      <c r="G6" s="487" t="s">
        <v>121</v>
      </c>
      <c r="H6" s="12"/>
      <c r="I6" s="489">
        <f>'Initial Inputs'!C37</f>
        <v>0.08</v>
      </c>
    </row>
    <row r="7" spans="1:11" x14ac:dyDescent="0.15">
      <c r="B7" s="476">
        <f>'Level Payment Fin Sens Wksht'!C7</f>
        <v>-0.15</v>
      </c>
      <c r="C7" s="506">
        <f>'Level Payment Fin Sens Wksht'!D7</f>
        <v>0</v>
      </c>
      <c r="D7" s="421">
        <f>'Level Payment Fin Sens Wksht'!E7</f>
        <v>0</v>
      </c>
      <c r="E7" s="509">
        <f t="shared" si="0"/>
        <v>6.8000000000000005E-2</v>
      </c>
      <c r="G7" s="487"/>
      <c r="H7" s="12"/>
      <c r="I7" s="488"/>
    </row>
    <row r="8" spans="1:11" x14ac:dyDescent="0.15">
      <c r="B8" s="476">
        <f>'Level Payment Fin Sens Wksht'!C8</f>
        <v>-0.1</v>
      </c>
      <c r="C8" s="506">
        <f>'Level Payment Fin Sens Wksht'!D8</f>
        <v>0</v>
      </c>
      <c r="D8" s="421">
        <f>'Level Payment Fin Sens Wksht'!E8</f>
        <v>0</v>
      </c>
      <c r="E8" s="509">
        <f t="shared" si="0"/>
        <v>7.2000000000000008E-2</v>
      </c>
      <c r="G8" s="487" t="str">
        <f>'Initial Inputs'!B7</f>
        <v>Project Life in years (10 Max) =</v>
      </c>
      <c r="I8" s="487">
        <f>'Initial Inputs'!C7</f>
        <v>5</v>
      </c>
    </row>
    <row r="9" spans="1:11" x14ac:dyDescent="0.15">
      <c r="B9" s="476">
        <f>'Level Payment Fin Sens Wksht'!C9</f>
        <v>-0.05</v>
      </c>
      <c r="C9" s="506">
        <f>'Level Payment Fin Sens Wksht'!D9</f>
        <v>0</v>
      </c>
      <c r="D9" s="421">
        <f>'Level Payment Fin Sens Wksht'!E9</f>
        <v>0</v>
      </c>
      <c r="E9" s="509">
        <f t="shared" si="0"/>
        <v>7.5999999999999998E-2</v>
      </c>
      <c r="G9" s="487"/>
      <c r="H9" s="12"/>
      <c r="I9" s="488"/>
    </row>
    <row r="10" spans="1:11" ht="14" thickBot="1" x14ac:dyDescent="0.2">
      <c r="B10" s="476" t="s">
        <v>417</v>
      </c>
      <c r="C10" s="506">
        <f>C4</f>
        <v>0</v>
      </c>
      <c r="D10" s="421">
        <f>'Level Payment Fin Sens Wksht'!E10</f>
        <v>0</v>
      </c>
      <c r="E10" s="509">
        <f>I6</f>
        <v>0.08</v>
      </c>
      <c r="G10" s="517"/>
      <c r="H10" s="518"/>
      <c r="I10" s="519"/>
    </row>
    <row r="11" spans="1:11" ht="14" thickBot="1" x14ac:dyDescent="0.2">
      <c r="B11" s="476">
        <f>'Level Payment Fin Sens Wksht'!C11</f>
        <v>0.05</v>
      </c>
      <c r="C11" s="506">
        <f>'Level Payment Fin Sens Wksht'!D11</f>
        <v>0</v>
      </c>
      <c r="D11" s="421">
        <f>'Level Payment Fin Sens Wksht'!E11</f>
        <v>0</v>
      </c>
      <c r="E11" s="509">
        <f t="shared" si="0"/>
        <v>8.4000000000000005E-2</v>
      </c>
      <c r="G11" s="490" t="s">
        <v>659</v>
      </c>
      <c r="H11" s="523"/>
      <c r="I11" s="524">
        <f>IF(J13=1,MIN(I8,I15),I15)</f>
        <v>5</v>
      </c>
    </row>
    <row r="12" spans="1:11" ht="14" thickBot="1" x14ac:dyDescent="0.2">
      <c r="B12" s="476">
        <f>'Level Payment Fin Sens Wksht'!C12</f>
        <v>0.1</v>
      </c>
      <c r="C12" s="506">
        <f>'Level Payment Fin Sens Wksht'!D12</f>
        <v>0</v>
      </c>
      <c r="D12" s="421">
        <f>'Level Payment Fin Sens Wksht'!E12</f>
        <v>0</v>
      </c>
      <c r="E12" s="509">
        <f t="shared" si="0"/>
        <v>8.8000000000000009E-2</v>
      </c>
    </row>
    <row r="13" spans="1:11" ht="14" thickBot="1" x14ac:dyDescent="0.2">
      <c r="B13" s="476">
        <f>'Level Payment Fin Sens Wksht'!C13</f>
        <v>0.15</v>
      </c>
      <c r="C13" s="506">
        <f>'Level Payment Fin Sens Wksht'!D13</f>
        <v>0</v>
      </c>
      <c r="D13" s="421">
        <f>'Level Payment Fin Sens Wksht'!E13</f>
        <v>0</v>
      </c>
      <c r="E13" s="509">
        <f t="shared" si="0"/>
        <v>9.1999999999999998E-2</v>
      </c>
      <c r="G13" s="492" t="str">
        <f>'Initial Inputs'!E37</f>
        <v>Liquidate Loan Balance at end of Project Life?</v>
      </c>
      <c r="H13" s="493"/>
      <c r="I13" s="494"/>
      <c r="J13" s="334">
        <f>'Initial Inputs'!E39</f>
        <v>1</v>
      </c>
      <c r="K13" t="str">
        <f>'Initial Inputs'!E38</f>
        <v>(Enter "1" for YES, or "0" for NO)</v>
      </c>
    </row>
    <row r="14" spans="1:11" ht="14" thickBot="1" x14ac:dyDescent="0.2">
      <c r="B14" s="476">
        <f>'Level Payment Fin Sens Wksht'!C14</f>
        <v>0.2</v>
      </c>
      <c r="C14" s="506">
        <f>'Level Payment Fin Sens Wksht'!D14</f>
        <v>0</v>
      </c>
      <c r="D14" s="421">
        <f>'Level Payment Fin Sens Wksht'!E14</f>
        <v>0</v>
      </c>
      <c r="E14" s="509">
        <f t="shared" si="0"/>
        <v>9.6000000000000002E-2</v>
      </c>
    </row>
    <row r="15" spans="1:11" ht="14" thickBot="1" x14ac:dyDescent="0.2">
      <c r="B15" s="477">
        <f>'Level Payment Fin Sens Wksht'!C15</f>
        <v>0.25</v>
      </c>
      <c r="C15" s="507">
        <f>'Level Payment Fin Sens Wksht'!D15</f>
        <v>0</v>
      </c>
      <c r="D15" s="422">
        <f>'Level Payment Fin Sens Wksht'!E15</f>
        <v>0</v>
      </c>
      <c r="E15" s="510">
        <f t="shared" si="0"/>
        <v>0.1</v>
      </c>
      <c r="G15" s="492" t="str">
        <f>'Initial Inputs'!B39</f>
        <v>Loan Length (Yrs)</v>
      </c>
      <c r="H15" s="494"/>
      <c r="I15" s="334">
        <f>'Initial Inputs'!C39</f>
        <v>5</v>
      </c>
    </row>
    <row r="16" spans="1:11" x14ac:dyDescent="0.15">
      <c r="C16" s="250"/>
    </row>
    <row r="17" spans="2:15" x14ac:dyDescent="0.15">
      <c r="C17" s="250"/>
    </row>
    <row r="18" spans="2:15" ht="14" thickBot="1" x14ac:dyDescent="0.2"/>
    <row r="19" spans="2:15" ht="14" thickBot="1" x14ac:dyDescent="0.2">
      <c r="B19" s="481" t="s">
        <v>412</v>
      </c>
      <c r="C19" s="496"/>
      <c r="D19" s="483" t="s">
        <v>133</v>
      </c>
      <c r="E19" s="483" t="s">
        <v>133</v>
      </c>
      <c r="F19" s="483" t="s">
        <v>133</v>
      </c>
      <c r="G19" s="483" t="s">
        <v>133</v>
      </c>
      <c r="H19" s="483" t="s">
        <v>133</v>
      </c>
      <c r="I19" s="483" t="s">
        <v>133</v>
      </c>
      <c r="J19" s="483" t="s">
        <v>133</v>
      </c>
      <c r="K19" s="483" t="s">
        <v>133</v>
      </c>
      <c r="L19" s="483" t="s">
        <v>133</v>
      </c>
      <c r="M19" s="483" t="s">
        <v>133</v>
      </c>
      <c r="N19" s="272"/>
      <c r="O19" s="498" t="str">
        <f>B19</f>
        <v>-25%</v>
      </c>
    </row>
    <row r="20" spans="2:15" ht="14" thickBot="1" x14ac:dyDescent="0.2">
      <c r="B20" s="514"/>
      <c r="C20" s="426" t="s">
        <v>660</v>
      </c>
      <c r="D20" s="4">
        <v>1</v>
      </c>
      <c r="E20" s="4">
        <f>D20+1</f>
        <v>2</v>
      </c>
      <c r="F20" s="4">
        <f>E20+1</f>
        <v>3</v>
      </c>
      <c r="G20" s="4">
        <f t="shared" ref="G20:M20" si="1">F20+1</f>
        <v>4</v>
      </c>
      <c r="H20" s="4">
        <f t="shared" si="1"/>
        <v>5</v>
      </c>
      <c r="I20" s="4">
        <f t="shared" si="1"/>
        <v>6</v>
      </c>
      <c r="J20" s="4">
        <f t="shared" si="1"/>
        <v>7</v>
      </c>
      <c r="K20" s="4">
        <f t="shared" si="1"/>
        <v>8</v>
      </c>
      <c r="L20" s="4">
        <f t="shared" si="1"/>
        <v>9</v>
      </c>
      <c r="M20" s="4">
        <f t="shared" si="1"/>
        <v>10</v>
      </c>
      <c r="N20" s="500" t="s">
        <v>285</v>
      </c>
      <c r="O20" s="180"/>
    </row>
    <row r="21" spans="2:15" x14ac:dyDescent="0.15">
      <c r="B21" s="480" t="s">
        <v>661</v>
      </c>
      <c r="C21" s="545">
        <v>1</v>
      </c>
      <c r="D21" s="546">
        <f>IF(ISNUMBER(IPMT($E$5/12,((D$20-1)*12)+$C21,$I$11*12,$C$4)),IPMT($E$5/12,((D$20-1)*12)+$C21,$I$11*12,$C$4),0)</f>
        <v>0</v>
      </c>
      <c r="E21" s="546">
        <f t="shared" ref="E21:M21" si="2">IF(ISNUMBER(IPMT($E$5/12,((E$20-1)*12)+$C21,$I$11*12,$C$4)),IPMT($E$5/12,((E$20-1)*12)+$C21,$I$11*12,$C$4),0)</f>
        <v>0</v>
      </c>
      <c r="F21" s="546">
        <f t="shared" si="2"/>
        <v>0</v>
      </c>
      <c r="G21" s="546">
        <f t="shared" si="2"/>
        <v>0</v>
      </c>
      <c r="H21" s="546">
        <f t="shared" si="2"/>
        <v>0</v>
      </c>
      <c r="I21" s="546">
        <f t="shared" si="2"/>
        <v>0</v>
      </c>
      <c r="J21" s="546">
        <f t="shared" si="2"/>
        <v>0</v>
      </c>
      <c r="K21" s="546">
        <f t="shared" si="2"/>
        <v>0</v>
      </c>
      <c r="L21" s="546">
        <f t="shared" si="2"/>
        <v>0</v>
      </c>
      <c r="M21" s="547">
        <f t="shared" si="2"/>
        <v>0</v>
      </c>
      <c r="N21" s="501">
        <f>SUM(C21:M21)</f>
        <v>1</v>
      </c>
      <c r="O21" s="180"/>
    </row>
    <row r="22" spans="2:15" x14ac:dyDescent="0.15">
      <c r="B22" s="515">
        <f>-PMT($E$5/12,$I$11*12,$C$4)</f>
        <v>0</v>
      </c>
      <c r="C22" s="426">
        <v>2</v>
      </c>
      <c r="D22" s="2">
        <f t="shared" ref="D22:M32" si="3">IF(ISNUMBER(IPMT($E$5/12,((D$20-1)*12)+$C22,$I$11*12,$C$4)),IPMT($E$5/12,((D$20-1)*12)+$C22,$I$11*12,$C$4),0)</f>
        <v>0</v>
      </c>
      <c r="E22" s="2">
        <f t="shared" si="3"/>
        <v>0</v>
      </c>
      <c r="F22" s="2">
        <f t="shared" si="3"/>
        <v>0</v>
      </c>
      <c r="G22" s="2">
        <f t="shared" si="3"/>
        <v>0</v>
      </c>
      <c r="H22" s="2">
        <f t="shared" si="3"/>
        <v>0</v>
      </c>
      <c r="I22" s="2">
        <f t="shared" si="3"/>
        <v>0</v>
      </c>
      <c r="J22" s="2">
        <f t="shared" si="3"/>
        <v>0</v>
      </c>
      <c r="K22" s="2">
        <f t="shared" si="3"/>
        <v>0</v>
      </c>
      <c r="L22" s="2">
        <f t="shared" si="3"/>
        <v>0</v>
      </c>
      <c r="M22" s="501">
        <f t="shared" si="3"/>
        <v>0</v>
      </c>
      <c r="N22" s="501">
        <f t="shared" ref="N22:N34" si="4">SUM(C22:M22)</f>
        <v>2</v>
      </c>
      <c r="O22" s="180"/>
    </row>
    <row r="23" spans="2:15" x14ac:dyDescent="0.15">
      <c r="B23" s="544">
        <f>B22*12</f>
        <v>0</v>
      </c>
      <c r="C23" s="426">
        <v>3</v>
      </c>
      <c r="D23" s="2">
        <f t="shared" si="3"/>
        <v>0</v>
      </c>
      <c r="E23" s="2">
        <f t="shared" si="3"/>
        <v>0</v>
      </c>
      <c r="F23" s="2">
        <f t="shared" si="3"/>
        <v>0</v>
      </c>
      <c r="G23" s="2">
        <f t="shared" si="3"/>
        <v>0</v>
      </c>
      <c r="H23" s="2">
        <f t="shared" si="3"/>
        <v>0</v>
      </c>
      <c r="I23" s="2">
        <f t="shared" si="3"/>
        <v>0</v>
      </c>
      <c r="J23" s="2">
        <f t="shared" si="3"/>
        <v>0</v>
      </c>
      <c r="K23" s="2">
        <f t="shared" si="3"/>
        <v>0</v>
      </c>
      <c r="L23" s="2">
        <f t="shared" si="3"/>
        <v>0</v>
      </c>
      <c r="M23" s="501">
        <f t="shared" si="3"/>
        <v>0</v>
      </c>
      <c r="N23" s="501">
        <f t="shared" si="4"/>
        <v>3</v>
      </c>
      <c r="O23" s="180"/>
    </row>
    <row r="24" spans="2:15" x14ac:dyDescent="0.15">
      <c r="B24" s="480" t="s">
        <v>665</v>
      </c>
      <c r="C24" s="426">
        <v>4</v>
      </c>
      <c r="D24" s="2">
        <f t="shared" si="3"/>
        <v>0</v>
      </c>
      <c r="E24" s="2">
        <f t="shared" si="3"/>
        <v>0</v>
      </c>
      <c r="F24" s="2">
        <f t="shared" si="3"/>
        <v>0</v>
      </c>
      <c r="G24" s="2">
        <f t="shared" si="3"/>
        <v>0</v>
      </c>
      <c r="H24" s="2">
        <f t="shared" si="3"/>
        <v>0</v>
      </c>
      <c r="I24" s="2">
        <f t="shared" si="3"/>
        <v>0</v>
      </c>
      <c r="J24" s="2">
        <f t="shared" si="3"/>
        <v>0</v>
      </c>
      <c r="K24" s="2">
        <f t="shared" si="3"/>
        <v>0</v>
      </c>
      <c r="L24" s="2">
        <f t="shared" si="3"/>
        <v>0</v>
      </c>
      <c r="M24" s="501">
        <f t="shared" si="3"/>
        <v>0</v>
      </c>
      <c r="N24" s="501">
        <f t="shared" si="4"/>
        <v>4</v>
      </c>
      <c r="O24" s="180"/>
    </row>
    <row r="25" spans="2:15" x14ac:dyDescent="0.15">
      <c r="B25" s="543">
        <f>$C$10</f>
        <v>0</v>
      </c>
      <c r="C25" s="426">
        <v>5</v>
      </c>
      <c r="D25" s="2">
        <f t="shared" si="3"/>
        <v>0</v>
      </c>
      <c r="E25" s="2">
        <f t="shared" si="3"/>
        <v>0</v>
      </c>
      <c r="F25" s="2">
        <f t="shared" si="3"/>
        <v>0</v>
      </c>
      <c r="G25" s="2">
        <f t="shared" si="3"/>
        <v>0</v>
      </c>
      <c r="H25" s="2">
        <f t="shared" si="3"/>
        <v>0</v>
      </c>
      <c r="I25" s="2">
        <f t="shared" si="3"/>
        <v>0</v>
      </c>
      <c r="J25" s="2">
        <f t="shared" si="3"/>
        <v>0</v>
      </c>
      <c r="K25" s="2">
        <f t="shared" si="3"/>
        <v>0</v>
      </c>
      <c r="L25" s="2">
        <f t="shared" si="3"/>
        <v>0</v>
      </c>
      <c r="M25" s="501">
        <f t="shared" si="3"/>
        <v>0</v>
      </c>
      <c r="N25" s="501">
        <f t="shared" si="4"/>
        <v>5</v>
      </c>
      <c r="O25" s="180"/>
    </row>
    <row r="26" spans="2:15" x14ac:dyDescent="0.15">
      <c r="B26" s="480"/>
      <c r="C26" s="426">
        <v>6</v>
      </c>
      <c r="D26" s="2">
        <f t="shared" si="3"/>
        <v>0</v>
      </c>
      <c r="E26" s="2">
        <f t="shared" si="3"/>
        <v>0</v>
      </c>
      <c r="F26" s="2">
        <f t="shared" si="3"/>
        <v>0</v>
      </c>
      <c r="G26" s="2">
        <f t="shared" si="3"/>
        <v>0</v>
      </c>
      <c r="H26" s="2">
        <f t="shared" si="3"/>
        <v>0</v>
      </c>
      <c r="I26" s="2">
        <f t="shared" si="3"/>
        <v>0</v>
      </c>
      <c r="J26" s="2">
        <f t="shared" si="3"/>
        <v>0</v>
      </c>
      <c r="K26" s="2">
        <f t="shared" si="3"/>
        <v>0</v>
      </c>
      <c r="L26" s="2">
        <f t="shared" si="3"/>
        <v>0</v>
      </c>
      <c r="M26" s="501">
        <f t="shared" si="3"/>
        <v>0</v>
      </c>
      <c r="N26" s="501">
        <f t="shared" si="4"/>
        <v>6</v>
      </c>
      <c r="O26" s="180"/>
    </row>
    <row r="27" spans="2:15" x14ac:dyDescent="0.15">
      <c r="B27" s="480"/>
      <c r="C27" s="426">
        <v>7</v>
      </c>
      <c r="D27" s="2">
        <f t="shared" si="3"/>
        <v>0</v>
      </c>
      <c r="E27" s="2">
        <f t="shared" si="3"/>
        <v>0</v>
      </c>
      <c r="F27" s="2">
        <f t="shared" si="3"/>
        <v>0</v>
      </c>
      <c r="G27" s="2">
        <f t="shared" si="3"/>
        <v>0</v>
      </c>
      <c r="H27" s="2">
        <f t="shared" si="3"/>
        <v>0</v>
      </c>
      <c r="I27" s="2">
        <f t="shared" si="3"/>
        <v>0</v>
      </c>
      <c r="J27" s="2">
        <f t="shared" si="3"/>
        <v>0</v>
      </c>
      <c r="K27" s="2">
        <f t="shared" si="3"/>
        <v>0</v>
      </c>
      <c r="L27" s="2">
        <f t="shared" si="3"/>
        <v>0</v>
      </c>
      <c r="M27" s="501">
        <f t="shared" si="3"/>
        <v>0</v>
      </c>
      <c r="N27" s="501">
        <f t="shared" si="4"/>
        <v>7</v>
      </c>
      <c r="O27" s="180"/>
    </row>
    <row r="28" spans="2:15" x14ac:dyDescent="0.15">
      <c r="B28" s="480"/>
      <c r="C28" s="426">
        <v>8</v>
      </c>
      <c r="D28" s="2">
        <f t="shared" si="3"/>
        <v>0</v>
      </c>
      <c r="E28" s="2">
        <f t="shared" si="3"/>
        <v>0</v>
      </c>
      <c r="F28" s="2">
        <f t="shared" si="3"/>
        <v>0</v>
      </c>
      <c r="G28" s="2">
        <f t="shared" si="3"/>
        <v>0</v>
      </c>
      <c r="H28" s="2">
        <f t="shared" si="3"/>
        <v>0</v>
      </c>
      <c r="I28" s="2">
        <f t="shared" si="3"/>
        <v>0</v>
      </c>
      <c r="J28" s="2">
        <f t="shared" si="3"/>
        <v>0</v>
      </c>
      <c r="K28" s="2">
        <f t="shared" si="3"/>
        <v>0</v>
      </c>
      <c r="L28" s="2">
        <f t="shared" si="3"/>
        <v>0</v>
      </c>
      <c r="M28" s="501">
        <f t="shared" si="3"/>
        <v>0</v>
      </c>
      <c r="N28" s="501">
        <f t="shared" si="4"/>
        <v>8</v>
      </c>
      <c r="O28" s="180"/>
    </row>
    <row r="29" spans="2:15" x14ac:dyDescent="0.15">
      <c r="B29" s="480"/>
      <c r="C29" s="426">
        <v>9</v>
      </c>
      <c r="D29" s="2">
        <f t="shared" si="3"/>
        <v>0</v>
      </c>
      <c r="E29" s="2">
        <f t="shared" si="3"/>
        <v>0</v>
      </c>
      <c r="F29" s="2">
        <f t="shared" si="3"/>
        <v>0</v>
      </c>
      <c r="G29" s="2">
        <f t="shared" si="3"/>
        <v>0</v>
      </c>
      <c r="H29" s="2">
        <f t="shared" si="3"/>
        <v>0</v>
      </c>
      <c r="I29" s="2">
        <f t="shared" si="3"/>
        <v>0</v>
      </c>
      <c r="J29" s="2">
        <f t="shared" si="3"/>
        <v>0</v>
      </c>
      <c r="K29" s="2">
        <f t="shared" si="3"/>
        <v>0</v>
      </c>
      <c r="L29" s="2">
        <f t="shared" si="3"/>
        <v>0</v>
      </c>
      <c r="M29" s="501">
        <f t="shared" si="3"/>
        <v>0</v>
      </c>
      <c r="N29" s="501">
        <f t="shared" si="4"/>
        <v>9</v>
      </c>
      <c r="O29" s="180"/>
    </row>
    <row r="30" spans="2:15" x14ac:dyDescent="0.15">
      <c r="B30" s="480"/>
      <c r="C30" s="426">
        <v>10</v>
      </c>
      <c r="D30" s="2">
        <f t="shared" si="3"/>
        <v>0</v>
      </c>
      <c r="E30" s="2">
        <f t="shared" si="3"/>
        <v>0</v>
      </c>
      <c r="F30" s="2">
        <f t="shared" si="3"/>
        <v>0</v>
      </c>
      <c r="G30" s="2">
        <f t="shared" si="3"/>
        <v>0</v>
      </c>
      <c r="H30" s="2">
        <f t="shared" si="3"/>
        <v>0</v>
      </c>
      <c r="I30" s="2">
        <f t="shared" si="3"/>
        <v>0</v>
      </c>
      <c r="J30" s="2">
        <f t="shared" si="3"/>
        <v>0</v>
      </c>
      <c r="K30" s="2">
        <f t="shared" si="3"/>
        <v>0</v>
      </c>
      <c r="L30" s="2">
        <f t="shared" si="3"/>
        <v>0</v>
      </c>
      <c r="M30" s="501">
        <f t="shared" si="3"/>
        <v>0</v>
      </c>
      <c r="N30" s="501">
        <f t="shared" si="4"/>
        <v>10</v>
      </c>
      <c r="O30" s="180"/>
    </row>
    <row r="31" spans="2:15" x14ac:dyDescent="0.15">
      <c r="B31" s="480"/>
      <c r="C31" s="426">
        <v>11</v>
      </c>
      <c r="D31" s="2">
        <f t="shared" si="3"/>
        <v>0</v>
      </c>
      <c r="E31" s="2">
        <f t="shared" si="3"/>
        <v>0</v>
      </c>
      <c r="F31" s="2">
        <f t="shared" si="3"/>
        <v>0</v>
      </c>
      <c r="G31" s="2">
        <f t="shared" si="3"/>
        <v>0</v>
      </c>
      <c r="H31" s="2">
        <f t="shared" si="3"/>
        <v>0</v>
      </c>
      <c r="I31" s="2">
        <f t="shared" si="3"/>
        <v>0</v>
      </c>
      <c r="J31" s="2">
        <f t="shared" si="3"/>
        <v>0</v>
      </c>
      <c r="K31" s="2">
        <f t="shared" si="3"/>
        <v>0</v>
      </c>
      <c r="L31" s="2">
        <f t="shared" si="3"/>
        <v>0</v>
      </c>
      <c r="M31" s="501">
        <f t="shared" si="3"/>
        <v>0</v>
      </c>
      <c r="N31" s="501">
        <f t="shared" si="4"/>
        <v>11</v>
      </c>
      <c r="O31" s="180"/>
    </row>
    <row r="32" spans="2:15" ht="14" thickBot="1" x14ac:dyDescent="0.2">
      <c r="B32" s="480"/>
      <c r="C32" s="520">
        <v>12</v>
      </c>
      <c r="D32" s="522">
        <f t="shared" si="3"/>
        <v>0</v>
      </c>
      <c r="E32" s="522">
        <f t="shared" si="3"/>
        <v>0</v>
      </c>
      <c r="F32" s="522">
        <f t="shared" si="3"/>
        <v>0</v>
      </c>
      <c r="G32" s="522">
        <f t="shared" si="3"/>
        <v>0</v>
      </c>
      <c r="H32" s="522">
        <f t="shared" si="3"/>
        <v>0</v>
      </c>
      <c r="I32" s="522">
        <f t="shared" si="3"/>
        <v>0</v>
      </c>
      <c r="J32" s="522">
        <f t="shared" si="3"/>
        <v>0</v>
      </c>
      <c r="K32" s="522">
        <f t="shared" si="3"/>
        <v>0</v>
      </c>
      <c r="L32" s="522">
        <f t="shared" si="3"/>
        <v>0</v>
      </c>
      <c r="M32" s="548">
        <f t="shared" si="3"/>
        <v>0</v>
      </c>
      <c r="N32" s="501">
        <f t="shared" si="4"/>
        <v>12</v>
      </c>
      <c r="O32" s="180"/>
    </row>
    <row r="33" spans="2:15" ht="14" thickBot="1" x14ac:dyDescent="0.2">
      <c r="B33" s="480"/>
      <c r="C33" s="502" t="s">
        <v>273</v>
      </c>
      <c r="D33" s="503">
        <f>IF(D20&gt;$I$11,0,IPMT($E$5,D20,$I$11,$B$25))</f>
        <v>0</v>
      </c>
      <c r="E33" s="503">
        <f t="shared" ref="E33:M33" si="5">IF(E20&gt;$I$11,0,IPMT($E$5,E20,$I$11,$B$25))</f>
        <v>0</v>
      </c>
      <c r="F33" s="503">
        <f t="shared" si="5"/>
        <v>0</v>
      </c>
      <c r="G33" s="503">
        <f t="shared" si="5"/>
        <v>0</v>
      </c>
      <c r="H33" s="503">
        <f t="shared" si="5"/>
        <v>0</v>
      </c>
      <c r="I33" s="503">
        <f t="shared" si="5"/>
        <v>0</v>
      </c>
      <c r="J33" s="503">
        <f t="shared" si="5"/>
        <v>0</v>
      </c>
      <c r="K33" s="503">
        <f t="shared" si="5"/>
        <v>0</v>
      </c>
      <c r="L33" s="503">
        <f t="shared" si="5"/>
        <v>0</v>
      </c>
      <c r="M33" s="503">
        <f t="shared" si="5"/>
        <v>0</v>
      </c>
      <c r="N33" s="504">
        <f t="shared" si="4"/>
        <v>0</v>
      </c>
      <c r="O33" s="180"/>
    </row>
    <row r="34" spans="2:15" ht="14" thickBot="1" x14ac:dyDescent="0.2">
      <c r="B34" s="516"/>
      <c r="C34" s="520" t="s">
        <v>663</v>
      </c>
      <c r="D34" s="522">
        <f>IF(D20&gt;$I$11,0,PPMT($E$5,D20,$I$11,$B$25))</f>
        <v>0</v>
      </c>
      <c r="E34" s="522">
        <f t="shared" ref="E34:M34" si="6">IF(E20&gt;$I$11,0,PPMT($E$5,E20,$I$11,$B$25))</f>
        <v>0</v>
      </c>
      <c r="F34" s="522">
        <f t="shared" si="6"/>
        <v>0</v>
      </c>
      <c r="G34" s="522">
        <f t="shared" si="6"/>
        <v>0</v>
      </c>
      <c r="H34" s="522">
        <f t="shared" si="6"/>
        <v>0</v>
      </c>
      <c r="I34" s="522">
        <f t="shared" si="6"/>
        <v>0</v>
      </c>
      <c r="J34" s="522">
        <f t="shared" si="6"/>
        <v>0</v>
      </c>
      <c r="K34" s="522">
        <f t="shared" si="6"/>
        <v>0</v>
      </c>
      <c r="L34" s="522">
        <f t="shared" si="6"/>
        <v>0</v>
      </c>
      <c r="M34" s="522">
        <f t="shared" si="6"/>
        <v>0</v>
      </c>
      <c r="N34" s="504">
        <f t="shared" si="4"/>
        <v>0</v>
      </c>
      <c r="O34" s="273"/>
    </row>
    <row r="36" spans="2:15" ht="14" thickBot="1" x14ac:dyDescent="0.2"/>
    <row r="37" spans="2:15" ht="14" thickBot="1" x14ac:dyDescent="0.2">
      <c r="B37" s="481" t="s">
        <v>413</v>
      </c>
      <c r="C37" s="496"/>
      <c r="D37" s="483" t="s">
        <v>133</v>
      </c>
      <c r="E37" s="483" t="s">
        <v>133</v>
      </c>
      <c r="F37" s="483" t="s">
        <v>133</v>
      </c>
      <c r="G37" s="483" t="s">
        <v>133</v>
      </c>
      <c r="H37" s="483" t="s">
        <v>133</v>
      </c>
      <c r="I37" s="483" t="s">
        <v>133</v>
      </c>
      <c r="J37" s="483" t="s">
        <v>133</v>
      </c>
      <c r="K37" s="483" t="s">
        <v>133</v>
      </c>
      <c r="L37" s="483" t="s">
        <v>133</v>
      </c>
      <c r="M37" s="483" t="s">
        <v>133</v>
      </c>
      <c r="N37" s="272"/>
      <c r="O37" s="497" t="str">
        <f>B37</f>
        <v>-20%</v>
      </c>
    </row>
    <row r="38" spans="2:15" x14ac:dyDescent="0.15">
      <c r="B38" s="514"/>
      <c r="C38" s="426" t="s">
        <v>660</v>
      </c>
      <c r="D38" s="4">
        <v>1</v>
      </c>
      <c r="E38" s="4">
        <f>D38+1</f>
        <v>2</v>
      </c>
      <c r="F38" s="4">
        <f>E38+1</f>
        <v>3</v>
      </c>
      <c r="G38" s="4">
        <f t="shared" ref="G38:M38" si="7">F38+1</f>
        <v>4</v>
      </c>
      <c r="H38" s="4">
        <f t="shared" si="7"/>
        <v>5</v>
      </c>
      <c r="I38" s="4">
        <f t="shared" si="7"/>
        <v>6</v>
      </c>
      <c r="J38" s="4">
        <f t="shared" si="7"/>
        <v>7</v>
      </c>
      <c r="K38" s="4">
        <f t="shared" si="7"/>
        <v>8</v>
      </c>
      <c r="L38" s="4">
        <f t="shared" si="7"/>
        <v>9</v>
      </c>
      <c r="M38" s="4">
        <f t="shared" si="7"/>
        <v>10</v>
      </c>
      <c r="N38" s="500" t="s">
        <v>285</v>
      </c>
      <c r="O38" s="480"/>
    </row>
    <row r="39" spans="2:15" x14ac:dyDescent="0.15">
      <c r="B39" s="480" t="s">
        <v>661</v>
      </c>
      <c r="C39" s="426">
        <v>1</v>
      </c>
      <c r="D39" s="2">
        <f>IF(ISNUMBER(IPMT($E$6/12,((D$20-1)*12)+$C39,$I$11*12,$C$4)),IPMT($E$6/12,((D$20-1)*12)+$C39,$I$11*12,$C$4),0)</f>
        <v>0</v>
      </c>
      <c r="E39" s="2">
        <f t="shared" ref="E39:M39" si="8">IF(ISNUMBER(IPMT($E$6/12,((E$20-1)*12)+$C39,$I$11*12,$C$4)),IPMT($E$6/12,((E$20-1)*12)+$C39,$I$11*12,$C$4),0)</f>
        <v>0</v>
      </c>
      <c r="F39" s="2">
        <f t="shared" si="8"/>
        <v>0</v>
      </c>
      <c r="G39" s="2">
        <f t="shared" si="8"/>
        <v>0</v>
      </c>
      <c r="H39" s="2">
        <f t="shared" si="8"/>
        <v>0</v>
      </c>
      <c r="I39" s="2">
        <f t="shared" si="8"/>
        <v>0</v>
      </c>
      <c r="J39" s="2">
        <f t="shared" si="8"/>
        <v>0</v>
      </c>
      <c r="K39" s="2">
        <f t="shared" si="8"/>
        <v>0</v>
      </c>
      <c r="L39" s="2">
        <f t="shared" si="8"/>
        <v>0</v>
      </c>
      <c r="M39" s="2">
        <f t="shared" si="8"/>
        <v>0</v>
      </c>
      <c r="N39" s="501">
        <f>SUM(C39:M39)</f>
        <v>1</v>
      </c>
      <c r="O39" s="480"/>
    </row>
    <row r="40" spans="2:15" x14ac:dyDescent="0.15">
      <c r="B40" s="515">
        <f>-PMT($E$6/12,$I$11*12,$C$4)</f>
        <v>0</v>
      </c>
      <c r="C40" s="426">
        <v>2</v>
      </c>
      <c r="D40" s="2">
        <f t="shared" ref="D40:M50" si="9">IF(ISNUMBER(IPMT($E$6/12,((D$20-1)*12)+$C40,$I$11*12,$C$4)),IPMT($E$6/12,((D$20-1)*12)+$C40,$I$11*12,$C$4),0)</f>
        <v>0</v>
      </c>
      <c r="E40" s="2">
        <f t="shared" si="9"/>
        <v>0</v>
      </c>
      <c r="F40" s="2">
        <f t="shared" si="9"/>
        <v>0</v>
      </c>
      <c r="G40" s="2">
        <f t="shared" si="9"/>
        <v>0</v>
      </c>
      <c r="H40" s="2">
        <f t="shared" si="9"/>
        <v>0</v>
      </c>
      <c r="I40" s="2">
        <f t="shared" si="9"/>
        <v>0</v>
      </c>
      <c r="J40" s="2">
        <f t="shared" si="9"/>
        <v>0</v>
      </c>
      <c r="K40" s="2">
        <f t="shared" si="9"/>
        <v>0</v>
      </c>
      <c r="L40" s="2">
        <f t="shared" si="9"/>
        <v>0</v>
      </c>
      <c r="M40" s="2">
        <f t="shared" si="9"/>
        <v>0</v>
      </c>
      <c r="N40" s="501">
        <f t="shared" ref="N40:N52" si="10">SUM(C40:M40)</f>
        <v>2</v>
      </c>
      <c r="O40" s="480"/>
    </row>
    <row r="41" spans="2:15" x14ac:dyDescent="0.15">
      <c r="B41" s="544">
        <f>B40*12</f>
        <v>0</v>
      </c>
      <c r="C41" s="426">
        <v>3</v>
      </c>
      <c r="D41" s="2">
        <f t="shared" si="9"/>
        <v>0</v>
      </c>
      <c r="E41" s="2">
        <f t="shared" si="9"/>
        <v>0</v>
      </c>
      <c r="F41" s="2">
        <f t="shared" si="9"/>
        <v>0</v>
      </c>
      <c r="G41" s="2">
        <f t="shared" si="9"/>
        <v>0</v>
      </c>
      <c r="H41" s="2">
        <f t="shared" si="9"/>
        <v>0</v>
      </c>
      <c r="I41" s="2">
        <f t="shared" si="9"/>
        <v>0</v>
      </c>
      <c r="J41" s="2">
        <f t="shared" si="9"/>
        <v>0</v>
      </c>
      <c r="K41" s="2">
        <f t="shared" si="9"/>
        <v>0</v>
      </c>
      <c r="L41" s="2">
        <f t="shared" si="9"/>
        <v>0</v>
      </c>
      <c r="M41" s="2">
        <f t="shared" si="9"/>
        <v>0</v>
      </c>
      <c r="N41" s="501">
        <f t="shared" si="10"/>
        <v>3</v>
      </c>
      <c r="O41" s="480"/>
    </row>
    <row r="42" spans="2:15" x14ac:dyDescent="0.15">
      <c r="B42" s="480" t="s">
        <v>665</v>
      </c>
      <c r="C42" s="426">
        <v>4</v>
      </c>
      <c r="D42" s="2">
        <f t="shared" si="9"/>
        <v>0</v>
      </c>
      <c r="E42" s="2">
        <f t="shared" si="9"/>
        <v>0</v>
      </c>
      <c r="F42" s="2">
        <f t="shared" si="9"/>
        <v>0</v>
      </c>
      <c r="G42" s="2">
        <f t="shared" si="9"/>
        <v>0</v>
      </c>
      <c r="H42" s="2">
        <f t="shared" si="9"/>
        <v>0</v>
      </c>
      <c r="I42" s="2">
        <f t="shared" si="9"/>
        <v>0</v>
      </c>
      <c r="J42" s="2">
        <f t="shared" si="9"/>
        <v>0</v>
      </c>
      <c r="K42" s="2">
        <f t="shared" si="9"/>
        <v>0</v>
      </c>
      <c r="L42" s="2">
        <f t="shared" si="9"/>
        <v>0</v>
      </c>
      <c r="M42" s="2">
        <f t="shared" si="9"/>
        <v>0</v>
      </c>
      <c r="N42" s="501">
        <f t="shared" si="10"/>
        <v>4</v>
      </c>
      <c r="O42" s="480"/>
    </row>
    <row r="43" spans="2:15" x14ac:dyDescent="0.15">
      <c r="B43" s="543">
        <f>$C$10</f>
        <v>0</v>
      </c>
      <c r="C43" s="426">
        <v>5</v>
      </c>
      <c r="D43" s="2">
        <f t="shared" si="9"/>
        <v>0</v>
      </c>
      <c r="E43" s="2">
        <f t="shared" si="9"/>
        <v>0</v>
      </c>
      <c r="F43" s="2">
        <f t="shared" si="9"/>
        <v>0</v>
      </c>
      <c r="G43" s="2">
        <f t="shared" si="9"/>
        <v>0</v>
      </c>
      <c r="H43" s="2">
        <f t="shared" si="9"/>
        <v>0</v>
      </c>
      <c r="I43" s="2">
        <f t="shared" si="9"/>
        <v>0</v>
      </c>
      <c r="J43" s="2">
        <f t="shared" si="9"/>
        <v>0</v>
      </c>
      <c r="K43" s="2">
        <f t="shared" si="9"/>
        <v>0</v>
      </c>
      <c r="L43" s="2">
        <f t="shared" si="9"/>
        <v>0</v>
      </c>
      <c r="M43" s="2">
        <f t="shared" si="9"/>
        <v>0</v>
      </c>
      <c r="N43" s="501">
        <f t="shared" si="10"/>
        <v>5</v>
      </c>
      <c r="O43" s="480"/>
    </row>
    <row r="44" spans="2:15" x14ac:dyDescent="0.15">
      <c r="B44" s="480"/>
      <c r="C44" s="426">
        <v>6</v>
      </c>
      <c r="D44" s="2">
        <f t="shared" si="9"/>
        <v>0</v>
      </c>
      <c r="E44" s="2">
        <f t="shared" si="9"/>
        <v>0</v>
      </c>
      <c r="F44" s="2">
        <f t="shared" si="9"/>
        <v>0</v>
      </c>
      <c r="G44" s="2">
        <f t="shared" si="9"/>
        <v>0</v>
      </c>
      <c r="H44" s="2">
        <f t="shared" si="9"/>
        <v>0</v>
      </c>
      <c r="I44" s="2">
        <f t="shared" si="9"/>
        <v>0</v>
      </c>
      <c r="J44" s="2">
        <f t="shared" si="9"/>
        <v>0</v>
      </c>
      <c r="K44" s="2">
        <f t="shared" si="9"/>
        <v>0</v>
      </c>
      <c r="L44" s="2">
        <f t="shared" si="9"/>
        <v>0</v>
      </c>
      <c r="M44" s="2">
        <f t="shared" si="9"/>
        <v>0</v>
      </c>
      <c r="N44" s="501">
        <f t="shared" si="10"/>
        <v>6</v>
      </c>
      <c r="O44" s="480"/>
    </row>
    <row r="45" spans="2:15" x14ac:dyDescent="0.15">
      <c r="B45" s="480"/>
      <c r="C45" s="426">
        <v>7</v>
      </c>
      <c r="D45" s="2">
        <f t="shared" si="9"/>
        <v>0</v>
      </c>
      <c r="E45" s="2">
        <f t="shared" si="9"/>
        <v>0</v>
      </c>
      <c r="F45" s="2">
        <f t="shared" si="9"/>
        <v>0</v>
      </c>
      <c r="G45" s="2">
        <f t="shared" si="9"/>
        <v>0</v>
      </c>
      <c r="H45" s="2">
        <f t="shared" si="9"/>
        <v>0</v>
      </c>
      <c r="I45" s="2">
        <f t="shared" si="9"/>
        <v>0</v>
      </c>
      <c r="J45" s="2">
        <f t="shared" si="9"/>
        <v>0</v>
      </c>
      <c r="K45" s="2">
        <f t="shared" si="9"/>
        <v>0</v>
      </c>
      <c r="L45" s="2">
        <f t="shared" si="9"/>
        <v>0</v>
      </c>
      <c r="M45" s="2">
        <f t="shared" si="9"/>
        <v>0</v>
      </c>
      <c r="N45" s="501">
        <f t="shared" si="10"/>
        <v>7</v>
      </c>
      <c r="O45" s="480"/>
    </row>
    <row r="46" spans="2:15" x14ac:dyDescent="0.15">
      <c r="B46" s="480"/>
      <c r="C46" s="426">
        <v>8</v>
      </c>
      <c r="D46" s="2">
        <f t="shared" si="9"/>
        <v>0</v>
      </c>
      <c r="E46" s="2">
        <f t="shared" si="9"/>
        <v>0</v>
      </c>
      <c r="F46" s="2">
        <f t="shared" si="9"/>
        <v>0</v>
      </c>
      <c r="G46" s="2">
        <f t="shared" si="9"/>
        <v>0</v>
      </c>
      <c r="H46" s="2">
        <f t="shared" si="9"/>
        <v>0</v>
      </c>
      <c r="I46" s="2">
        <f t="shared" si="9"/>
        <v>0</v>
      </c>
      <c r="J46" s="2">
        <f t="shared" si="9"/>
        <v>0</v>
      </c>
      <c r="K46" s="2">
        <f t="shared" si="9"/>
        <v>0</v>
      </c>
      <c r="L46" s="2">
        <f t="shared" si="9"/>
        <v>0</v>
      </c>
      <c r="M46" s="2">
        <f t="shared" si="9"/>
        <v>0</v>
      </c>
      <c r="N46" s="501">
        <f t="shared" si="10"/>
        <v>8</v>
      </c>
      <c r="O46" s="480"/>
    </row>
    <row r="47" spans="2:15" x14ac:dyDescent="0.15">
      <c r="B47" s="480"/>
      <c r="C47" s="426">
        <v>9</v>
      </c>
      <c r="D47" s="2">
        <f t="shared" si="9"/>
        <v>0</v>
      </c>
      <c r="E47" s="2">
        <f t="shared" si="9"/>
        <v>0</v>
      </c>
      <c r="F47" s="2">
        <f t="shared" si="9"/>
        <v>0</v>
      </c>
      <c r="G47" s="2">
        <f t="shared" si="9"/>
        <v>0</v>
      </c>
      <c r="H47" s="2">
        <f t="shared" si="9"/>
        <v>0</v>
      </c>
      <c r="I47" s="2">
        <f t="shared" si="9"/>
        <v>0</v>
      </c>
      <c r="J47" s="2">
        <f t="shared" si="9"/>
        <v>0</v>
      </c>
      <c r="K47" s="2">
        <f t="shared" si="9"/>
        <v>0</v>
      </c>
      <c r="L47" s="2">
        <f t="shared" si="9"/>
        <v>0</v>
      </c>
      <c r="M47" s="2">
        <f t="shared" si="9"/>
        <v>0</v>
      </c>
      <c r="N47" s="501">
        <f t="shared" si="10"/>
        <v>9</v>
      </c>
      <c r="O47" s="480"/>
    </row>
    <row r="48" spans="2:15" x14ac:dyDescent="0.15">
      <c r="B48" s="480"/>
      <c r="C48" s="426">
        <v>10</v>
      </c>
      <c r="D48" s="2">
        <f t="shared" si="9"/>
        <v>0</v>
      </c>
      <c r="E48" s="2">
        <f t="shared" si="9"/>
        <v>0</v>
      </c>
      <c r="F48" s="2">
        <f t="shared" si="9"/>
        <v>0</v>
      </c>
      <c r="G48" s="2">
        <f t="shared" si="9"/>
        <v>0</v>
      </c>
      <c r="H48" s="2">
        <f t="shared" si="9"/>
        <v>0</v>
      </c>
      <c r="I48" s="2">
        <f t="shared" si="9"/>
        <v>0</v>
      </c>
      <c r="J48" s="2">
        <f t="shared" si="9"/>
        <v>0</v>
      </c>
      <c r="K48" s="2">
        <f t="shared" si="9"/>
        <v>0</v>
      </c>
      <c r="L48" s="2">
        <f t="shared" si="9"/>
        <v>0</v>
      </c>
      <c r="M48" s="2">
        <f t="shared" si="9"/>
        <v>0</v>
      </c>
      <c r="N48" s="501">
        <f t="shared" si="10"/>
        <v>10</v>
      </c>
      <c r="O48" s="480"/>
    </row>
    <row r="49" spans="2:15" x14ac:dyDescent="0.15">
      <c r="B49" s="480"/>
      <c r="C49" s="426">
        <v>11</v>
      </c>
      <c r="D49" s="2">
        <f t="shared" si="9"/>
        <v>0</v>
      </c>
      <c r="E49" s="2">
        <f t="shared" si="9"/>
        <v>0</v>
      </c>
      <c r="F49" s="2">
        <f t="shared" si="9"/>
        <v>0</v>
      </c>
      <c r="G49" s="2">
        <f t="shared" si="9"/>
        <v>0</v>
      </c>
      <c r="H49" s="2">
        <f t="shared" si="9"/>
        <v>0</v>
      </c>
      <c r="I49" s="2">
        <f t="shared" si="9"/>
        <v>0</v>
      </c>
      <c r="J49" s="2">
        <f t="shared" si="9"/>
        <v>0</v>
      </c>
      <c r="K49" s="2">
        <f t="shared" si="9"/>
        <v>0</v>
      </c>
      <c r="L49" s="2">
        <f t="shared" si="9"/>
        <v>0</v>
      </c>
      <c r="M49" s="2">
        <f t="shared" si="9"/>
        <v>0</v>
      </c>
      <c r="N49" s="501">
        <f t="shared" si="10"/>
        <v>11</v>
      </c>
      <c r="O49" s="480"/>
    </row>
    <row r="50" spans="2:15" ht="14" thickBot="1" x14ac:dyDescent="0.2">
      <c r="B50" s="480"/>
      <c r="C50" s="426">
        <v>12</v>
      </c>
      <c r="D50" s="2">
        <f t="shared" si="9"/>
        <v>0</v>
      </c>
      <c r="E50" s="2">
        <f t="shared" si="9"/>
        <v>0</v>
      </c>
      <c r="F50" s="2">
        <f t="shared" si="9"/>
        <v>0</v>
      </c>
      <c r="G50" s="2">
        <f t="shared" si="9"/>
        <v>0</v>
      </c>
      <c r="H50" s="2">
        <f t="shared" si="9"/>
        <v>0</v>
      </c>
      <c r="I50" s="2">
        <f t="shared" si="9"/>
        <v>0</v>
      </c>
      <c r="J50" s="2">
        <f t="shared" si="9"/>
        <v>0</v>
      </c>
      <c r="K50" s="2">
        <f t="shared" si="9"/>
        <v>0</v>
      </c>
      <c r="L50" s="2">
        <f t="shared" si="9"/>
        <v>0</v>
      </c>
      <c r="M50" s="2">
        <f t="shared" si="9"/>
        <v>0</v>
      </c>
      <c r="N50" s="501">
        <f t="shared" si="10"/>
        <v>12</v>
      </c>
      <c r="O50" s="480"/>
    </row>
    <row r="51" spans="2:15" ht="14" thickBot="1" x14ac:dyDescent="0.2">
      <c r="B51" s="480"/>
      <c r="C51" s="502" t="s">
        <v>273</v>
      </c>
      <c r="D51" s="503">
        <f>IF(D38&gt;$I$11,0,IPMT($E$6,D38,$I$11,$B$25))</f>
        <v>0</v>
      </c>
      <c r="E51" s="503">
        <f t="shared" ref="E51:M51" si="11">IF(E38&gt;$I$11,0,IPMT($E$6,E38,$I$11,$B$25))</f>
        <v>0</v>
      </c>
      <c r="F51" s="503">
        <f t="shared" si="11"/>
        <v>0</v>
      </c>
      <c r="G51" s="503">
        <f t="shared" si="11"/>
        <v>0</v>
      </c>
      <c r="H51" s="503">
        <f t="shared" si="11"/>
        <v>0</v>
      </c>
      <c r="I51" s="503">
        <f t="shared" si="11"/>
        <v>0</v>
      </c>
      <c r="J51" s="503">
        <f t="shared" si="11"/>
        <v>0</v>
      </c>
      <c r="K51" s="503">
        <f t="shared" si="11"/>
        <v>0</v>
      </c>
      <c r="L51" s="503">
        <f t="shared" si="11"/>
        <v>0</v>
      </c>
      <c r="M51" s="503">
        <f t="shared" si="11"/>
        <v>0</v>
      </c>
      <c r="N51" s="504">
        <f t="shared" si="10"/>
        <v>0</v>
      </c>
      <c r="O51" s="480"/>
    </row>
    <row r="52" spans="2:15" ht="14" thickBot="1" x14ac:dyDescent="0.2">
      <c r="B52" s="516"/>
      <c r="C52" s="520" t="s">
        <v>663</v>
      </c>
      <c r="D52" s="522">
        <f>IF(D38&gt;$I$11,0,PPMT($E$6,D38,$I$11,$B$25))</f>
        <v>0</v>
      </c>
      <c r="E52" s="522">
        <f t="shared" ref="E52:M52" si="12">IF(E38&gt;$I$11,0,PPMT($E$6,E38,$I$11,$B$25))</f>
        <v>0</v>
      </c>
      <c r="F52" s="522">
        <f t="shared" si="12"/>
        <v>0</v>
      </c>
      <c r="G52" s="522">
        <f t="shared" si="12"/>
        <v>0</v>
      </c>
      <c r="H52" s="522">
        <f t="shared" si="12"/>
        <v>0</v>
      </c>
      <c r="I52" s="522">
        <f t="shared" si="12"/>
        <v>0</v>
      </c>
      <c r="J52" s="522">
        <f t="shared" si="12"/>
        <v>0</v>
      </c>
      <c r="K52" s="522">
        <f t="shared" si="12"/>
        <v>0</v>
      </c>
      <c r="L52" s="522">
        <f t="shared" si="12"/>
        <v>0</v>
      </c>
      <c r="M52" s="522">
        <f t="shared" si="12"/>
        <v>0</v>
      </c>
      <c r="N52" s="504">
        <f t="shared" si="10"/>
        <v>0</v>
      </c>
      <c r="O52" s="482"/>
    </row>
    <row r="54" spans="2:15" ht="14" thickBot="1" x14ac:dyDescent="0.2"/>
    <row r="55" spans="2:15" ht="14" thickBot="1" x14ac:dyDescent="0.2">
      <c r="B55" s="495" t="s">
        <v>414</v>
      </c>
      <c r="C55" s="178"/>
      <c r="D55" s="483" t="s">
        <v>133</v>
      </c>
      <c r="E55" s="483" t="s">
        <v>133</v>
      </c>
      <c r="F55" s="483" t="s">
        <v>133</v>
      </c>
      <c r="G55" s="483" t="s">
        <v>133</v>
      </c>
      <c r="H55" s="483" t="s">
        <v>133</v>
      </c>
      <c r="I55" s="483" t="s">
        <v>133</v>
      </c>
      <c r="J55" s="483" t="s">
        <v>133</v>
      </c>
      <c r="K55" s="483" t="s">
        <v>133</v>
      </c>
      <c r="L55" s="483" t="s">
        <v>133</v>
      </c>
      <c r="M55" s="483" t="s">
        <v>133</v>
      </c>
      <c r="N55" s="178"/>
      <c r="O55" s="497" t="str">
        <f>B55</f>
        <v>-15%</v>
      </c>
    </row>
    <row r="56" spans="2:15" x14ac:dyDescent="0.15">
      <c r="B56" s="514"/>
      <c r="C56" s="4" t="s">
        <v>660</v>
      </c>
      <c r="D56" s="4">
        <v>1</v>
      </c>
      <c r="E56" s="4">
        <f>D56+1</f>
        <v>2</v>
      </c>
      <c r="F56" s="4">
        <f>E56+1</f>
        <v>3</v>
      </c>
      <c r="G56" s="4">
        <f t="shared" ref="G56:M56" si="13">F56+1</f>
        <v>4</v>
      </c>
      <c r="H56" s="4">
        <f t="shared" si="13"/>
        <v>5</v>
      </c>
      <c r="I56" s="4">
        <f t="shared" si="13"/>
        <v>6</v>
      </c>
      <c r="J56" s="4">
        <f t="shared" si="13"/>
        <v>7</v>
      </c>
      <c r="K56" s="4">
        <f t="shared" si="13"/>
        <v>8</v>
      </c>
      <c r="L56" s="4">
        <f t="shared" si="13"/>
        <v>9</v>
      </c>
      <c r="M56" s="4">
        <f t="shared" si="13"/>
        <v>10</v>
      </c>
      <c r="N56" s="4" t="s">
        <v>285</v>
      </c>
      <c r="O56" s="479"/>
    </row>
    <row r="57" spans="2:15" x14ac:dyDescent="0.15">
      <c r="B57" s="480" t="s">
        <v>661</v>
      </c>
      <c r="C57" s="4">
        <v>1</v>
      </c>
      <c r="D57" s="2">
        <f>IF(ISNUMBER(IPMT($E$7/12,((D$20-1)*12)+$C57,$I$11*12,$C$4)),IPMT($E$7/12,((D$20-1)*12)+$C57,$I$11*12,$C$4),0)</f>
        <v>0</v>
      </c>
      <c r="E57" s="2">
        <f t="shared" ref="E57:M57" si="14">IF(ISNUMBER(IPMT($E$7/12,((E$20-1)*12)+$C57,$I$11*12,$C$4)),IPMT($E$7/12,((E$20-1)*12)+$C57,$I$11*12,$C$4),0)</f>
        <v>0</v>
      </c>
      <c r="F57" s="2">
        <f t="shared" si="14"/>
        <v>0</v>
      </c>
      <c r="G57" s="2">
        <f t="shared" si="14"/>
        <v>0</v>
      </c>
      <c r="H57" s="2">
        <f t="shared" si="14"/>
        <v>0</v>
      </c>
      <c r="I57" s="2">
        <f t="shared" si="14"/>
        <v>0</v>
      </c>
      <c r="J57" s="2">
        <f t="shared" si="14"/>
        <v>0</v>
      </c>
      <c r="K57" s="2">
        <f t="shared" si="14"/>
        <v>0</v>
      </c>
      <c r="L57" s="2">
        <f t="shared" si="14"/>
        <v>0</v>
      </c>
      <c r="M57" s="2">
        <f t="shared" si="14"/>
        <v>0</v>
      </c>
      <c r="N57" s="2">
        <f>SUM(C57:M57)</f>
        <v>1</v>
      </c>
      <c r="O57" s="480"/>
    </row>
    <row r="58" spans="2:15" x14ac:dyDescent="0.15">
      <c r="B58" s="515">
        <f>-PMT($E$7/12,$I$11*12,$C$4)</f>
        <v>0</v>
      </c>
      <c r="C58" s="4">
        <v>2</v>
      </c>
      <c r="D58" s="2">
        <f t="shared" ref="D58:M68" si="15">IF(ISNUMBER(IPMT($E$7/12,((D$20-1)*12)+$C58,$I$11*12,$C$4)),IPMT($E$7/12,((D$20-1)*12)+$C58,$I$11*12,$C$4),0)</f>
        <v>0</v>
      </c>
      <c r="E58" s="2">
        <f t="shared" si="15"/>
        <v>0</v>
      </c>
      <c r="F58" s="2">
        <f t="shared" si="15"/>
        <v>0</v>
      </c>
      <c r="G58" s="2">
        <f t="shared" si="15"/>
        <v>0</v>
      </c>
      <c r="H58" s="2">
        <f t="shared" si="15"/>
        <v>0</v>
      </c>
      <c r="I58" s="2">
        <f t="shared" si="15"/>
        <v>0</v>
      </c>
      <c r="J58" s="2">
        <f t="shared" si="15"/>
        <v>0</v>
      </c>
      <c r="K58" s="2">
        <f t="shared" si="15"/>
        <v>0</v>
      </c>
      <c r="L58" s="2">
        <f t="shared" si="15"/>
        <v>0</v>
      </c>
      <c r="M58" s="2">
        <f t="shared" si="15"/>
        <v>0</v>
      </c>
      <c r="N58" s="2">
        <f t="shared" ref="N58:N70" si="16">SUM(C58:M58)</f>
        <v>2</v>
      </c>
      <c r="O58" s="480"/>
    </row>
    <row r="59" spans="2:15" x14ac:dyDescent="0.15">
      <c r="B59" s="544">
        <f>B58*12</f>
        <v>0</v>
      </c>
      <c r="C59" s="4">
        <v>3</v>
      </c>
      <c r="D59" s="2">
        <f t="shared" si="15"/>
        <v>0</v>
      </c>
      <c r="E59" s="2">
        <f t="shared" si="15"/>
        <v>0</v>
      </c>
      <c r="F59" s="2">
        <f t="shared" si="15"/>
        <v>0</v>
      </c>
      <c r="G59" s="2">
        <f t="shared" si="15"/>
        <v>0</v>
      </c>
      <c r="H59" s="2">
        <f t="shared" si="15"/>
        <v>0</v>
      </c>
      <c r="I59" s="2">
        <f t="shared" si="15"/>
        <v>0</v>
      </c>
      <c r="J59" s="2">
        <f t="shared" si="15"/>
        <v>0</v>
      </c>
      <c r="K59" s="2">
        <f t="shared" si="15"/>
        <v>0</v>
      </c>
      <c r="L59" s="2">
        <f t="shared" si="15"/>
        <v>0</v>
      </c>
      <c r="M59" s="2">
        <f t="shared" si="15"/>
        <v>0</v>
      </c>
      <c r="N59" s="2">
        <f t="shared" si="16"/>
        <v>3</v>
      </c>
      <c r="O59" s="480"/>
    </row>
    <row r="60" spans="2:15" x14ac:dyDescent="0.15">
      <c r="B60" s="480" t="s">
        <v>665</v>
      </c>
      <c r="C60" s="4">
        <v>4</v>
      </c>
      <c r="D60" s="2">
        <f t="shared" si="15"/>
        <v>0</v>
      </c>
      <c r="E60" s="2">
        <f t="shared" si="15"/>
        <v>0</v>
      </c>
      <c r="F60" s="2">
        <f t="shared" si="15"/>
        <v>0</v>
      </c>
      <c r="G60" s="2">
        <f t="shared" si="15"/>
        <v>0</v>
      </c>
      <c r="H60" s="2">
        <f t="shared" si="15"/>
        <v>0</v>
      </c>
      <c r="I60" s="2">
        <f t="shared" si="15"/>
        <v>0</v>
      </c>
      <c r="J60" s="2">
        <f t="shared" si="15"/>
        <v>0</v>
      </c>
      <c r="K60" s="2">
        <f t="shared" si="15"/>
        <v>0</v>
      </c>
      <c r="L60" s="2">
        <f t="shared" si="15"/>
        <v>0</v>
      </c>
      <c r="M60" s="2">
        <f t="shared" si="15"/>
        <v>0</v>
      </c>
      <c r="N60" s="2">
        <f t="shared" si="16"/>
        <v>4</v>
      </c>
      <c r="O60" s="480"/>
    </row>
    <row r="61" spans="2:15" x14ac:dyDescent="0.15">
      <c r="B61" s="543">
        <f>$C$10</f>
        <v>0</v>
      </c>
      <c r="C61" s="4">
        <v>5</v>
      </c>
      <c r="D61" s="2">
        <f t="shared" si="15"/>
        <v>0</v>
      </c>
      <c r="E61" s="2">
        <f t="shared" si="15"/>
        <v>0</v>
      </c>
      <c r="F61" s="2">
        <f t="shared" si="15"/>
        <v>0</v>
      </c>
      <c r="G61" s="2">
        <f t="shared" si="15"/>
        <v>0</v>
      </c>
      <c r="H61" s="2">
        <f t="shared" si="15"/>
        <v>0</v>
      </c>
      <c r="I61" s="2">
        <f t="shared" si="15"/>
        <v>0</v>
      </c>
      <c r="J61" s="2">
        <f t="shared" si="15"/>
        <v>0</v>
      </c>
      <c r="K61" s="2">
        <f t="shared" si="15"/>
        <v>0</v>
      </c>
      <c r="L61" s="2">
        <f t="shared" si="15"/>
        <v>0</v>
      </c>
      <c r="M61" s="2">
        <f t="shared" si="15"/>
        <v>0</v>
      </c>
      <c r="N61" s="2">
        <f t="shared" si="16"/>
        <v>5</v>
      </c>
      <c r="O61" s="480"/>
    </row>
    <row r="62" spans="2:15" x14ac:dyDescent="0.15">
      <c r="B62" s="480"/>
      <c r="C62" s="4">
        <v>6</v>
      </c>
      <c r="D62" s="2">
        <f t="shared" si="15"/>
        <v>0</v>
      </c>
      <c r="E62" s="2">
        <f t="shared" si="15"/>
        <v>0</v>
      </c>
      <c r="F62" s="2">
        <f t="shared" si="15"/>
        <v>0</v>
      </c>
      <c r="G62" s="2">
        <f t="shared" si="15"/>
        <v>0</v>
      </c>
      <c r="H62" s="2">
        <f t="shared" si="15"/>
        <v>0</v>
      </c>
      <c r="I62" s="2">
        <f t="shared" si="15"/>
        <v>0</v>
      </c>
      <c r="J62" s="2">
        <f t="shared" si="15"/>
        <v>0</v>
      </c>
      <c r="K62" s="2">
        <f t="shared" si="15"/>
        <v>0</v>
      </c>
      <c r="L62" s="2">
        <f t="shared" si="15"/>
        <v>0</v>
      </c>
      <c r="M62" s="2">
        <f t="shared" si="15"/>
        <v>0</v>
      </c>
      <c r="N62" s="2">
        <f t="shared" si="16"/>
        <v>6</v>
      </c>
      <c r="O62" s="480"/>
    </row>
    <row r="63" spans="2:15" x14ac:dyDescent="0.15">
      <c r="B63" s="480"/>
      <c r="C63" s="4">
        <v>7</v>
      </c>
      <c r="D63" s="2">
        <f t="shared" si="15"/>
        <v>0</v>
      </c>
      <c r="E63" s="2">
        <f t="shared" si="15"/>
        <v>0</v>
      </c>
      <c r="F63" s="2">
        <f t="shared" si="15"/>
        <v>0</v>
      </c>
      <c r="G63" s="2">
        <f t="shared" si="15"/>
        <v>0</v>
      </c>
      <c r="H63" s="2">
        <f t="shared" si="15"/>
        <v>0</v>
      </c>
      <c r="I63" s="2">
        <f t="shared" si="15"/>
        <v>0</v>
      </c>
      <c r="J63" s="2">
        <f t="shared" si="15"/>
        <v>0</v>
      </c>
      <c r="K63" s="2">
        <f t="shared" si="15"/>
        <v>0</v>
      </c>
      <c r="L63" s="2">
        <f t="shared" si="15"/>
        <v>0</v>
      </c>
      <c r="M63" s="2">
        <f t="shared" si="15"/>
        <v>0</v>
      </c>
      <c r="N63" s="2">
        <f t="shared" si="16"/>
        <v>7</v>
      </c>
      <c r="O63" s="480"/>
    </row>
    <row r="64" spans="2:15" x14ac:dyDescent="0.15">
      <c r="B64" s="480"/>
      <c r="C64" s="4">
        <v>8</v>
      </c>
      <c r="D64" s="2">
        <f t="shared" si="15"/>
        <v>0</v>
      </c>
      <c r="E64" s="2">
        <f t="shared" si="15"/>
        <v>0</v>
      </c>
      <c r="F64" s="2">
        <f t="shared" si="15"/>
        <v>0</v>
      </c>
      <c r="G64" s="2">
        <f t="shared" si="15"/>
        <v>0</v>
      </c>
      <c r="H64" s="2">
        <f t="shared" si="15"/>
        <v>0</v>
      </c>
      <c r="I64" s="2">
        <f t="shared" si="15"/>
        <v>0</v>
      </c>
      <c r="J64" s="2">
        <f t="shared" si="15"/>
        <v>0</v>
      </c>
      <c r="K64" s="2">
        <f t="shared" si="15"/>
        <v>0</v>
      </c>
      <c r="L64" s="2">
        <f t="shared" si="15"/>
        <v>0</v>
      </c>
      <c r="M64" s="2">
        <f t="shared" si="15"/>
        <v>0</v>
      </c>
      <c r="N64" s="2">
        <f t="shared" si="16"/>
        <v>8</v>
      </c>
      <c r="O64" s="480"/>
    </row>
    <row r="65" spans="2:15" x14ac:dyDescent="0.15">
      <c r="B65" s="480"/>
      <c r="C65" s="4">
        <v>9</v>
      </c>
      <c r="D65" s="2">
        <f t="shared" si="15"/>
        <v>0</v>
      </c>
      <c r="E65" s="2">
        <f t="shared" si="15"/>
        <v>0</v>
      </c>
      <c r="F65" s="2">
        <f t="shared" si="15"/>
        <v>0</v>
      </c>
      <c r="G65" s="2">
        <f t="shared" si="15"/>
        <v>0</v>
      </c>
      <c r="H65" s="2">
        <f t="shared" si="15"/>
        <v>0</v>
      </c>
      <c r="I65" s="2">
        <f t="shared" si="15"/>
        <v>0</v>
      </c>
      <c r="J65" s="2">
        <f t="shared" si="15"/>
        <v>0</v>
      </c>
      <c r="K65" s="2">
        <f t="shared" si="15"/>
        <v>0</v>
      </c>
      <c r="L65" s="2">
        <f t="shared" si="15"/>
        <v>0</v>
      </c>
      <c r="M65" s="2">
        <f t="shared" si="15"/>
        <v>0</v>
      </c>
      <c r="N65" s="2">
        <f t="shared" si="16"/>
        <v>9</v>
      </c>
      <c r="O65" s="480"/>
    </row>
    <row r="66" spans="2:15" x14ac:dyDescent="0.15">
      <c r="B66" s="480"/>
      <c r="C66" s="4">
        <v>10</v>
      </c>
      <c r="D66" s="2">
        <f t="shared" si="15"/>
        <v>0</v>
      </c>
      <c r="E66" s="2">
        <f t="shared" si="15"/>
        <v>0</v>
      </c>
      <c r="F66" s="2">
        <f t="shared" si="15"/>
        <v>0</v>
      </c>
      <c r="G66" s="2">
        <f t="shared" si="15"/>
        <v>0</v>
      </c>
      <c r="H66" s="2">
        <f t="shared" si="15"/>
        <v>0</v>
      </c>
      <c r="I66" s="2">
        <f t="shared" si="15"/>
        <v>0</v>
      </c>
      <c r="J66" s="2">
        <f t="shared" si="15"/>
        <v>0</v>
      </c>
      <c r="K66" s="2">
        <f t="shared" si="15"/>
        <v>0</v>
      </c>
      <c r="L66" s="2">
        <f t="shared" si="15"/>
        <v>0</v>
      </c>
      <c r="M66" s="2">
        <f t="shared" si="15"/>
        <v>0</v>
      </c>
      <c r="N66" s="2">
        <f t="shared" si="16"/>
        <v>10</v>
      </c>
      <c r="O66" s="480"/>
    </row>
    <row r="67" spans="2:15" x14ac:dyDescent="0.15">
      <c r="B67" s="480"/>
      <c r="C67" s="4">
        <v>11</v>
      </c>
      <c r="D67" s="2">
        <f t="shared" si="15"/>
        <v>0</v>
      </c>
      <c r="E67" s="2">
        <f t="shared" si="15"/>
        <v>0</v>
      </c>
      <c r="F67" s="2">
        <f t="shared" si="15"/>
        <v>0</v>
      </c>
      <c r="G67" s="2">
        <f t="shared" si="15"/>
        <v>0</v>
      </c>
      <c r="H67" s="2">
        <f t="shared" si="15"/>
        <v>0</v>
      </c>
      <c r="I67" s="2">
        <f t="shared" si="15"/>
        <v>0</v>
      </c>
      <c r="J67" s="2">
        <f t="shared" si="15"/>
        <v>0</v>
      </c>
      <c r="K67" s="2">
        <f t="shared" si="15"/>
        <v>0</v>
      </c>
      <c r="L67" s="2">
        <f t="shared" si="15"/>
        <v>0</v>
      </c>
      <c r="M67" s="2">
        <f t="shared" si="15"/>
        <v>0</v>
      </c>
      <c r="N67" s="2">
        <f t="shared" si="16"/>
        <v>11</v>
      </c>
      <c r="O67" s="480"/>
    </row>
    <row r="68" spans="2:15" ht="14" thickBot="1" x14ac:dyDescent="0.2">
      <c r="B68" s="480"/>
      <c r="C68" s="4">
        <v>12</v>
      </c>
      <c r="D68" s="2">
        <f t="shared" si="15"/>
        <v>0</v>
      </c>
      <c r="E68" s="2">
        <f t="shared" si="15"/>
        <v>0</v>
      </c>
      <c r="F68" s="2">
        <f t="shared" si="15"/>
        <v>0</v>
      </c>
      <c r="G68" s="2">
        <f t="shared" si="15"/>
        <v>0</v>
      </c>
      <c r="H68" s="2">
        <f t="shared" si="15"/>
        <v>0</v>
      </c>
      <c r="I68" s="2">
        <f t="shared" si="15"/>
        <v>0</v>
      </c>
      <c r="J68" s="2">
        <f t="shared" si="15"/>
        <v>0</v>
      </c>
      <c r="K68" s="2">
        <f t="shared" si="15"/>
        <v>0</v>
      </c>
      <c r="L68" s="2">
        <f t="shared" si="15"/>
        <v>0</v>
      </c>
      <c r="M68" s="2">
        <f t="shared" si="15"/>
        <v>0</v>
      </c>
      <c r="N68" s="2">
        <f t="shared" si="16"/>
        <v>12</v>
      </c>
      <c r="O68" s="480"/>
    </row>
    <row r="69" spans="2:15" ht="14" thickBot="1" x14ac:dyDescent="0.2">
      <c r="B69" s="480"/>
      <c r="C69" s="502" t="s">
        <v>273</v>
      </c>
      <c r="D69" s="503">
        <f>IF(D56&gt;$I$11,0,IPMT($E$7,D56,$I$11,$B$25))</f>
        <v>0</v>
      </c>
      <c r="E69" s="503">
        <f t="shared" ref="E69:M69" si="17">IF(E56&gt;$I$11,0,IPMT($E$7,E56,$I$11,$B$25))</f>
        <v>0</v>
      </c>
      <c r="F69" s="503">
        <f t="shared" si="17"/>
        <v>0</v>
      </c>
      <c r="G69" s="503">
        <f t="shared" si="17"/>
        <v>0</v>
      </c>
      <c r="H69" s="503">
        <f t="shared" si="17"/>
        <v>0</v>
      </c>
      <c r="I69" s="503">
        <f t="shared" si="17"/>
        <v>0</v>
      </c>
      <c r="J69" s="503">
        <f t="shared" si="17"/>
        <v>0</v>
      </c>
      <c r="K69" s="503">
        <f t="shared" si="17"/>
        <v>0</v>
      </c>
      <c r="L69" s="503">
        <f t="shared" si="17"/>
        <v>0</v>
      </c>
      <c r="M69" s="503">
        <f t="shared" si="17"/>
        <v>0</v>
      </c>
      <c r="N69" s="504">
        <f t="shared" si="16"/>
        <v>0</v>
      </c>
      <c r="O69" s="480"/>
    </row>
    <row r="70" spans="2:15" ht="14" thickBot="1" x14ac:dyDescent="0.2">
      <c r="B70" s="516"/>
      <c r="C70" s="520" t="s">
        <v>663</v>
      </c>
      <c r="D70" s="522">
        <f>IF(D56&gt;$I$11,0,PPMT($E$7,D56,$I$11,$B$25))</f>
        <v>0</v>
      </c>
      <c r="E70" s="522">
        <f t="shared" ref="E70:M70" si="18">IF(E56&gt;$I$11,0,PPMT($E$7,E56,$I$11,$B$25))</f>
        <v>0</v>
      </c>
      <c r="F70" s="522">
        <f t="shared" si="18"/>
        <v>0</v>
      </c>
      <c r="G70" s="522">
        <f t="shared" si="18"/>
        <v>0</v>
      </c>
      <c r="H70" s="522">
        <f t="shared" si="18"/>
        <v>0</v>
      </c>
      <c r="I70" s="522">
        <f t="shared" si="18"/>
        <v>0</v>
      </c>
      <c r="J70" s="522">
        <f t="shared" si="18"/>
        <v>0</v>
      </c>
      <c r="K70" s="522">
        <f t="shared" si="18"/>
        <v>0</v>
      </c>
      <c r="L70" s="522">
        <f t="shared" si="18"/>
        <v>0</v>
      </c>
      <c r="M70" s="522">
        <f t="shared" si="18"/>
        <v>0</v>
      </c>
      <c r="N70" s="504">
        <f t="shared" si="16"/>
        <v>0</v>
      </c>
      <c r="O70" s="482"/>
    </row>
    <row r="72" spans="2:15" ht="14" thickBot="1" x14ac:dyDescent="0.2"/>
    <row r="73" spans="2:15" ht="14" thickBot="1" x14ac:dyDescent="0.2">
      <c r="B73" s="495" t="s">
        <v>415</v>
      </c>
      <c r="C73" s="178"/>
      <c r="D73" s="483" t="s">
        <v>133</v>
      </c>
      <c r="E73" s="483" t="s">
        <v>133</v>
      </c>
      <c r="F73" s="483" t="s">
        <v>133</v>
      </c>
      <c r="G73" s="483" t="s">
        <v>133</v>
      </c>
      <c r="H73" s="483" t="s">
        <v>133</v>
      </c>
      <c r="I73" s="483" t="s">
        <v>133</v>
      </c>
      <c r="J73" s="483" t="s">
        <v>133</v>
      </c>
      <c r="K73" s="483" t="s">
        <v>133</v>
      </c>
      <c r="L73" s="483" t="s">
        <v>133</v>
      </c>
      <c r="M73" s="483" t="s">
        <v>133</v>
      </c>
      <c r="N73" s="178"/>
      <c r="O73" s="499" t="str">
        <f>B73</f>
        <v>-10%</v>
      </c>
    </row>
    <row r="74" spans="2:15" x14ac:dyDescent="0.15">
      <c r="B74" s="514"/>
      <c r="C74" s="4" t="s">
        <v>660</v>
      </c>
      <c r="D74" s="4">
        <v>1</v>
      </c>
      <c r="E74" s="4">
        <f>D74+1</f>
        <v>2</v>
      </c>
      <c r="F74" s="4">
        <f>E74+1</f>
        <v>3</v>
      </c>
      <c r="G74" s="4">
        <f t="shared" ref="G74:M74" si="19">F74+1</f>
        <v>4</v>
      </c>
      <c r="H74" s="4">
        <f t="shared" si="19"/>
        <v>5</v>
      </c>
      <c r="I74" s="4">
        <f t="shared" si="19"/>
        <v>6</v>
      </c>
      <c r="J74" s="4">
        <f t="shared" si="19"/>
        <v>7</v>
      </c>
      <c r="K74" s="4">
        <f t="shared" si="19"/>
        <v>8</v>
      </c>
      <c r="L74" s="4">
        <f t="shared" si="19"/>
        <v>9</v>
      </c>
      <c r="M74" s="4">
        <f t="shared" si="19"/>
        <v>10</v>
      </c>
      <c r="N74" s="4" t="s">
        <v>285</v>
      </c>
      <c r="O74" s="480"/>
    </row>
    <row r="75" spans="2:15" x14ac:dyDescent="0.15">
      <c r="B75" s="480" t="s">
        <v>661</v>
      </c>
      <c r="C75" s="4">
        <v>1</v>
      </c>
      <c r="D75" s="2">
        <f>IF(ISNUMBER(IPMT($E$8/12,((D$20-1)*12)+$C75,$I$11*12,$C$4)),IPMT($E$8/12,((D$20-1)*12)+$C75,$I$11*12,$C$4),0)</f>
        <v>0</v>
      </c>
      <c r="E75" s="2">
        <f t="shared" ref="E75:M75" si="20">IF(ISNUMBER(IPMT($E$8/12,((E$20-1)*12)+$C75,$I$11*12,$C$4)),IPMT($E$8/12,((E$20-1)*12)+$C75,$I$11*12,$C$4),0)</f>
        <v>0</v>
      </c>
      <c r="F75" s="2">
        <f t="shared" si="20"/>
        <v>0</v>
      </c>
      <c r="G75" s="2">
        <f t="shared" si="20"/>
        <v>0</v>
      </c>
      <c r="H75" s="2">
        <f t="shared" si="20"/>
        <v>0</v>
      </c>
      <c r="I75" s="2">
        <f t="shared" si="20"/>
        <v>0</v>
      </c>
      <c r="J75" s="2">
        <f t="shared" si="20"/>
        <v>0</v>
      </c>
      <c r="K75" s="2">
        <f t="shared" si="20"/>
        <v>0</v>
      </c>
      <c r="L75" s="2">
        <f t="shared" si="20"/>
        <v>0</v>
      </c>
      <c r="M75" s="2">
        <f t="shared" si="20"/>
        <v>0</v>
      </c>
      <c r="N75" s="2">
        <f>SUM(C75:M75)</f>
        <v>1</v>
      </c>
      <c r="O75" s="480"/>
    </row>
    <row r="76" spans="2:15" x14ac:dyDescent="0.15">
      <c r="B76" s="515">
        <f>-PMT($E$8/12,$I$11*12,$C$4)</f>
        <v>0</v>
      </c>
      <c r="C76" s="4">
        <v>2</v>
      </c>
      <c r="D76" s="2">
        <f t="shared" ref="D76:M86" si="21">IF(ISNUMBER(IPMT($E$8/12,((D$20-1)*12)+$C76,$I$11*12,$C$4)),IPMT($E$8/12,((D$20-1)*12)+$C76,$I$11*12,$C$4),0)</f>
        <v>0</v>
      </c>
      <c r="E76" s="2">
        <f t="shared" si="21"/>
        <v>0</v>
      </c>
      <c r="F76" s="2">
        <f t="shared" si="21"/>
        <v>0</v>
      </c>
      <c r="G76" s="2">
        <f t="shared" si="21"/>
        <v>0</v>
      </c>
      <c r="H76" s="2">
        <f t="shared" si="21"/>
        <v>0</v>
      </c>
      <c r="I76" s="2">
        <f t="shared" si="21"/>
        <v>0</v>
      </c>
      <c r="J76" s="2">
        <f t="shared" si="21"/>
        <v>0</v>
      </c>
      <c r="K76" s="2">
        <f t="shared" si="21"/>
        <v>0</v>
      </c>
      <c r="L76" s="2">
        <f t="shared" si="21"/>
        <v>0</v>
      </c>
      <c r="M76" s="2">
        <f t="shared" si="21"/>
        <v>0</v>
      </c>
      <c r="N76" s="2">
        <f t="shared" ref="N76:N88" si="22">SUM(C76:M76)</f>
        <v>2</v>
      </c>
      <c r="O76" s="480"/>
    </row>
    <row r="77" spans="2:15" x14ac:dyDescent="0.15">
      <c r="B77" s="544">
        <f>B76*12</f>
        <v>0</v>
      </c>
      <c r="C77" s="4">
        <v>3</v>
      </c>
      <c r="D77" s="2">
        <f t="shared" si="21"/>
        <v>0</v>
      </c>
      <c r="E77" s="2">
        <f t="shared" si="21"/>
        <v>0</v>
      </c>
      <c r="F77" s="2">
        <f t="shared" si="21"/>
        <v>0</v>
      </c>
      <c r="G77" s="2">
        <f t="shared" si="21"/>
        <v>0</v>
      </c>
      <c r="H77" s="2">
        <f t="shared" si="21"/>
        <v>0</v>
      </c>
      <c r="I77" s="2">
        <f t="shared" si="21"/>
        <v>0</v>
      </c>
      <c r="J77" s="2">
        <f t="shared" si="21"/>
        <v>0</v>
      </c>
      <c r="K77" s="2">
        <f t="shared" si="21"/>
        <v>0</v>
      </c>
      <c r="L77" s="2">
        <f t="shared" si="21"/>
        <v>0</v>
      </c>
      <c r="M77" s="2">
        <f t="shared" si="21"/>
        <v>0</v>
      </c>
      <c r="N77" s="2">
        <f t="shared" si="22"/>
        <v>3</v>
      </c>
      <c r="O77" s="480"/>
    </row>
    <row r="78" spans="2:15" x14ac:dyDescent="0.15">
      <c r="B78" s="480" t="s">
        <v>665</v>
      </c>
      <c r="C78" s="4">
        <v>4</v>
      </c>
      <c r="D78" s="2">
        <f t="shared" si="21"/>
        <v>0</v>
      </c>
      <c r="E78" s="2">
        <f t="shared" si="21"/>
        <v>0</v>
      </c>
      <c r="F78" s="2">
        <f t="shared" si="21"/>
        <v>0</v>
      </c>
      <c r="G78" s="2">
        <f t="shared" si="21"/>
        <v>0</v>
      </c>
      <c r="H78" s="2">
        <f t="shared" si="21"/>
        <v>0</v>
      </c>
      <c r="I78" s="2">
        <f t="shared" si="21"/>
        <v>0</v>
      </c>
      <c r="J78" s="2">
        <f t="shared" si="21"/>
        <v>0</v>
      </c>
      <c r="K78" s="2">
        <f t="shared" si="21"/>
        <v>0</v>
      </c>
      <c r="L78" s="2">
        <f t="shared" si="21"/>
        <v>0</v>
      </c>
      <c r="M78" s="2">
        <f t="shared" si="21"/>
        <v>0</v>
      </c>
      <c r="N78" s="2">
        <f t="shared" si="22"/>
        <v>4</v>
      </c>
      <c r="O78" s="480"/>
    </row>
    <row r="79" spans="2:15" x14ac:dyDescent="0.15">
      <c r="B79" s="543">
        <f>$C$10</f>
        <v>0</v>
      </c>
      <c r="C79" s="4">
        <v>5</v>
      </c>
      <c r="D79" s="2">
        <f t="shared" si="21"/>
        <v>0</v>
      </c>
      <c r="E79" s="2">
        <f t="shared" si="21"/>
        <v>0</v>
      </c>
      <c r="F79" s="2">
        <f t="shared" si="21"/>
        <v>0</v>
      </c>
      <c r="G79" s="2">
        <f t="shared" si="21"/>
        <v>0</v>
      </c>
      <c r="H79" s="2">
        <f t="shared" si="21"/>
        <v>0</v>
      </c>
      <c r="I79" s="2">
        <f t="shared" si="21"/>
        <v>0</v>
      </c>
      <c r="J79" s="2">
        <f t="shared" si="21"/>
        <v>0</v>
      </c>
      <c r="K79" s="2">
        <f t="shared" si="21"/>
        <v>0</v>
      </c>
      <c r="L79" s="2">
        <f t="shared" si="21"/>
        <v>0</v>
      </c>
      <c r="M79" s="2">
        <f t="shared" si="21"/>
        <v>0</v>
      </c>
      <c r="N79" s="2">
        <f t="shared" si="22"/>
        <v>5</v>
      </c>
      <c r="O79" s="480"/>
    </row>
    <row r="80" spans="2:15" x14ac:dyDescent="0.15">
      <c r="B80" s="480"/>
      <c r="C80" s="4">
        <v>6</v>
      </c>
      <c r="D80" s="2">
        <f t="shared" si="21"/>
        <v>0</v>
      </c>
      <c r="E80" s="2">
        <f t="shared" si="21"/>
        <v>0</v>
      </c>
      <c r="F80" s="2">
        <f t="shared" si="21"/>
        <v>0</v>
      </c>
      <c r="G80" s="2">
        <f t="shared" si="21"/>
        <v>0</v>
      </c>
      <c r="H80" s="2">
        <f t="shared" si="21"/>
        <v>0</v>
      </c>
      <c r="I80" s="2">
        <f t="shared" si="21"/>
        <v>0</v>
      </c>
      <c r="J80" s="2">
        <f t="shared" si="21"/>
        <v>0</v>
      </c>
      <c r="K80" s="2">
        <f t="shared" si="21"/>
        <v>0</v>
      </c>
      <c r="L80" s="2">
        <f t="shared" si="21"/>
        <v>0</v>
      </c>
      <c r="M80" s="2">
        <f t="shared" si="21"/>
        <v>0</v>
      </c>
      <c r="N80" s="2">
        <f t="shared" si="22"/>
        <v>6</v>
      </c>
      <c r="O80" s="480"/>
    </row>
    <row r="81" spans="2:15" x14ac:dyDescent="0.15">
      <c r="B81" s="480"/>
      <c r="C81" s="4">
        <v>7</v>
      </c>
      <c r="D81" s="2">
        <f t="shared" si="21"/>
        <v>0</v>
      </c>
      <c r="E81" s="2">
        <f t="shared" si="21"/>
        <v>0</v>
      </c>
      <c r="F81" s="2">
        <f t="shared" si="21"/>
        <v>0</v>
      </c>
      <c r="G81" s="2">
        <f t="shared" si="21"/>
        <v>0</v>
      </c>
      <c r="H81" s="2">
        <f t="shared" si="21"/>
        <v>0</v>
      </c>
      <c r="I81" s="2">
        <f t="shared" si="21"/>
        <v>0</v>
      </c>
      <c r="J81" s="2">
        <f t="shared" si="21"/>
        <v>0</v>
      </c>
      <c r="K81" s="2">
        <f t="shared" si="21"/>
        <v>0</v>
      </c>
      <c r="L81" s="2">
        <f t="shared" si="21"/>
        <v>0</v>
      </c>
      <c r="M81" s="2">
        <f t="shared" si="21"/>
        <v>0</v>
      </c>
      <c r="N81" s="2">
        <f t="shared" si="22"/>
        <v>7</v>
      </c>
      <c r="O81" s="480"/>
    </row>
    <row r="82" spans="2:15" x14ac:dyDescent="0.15">
      <c r="B82" s="480"/>
      <c r="C82" s="4">
        <v>8</v>
      </c>
      <c r="D82" s="2">
        <f t="shared" si="21"/>
        <v>0</v>
      </c>
      <c r="E82" s="2">
        <f t="shared" si="21"/>
        <v>0</v>
      </c>
      <c r="F82" s="2">
        <f t="shared" si="21"/>
        <v>0</v>
      </c>
      <c r="G82" s="2">
        <f t="shared" si="21"/>
        <v>0</v>
      </c>
      <c r="H82" s="2">
        <f t="shared" si="21"/>
        <v>0</v>
      </c>
      <c r="I82" s="2">
        <f t="shared" si="21"/>
        <v>0</v>
      </c>
      <c r="J82" s="2">
        <f t="shared" si="21"/>
        <v>0</v>
      </c>
      <c r="K82" s="2">
        <f t="shared" si="21"/>
        <v>0</v>
      </c>
      <c r="L82" s="2">
        <f t="shared" si="21"/>
        <v>0</v>
      </c>
      <c r="M82" s="2">
        <f t="shared" si="21"/>
        <v>0</v>
      </c>
      <c r="N82" s="2">
        <f t="shared" si="22"/>
        <v>8</v>
      </c>
      <c r="O82" s="480"/>
    </row>
    <row r="83" spans="2:15" x14ac:dyDescent="0.15">
      <c r="B83" s="480"/>
      <c r="C83" s="4">
        <v>9</v>
      </c>
      <c r="D83" s="2">
        <f t="shared" si="21"/>
        <v>0</v>
      </c>
      <c r="E83" s="2">
        <f t="shared" si="21"/>
        <v>0</v>
      </c>
      <c r="F83" s="2">
        <f t="shared" si="21"/>
        <v>0</v>
      </c>
      <c r="G83" s="2">
        <f t="shared" si="21"/>
        <v>0</v>
      </c>
      <c r="H83" s="2">
        <f t="shared" si="21"/>
        <v>0</v>
      </c>
      <c r="I83" s="2">
        <f t="shared" si="21"/>
        <v>0</v>
      </c>
      <c r="J83" s="2">
        <f t="shared" si="21"/>
        <v>0</v>
      </c>
      <c r="K83" s="2">
        <f t="shared" si="21"/>
        <v>0</v>
      </c>
      <c r="L83" s="2">
        <f t="shared" si="21"/>
        <v>0</v>
      </c>
      <c r="M83" s="2">
        <f t="shared" si="21"/>
        <v>0</v>
      </c>
      <c r="N83" s="2">
        <f t="shared" si="22"/>
        <v>9</v>
      </c>
      <c r="O83" s="480"/>
    </row>
    <row r="84" spans="2:15" x14ac:dyDescent="0.15">
      <c r="B84" s="480"/>
      <c r="C84" s="4">
        <v>10</v>
      </c>
      <c r="D84" s="2">
        <f t="shared" si="21"/>
        <v>0</v>
      </c>
      <c r="E84" s="2">
        <f t="shared" si="21"/>
        <v>0</v>
      </c>
      <c r="F84" s="2">
        <f t="shared" si="21"/>
        <v>0</v>
      </c>
      <c r="G84" s="2">
        <f t="shared" si="21"/>
        <v>0</v>
      </c>
      <c r="H84" s="2">
        <f t="shared" si="21"/>
        <v>0</v>
      </c>
      <c r="I84" s="2">
        <f t="shared" si="21"/>
        <v>0</v>
      </c>
      <c r="J84" s="2">
        <f t="shared" si="21"/>
        <v>0</v>
      </c>
      <c r="K84" s="2">
        <f t="shared" si="21"/>
        <v>0</v>
      </c>
      <c r="L84" s="2">
        <f t="shared" si="21"/>
        <v>0</v>
      </c>
      <c r="M84" s="2">
        <f t="shared" si="21"/>
        <v>0</v>
      </c>
      <c r="N84" s="2">
        <f t="shared" si="22"/>
        <v>10</v>
      </c>
      <c r="O84" s="480"/>
    </row>
    <row r="85" spans="2:15" x14ac:dyDescent="0.15">
      <c r="B85" s="480"/>
      <c r="C85" s="4">
        <v>11</v>
      </c>
      <c r="D85" s="2">
        <f t="shared" si="21"/>
        <v>0</v>
      </c>
      <c r="E85" s="2">
        <f t="shared" si="21"/>
        <v>0</v>
      </c>
      <c r="F85" s="2">
        <f t="shared" si="21"/>
        <v>0</v>
      </c>
      <c r="G85" s="2">
        <f t="shared" si="21"/>
        <v>0</v>
      </c>
      <c r="H85" s="2">
        <f t="shared" si="21"/>
        <v>0</v>
      </c>
      <c r="I85" s="2">
        <f t="shared" si="21"/>
        <v>0</v>
      </c>
      <c r="J85" s="2">
        <f t="shared" si="21"/>
        <v>0</v>
      </c>
      <c r="K85" s="2">
        <f t="shared" si="21"/>
        <v>0</v>
      </c>
      <c r="L85" s="2">
        <f t="shared" si="21"/>
        <v>0</v>
      </c>
      <c r="M85" s="2">
        <f t="shared" si="21"/>
        <v>0</v>
      </c>
      <c r="N85" s="2">
        <f t="shared" si="22"/>
        <v>11</v>
      </c>
      <c r="O85" s="480"/>
    </row>
    <row r="86" spans="2:15" ht="14" thickBot="1" x14ac:dyDescent="0.2">
      <c r="B86" s="480"/>
      <c r="C86" s="4">
        <v>12</v>
      </c>
      <c r="D86" s="2">
        <f t="shared" si="21"/>
        <v>0</v>
      </c>
      <c r="E86" s="2">
        <f t="shared" si="21"/>
        <v>0</v>
      </c>
      <c r="F86" s="2">
        <f t="shared" si="21"/>
        <v>0</v>
      </c>
      <c r="G86" s="2">
        <f t="shared" si="21"/>
        <v>0</v>
      </c>
      <c r="H86" s="2">
        <f t="shared" si="21"/>
        <v>0</v>
      </c>
      <c r="I86" s="2">
        <f t="shared" si="21"/>
        <v>0</v>
      </c>
      <c r="J86" s="2">
        <f t="shared" si="21"/>
        <v>0</v>
      </c>
      <c r="K86" s="2">
        <f t="shared" si="21"/>
        <v>0</v>
      </c>
      <c r="L86" s="2">
        <f t="shared" si="21"/>
        <v>0</v>
      </c>
      <c r="M86" s="2">
        <f t="shared" si="21"/>
        <v>0</v>
      </c>
      <c r="N86" s="2">
        <f t="shared" si="22"/>
        <v>12</v>
      </c>
      <c r="O86" s="480"/>
    </row>
    <row r="87" spans="2:15" ht="14" thickBot="1" x14ac:dyDescent="0.2">
      <c r="B87" s="480"/>
      <c r="C87" s="502" t="s">
        <v>273</v>
      </c>
      <c r="D87" s="503">
        <f>IF(D74&gt;$I$11,0,IPMT($E$8,D74,$I$11,$B$25))</f>
        <v>0</v>
      </c>
      <c r="E87" s="503">
        <f t="shared" ref="E87:M87" si="23">IF(E74&gt;$I$11,0,IPMT($E$8,E74,$I$11,$B$25))</f>
        <v>0</v>
      </c>
      <c r="F87" s="503">
        <f t="shared" si="23"/>
        <v>0</v>
      </c>
      <c r="G87" s="503">
        <f t="shared" si="23"/>
        <v>0</v>
      </c>
      <c r="H87" s="503">
        <f t="shared" si="23"/>
        <v>0</v>
      </c>
      <c r="I87" s="503">
        <f t="shared" si="23"/>
        <v>0</v>
      </c>
      <c r="J87" s="503">
        <f t="shared" si="23"/>
        <v>0</v>
      </c>
      <c r="K87" s="503">
        <f t="shared" si="23"/>
        <v>0</v>
      </c>
      <c r="L87" s="503">
        <f t="shared" si="23"/>
        <v>0</v>
      </c>
      <c r="M87" s="503">
        <f t="shared" si="23"/>
        <v>0</v>
      </c>
      <c r="N87" s="504">
        <f t="shared" si="22"/>
        <v>0</v>
      </c>
      <c r="O87" s="480"/>
    </row>
    <row r="88" spans="2:15" ht="14" thickBot="1" x14ac:dyDescent="0.2">
      <c r="B88" s="516"/>
      <c r="C88" s="520" t="s">
        <v>663</v>
      </c>
      <c r="D88" s="522">
        <f>IF(D74&gt;$I$11,0,PPMT($E$8,D74,$I$11,$B$25))</f>
        <v>0</v>
      </c>
      <c r="E88" s="522">
        <f t="shared" ref="E88:M88" si="24">IF(E74&gt;$I$11,0,PPMT($E$8,E74,$I$11,$B$25))</f>
        <v>0</v>
      </c>
      <c r="F88" s="522">
        <f t="shared" si="24"/>
        <v>0</v>
      </c>
      <c r="G88" s="522">
        <f t="shared" si="24"/>
        <v>0</v>
      </c>
      <c r="H88" s="522">
        <f t="shared" si="24"/>
        <v>0</v>
      </c>
      <c r="I88" s="522">
        <f t="shared" si="24"/>
        <v>0</v>
      </c>
      <c r="J88" s="522">
        <f t="shared" si="24"/>
        <v>0</v>
      </c>
      <c r="K88" s="522">
        <f t="shared" si="24"/>
        <v>0</v>
      </c>
      <c r="L88" s="522">
        <f t="shared" si="24"/>
        <v>0</v>
      </c>
      <c r="M88" s="522">
        <f t="shared" si="24"/>
        <v>0</v>
      </c>
      <c r="N88" s="504">
        <f t="shared" si="22"/>
        <v>0</v>
      </c>
      <c r="O88" s="482"/>
    </row>
    <row r="90" spans="2:15" ht="14" thickBot="1" x14ac:dyDescent="0.2"/>
    <row r="91" spans="2:15" ht="14" thickBot="1" x14ac:dyDescent="0.2">
      <c r="B91" s="495" t="s">
        <v>416</v>
      </c>
      <c r="C91" s="178"/>
      <c r="D91" s="483" t="s">
        <v>133</v>
      </c>
      <c r="E91" s="483" t="s">
        <v>133</v>
      </c>
      <c r="F91" s="483" t="s">
        <v>133</v>
      </c>
      <c r="G91" s="483" t="s">
        <v>133</v>
      </c>
      <c r="H91" s="483" t="s">
        <v>133</v>
      </c>
      <c r="I91" s="483" t="s">
        <v>133</v>
      </c>
      <c r="J91" s="483" t="s">
        <v>133</v>
      </c>
      <c r="K91" s="483" t="s">
        <v>133</v>
      </c>
      <c r="L91" s="483" t="s">
        <v>133</v>
      </c>
      <c r="M91" s="483" t="s">
        <v>133</v>
      </c>
      <c r="N91" s="178"/>
      <c r="O91" s="499" t="str">
        <f>B91</f>
        <v>-5%</v>
      </c>
    </row>
    <row r="92" spans="2:15" x14ac:dyDescent="0.15">
      <c r="B92" s="514"/>
      <c r="C92" s="4" t="s">
        <v>660</v>
      </c>
      <c r="D92" s="4">
        <v>1</v>
      </c>
      <c r="E92" s="4">
        <f>D92+1</f>
        <v>2</v>
      </c>
      <c r="F92" s="4">
        <f>E92+1</f>
        <v>3</v>
      </c>
      <c r="G92" s="4">
        <f t="shared" ref="G92:M92" si="25">F92+1</f>
        <v>4</v>
      </c>
      <c r="H92" s="4">
        <f t="shared" si="25"/>
        <v>5</v>
      </c>
      <c r="I92" s="4">
        <f t="shared" si="25"/>
        <v>6</v>
      </c>
      <c r="J92" s="4">
        <f t="shared" si="25"/>
        <v>7</v>
      </c>
      <c r="K92" s="4">
        <f t="shared" si="25"/>
        <v>8</v>
      </c>
      <c r="L92" s="4">
        <f t="shared" si="25"/>
        <v>9</v>
      </c>
      <c r="M92" s="4">
        <f t="shared" si="25"/>
        <v>10</v>
      </c>
      <c r="N92" s="4" t="s">
        <v>285</v>
      </c>
      <c r="O92" s="480"/>
    </row>
    <row r="93" spans="2:15" x14ac:dyDescent="0.15">
      <c r="B93" s="480" t="s">
        <v>661</v>
      </c>
      <c r="C93" s="4">
        <v>1</v>
      </c>
      <c r="D93" s="2">
        <f>IF(ISNUMBER(IPMT($E$9/12,((D$20-1)*12)+$C93,$I$11*12,$C$4)),IPMT($E$9/12,((D$20-1)*12)+$C93,$I$11*12,$C$4),0)</f>
        <v>0</v>
      </c>
      <c r="E93" s="2">
        <f t="shared" ref="E93:M93" si="26">IF(ISNUMBER(IPMT($E$9/12,((E$20-1)*12)+$C93,$I$11*12,$C$4)),IPMT($E$9/12,((E$20-1)*12)+$C93,$I$11*12,$C$4),0)</f>
        <v>0</v>
      </c>
      <c r="F93" s="2">
        <f t="shared" si="26"/>
        <v>0</v>
      </c>
      <c r="G93" s="2">
        <f t="shared" si="26"/>
        <v>0</v>
      </c>
      <c r="H93" s="2">
        <f t="shared" si="26"/>
        <v>0</v>
      </c>
      <c r="I93" s="2">
        <f t="shared" si="26"/>
        <v>0</v>
      </c>
      <c r="J93" s="2">
        <f t="shared" si="26"/>
        <v>0</v>
      </c>
      <c r="K93" s="2">
        <f t="shared" si="26"/>
        <v>0</v>
      </c>
      <c r="L93" s="2">
        <f t="shared" si="26"/>
        <v>0</v>
      </c>
      <c r="M93" s="2">
        <f t="shared" si="26"/>
        <v>0</v>
      </c>
      <c r="N93" s="2">
        <f>SUM(C93:M93)</f>
        <v>1</v>
      </c>
      <c r="O93" s="480"/>
    </row>
    <row r="94" spans="2:15" x14ac:dyDescent="0.15">
      <c r="B94" s="515">
        <f>-PMT($E$9/12,$I$11*12,$C$4)</f>
        <v>0</v>
      </c>
      <c r="C94" s="4">
        <v>2</v>
      </c>
      <c r="D94" s="2">
        <f t="shared" ref="D94:M104" si="27">IF(ISNUMBER(IPMT($E$9/12,((D$20-1)*12)+$C94,$I$11*12,$C$4)),IPMT($E$9/12,((D$20-1)*12)+$C94,$I$11*12,$C$4),0)</f>
        <v>0</v>
      </c>
      <c r="E94" s="2">
        <f t="shared" si="27"/>
        <v>0</v>
      </c>
      <c r="F94" s="2">
        <f t="shared" si="27"/>
        <v>0</v>
      </c>
      <c r="G94" s="2">
        <f t="shared" si="27"/>
        <v>0</v>
      </c>
      <c r="H94" s="2">
        <f t="shared" si="27"/>
        <v>0</v>
      </c>
      <c r="I94" s="2">
        <f t="shared" si="27"/>
        <v>0</v>
      </c>
      <c r="J94" s="2">
        <f t="shared" si="27"/>
        <v>0</v>
      </c>
      <c r="K94" s="2">
        <f t="shared" si="27"/>
        <v>0</v>
      </c>
      <c r="L94" s="2">
        <f t="shared" si="27"/>
        <v>0</v>
      </c>
      <c r="M94" s="2">
        <f t="shared" si="27"/>
        <v>0</v>
      </c>
      <c r="N94" s="2">
        <f t="shared" ref="N94:N106" si="28">SUM(C94:M94)</f>
        <v>2</v>
      </c>
      <c r="O94" s="480"/>
    </row>
    <row r="95" spans="2:15" x14ac:dyDescent="0.15">
      <c r="B95" s="544">
        <f>B94*12</f>
        <v>0</v>
      </c>
      <c r="C95" s="4">
        <v>3</v>
      </c>
      <c r="D95" s="2">
        <f t="shared" si="27"/>
        <v>0</v>
      </c>
      <c r="E95" s="2">
        <f t="shared" si="27"/>
        <v>0</v>
      </c>
      <c r="F95" s="2">
        <f t="shared" si="27"/>
        <v>0</v>
      </c>
      <c r="G95" s="2">
        <f t="shared" si="27"/>
        <v>0</v>
      </c>
      <c r="H95" s="2">
        <f t="shared" si="27"/>
        <v>0</v>
      </c>
      <c r="I95" s="2">
        <f t="shared" si="27"/>
        <v>0</v>
      </c>
      <c r="J95" s="2">
        <f t="shared" si="27"/>
        <v>0</v>
      </c>
      <c r="K95" s="2">
        <f t="shared" si="27"/>
        <v>0</v>
      </c>
      <c r="L95" s="2">
        <f t="shared" si="27"/>
        <v>0</v>
      </c>
      <c r="M95" s="2">
        <f t="shared" si="27"/>
        <v>0</v>
      </c>
      <c r="N95" s="2">
        <f t="shared" si="28"/>
        <v>3</v>
      </c>
      <c r="O95" s="480"/>
    </row>
    <row r="96" spans="2:15" x14ac:dyDescent="0.15">
      <c r="B96" s="480" t="s">
        <v>665</v>
      </c>
      <c r="C96" s="4">
        <v>4</v>
      </c>
      <c r="D96" s="2">
        <f t="shared" si="27"/>
        <v>0</v>
      </c>
      <c r="E96" s="2">
        <f t="shared" si="27"/>
        <v>0</v>
      </c>
      <c r="F96" s="2">
        <f t="shared" si="27"/>
        <v>0</v>
      </c>
      <c r="G96" s="2">
        <f t="shared" si="27"/>
        <v>0</v>
      </c>
      <c r="H96" s="2">
        <f t="shared" si="27"/>
        <v>0</v>
      </c>
      <c r="I96" s="2">
        <f t="shared" si="27"/>
        <v>0</v>
      </c>
      <c r="J96" s="2">
        <f t="shared" si="27"/>
        <v>0</v>
      </c>
      <c r="K96" s="2">
        <f t="shared" si="27"/>
        <v>0</v>
      </c>
      <c r="L96" s="2">
        <f t="shared" si="27"/>
        <v>0</v>
      </c>
      <c r="M96" s="2">
        <f t="shared" si="27"/>
        <v>0</v>
      </c>
      <c r="N96" s="2">
        <f t="shared" si="28"/>
        <v>4</v>
      </c>
      <c r="O96" s="480"/>
    </row>
    <row r="97" spans="2:15" x14ac:dyDescent="0.15">
      <c r="B97" s="543">
        <f>$C$10</f>
        <v>0</v>
      </c>
      <c r="C97" s="4">
        <v>5</v>
      </c>
      <c r="D97" s="2">
        <f t="shared" si="27"/>
        <v>0</v>
      </c>
      <c r="E97" s="2">
        <f t="shared" si="27"/>
        <v>0</v>
      </c>
      <c r="F97" s="2">
        <f t="shared" si="27"/>
        <v>0</v>
      </c>
      <c r="G97" s="2">
        <f t="shared" si="27"/>
        <v>0</v>
      </c>
      <c r="H97" s="2">
        <f t="shared" si="27"/>
        <v>0</v>
      </c>
      <c r="I97" s="2">
        <f t="shared" si="27"/>
        <v>0</v>
      </c>
      <c r="J97" s="2">
        <f t="shared" si="27"/>
        <v>0</v>
      </c>
      <c r="K97" s="2">
        <f t="shared" si="27"/>
        <v>0</v>
      </c>
      <c r="L97" s="2">
        <f t="shared" si="27"/>
        <v>0</v>
      </c>
      <c r="M97" s="2">
        <f t="shared" si="27"/>
        <v>0</v>
      </c>
      <c r="N97" s="2">
        <f t="shared" si="28"/>
        <v>5</v>
      </c>
      <c r="O97" s="480"/>
    </row>
    <row r="98" spans="2:15" x14ac:dyDescent="0.15">
      <c r="B98" s="480"/>
      <c r="C98" s="4">
        <v>6</v>
      </c>
      <c r="D98" s="2">
        <f t="shared" si="27"/>
        <v>0</v>
      </c>
      <c r="E98" s="2">
        <f t="shared" si="27"/>
        <v>0</v>
      </c>
      <c r="F98" s="2">
        <f t="shared" si="27"/>
        <v>0</v>
      </c>
      <c r="G98" s="2">
        <f t="shared" si="27"/>
        <v>0</v>
      </c>
      <c r="H98" s="2">
        <f t="shared" si="27"/>
        <v>0</v>
      </c>
      <c r="I98" s="2">
        <f t="shared" si="27"/>
        <v>0</v>
      </c>
      <c r="J98" s="2">
        <f t="shared" si="27"/>
        <v>0</v>
      </c>
      <c r="K98" s="2">
        <f t="shared" si="27"/>
        <v>0</v>
      </c>
      <c r="L98" s="2">
        <f t="shared" si="27"/>
        <v>0</v>
      </c>
      <c r="M98" s="2">
        <f t="shared" si="27"/>
        <v>0</v>
      </c>
      <c r="N98" s="2">
        <f t="shared" si="28"/>
        <v>6</v>
      </c>
      <c r="O98" s="480"/>
    </row>
    <row r="99" spans="2:15" x14ac:dyDescent="0.15">
      <c r="B99" s="480"/>
      <c r="C99" s="4">
        <v>7</v>
      </c>
      <c r="D99" s="2">
        <f t="shared" si="27"/>
        <v>0</v>
      </c>
      <c r="E99" s="2">
        <f t="shared" si="27"/>
        <v>0</v>
      </c>
      <c r="F99" s="2">
        <f t="shared" si="27"/>
        <v>0</v>
      </c>
      <c r="G99" s="2">
        <f t="shared" si="27"/>
        <v>0</v>
      </c>
      <c r="H99" s="2">
        <f t="shared" si="27"/>
        <v>0</v>
      </c>
      <c r="I99" s="2">
        <f t="shared" si="27"/>
        <v>0</v>
      </c>
      <c r="J99" s="2">
        <f t="shared" si="27"/>
        <v>0</v>
      </c>
      <c r="K99" s="2">
        <f t="shared" si="27"/>
        <v>0</v>
      </c>
      <c r="L99" s="2">
        <f t="shared" si="27"/>
        <v>0</v>
      </c>
      <c r="M99" s="2">
        <f t="shared" si="27"/>
        <v>0</v>
      </c>
      <c r="N99" s="2">
        <f t="shared" si="28"/>
        <v>7</v>
      </c>
      <c r="O99" s="480"/>
    </row>
    <row r="100" spans="2:15" x14ac:dyDescent="0.15">
      <c r="B100" s="480"/>
      <c r="C100" s="4">
        <v>8</v>
      </c>
      <c r="D100" s="2">
        <f t="shared" si="27"/>
        <v>0</v>
      </c>
      <c r="E100" s="2">
        <f t="shared" si="27"/>
        <v>0</v>
      </c>
      <c r="F100" s="2">
        <f t="shared" si="27"/>
        <v>0</v>
      </c>
      <c r="G100" s="2">
        <f t="shared" si="27"/>
        <v>0</v>
      </c>
      <c r="H100" s="2">
        <f t="shared" si="27"/>
        <v>0</v>
      </c>
      <c r="I100" s="2">
        <f t="shared" si="27"/>
        <v>0</v>
      </c>
      <c r="J100" s="2">
        <f t="shared" si="27"/>
        <v>0</v>
      </c>
      <c r="K100" s="2">
        <f t="shared" si="27"/>
        <v>0</v>
      </c>
      <c r="L100" s="2">
        <f t="shared" si="27"/>
        <v>0</v>
      </c>
      <c r="M100" s="2">
        <f t="shared" si="27"/>
        <v>0</v>
      </c>
      <c r="N100" s="2">
        <f t="shared" si="28"/>
        <v>8</v>
      </c>
      <c r="O100" s="480"/>
    </row>
    <row r="101" spans="2:15" x14ac:dyDescent="0.15">
      <c r="B101" s="480"/>
      <c r="C101" s="4">
        <v>9</v>
      </c>
      <c r="D101" s="2">
        <f t="shared" si="27"/>
        <v>0</v>
      </c>
      <c r="E101" s="2">
        <f t="shared" si="27"/>
        <v>0</v>
      </c>
      <c r="F101" s="2">
        <f t="shared" si="27"/>
        <v>0</v>
      </c>
      <c r="G101" s="2">
        <f t="shared" si="27"/>
        <v>0</v>
      </c>
      <c r="H101" s="2">
        <f t="shared" si="27"/>
        <v>0</v>
      </c>
      <c r="I101" s="2">
        <f t="shared" si="27"/>
        <v>0</v>
      </c>
      <c r="J101" s="2">
        <f t="shared" si="27"/>
        <v>0</v>
      </c>
      <c r="K101" s="2">
        <f t="shared" si="27"/>
        <v>0</v>
      </c>
      <c r="L101" s="2">
        <f t="shared" si="27"/>
        <v>0</v>
      </c>
      <c r="M101" s="2">
        <f t="shared" si="27"/>
        <v>0</v>
      </c>
      <c r="N101" s="2">
        <f t="shared" si="28"/>
        <v>9</v>
      </c>
      <c r="O101" s="480"/>
    </row>
    <row r="102" spans="2:15" x14ac:dyDescent="0.15">
      <c r="B102" s="480"/>
      <c r="C102" s="4">
        <v>10</v>
      </c>
      <c r="D102" s="2">
        <f t="shared" si="27"/>
        <v>0</v>
      </c>
      <c r="E102" s="2">
        <f t="shared" si="27"/>
        <v>0</v>
      </c>
      <c r="F102" s="2">
        <f t="shared" si="27"/>
        <v>0</v>
      </c>
      <c r="G102" s="2">
        <f t="shared" si="27"/>
        <v>0</v>
      </c>
      <c r="H102" s="2">
        <f t="shared" si="27"/>
        <v>0</v>
      </c>
      <c r="I102" s="2">
        <f t="shared" si="27"/>
        <v>0</v>
      </c>
      <c r="J102" s="2">
        <f t="shared" si="27"/>
        <v>0</v>
      </c>
      <c r="K102" s="2">
        <f t="shared" si="27"/>
        <v>0</v>
      </c>
      <c r="L102" s="2">
        <f t="shared" si="27"/>
        <v>0</v>
      </c>
      <c r="M102" s="2">
        <f t="shared" si="27"/>
        <v>0</v>
      </c>
      <c r="N102" s="2">
        <f t="shared" si="28"/>
        <v>10</v>
      </c>
      <c r="O102" s="480"/>
    </row>
    <row r="103" spans="2:15" x14ac:dyDescent="0.15">
      <c r="B103" s="480"/>
      <c r="C103" s="4">
        <v>11</v>
      </c>
      <c r="D103" s="2">
        <f t="shared" si="27"/>
        <v>0</v>
      </c>
      <c r="E103" s="2">
        <f t="shared" si="27"/>
        <v>0</v>
      </c>
      <c r="F103" s="2">
        <f t="shared" si="27"/>
        <v>0</v>
      </c>
      <c r="G103" s="2">
        <f t="shared" si="27"/>
        <v>0</v>
      </c>
      <c r="H103" s="2">
        <f t="shared" si="27"/>
        <v>0</v>
      </c>
      <c r="I103" s="2">
        <f t="shared" si="27"/>
        <v>0</v>
      </c>
      <c r="J103" s="2">
        <f t="shared" si="27"/>
        <v>0</v>
      </c>
      <c r="K103" s="2">
        <f t="shared" si="27"/>
        <v>0</v>
      </c>
      <c r="L103" s="2">
        <f t="shared" si="27"/>
        <v>0</v>
      </c>
      <c r="M103" s="2">
        <f t="shared" si="27"/>
        <v>0</v>
      </c>
      <c r="N103" s="2">
        <f t="shared" si="28"/>
        <v>11</v>
      </c>
      <c r="O103" s="480"/>
    </row>
    <row r="104" spans="2:15" ht="14" thickBot="1" x14ac:dyDescent="0.2">
      <c r="B104" s="480"/>
      <c r="C104" s="4">
        <v>12</v>
      </c>
      <c r="D104" s="2">
        <f t="shared" si="27"/>
        <v>0</v>
      </c>
      <c r="E104" s="2">
        <f t="shared" si="27"/>
        <v>0</v>
      </c>
      <c r="F104" s="2">
        <f t="shared" si="27"/>
        <v>0</v>
      </c>
      <c r="G104" s="2">
        <f t="shared" si="27"/>
        <v>0</v>
      </c>
      <c r="H104" s="2">
        <f t="shared" si="27"/>
        <v>0</v>
      </c>
      <c r="I104" s="2">
        <f t="shared" si="27"/>
        <v>0</v>
      </c>
      <c r="J104" s="2">
        <f t="shared" si="27"/>
        <v>0</v>
      </c>
      <c r="K104" s="2">
        <f t="shared" si="27"/>
        <v>0</v>
      </c>
      <c r="L104" s="2">
        <f t="shared" si="27"/>
        <v>0</v>
      </c>
      <c r="M104" s="2">
        <f t="shared" si="27"/>
        <v>0</v>
      </c>
      <c r="N104" s="2">
        <f t="shared" si="28"/>
        <v>12</v>
      </c>
      <c r="O104" s="480"/>
    </row>
    <row r="105" spans="2:15" ht="14" thickBot="1" x14ac:dyDescent="0.2">
      <c r="B105" s="480"/>
      <c r="C105" s="502" t="s">
        <v>273</v>
      </c>
      <c r="D105" s="503">
        <f>IF(D92&gt;$I$11,0,IPMT($E$9,D92,$I$11,$B$25))</f>
        <v>0</v>
      </c>
      <c r="E105" s="503">
        <f t="shared" ref="E105:M105" si="29">IF(E92&gt;$I$11,0,IPMT($E$9,E92,$I$11,$B$25))</f>
        <v>0</v>
      </c>
      <c r="F105" s="503">
        <f t="shared" si="29"/>
        <v>0</v>
      </c>
      <c r="G105" s="503">
        <f t="shared" si="29"/>
        <v>0</v>
      </c>
      <c r="H105" s="503">
        <f t="shared" si="29"/>
        <v>0</v>
      </c>
      <c r="I105" s="503">
        <f t="shared" si="29"/>
        <v>0</v>
      </c>
      <c r="J105" s="503">
        <f t="shared" si="29"/>
        <v>0</v>
      </c>
      <c r="K105" s="503">
        <f t="shared" si="29"/>
        <v>0</v>
      </c>
      <c r="L105" s="503">
        <f t="shared" si="29"/>
        <v>0</v>
      </c>
      <c r="M105" s="503">
        <f t="shared" si="29"/>
        <v>0</v>
      </c>
      <c r="N105" s="504">
        <f t="shared" si="28"/>
        <v>0</v>
      </c>
      <c r="O105" s="480"/>
    </row>
    <row r="106" spans="2:15" ht="14" thickBot="1" x14ac:dyDescent="0.2">
      <c r="B106" s="516"/>
      <c r="C106" s="520" t="s">
        <v>663</v>
      </c>
      <c r="D106" s="522">
        <f>IF(D92&gt;$I$11,0,PPMT($E$9,D92,$I$11,$B$25))</f>
        <v>0</v>
      </c>
      <c r="E106" s="522">
        <f t="shared" ref="E106:M106" si="30">IF(E92&gt;$I$11,0,PPMT($E$9,E92,$I$11,$B$25))</f>
        <v>0</v>
      </c>
      <c r="F106" s="522">
        <f t="shared" si="30"/>
        <v>0</v>
      </c>
      <c r="G106" s="522">
        <f t="shared" si="30"/>
        <v>0</v>
      </c>
      <c r="H106" s="522">
        <f t="shared" si="30"/>
        <v>0</v>
      </c>
      <c r="I106" s="522">
        <f t="shared" si="30"/>
        <v>0</v>
      </c>
      <c r="J106" s="522">
        <f t="shared" si="30"/>
        <v>0</v>
      </c>
      <c r="K106" s="522">
        <f t="shared" si="30"/>
        <v>0</v>
      </c>
      <c r="L106" s="522">
        <f t="shared" si="30"/>
        <v>0</v>
      </c>
      <c r="M106" s="522">
        <f t="shared" si="30"/>
        <v>0</v>
      </c>
      <c r="N106" s="504">
        <f t="shared" si="28"/>
        <v>0</v>
      </c>
      <c r="O106" s="482"/>
    </row>
    <row r="108" spans="2:15" ht="14" thickBot="1" x14ac:dyDescent="0.2"/>
    <row r="109" spans="2:15" ht="14" thickBot="1" x14ac:dyDescent="0.2">
      <c r="B109" s="495" t="s">
        <v>417</v>
      </c>
      <c r="C109" s="178"/>
      <c r="D109" s="483" t="s">
        <v>133</v>
      </c>
      <c r="E109" s="483" t="s">
        <v>133</v>
      </c>
      <c r="F109" s="483" t="s">
        <v>133</v>
      </c>
      <c r="G109" s="483" t="s">
        <v>133</v>
      </c>
      <c r="H109" s="483" t="s">
        <v>133</v>
      </c>
      <c r="I109" s="483" t="s">
        <v>133</v>
      </c>
      <c r="J109" s="483" t="s">
        <v>133</v>
      </c>
      <c r="K109" s="483" t="s">
        <v>133</v>
      </c>
      <c r="L109" s="483" t="s">
        <v>133</v>
      </c>
      <c r="M109" s="483" t="s">
        <v>133</v>
      </c>
      <c r="N109" s="178"/>
      <c r="O109" s="499" t="str">
        <f>B109</f>
        <v>Base Case</v>
      </c>
    </row>
    <row r="110" spans="2:15" x14ac:dyDescent="0.15">
      <c r="B110" s="514"/>
      <c r="C110" s="4" t="s">
        <v>660</v>
      </c>
      <c r="D110" s="4">
        <v>1</v>
      </c>
      <c r="E110" s="4">
        <f>D110+1</f>
        <v>2</v>
      </c>
      <c r="F110" s="4">
        <f>E110+1</f>
        <v>3</v>
      </c>
      <c r="G110" s="4">
        <f t="shared" ref="G110:M110" si="31">F110+1</f>
        <v>4</v>
      </c>
      <c r="H110" s="4">
        <f t="shared" si="31"/>
        <v>5</v>
      </c>
      <c r="I110" s="4">
        <f t="shared" si="31"/>
        <v>6</v>
      </c>
      <c r="J110" s="4">
        <f t="shared" si="31"/>
        <v>7</v>
      </c>
      <c r="K110" s="4">
        <f t="shared" si="31"/>
        <v>8</v>
      </c>
      <c r="L110" s="4">
        <f t="shared" si="31"/>
        <v>9</v>
      </c>
      <c r="M110" s="4">
        <f t="shared" si="31"/>
        <v>10</v>
      </c>
      <c r="N110" s="4" t="s">
        <v>285</v>
      </c>
      <c r="O110" s="480"/>
    </row>
    <row r="111" spans="2:15" x14ac:dyDescent="0.15">
      <c r="B111" s="480" t="s">
        <v>661</v>
      </c>
      <c r="C111" s="4">
        <v>1</v>
      </c>
      <c r="D111" s="2">
        <f t="shared" ref="D111:M122" si="32">IF(ISNUMBER(IPMT($I$6/12,((D$20-1)*12)+$C111,$I$11*12,$C$4)),IPMT($I$6/12,((D$20-1)*12)+$C111,$I$11*12,$C$4),0)</f>
        <v>0</v>
      </c>
      <c r="E111" s="2">
        <f t="shared" si="32"/>
        <v>0</v>
      </c>
      <c r="F111" s="2">
        <f t="shared" si="32"/>
        <v>0</v>
      </c>
      <c r="G111" s="2">
        <f t="shared" si="32"/>
        <v>0</v>
      </c>
      <c r="H111" s="2">
        <f t="shared" si="32"/>
        <v>0</v>
      </c>
      <c r="I111" s="2">
        <f t="shared" si="32"/>
        <v>0</v>
      </c>
      <c r="J111" s="2">
        <f t="shared" si="32"/>
        <v>0</v>
      </c>
      <c r="K111" s="2">
        <f t="shared" si="32"/>
        <v>0</v>
      </c>
      <c r="L111" s="2">
        <f t="shared" si="32"/>
        <v>0</v>
      </c>
      <c r="M111" s="2">
        <f t="shared" si="32"/>
        <v>0</v>
      </c>
      <c r="N111" s="2">
        <f>SUM(C111:M111)</f>
        <v>1</v>
      </c>
      <c r="O111" s="480"/>
    </row>
    <row r="112" spans="2:15" x14ac:dyDescent="0.15">
      <c r="B112" s="515">
        <f>-PMT($E$10/12,$I$11*12,$C$4)</f>
        <v>0</v>
      </c>
      <c r="C112" s="4">
        <v>2</v>
      </c>
      <c r="D112" s="2">
        <f t="shared" si="32"/>
        <v>0</v>
      </c>
      <c r="E112" s="2">
        <f t="shared" si="32"/>
        <v>0</v>
      </c>
      <c r="F112" s="2">
        <f t="shared" si="32"/>
        <v>0</v>
      </c>
      <c r="G112" s="2">
        <f t="shared" si="32"/>
        <v>0</v>
      </c>
      <c r="H112" s="2">
        <f t="shared" si="32"/>
        <v>0</v>
      </c>
      <c r="I112" s="2">
        <f t="shared" si="32"/>
        <v>0</v>
      </c>
      <c r="J112" s="2">
        <f t="shared" si="32"/>
        <v>0</v>
      </c>
      <c r="K112" s="2">
        <f t="shared" si="32"/>
        <v>0</v>
      </c>
      <c r="L112" s="2">
        <f t="shared" si="32"/>
        <v>0</v>
      </c>
      <c r="M112" s="2">
        <f t="shared" si="32"/>
        <v>0</v>
      </c>
      <c r="N112" s="2">
        <f t="shared" ref="N112:N124" si="33">SUM(C112:M112)</f>
        <v>2</v>
      </c>
      <c r="O112" s="480"/>
    </row>
    <row r="113" spans="2:15" x14ac:dyDescent="0.15">
      <c r="B113" s="544">
        <f>B112*12</f>
        <v>0</v>
      </c>
      <c r="C113" s="4">
        <v>3</v>
      </c>
      <c r="D113" s="2">
        <f t="shared" si="32"/>
        <v>0</v>
      </c>
      <c r="E113" s="2">
        <f t="shared" si="32"/>
        <v>0</v>
      </c>
      <c r="F113" s="2">
        <f t="shared" si="32"/>
        <v>0</v>
      </c>
      <c r="G113" s="2">
        <f t="shared" si="32"/>
        <v>0</v>
      </c>
      <c r="H113" s="2">
        <f t="shared" si="32"/>
        <v>0</v>
      </c>
      <c r="I113" s="2">
        <f t="shared" si="32"/>
        <v>0</v>
      </c>
      <c r="J113" s="2">
        <f t="shared" si="32"/>
        <v>0</v>
      </c>
      <c r="K113" s="2">
        <f t="shared" si="32"/>
        <v>0</v>
      </c>
      <c r="L113" s="2">
        <f t="shared" si="32"/>
        <v>0</v>
      </c>
      <c r="M113" s="2">
        <f t="shared" si="32"/>
        <v>0</v>
      </c>
      <c r="N113" s="2">
        <f t="shared" si="33"/>
        <v>3</v>
      </c>
      <c r="O113" s="480"/>
    </row>
    <row r="114" spans="2:15" x14ac:dyDescent="0.15">
      <c r="B114" s="480" t="s">
        <v>665</v>
      </c>
      <c r="C114" s="4">
        <v>4</v>
      </c>
      <c r="D114" s="2">
        <f t="shared" si="32"/>
        <v>0</v>
      </c>
      <c r="E114" s="2">
        <f t="shared" si="32"/>
        <v>0</v>
      </c>
      <c r="F114" s="2">
        <f t="shared" si="32"/>
        <v>0</v>
      </c>
      <c r="G114" s="2">
        <f t="shared" si="32"/>
        <v>0</v>
      </c>
      <c r="H114" s="2">
        <f t="shared" si="32"/>
        <v>0</v>
      </c>
      <c r="I114" s="2">
        <f t="shared" si="32"/>
        <v>0</v>
      </c>
      <c r="J114" s="2">
        <f t="shared" si="32"/>
        <v>0</v>
      </c>
      <c r="K114" s="2">
        <f t="shared" si="32"/>
        <v>0</v>
      </c>
      <c r="L114" s="2">
        <f t="shared" si="32"/>
        <v>0</v>
      </c>
      <c r="M114" s="2">
        <f t="shared" si="32"/>
        <v>0</v>
      </c>
      <c r="N114" s="2">
        <f t="shared" si="33"/>
        <v>4</v>
      </c>
      <c r="O114" s="480"/>
    </row>
    <row r="115" spans="2:15" x14ac:dyDescent="0.15">
      <c r="B115" s="543">
        <f>$C$10</f>
        <v>0</v>
      </c>
      <c r="C115" s="4">
        <v>5</v>
      </c>
      <c r="D115" s="2">
        <f t="shared" si="32"/>
        <v>0</v>
      </c>
      <c r="E115" s="2">
        <f t="shared" si="32"/>
        <v>0</v>
      </c>
      <c r="F115" s="2">
        <f t="shared" si="32"/>
        <v>0</v>
      </c>
      <c r="G115" s="2">
        <f t="shared" si="32"/>
        <v>0</v>
      </c>
      <c r="H115" s="2">
        <f t="shared" si="32"/>
        <v>0</v>
      </c>
      <c r="I115" s="2">
        <f t="shared" si="32"/>
        <v>0</v>
      </c>
      <c r="J115" s="2">
        <f t="shared" si="32"/>
        <v>0</v>
      </c>
      <c r="K115" s="2">
        <f t="shared" si="32"/>
        <v>0</v>
      </c>
      <c r="L115" s="2">
        <f t="shared" si="32"/>
        <v>0</v>
      </c>
      <c r="M115" s="2">
        <f t="shared" si="32"/>
        <v>0</v>
      </c>
      <c r="N115" s="2">
        <f t="shared" si="33"/>
        <v>5</v>
      </c>
      <c r="O115" s="480"/>
    </row>
    <row r="116" spans="2:15" x14ac:dyDescent="0.15">
      <c r="B116" s="480" t="s">
        <v>273</v>
      </c>
      <c r="C116" s="4">
        <v>6</v>
      </c>
      <c r="D116" s="2">
        <f t="shared" si="32"/>
        <v>0</v>
      </c>
      <c r="E116" s="2">
        <f t="shared" si="32"/>
        <v>0</v>
      </c>
      <c r="F116" s="2">
        <f t="shared" si="32"/>
        <v>0</v>
      </c>
      <c r="G116" s="2">
        <f t="shared" si="32"/>
        <v>0</v>
      </c>
      <c r="H116" s="2">
        <f t="shared" si="32"/>
        <v>0</v>
      </c>
      <c r="I116" s="2">
        <f t="shared" si="32"/>
        <v>0</v>
      </c>
      <c r="J116" s="2">
        <f t="shared" si="32"/>
        <v>0</v>
      </c>
      <c r="K116" s="2">
        <f t="shared" si="32"/>
        <v>0</v>
      </c>
      <c r="L116" s="2">
        <f t="shared" si="32"/>
        <v>0</v>
      </c>
      <c r="M116" s="2">
        <f t="shared" si="32"/>
        <v>0</v>
      </c>
      <c r="N116" s="2">
        <f t="shared" si="33"/>
        <v>6</v>
      </c>
      <c r="O116" s="480"/>
    </row>
    <row r="117" spans="2:15" x14ac:dyDescent="0.15">
      <c r="B117" s="646">
        <f>E10</f>
        <v>0.08</v>
      </c>
      <c r="C117" s="4">
        <v>7</v>
      </c>
      <c r="D117" s="2">
        <f t="shared" si="32"/>
        <v>0</v>
      </c>
      <c r="E117" s="2">
        <f t="shared" si="32"/>
        <v>0</v>
      </c>
      <c r="F117" s="2">
        <f t="shared" si="32"/>
        <v>0</v>
      </c>
      <c r="G117" s="2">
        <f t="shared" si="32"/>
        <v>0</v>
      </c>
      <c r="H117" s="2">
        <f t="shared" si="32"/>
        <v>0</v>
      </c>
      <c r="I117" s="2">
        <f t="shared" si="32"/>
        <v>0</v>
      </c>
      <c r="J117" s="2">
        <f t="shared" si="32"/>
        <v>0</v>
      </c>
      <c r="K117" s="2">
        <f t="shared" si="32"/>
        <v>0</v>
      </c>
      <c r="L117" s="2">
        <f t="shared" si="32"/>
        <v>0</v>
      </c>
      <c r="M117" s="2">
        <f t="shared" si="32"/>
        <v>0</v>
      </c>
      <c r="N117" s="2">
        <f t="shared" si="33"/>
        <v>7</v>
      </c>
      <c r="O117" s="480"/>
    </row>
    <row r="118" spans="2:15" x14ac:dyDescent="0.15">
      <c r="B118" s="480" t="s">
        <v>679</v>
      </c>
      <c r="C118" s="4">
        <v>8</v>
      </c>
      <c r="D118" s="2">
        <f t="shared" si="32"/>
        <v>0</v>
      </c>
      <c r="E118" s="2">
        <f t="shared" si="32"/>
        <v>0</v>
      </c>
      <c r="F118" s="2">
        <f t="shared" si="32"/>
        <v>0</v>
      </c>
      <c r="G118" s="2">
        <f t="shared" si="32"/>
        <v>0</v>
      </c>
      <c r="H118" s="2">
        <f t="shared" si="32"/>
        <v>0</v>
      </c>
      <c r="I118" s="2">
        <f t="shared" si="32"/>
        <v>0</v>
      </c>
      <c r="J118" s="2">
        <f t="shared" si="32"/>
        <v>0</v>
      </c>
      <c r="K118" s="2">
        <f t="shared" si="32"/>
        <v>0</v>
      </c>
      <c r="L118" s="2">
        <f t="shared" si="32"/>
        <v>0</v>
      </c>
      <c r="M118" s="2">
        <f t="shared" si="32"/>
        <v>0</v>
      </c>
      <c r="N118" s="2">
        <f t="shared" si="33"/>
        <v>8</v>
      </c>
      <c r="O118" s="480"/>
    </row>
    <row r="119" spans="2:15" x14ac:dyDescent="0.15">
      <c r="B119" s="480">
        <f>I11</f>
        <v>5</v>
      </c>
      <c r="C119" s="4">
        <v>9</v>
      </c>
      <c r="D119" s="2">
        <f t="shared" si="32"/>
        <v>0</v>
      </c>
      <c r="E119" s="2">
        <f t="shared" si="32"/>
        <v>0</v>
      </c>
      <c r="F119" s="2">
        <f t="shared" si="32"/>
        <v>0</v>
      </c>
      <c r="G119" s="2">
        <f t="shared" si="32"/>
        <v>0</v>
      </c>
      <c r="H119" s="2">
        <f t="shared" si="32"/>
        <v>0</v>
      </c>
      <c r="I119" s="2">
        <f t="shared" si="32"/>
        <v>0</v>
      </c>
      <c r="J119" s="2">
        <f t="shared" si="32"/>
        <v>0</v>
      </c>
      <c r="K119" s="2">
        <f t="shared" si="32"/>
        <v>0</v>
      </c>
      <c r="L119" s="2">
        <f t="shared" si="32"/>
        <v>0</v>
      </c>
      <c r="M119" s="2">
        <f t="shared" si="32"/>
        <v>0</v>
      </c>
      <c r="N119" s="2">
        <f t="shared" si="33"/>
        <v>9</v>
      </c>
      <c r="O119" s="480"/>
    </row>
    <row r="120" spans="2:15" x14ac:dyDescent="0.15">
      <c r="B120" s="480"/>
      <c r="C120" s="4">
        <v>10</v>
      </c>
      <c r="D120" s="2">
        <f t="shared" si="32"/>
        <v>0</v>
      </c>
      <c r="E120" s="2">
        <f t="shared" si="32"/>
        <v>0</v>
      </c>
      <c r="F120" s="2">
        <f t="shared" si="32"/>
        <v>0</v>
      </c>
      <c r="G120" s="2">
        <f t="shared" si="32"/>
        <v>0</v>
      </c>
      <c r="H120" s="2">
        <f t="shared" si="32"/>
        <v>0</v>
      </c>
      <c r="I120" s="2">
        <f t="shared" si="32"/>
        <v>0</v>
      </c>
      <c r="J120" s="2">
        <f t="shared" si="32"/>
        <v>0</v>
      </c>
      <c r="K120" s="2">
        <f t="shared" si="32"/>
        <v>0</v>
      </c>
      <c r="L120" s="2">
        <f t="shared" si="32"/>
        <v>0</v>
      </c>
      <c r="M120" s="2">
        <f t="shared" si="32"/>
        <v>0</v>
      </c>
      <c r="N120" s="2">
        <f t="shared" si="33"/>
        <v>10</v>
      </c>
      <c r="O120" s="480"/>
    </row>
    <row r="121" spans="2:15" x14ac:dyDescent="0.15">
      <c r="B121" s="480"/>
      <c r="C121" s="4">
        <v>11</v>
      </c>
      <c r="D121" s="2">
        <f t="shared" si="32"/>
        <v>0</v>
      </c>
      <c r="E121" s="2">
        <f t="shared" si="32"/>
        <v>0</v>
      </c>
      <c r="F121" s="2">
        <f t="shared" si="32"/>
        <v>0</v>
      </c>
      <c r="G121" s="2">
        <f t="shared" si="32"/>
        <v>0</v>
      </c>
      <c r="H121" s="2">
        <f t="shared" si="32"/>
        <v>0</v>
      </c>
      <c r="I121" s="2">
        <f t="shared" si="32"/>
        <v>0</v>
      </c>
      <c r="J121" s="2">
        <f t="shared" si="32"/>
        <v>0</v>
      </c>
      <c r="K121" s="2">
        <f t="shared" si="32"/>
        <v>0</v>
      </c>
      <c r="L121" s="2">
        <f t="shared" si="32"/>
        <v>0</v>
      </c>
      <c r="M121" s="2">
        <f t="shared" si="32"/>
        <v>0</v>
      </c>
      <c r="N121" s="2">
        <f t="shared" si="33"/>
        <v>11</v>
      </c>
      <c r="O121" s="480"/>
    </row>
    <row r="122" spans="2:15" ht="14" thickBot="1" x14ac:dyDescent="0.2">
      <c r="B122" s="480"/>
      <c r="C122" s="4">
        <v>12</v>
      </c>
      <c r="D122" s="2">
        <f t="shared" si="32"/>
        <v>0</v>
      </c>
      <c r="E122" s="2">
        <f t="shared" si="32"/>
        <v>0</v>
      </c>
      <c r="F122" s="2">
        <f t="shared" si="32"/>
        <v>0</v>
      </c>
      <c r="G122" s="2">
        <f t="shared" si="32"/>
        <v>0</v>
      </c>
      <c r="H122" s="2">
        <f t="shared" si="32"/>
        <v>0</v>
      </c>
      <c r="I122" s="2">
        <f t="shared" si="32"/>
        <v>0</v>
      </c>
      <c r="J122" s="2">
        <f t="shared" si="32"/>
        <v>0</v>
      </c>
      <c r="K122" s="2">
        <f t="shared" si="32"/>
        <v>0</v>
      </c>
      <c r="L122" s="2">
        <f t="shared" si="32"/>
        <v>0</v>
      </c>
      <c r="M122" s="2">
        <f t="shared" si="32"/>
        <v>0</v>
      </c>
      <c r="N122" s="2">
        <f t="shared" si="33"/>
        <v>12</v>
      </c>
      <c r="O122" s="480"/>
    </row>
    <row r="123" spans="2:15" ht="14" thickBot="1" x14ac:dyDescent="0.2">
      <c r="B123" s="480"/>
      <c r="C123" s="502" t="s">
        <v>273</v>
      </c>
      <c r="D123" s="503">
        <f>IF(D110&gt;$I$11,0,IPMT($E$10,D110,$I$11,$B$115))</f>
        <v>0</v>
      </c>
      <c r="E123" s="503">
        <f t="shared" ref="E123:M123" si="34">IF(E110&gt;$I$11,0,IPMT($E$10,E110,$I$11,$B$115))</f>
        <v>0</v>
      </c>
      <c r="F123" s="503">
        <f t="shared" si="34"/>
        <v>0</v>
      </c>
      <c r="G123" s="503">
        <f t="shared" si="34"/>
        <v>0</v>
      </c>
      <c r="H123" s="503">
        <f t="shared" si="34"/>
        <v>0</v>
      </c>
      <c r="I123" s="503">
        <f t="shared" si="34"/>
        <v>0</v>
      </c>
      <c r="J123" s="503">
        <f t="shared" si="34"/>
        <v>0</v>
      </c>
      <c r="K123" s="503">
        <f t="shared" si="34"/>
        <v>0</v>
      </c>
      <c r="L123" s="503">
        <f t="shared" si="34"/>
        <v>0</v>
      </c>
      <c r="M123" s="503">
        <f t="shared" si="34"/>
        <v>0</v>
      </c>
      <c r="N123" s="504">
        <f t="shared" si="33"/>
        <v>0</v>
      </c>
      <c r="O123" s="480"/>
    </row>
    <row r="124" spans="2:15" ht="14" thickBot="1" x14ac:dyDescent="0.2">
      <c r="B124" s="516"/>
      <c r="C124" s="520" t="s">
        <v>663</v>
      </c>
      <c r="D124" s="522">
        <f>IF(D110&gt;$I$11,0,PPMT($E$10,D110,$I$11,$B$115))</f>
        <v>0</v>
      </c>
      <c r="E124" s="522">
        <f t="shared" ref="E124:M124" si="35">IF(E110&gt;$I$11,0,PPMT($E$10,E110,$I$11,$B$115))</f>
        <v>0</v>
      </c>
      <c r="F124" s="522">
        <f t="shared" si="35"/>
        <v>0</v>
      </c>
      <c r="G124" s="522">
        <f t="shared" si="35"/>
        <v>0</v>
      </c>
      <c r="H124" s="522">
        <f t="shared" si="35"/>
        <v>0</v>
      </c>
      <c r="I124" s="522">
        <f t="shared" si="35"/>
        <v>0</v>
      </c>
      <c r="J124" s="522">
        <f t="shared" si="35"/>
        <v>0</v>
      </c>
      <c r="K124" s="522">
        <f t="shared" si="35"/>
        <v>0</v>
      </c>
      <c r="L124" s="522">
        <f t="shared" si="35"/>
        <v>0</v>
      </c>
      <c r="M124" s="522">
        <f t="shared" si="35"/>
        <v>0</v>
      </c>
      <c r="N124" s="504">
        <f t="shared" si="33"/>
        <v>0</v>
      </c>
      <c r="O124" s="482"/>
    </row>
    <row r="126" spans="2:15" ht="14" thickBot="1" x14ac:dyDescent="0.2"/>
    <row r="127" spans="2:15" ht="14" thickBot="1" x14ac:dyDescent="0.2">
      <c r="B127" s="495" t="s">
        <v>418</v>
      </c>
      <c r="C127" s="178"/>
      <c r="D127" s="483" t="s">
        <v>133</v>
      </c>
      <c r="E127" s="483" t="s">
        <v>133</v>
      </c>
      <c r="F127" s="483" t="s">
        <v>133</v>
      </c>
      <c r="G127" s="483" t="s">
        <v>133</v>
      </c>
      <c r="H127" s="483" t="s">
        <v>133</v>
      </c>
      <c r="I127" s="483" t="s">
        <v>133</v>
      </c>
      <c r="J127" s="483" t="s">
        <v>133</v>
      </c>
      <c r="K127" s="483" t="s">
        <v>133</v>
      </c>
      <c r="L127" s="483" t="s">
        <v>133</v>
      </c>
      <c r="M127" s="483" t="s">
        <v>133</v>
      </c>
      <c r="N127" s="178"/>
      <c r="O127" s="499" t="str">
        <f>B127</f>
        <v>+5%</v>
      </c>
    </row>
    <row r="128" spans="2:15" x14ac:dyDescent="0.15">
      <c r="B128" s="514"/>
      <c r="C128" s="4" t="s">
        <v>660</v>
      </c>
      <c r="D128" s="4">
        <v>1</v>
      </c>
      <c r="E128" s="4">
        <f>D128+1</f>
        <v>2</v>
      </c>
      <c r="F128" s="4">
        <f>E128+1</f>
        <v>3</v>
      </c>
      <c r="G128" s="4">
        <f t="shared" ref="G128:M128" si="36">F128+1</f>
        <v>4</v>
      </c>
      <c r="H128" s="4">
        <f t="shared" si="36"/>
        <v>5</v>
      </c>
      <c r="I128" s="4">
        <f t="shared" si="36"/>
        <v>6</v>
      </c>
      <c r="J128" s="4">
        <f t="shared" si="36"/>
        <v>7</v>
      </c>
      <c r="K128" s="4">
        <f t="shared" si="36"/>
        <v>8</v>
      </c>
      <c r="L128" s="4">
        <f t="shared" si="36"/>
        <v>9</v>
      </c>
      <c r="M128" s="4">
        <f t="shared" si="36"/>
        <v>10</v>
      </c>
      <c r="N128" s="4" t="s">
        <v>285</v>
      </c>
      <c r="O128" s="480"/>
    </row>
    <row r="129" spans="1:15" x14ac:dyDescent="0.15">
      <c r="B129" s="480" t="s">
        <v>661</v>
      </c>
      <c r="C129" s="4">
        <v>1</v>
      </c>
      <c r="D129" s="2">
        <f>IF(ISNUMBER(IPMT($E$11/12,((D$20-1)*12)+$C129,$I$11*12,$C$4)),IPMT($E$11/12,((D$20-1)*12)+$C129,$I$11*12,$C$4),0)</f>
        <v>0</v>
      </c>
      <c r="E129" s="2">
        <f t="shared" ref="E129:M129" si="37">IF(ISNUMBER(IPMT($E$11/12,((E$20-1)*12)+$C129,$I$11*12,$C$4)),IPMT($E$11/12,((E$20-1)*12)+$C129,$I$11*12,$C$4),0)</f>
        <v>0</v>
      </c>
      <c r="F129" s="2">
        <f t="shared" si="37"/>
        <v>0</v>
      </c>
      <c r="G129" s="2">
        <f t="shared" si="37"/>
        <v>0</v>
      </c>
      <c r="H129" s="2">
        <f t="shared" si="37"/>
        <v>0</v>
      </c>
      <c r="I129" s="2">
        <f t="shared" si="37"/>
        <v>0</v>
      </c>
      <c r="J129" s="2">
        <f t="shared" si="37"/>
        <v>0</v>
      </c>
      <c r="K129" s="2">
        <f t="shared" si="37"/>
        <v>0</v>
      </c>
      <c r="L129" s="2">
        <f t="shared" si="37"/>
        <v>0</v>
      </c>
      <c r="M129" s="2">
        <f t="shared" si="37"/>
        <v>0</v>
      </c>
      <c r="N129" s="2">
        <f>SUM(C129:M129)</f>
        <v>1</v>
      </c>
      <c r="O129" s="480"/>
    </row>
    <row r="130" spans="1:15" x14ac:dyDescent="0.15">
      <c r="B130" s="515">
        <f>-PMT($E$11/12,$I$11*12,$C$4)</f>
        <v>0</v>
      </c>
      <c r="C130" s="4">
        <v>2</v>
      </c>
      <c r="D130" s="2">
        <f t="shared" ref="D130:M140" si="38">IF(ISNUMBER(IPMT($E$11/12,((D$20-1)*12)+$C130,$I$11*12,$C$4)),IPMT($E$11/12,((D$20-1)*12)+$C130,$I$11*12,$C$4),0)</f>
        <v>0</v>
      </c>
      <c r="E130" s="2">
        <f t="shared" si="38"/>
        <v>0</v>
      </c>
      <c r="F130" s="2">
        <f t="shared" si="38"/>
        <v>0</v>
      </c>
      <c r="G130" s="2">
        <f t="shared" si="38"/>
        <v>0</v>
      </c>
      <c r="H130" s="2">
        <f t="shared" si="38"/>
        <v>0</v>
      </c>
      <c r="I130" s="2">
        <f t="shared" si="38"/>
        <v>0</v>
      </c>
      <c r="J130" s="2">
        <f t="shared" si="38"/>
        <v>0</v>
      </c>
      <c r="K130" s="2">
        <f t="shared" si="38"/>
        <v>0</v>
      </c>
      <c r="L130" s="2">
        <f t="shared" si="38"/>
        <v>0</v>
      </c>
      <c r="M130" s="2">
        <f t="shared" si="38"/>
        <v>0</v>
      </c>
      <c r="N130" s="2">
        <f t="shared" ref="N130:N142" si="39">SUM(C130:M130)</f>
        <v>2</v>
      </c>
      <c r="O130" s="480"/>
    </row>
    <row r="131" spans="1:15" x14ac:dyDescent="0.15">
      <c r="B131" s="544">
        <f>B130*12</f>
        <v>0</v>
      </c>
      <c r="C131" s="4">
        <v>3</v>
      </c>
      <c r="D131" s="2">
        <f t="shared" si="38"/>
        <v>0</v>
      </c>
      <c r="E131" s="2">
        <f t="shared" si="38"/>
        <v>0</v>
      </c>
      <c r="F131" s="2">
        <f t="shared" si="38"/>
        <v>0</v>
      </c>
      <c r="G131" s="2">
        <f t="shared" si="38"/>
        <v>0</v>
      </c>
      <c r="H131" s="2">
        <f t="shared" si="38"/>
        <v>0</v>
      </c>
      <c r="I131" s="2">
        <f t="shared" si="38"/>
        <v>0</v>
      </c>
      <c r="J131" s="2">
        <f t="shared" si="38"/>
        <v>0</v>
      </c>
      <c r="K131" s="2">
        <f t="shared" si="38"/>
        <v>0</v>
      </c>
      <c r="L131" s="2">
        <f t="shared" si="38"/>
        <v>0</v>
      </c>
      <c r="M131" s="2">
        <f t="shared" si="38"/>
        <v>0</v>
      </c>
      <c r="N131" s="2">
        <f t="shared" si="39"/>
        <v>3</v>
      </c>
      <c r="O131" s="480"/>
    </row>
    <row r="132" spans="1:15" x14ac:dyDescent="0.15">
      <c r="B132" s="480" t="s">
        <v>665</v>
      </c>
      <c r="C132" s="4">
        <v>4</v>
      </c>
      <c r="D132" s="2">
        <f t="shared" si="38"/>
        <v>0</v>
      </c>
      <c r="E132" s="2">
        <f t="shared" si="38"/>
        <v>0</v>
      </c>
      <c r="F132" s="2">
        <f t="shared" si="38"/>
        <v>0</v>
      </c>
      <c r="G132" s="2">
        <f t="shared" si="38"/>
        <v>0</v>
      </c>
      <c r="H132" s="2">
        <f t="shared" si="38"/>
        <v>0</v>
      </c>
      <c r="I132" s="2">
        <f t="shared" si="38"/>
        <v>0</v>
      </c>
      <c r="J132" s="2">
        <f t="shared" si="38"/>
        <v>0</v>
      </c>
      <c r="K132" s="2">
        <f t="shared" si="38"/>
        <v>0</v>
      </c>
      <c r="L132" s="2">
        <f t="shared" si="38"/>
        <v>0</v>
      </c>
      <c r="M132" s="2">
        <f t="shared" si="38"/>
        <v>0</v>
      </c>
      <c r="N132" s="2">
        <f t="shared" si="39"/>
        <v>4</v>
      </c>
      <c r="O132" s="480"/>
    </row>
    <row r="133" spans="1:15" x14ac:dyDescent="0.15">
      <c r="B133" s="543">
        <f>$C$10</f>
        <v>0</v>
      </c>
      <c r="C133" s="4">
        <v>5</v>
      </c>
      <c r="D133" s="2">
        <f t="shared" si="38"/>
        <v>0</v>
      </c>
      <c r="E133" s="2">
        <f t="shared" si="38"/>
        <v>0</v>
      </c>
      <c r="F133" s="2">
        <f t="shared" si="38"/>
        <v>0</v>
      </c>
      <c r="G133" s="2">
        <f t="shared" si="38"/>
        <v>0</v>
      </c>
      <c r="H133" s="2">
        <f t="shared" si="38"/>
        <v>0</v>
      </c>
      <c r="I133" s="2">
        <f t="shared" si="38"/>
        <v>0</v>
      </c>
      <c r="J133" s="2">
        <f t="shared" si="38"/>
        <v>0</v>
      </c>
      <c r="K133" s="2">
        <f t="shared" si="38"/>
        <v>0</v>
      </c>
      <c r="L133" s="2">
        <f t="shared" si="38"/>
        <v>0</v>
      </c>
      <c r="M133" s="2">
        <f t="shared" si="38"/>
        <v>0</v>
      </c>
      <c r="N133" s="2">
        <f t="shared" si="39"/>
        <v>5</v>
      </c>
      <c r="O133" s="480"/>
    </row>
    <row r="134" spans="1:15" x14ac:dyDescent="0.15">
      <c r="B134" s="480"/>
      <c r="C134" s="4">
        <v>6</v>
      </c>
      <c r="D134" s="2">
        <f t="shared" si="38"/>
        <v>0</v>
      </c>
      <c r="E134" s="2">
        <f t="shared" si="38"/>
        <v>0</v>
      </c>
      <c r="F134" s="2">
        <f t="shared" si="38"/>
        <v>0</v>
      </c>
      <c r="G134" s="2">
        <f t="shared" si="38"/>
        <v>0</v>
      </c>
      <c r="H134" s="2">
        <f t="shared" si="38"/>
        <v>0</v>
      </c>
      <c r="I134" s="2">
        <f t="shared" si="38"/>
        <v>0</v>
      </c>
      <c r="J134" s="2">
        <f t="shared" si="38"/>
        <v>0</v>
      </c>
      <c r="K134" s="2">
        <f t="shared" si="38"/>
        <v>0</v>
      </c>
      <c r="L134" s="2">
        <f t="shared" si="38"/>
        <v>0</v>
      </c>
      <c r="M134" s="2">
        <f t="shared" si="38"/>
        <v>0</v>
      </c>
      <c r="N134" s="2">
        <f t="shared" si="39"/>
        <v>6</v>
      </c>
      <c r="O134" s="480"/>
    </row>
    <row r="135" spans="1:15" x14ac:dyDescent="0.15">
      <c r="B135" s="480"/>
      <c r="C135" s="4">
        <v>7</v>
      </c>
      <c r="D135" s="2">
        <f t="shared" si="38"/>
        <v>0</v>
      </c>
      <c r="E135" s="2">
        <f t="shared" si="38"/>
        <v>0</v>
      </c>
      <c r="F135" s="2">
        <f t="shared" si="38"/>
        <v>0</v>
      </c>
      <c r="G135" s="2">
        <f t="shared" si="38"/>
        <v>0</v>
      </c>
      <c r="H135" s="2">
        <f t="shared" si="38"/>
        <v>0</v>
      </c>
      <c r="I135" s="2">
        <f t="shared" si="38"/>
        <v>0</v>
      </c>
      <c r="J135" s="2">
        <f t="shared" si="38"/>
        <v>0</v>
      </c>
      <c r="K135" s="2">
        <f t="shared" si="38"/>
        <v>0</v>
      </c>
      <c r="L135" s="2">
        <f t="shared" si="38"/>
        <v>0</v>
      </c>
      <c r="M135" s="2">
        <f t="shared" si="38"/>
        <v>0</v>
      </c>
      <c r="N135" s="2">
        <f t="shared" si="39"/>
        <v>7</v>
      </c>
      <c r="O135" s="480"/>
    </row>
    <row r="136" spans="1:15" x14ac:dyDescent="0.15">
      <c r="B136" s="480"/>
      <c r="C136" s="4">
        <v>8</v>
      </c>
      <c r="D136" s="2">
        <f t="shared" si="38"/>
        <v>0</v>
      </c>
      <c r="E136" s="2">
        <f t="shared" si="38"/>
        <v>0</v>
      </c>
      <c r="F136" s="2">
        <f t="shared" si="38"/>
        <v>0</v>
      </c>
      <c r="G136" s="2">
        <f t="shared" si="38"/>
        <v>0</v>
      </c>
      <c r="H136" s="2">
        <f t="shared" si="38"/>
        <v>0</v>
      </c>
      <c r="I136" s="2">
        <f t="shared" si="38"/>
        <v>0</v>
      </c>
      <c r="J136" s="2">
        <f t="shared" si="38"/>
        <v>0</v>
      </c>
      <c r="K136" s="2">
        <f t="shared" si="38"/>
        <v>0</v>
      </c>
      <c r="L136" s="2">
        <f t="shared" si="38"/>
        <v>0</v>
      </c>
      <c r="M136" s="2">
        <f t="shared" si="38"/>
        <v>0</v>
      </c>
      <c r="N136" s="2">
        <f t="shared" si="39"/>
        <v>8</v>
      </c>
      <c r="O136" s="480"/>
    </row>
    <row r="137" spans="1:15" x14ac:dyDescent="0.15">
      <c r="B137" s="480"/>
      <c r="C137" s="4">
        <v>9</v>
      </c>
      <c r="D137" s="2">
        <f t="shared" si="38"/>
        <v>0</v>
      </c>
      <c r="E137" s="2">
        <f t="shared" si="38"/>
        <v>0</v>
      </c>
      <c r="F137" s="2">
        <f t="shared" si="38"/>
        <v>0</v>
      </c>
      <c r="G137" s="2">
        <f t="shared" si="38"/>
        <v>0</v>
      </c>
      <c r="H137" s="2">
        <f t="shared" si="38"/>
        <v>0</v>
      </c>
      <c r="I137" s="2">
        <f t="shared" si="38"/>
        <v>0</v>
      </c>
      <c r="J137" s="2">
        <f t="shared" si="38"/>
        <v>0</v>
      </c>
      <c r="K137" s="2">
        <f t="shared" si="38"/>
        <v>0</v>
      </c>
      <c r="L137" s="2">
        <f t="shared" si="38"/>
        <v>0</v>
      </c>
      <c r="M137" s="2">
        <f t="shared" si="38"/>
        <v>0</v>
      </c>
      <c r="N137" s="2">
        <f t="shared" si="39"/>
        <v>9</v>
      </c>
      <c r="O137" s="480"/>
    </row>
    <row r="138" spans="1:15" x14ac:dyDescent="0.15">
      <c r="B138" s="480"/>
      <c r="C138" s="4">
        <v>10</v>
      </c>
      <c r="D138" s="2">
        <f t="shared" si="38"/>
        <v>0</v>
      </c>
      <c r="E138" s="2">
        <f t="shared" si="38"/>
        <v>0</v>
      </c>
      <c r="F138" s="2">
        <f t="shared" si="38"/>
        <v>0</v>
      </c>
      <c r="G138" s="2">
        <f t="shared" si="38"/>
        <v>0</v>
      </c>
      <c r="H138" s="2">
        <f t="shared" si="38"/>
        <v>0</v>
      </c>
      <c r="I138" s="2">
        <f t="shared" si="38"/>
        <v>0</v>
      </c>
      <c r="J138" s="2">
        <f t="shared" si="38"/>
        <v>0</v>
      </c>
      <c r="K138" s="2">
        <f t="shared" si="38"/>
        <v>0</v>
      </c>
      <c r="L138" s="2">
        <f t="shared" si="38"/>
        <v>0</v>
      </c>
      <c r="M138" s="2">
        <f t="shared" si="38"/>
        <v>0</v>
      </c>
      <c r="N138" s="2">
        <f t="shared" si="39"/>
        <v>10</v>
      </c>
      <c r="O138" s="480"/>
    </row>
    <row r="139" spans="1:15" x14ac:dyDescent="0.15">
      <c r="B139" s="480"/>
      <c r="C139" s="4">
        <v>11</v>
      </c>
      <c r="D139" s="2">
        <f t="shared" si="38"/>
        <v>0</v>
      </c>
      <c r="E139" s="2">
        <f t="shared" si="38"/>
        <v>0</v>
      </c>
      <c r="F139" s="2">
        <f t="shared" si="38"/>
        <v>0</v>
      </c>
      <c r="G139" s="2">
        <f t="shared" si="38"/>
        <v>0</v>
      </c>
      <c r="H139" s="2">
        <f t="shared" si="38"/>
        <v>0</v>
      </c>
      <c r="I139" s="2">
        <f t="shared" si="38"/>
        <v>0</v>
      </c>
      <c r="J139" s="2">
        <f t="shared" si="38"/>
        <v>0</v>
      </c>
      <c r="K139" s="2">
        <f t="shared" si="38"/>
        <v>0</v>
      </c>
      <c r="L139" s="2">
        <f t="shared" si="38"/>
        <v>0</v>
      </c>
      <c r="M139" s="2">
        <f t="shared" si="38"/>
        <v>0</v>
      </c>
      <c r="N139" s="2">
        <f t="shared" si="39"/>
        <v>11</v>
      </c>
      <c r="O139" s="480"/>
    </row>
    <row r="140" spans="1:15" ht="14" thickBot="1" x14ac:dyDescent="0.2">
      <c r="B140" s="480"/>
      <c r="C140" s="4">
        <v>12</v>
      </c>
      <c r="D140" s="2">
        <f t="shared" si="38"/>
        <v>0</v>
      </c>
      <c r="E140" s="2">
        <f t="shared" si="38"/>
        <v>0</v>
      </c>
      <c r="F140" s="2">
        <f t="shared" si="38"/>
        <v>0</v>
      </c>
      <c r="G140" s="2">
        <f t="shared" si="38"/>
        <v>0</v>
      </c>
      <c r="H140" s="2">
        <f t="shared" si="38"/>
        <v>0</v>
      </c>
      <c r="I140" s="2">
        <f t="shared" si="38"/>
        <v>0</v>
      </c>
      <c r="J140" s="2">
        <f t="shared" si="38"/>
        <v>0</v>
      </c>
      <c r="K140" s="2">
        <f t="shared" si="38"/>
        <v>0</v>
      </c>
      <c r="L140" s="2">
        <f t="shared" si="38"/>
        <v>0</v>
      </c>
      <c r="M140" s="2">
        <f t="shared" si="38"/>
        <v>0</v>
      </c>
      <c r="N140" s="2">
        <f t="shared" si="39"/>
        <v>12</v>
      </c>
      <c r="O140" s="480"/>
    </row>
    <row r="141" spans="1:15" ht="14" thickBot="1" x14ac:dyDescent="0.2">
      <c r="A141" t="s">
        <v>680</v>
      </c>
      <c r="B141" s="480"/>
      <c r="C141" s="4" t="s">
        <v>273</v>
      </c>
      <c r="D141" s="503">
        <f>IF(D128&gt;$I$11,0,IPMT($E$11,D128,$I$11,$B$25))</f>
        <v>0</v>
      </c>
      <c r="E141" s="503">
        <f t="shared" ref="E141:M141" si="40">IF(E128&gt;$I$11,0,IPMT($E$11,E128,$I$11,$B$25))</f>
        <v>0</v>
      </c>
      <c r="F141" s="503">
        <f t="shared" si="40"/>
        <v>0</v>
      </c>
      <c r="G141" s="503">
        <f t="shared" si="40"/>
        <v>0</v>
      </c>
      <c r="H141" s="503">
        <f t="shared" si="40"/>
        <v>0</v>
      </c>
      <c r="I141" s="503">
        <f t="shared" si="40"/>
        <v>0</v>
      </c>
      <c r="J141" s="503">
        <f t="shared" si="40"/>
        <v>0</v>
      </c>
      <c r="K141" s="503">
        <f t="shared" si="40"/>
        <v>0</v>
      </c>
      <c r="L141" s="503">
        <f t="shared" si="40"/>
        <v>0</v>
      </c>
      <c r="M141" s="503">
        <f t="shared" si="40"/>
        <v>0</v>
      </c>
      <c r="N141" s="2">
        <f t="shared" si="39"/>
        <v>0</v>
      </c>
      <c r="O141" s="480"/>
    </row>
    <row r="142" spans="1:15" ht="14" thickBot="1" x14ac:dyDescent="0.2">
      <c r="B142" s="516"/>
      <c r="C142" s="502" t="s">
        <v>663</v>
      </c>
      <c r="D142" s="522">
        <f>IF(D128&gt;$I$11,0,PPMT($E$11,D128,$I$11,$B$25))</f>
        <v>0</v>
      </c>
      <c r="E142" s="522">
        <f t="shared" ref="E142:M142" si="41">IF(E128&gt;$I$11,0,PPMT($E$11,E128,$I$11,$B$25))</f>
        <v>0</v>
      </c>
      <c r="F142" s="522">
        <f t="shared" si="41"/>
        <v>0</v>
      </c>
      <c r="G142" s="522">
        <f t="shared" si="41"/>
        <v>0</v>
      </c>
      <c r="H142" s="522">
        <f t="shared" si="41"/>
        <v>0</v>
      </c>
      <c r="I142" s="522">
        <f t="shared" si="41"/>
        <v>0</v>
      </c>
      <c r="J142" s="522">
        <f t="shared" si="41"/>
        <v>0</v>
      </c>
      <c r="K142" s="522">
        <f t="shared" si="41"/>
        <v>0</v>
      </c>
      <c r="L142" s="522">
        <f t="shared" si="41"/>
        <v>0</v>
      </c>
      <c r="M142" s="522">
        <f t="shared" si="41"/>
        <v>0</v>
      </c>
      <c r="N142" s="504">
        <f t="shared" si="39"/>
        <v>0</v>
      </c>
      <c r="O142" s="482"/>
    </row>
    <row r="144" spans="1:15" ht="14" thickBot="1" x14ac:dyDescent="0.2"/>
    <row r="145" spans="2:15" ht="14" thickBot="1" x14ac:dyDescent="0.2">
      <c r="B145" s="495" t="s">
        <v>419</v>
      </c>
      <c r="C145" s="178"/>
      <c r="D145" s="483" t="s">
        <v>133</v>
      </c>
      <c r="E145" s="483" t="s">
        <v>133</v>
      </c>
      <c r="F145" s="483" t="s">
        <v>133</v>
      </c>
      <c r="G145" s="483" t="s">
        <v>133</v>
      </c>
      <c r="H145" s="483" t="s">
        <v>133</v>
      </c>
      <c r="I145" s="483" t="s">
        <v>133</v>
      </c>
      <c r="J145" s="483" t="s">
        <v>133</v>
      </c>
      <c r="K145" s="483" t="s">
        <v>133</v>
      </c>
      <c r="L145" s="483" t="s">
        <v>133</v>
      </c>
      <c r="M145" s="483" t="s">
        <v>133</v>
      </c>
      <c r="N145" s="178"/>
      <c r="O145" s="499" t="str">
        <f>B145</f>
        <v>+10%</v>
      </c>
    </row>
    <row r="146" spans="2:15" x14ac:dyDescent="0.15">
      <c r="B146" s="514"/>
      <c r="C146" s="4" t="s">
        <v>660</v>
      </c>
      <c r="D146" s="4">
        <v>1</v>
      </c>
      <c r="E146" s="4">
        <f>D146+1</f>
        <v>2</v>
      </c>
      <c r="F146" s="4">
        <f>E146+1</f>
        <v>3</v>
      </c>
      <c r="G146" s="4">
        <f t="shared" ref="G146:M146" si="42">F146+1</f>
        <v>4</v>
      </c>
      <c r="H146" s="4">
        <f t="shared" si="42"/>
        <v>5</v>
      </c>
      <c r="I146" s="4">
        <f t="shared" si="42"/>
        <v>6</v>
      </c>
      <c r="J146" s="4">
        <f t="shared" si="42"/>
        <v>7</v>
      </c>
      <c r="K146" s="4">
        <f t="shared" si="42"/>
        <v>8</v>
      </c>
      <c r="L146" s="4">
        <f t="shared" si="42"/>
        <v>9</v>
      </c>
      <c r="M146" s="4">
        <f t="shared" si="42"/>
        <v>10</v>
      </c>
      <c r="N146" s="4" t="s">
        <v>285</v>
      </c>
      <c r="O146" s="480"/>
    </row>
    <row r="147" spans="2:15" x14ac:dyDescent="0.15">
      <c r="B147" s="480" t="s">
        <v>661</v>
      </c>
      <c r="C147" s="4">
        <v>1</v>
      </c>
      <c r="D147" s="2">
        <f>IF(ISNUMBER(IPMT($E$12/12,((D$20-1)*12)+$C147,$I$11*12,$C$4)),IPMT($E$12/12,((D$20-1)*12)+$C147,$I$11*12,$C$4),0)</f>
        <v>0</v>
      </c>
      <c r="E147" s="2">
        <f t="shared" ref="E147:M147" si="43">IF(ISNUMBER(IPMT($E$12/12,((E$20-1)*12)+$C147,$I$11*12,$C$4)),IPMT($E$12/12,((E$20-1)*12)+$C147,$I$11*12,$C$4),0)</f>
        <v>0</v>
      </c>
      <c r="F147" s="2">
        <f t="shared" si="43"/>
        <v>0</v>
      </c>
      <c r="G147" s="2">
        <f t="shared" si="43"/>
        <v>0</v>
      </c>
      <c r="H147" s="2">
        <f t="shared" si="43"/>
        <v>0</v>
      </c>
      <c r="I147" s="2">
        <f t="shared" si="43"/>
        <v>0</v>
      </c>
      <c r="J147" s="2">
        <f t="shared" si="43"/>
        <v>0</v>
      </c>
      <c r="K147" s="2">
        <f t="shared" si="43"/>
        <v>0</v>
      </c>
      <c r="L147" s="2">
        <f t="shared" si="43"/>
        <v>0</v>
      </c>
      <c r="M147" s="2">
        <f t="shared" si="43"/>
        <v>0</v>
      </c>
      <c r="N147" s="2">
        <f>SUM(C147:M147)</f>
        <v>1</v>
      </c>
      <c r="O147" s="480"/>
    </row>
    <row r="148" spans="2:15" x14ac:dyDescent="0.15">
      <c r="B148" s="515">
        <f>-PMT($E$12/12,$I$11*12,$C$4)</f>
        <v>0</v>
      </c>
      <c r="C148" s="4">
        <v>2</v>
      </c>
      <c r="D148" s="2">
        <f t="shared" ref="D148:M158" si="44">IF(ISNUMBER(IPMT($E$12/12,((D$20-1)*12)+$C148,$I$11*12,$C$4)),IPMT($E$12/12,((D$20-1)*12)+$C148,$I$11*12,$C$4),0)</f>
        <v>0</v>
      </c>
      <c r="E148" s="2">
        <f t="shared" si="44"/>
        <v>0</v>
      </c>
      <c r="F148" s="2">
        <f t="shared" si="44"/>
        <v>0</v>
      </c>
      <c r="G148" s="2">
        <f t="shared" si="44"/>
        <v>0</v>
      </c>
      <c r="H148" s="2">
        <f t="shared" si="44"/>
        <v>0</v>
      </c>
      <c r="I148" s="2">
        <f t="shared" si="44"/>
        <v>0</v>
      </c>
      <c r="J148" s="2">
        <f t="shared" si="44"/>
        <v>0</v>
      </c>
      <c r="K148" s="2">
        <f t="shared" si="44"/>
        <v>0</v>
      </c>
      <c r="L148" s="2">
        <f t="shared" si="44"/>
        <v>0</v>
      </c>
      <c r="M148" s="2">
        <f t="shared" si="44"/>
        <v>0</v>
      </c>
      <c r="N148" s="2">
        <f t="shared" ref="N148:N160" si="45">SUM(C148:M148)</f>
        <v>2</v>
      </c>
      <c r="O148" s="480"/>
    </row>
    <row r="149" spans="2:15" x14ac:dyDescent="0.15">
      <c r="B149" s="544">
        <f>B148*12</f>
        <v>0</v>
      </c>
      <c r="C149" s="4">
        <v>3</v>
      </c>
      <c r="D149" s="2">
        <f t="shared" si="44"/>
        <v>0</v>
      </c>
      <c r="E149" s="2">
        <f t="shared" si="44"/>
        <v>0</v>
      </c>
      <c r="F149" s="2">
        <f t="shared" si="44"/>
        <v>0</v>
      </c>
      <c r="G149" s="2">
        <f t="shared" si="44"/>
        <v>0</v>
      </c>
      <c r="H149" s="2">
        <f t="shared" si="44"/>
        <v>0</v>
      </c>
      <c r="I149" s="2">
        <f t="shared" si="44"/>
        <v>0</v>
      </c>
      <c r="J149" s="2">
        <f t="shared" si="44"/>
        <v>0</v>
      </c>
      <c r="K149" s="2">
        <f t="shared" si="44"/>
        <v>0</v>
      </c>
      <c r="L149" s="2">
        <f t="shared" si="44"/>
        <v>0</v>
      </c>
      <c r="M149" s="2">
        <f t="shared" si="44"/>
        <v>0</v>
      </c>
      <c r="N149" s="2">
        <f t="shared" si="45"/>
        <v>3</v>
      </c>
      <c r="O149" s="480"/>
    </row>
    <row r="150" spans="2:15" x14ac:dyDescent="0.15">
      <c r="B150" s="480" t="s">
        <v>665</v>
      </c>
      <c r="C150" s="4">
        <v>4</v>
      </c>
      <c r="D150" s="2">
        <f t="shared" si="44"/>
        <v>0</v>
      </c>
      <c r="E150" s="2">
        <f t="shared" si="44"/>
        <v>0</v>
      </c>
      <c r="F150" s="2">
        <f t="shared" si="44"/>
        <v>0</v>
      </c>
      <c r="G150" s="2">
        <f t="shared" si="44"/>
        <v>0</v>
      </c>
      <c r="H150" s="2">
        <f t="shared" si="44"/>
        <v>0</v>
      </c>
      <c r="I150" s="2">
        <f t="shared" si="44"/>
        <v>0</v>
      </c>
      <c r="J150" s="2">
        <f t="shared" si="44"/>
        <v>0</v>
      </c>
      <c r="K150" s="2">
        <f t="shared" si="44"/>
        <v>0</v>
      </c>
      <c r="L150" s="2">
        <f t="shared" si="44"/>
        <v>0</v>
      </c>
      <c r="M150" s="2">
        <f t="shared" si="44"/>
        <v>0</v>
      </c>
      <c r="N150" s="2">
        <f t="shared" si="45"/>
        <v>4</v>
      </c>
      <c r="O150" s="480"/>
    </row>
    <row r="151" spans="2:15" x14ac:dyDescent="0.15">
      <c r="B151" s="543">
        <f>$C$10</f>
        <v>0</v>
      </c>
      <c r="C151" s="4">
        <v>5</v>
      </c>
      <c r="D151" s="2">
        <f t="shared" si="44"/>
        <v>0</v>
      </c>
      <c r="E151" s="2">
        <f t="shared" si="44"/>
        <v>0</v>
      </c>
      <c r="F151" s="2">
        <f t="shared" si="44"/>
        <v>0</v>
      </c>
      <c r="G151" s="2">
        <f t="shared" si="44"/>
        <v>0</v>
      </c>
      <c r="H151" s="2">
        <f t="shared" si="44"/>
        <v>0</v>
      </c>
      <c r="I151" s="2">
        <f t="shared" si="44"/>
        <v>0</v>
      </c>
      <c r="J151" s="2">
        <f t="shared" si="44"/>
        <v>0</v>
      </c>
      <c r="K151" s="2">
        <f t="shared" si="44"/>
        <v>0</v>
      </c>
      <c r="L151" s="2">
        <f t="shared" si="44"/>
        <v>0</v>
      </c>
      <c r="M151" s="2">
        <f t="shared" si="44"/>
        <v>0</v>
      </c>
      <c r="N151" s="2">
        <f t="shared" si="45"/>
        <v>5</v>
      </c>
      <c r="O151" s="480"/>
    </row>
    <row r="152" spans="2:15" x14ac:dyDescent="0.15">
      <c r="B152" s="480"/>
      <c r="C152" s="4">
        <v>6</v>
      </c>
      <c r="D152" s="2">
        <f t="shared" si="44"/>
        <v>0</v>
      </c>
      <c r="E152" s="2">
        <f t="shared" si="44"/>
        <v>0</v>
      </c>
      <c r="F152" s="2">
        <f t="shared" si="44"/>
        <v>0</v>
      </c>
      <c r="G152" s="2">
        <f t="shared" si="44"/>
        <v>0</v>
      </c>
      <c r="H152" s="2">
        <f t="shared" si="44"/>
        <v>0</v>
      </c>
      <c r="I152" s="2">
        <f t="shared" si="44"/>
        <v>0</v>
      </c>
      <c r="J152" s="2">
        <f t="shared" si="44"/>
        <v>0</v>
      </c>
      <c r="K152" s="2">
        <f t="shared" si="44"/>
        <v>0</v>
      </c>
      <c r="L152" s="2">
        <f t="shared" si="44"/>
        <v>0</v>
      </c>
      <c r="M152" s="2">
        <f t="shared" si="44"/>
        <v>0</v>
      </c>
      <c r="N152" s="2">
        <f t="shared" si="45"/>
        <v>6</v>
      </c>
      <c r="O152" s="480"/>
    </row>
    <row r="153" spans="2:15" x14ac:dyDescent="0.15">
      <c r="B153" s="480"/>
      <c r="C153" s="4">
        <v>7</v>
      </c>
      <c r="D153" s="2">
        <f t="shared" si="44"/>
        <v>0</v>
      </c>
      <c r="E153" s="2">
        <f t="shared" si="44"/>
        <v>0</v>
      </c>
      <c r="F153" s="2">
        <f t="shared" si="44"/>
        <v>0</v>
      </c>
      <c r="G153" s="2">
        <f t="shared" si="44"/>
        <v>0</v>
      </c>
      <c r="H153" s="2">
        <f t="shared" si="44"/>
        <v>0</v>
      </c>
      <c r="I153" s="2">
        <f t="shared" si="44"/>
        <v>0</v>
      </c>
      <c r="J153" s="2">
        <f t="shared" si="44"/>
        <v>0</v>
      </c>
      <c r="K153" s="2">
        <f t="shared" si="44"/>
        <v>0</v>
      </c>
      <c r="L153" s="2">
        <f t="shared" si="44"/>
        <v>0</v>
      </c>
      <c r="M153" s="2">
        <f t="shared" si="44"/>
        <v>0</v>
      </c>
      <c r="N153" s="2">
        <f t="shared" si="45"/>
        <v>7</v>
      </c>
      <c r="O153" s="480"/>
    </row>
    <row r="154" spans="2:15" x14ac:dyDescent="0.15">
      <c r="B154" s="480"/>
      <c r="C154" s="4">
        <v>8</v>
      </c>
      <c r="D154" s="2">
        <f t="shared" si="44"/>
        <v>0</v>
      </c>
      <c r="E154" s="2">
        <f t="shared" si="44"/>
        <v>0</v>
      </c>
      <c r="F154" s="2">
        <f t="shared" si="44"/>
        <v>0</v>
      </c>
      <c r="G154" s="2">
        <f t="shared" si="44"/>
        <v>0</v>
      </c>
      <c r="H154" s="2">
        <f t="shared" si="44"/>
        <v>0</v>
      </c>
      <c r="I154" s="2">
        <f t="shared" si="44"/>
        <v>0</v>
      </c>
      <c r="J154" s="2">
        <f t="shared" si="44"/>
        <v>0</v>
      </c>
      <c r="K154" s="2">
        <f t="shared" si="44"/>
        <v>0</v>
      </c>
      <c r="L154" s="2">
        <f t="shared" si="44"/>
        <v>0</v>
      </c>
      <c r="M154" s="2">
        <f t="shared" si="44"/>
        <v>0</v>
      </c>
      <c r="N154" s="2">
        <f t="shared" si="45"/>
        <v>8</v>
      </c>
      <c r="O154" s="480"/>
    </row>
    <row r="155" spans="2:15" x14ac:dyDescent="0.15">
      <c r="B155" s="480"/>
      <c r="C155" s="4">
        <v>9</v>
      </c>
      <c r="D155" s="2">
        <f t="shared" si="44"/>
        <v>0</v>
      </c>
      <c r="E155" s="2">
        <f t="shared" si="44"/>
        <v>0</v>
      </c>
      <c r="F155" s="2">
        <f t="shared" si="44"/>
        <v>0</v>
      </c>
      <c r="G155" s="2">
        <f t="shared" si="44"/>
        <v>0</v>
      </c>
      <c r="H155" s="2">
        <f t="shared" si="44"/>
        <v>0</v>
      </c>
      <c r="I155" s="2">
        <f t="shared" si="44"/>
        <v>0</v>
      </c>
      <c r="J155" s="2">
        <f t="shared" si="44"/>
        <v>0</v>
      </c>
      <c r="K155" s="2">
        <f t="shared" si="44"/>
        <v>0</v>
      </c>
      <c r="L155" s="2">
        <f t="shared" si="44"/>
        <v>0</v>
      </c>
      <c r="M155" s="2">
        <f t="shared" si="44"/>
        <v>0</v>
      </c>
      <c r="N155" s="2">
        <f t="shared" si="45"/>
        <v>9</v>
      </c>
      <c r="O155" s="480"/>
    </row>
    <row r="156" spans="2:15" x14ac:dyDescent="0.15">
      <c r="B156" s="480"/>
      <c r="C156" s="4">
        <v>10</v>
      </c>
      <c r="D156" s="2">
        <f t="shared" si="44"/>
        <v>0</v>
      </c>
      <c r="E156" s="2">
        <f t="shared" si="44"/>
        <v>0</v>
      </c>
      <c r="F156" s="2">
        <f t="shared" si="44"/>
        <v>0</v>
      </c>
      <c r="G156" s="2">
        <f t="shared" si="44"/>
        <v>0</v>
      </c>
      <c r="H156" s="2">
        <f t="shared" si="44"/>
        <v>0</v>
      </c>
      <c r="I156" s="2">
        <f t="shared" si="44"/>
        <v>0</v>
      </c>
      <c r="J156" s="2">
        <f t="shared" si="44"/>
        <v>0</v>
      </c>
      <c r="K156" s="2">
        <f t="shared" si="44"/>
        <v>0</v>
      </c>
      <c r="L156" s="2">
        <f t="shared" si="44"/>
        <v>0</v>
      </c>
      <c r="M156" s="2">
        <f t="shared" si="44"/>
        <v>0</v>
      </c>
      <c r="N156" s="2">
        <f t="shared" si="45"/>
        <v>10</v>
      </c>
      <c r="O156" s="480"/>
    </row>
    <row r="157" spans="2:15" x14ac:dyDescent="0.15">
      <c r="B157" s="480"/>
      <c r="C157" s="4">
        <v>11</v>
      </c>
      <c r="D157" s="2">
        <f t="shared" si="44"/>
        <v>0</v>
      </c>
      <c r="E157" s="2">
        <f t="shared" si="44"/>
        <v>0</v>
      </c>
      <c r="F157" s="2">
        <f t="shared" si="44"/>
        <v>0</v>
      </c>
      <c r="G157" s="2">
        <f t="shared" si="44"/>
        <v>0</v>
      </c>
      <c r="H157" s="2">
        <f t="shared" si="44"/>
        <v>0</v>
      </c>
      <c r="I157" s="2">
        <f t="shared" si="44"/>
        <v>0</v>
      </c>
      <c r="J157" s="2">
        <f t="shared" si="44"/>
        <v>0</v>
      </c>
      <c r="K157" s="2">
        <f t="shared" si="44"/>
        <v>0</v>
      </c>
      <c r="L157" s="2">
        <f t="shared" si="44"/>
        <v>0</v>
      </c>
      <c r="M157" s="2">
        <f t="shared" si="44"/>
        <v>0</v>
      </c>
      <c r="N157" s="2">
        <f t="shared" si="45"/>
        <v>11</v>
      </c>
      <c r="O157" s="480"/>
    </row>
    <row r="158" spans="2:15" ht="14" thickBot="1" x14ac:dyDescent="0.2">
      <c r="B158" s="480"/>
      <c r="C158" s="4">
        <v>12</v>
      </c>
      <c r="D158" s="2">
        <f t="shared" si="44"/>
        <v>0</v>
      </c>
      <c r="E158" s="2">
        <f t="shared" si="44"/>
        <v>0</v>
      </c>
      <c r="F158" s="2">
        <f t="shared" si="44"/>
        <v>0</v>
      </c>
      <c r="G158" s="2">
        <f t="shared" si="44"/>
        <v>0</v>
      </c>
      <c r="H158" s="2">
        <f t="shared" si="44"/>
        <v>0</v>
      </c>
      <c r="I158" s="2">
        <f t="shared" si="44"/>
        <v>0</v>
      </c>
      <c r="J158" s="2">
        <f t="shared" si="44"/>
        <v>0</v>
      </c>
      <c r="K158" s="2">
        <f t="shared" si="44"/>
        <v>0</v>
      </c>
      <c r="L158" s="2">
        <f t="shared" si="44"/>
        <v>0</v>
      </c>
      <c r="M158" s="2">
        <f t="shared" si="44"/>
        <v>0</v>
      </c>
      <c r="N158" s="2">
        <f t="shared" si="45"/>
        <v>12</v>
      </c>
      <c r="O158" s="480"/>
    </row>
    <row r="159" spans="2:15" ht="14" thickBot="1" x14ac:dyDescent="0.2">
      <c r="B159" s="480"/>
      <c r="C159" s="502" t="s">
        <v>273</v>
      </c>
      <c r="D159" s="503">
        <f>IF(D146&gt;$I$11,0,IPMT($E$12,D146,$I$11,$B$25))</f>
        <v>0</v>
      </c>
      <c r="E159" s="503">
        <f t="shared" ref="E159:M159" si="46">IF(E146&gt;$I$11,0,IPMT($E$12,E146,$I$11,$B$25))</f>
        <v>0</v>
      </c>
      <c r="F159" s="503">
        <f t="shared" si="46"/>
        <v>0</v>
      </c>
      <c r="G159" s="503">
        <f t="shared" si="46"/>
        <v>0</v>
      </c>
      <c r="H159" s="503">
        <f t="shared" si="46"/>
        <v>0</v>
      </c>
      <c r="I159" s="503">
        <f t="shared" si="46"/>
        <v>0</v>
      </c>
      <c r="J159" s="503">
        <f t="shared" si="46"/>
        <v>0</v>
      </c>
      <c r="K159" s="503">
        <f t="shared" si="46"/>
        <v>0</v>
      </c>
      <c r="L159" s="503">
        <f t="shared" si="46"/>
        <v>0</v>
      </c>
      <c r="M159" s="503">
        <f t="shared" si="46"/>
        <v>0</v>
      </c>
      <c r="N159" s="504">
        <f t="shared" si="45"/>
        <v>0</v>
      </c>
      <c r="O159" s="480"/>
    </row>
    <row r="160" spans="2:15" ht="14" thickBot="1" x14ac:dyDescent="0.2">
      <c r="B160" s="516"/>
      <c r="C160" s="502" t="s">
        <v>663</v>
      </c>
      <c r="D160" s="522">
        <f>IF(D146&gt;$I$11,0,PPMT($E$12,D146,$I$11,$B$25))</f>
        <v>0</v>
      </c>
      <c r="E160" s="522">
        <f t="shared" ref="E160:M160" si="47">IF(E146&gt;$I$11,0,PPMT($E$12,E146,$I$11,$B$25))</f>
        <v>0</v>
      </c>
      <c r="F160" s="522">
        <f t="shared" si="47"/>
        <v>0</v>
      </c>
      <c r="G160" s="522">
        <f t="shared" si="47"/>
        <v>0</v>
      </c>
      <c r="H160" s="522">
        <f t="shared" si="47"/>
        <v>0</v>
      </c>
      <c r="I160" s="522">
        <f t="shared" si="47"/>
        <v>0</v>
      </c>
      <c r="J160" s="522">
        <f t="shared" si="47"/>
        <v>0</v>
      </c>
      <c r="K160" s="522">
        <f t="shared" si="47"/>
        <v>0</v>
      </c>
      <c r="L160" s="522">
        <f t="shared" si="47"/>
        <v>0</v>
      </c>
      <c r="M160" s="522">
        <f t="shared" si="47"/>
        <v>0</v>
      </c>
      <c r="N160" s="504">
        <f t="shared" si="45"/>
        <v>0</v>
      </c>
      <c r="O160" s="482"/>
    </row>
    <row r="162" spans="2:15" ht="14" thickBot="1" x14ac:dyDescent="0.2"/>
    <row r="163" spans="2:15" ht="14" thickBot="1" x14ac:dyDescent="0.2">
      <c r="B163" s="495" t="s">
        <v>420</v>
      </c>
      <c r="C163" s="178"/>
      <c r="D163" s="483" t="s">
        <v>133</v>
      </c>
      <c r="E163" s="483" t="s">
        <v>133</v>
      </c>
      <c r="F163" s="483" t="s">
        <v>133</v>
      </c>
      <c r="G163" s="483" t="s">
        <v>133</v>
      </c>
      <c r="H163" s="483" t="s">
        <v>133</v>
      </c>
      <c r="I163" s="483" t="s">
        <v>133</v>
      </c>
      <c r="J163" s="483" t="s">
        <v>133</v>
      </c>
      <c r="K163" s="483" t="s">
        <v>133</v>
      </c>
      <c r="L163" s="483" t="s">
        <v>133</v>
      </c>
      <c r="M163" s="483" t="s">
        <v>133</v>
      </c>
      <c r="N163" s="178"/>
      <c r="O163" s="499" t="str">
        <f>B163</f>
        <v>+15%</v>
      </c>
    </row>
    <row r="164" spans="2:15" x14ac:dyDescent="0.15">
      <c r="B164" s="514"/>
      <c r="C164" s="4" t="s">
        <v>660</v>
      </c>
      <c r="D164" s="4">
        <v>1</v>
      </c>
      <c r="E164" s="4">
        <f>D164+1</f>
        <v>2</v>
      </c>
      <c r="F164" s="4">
        <f>E164+1</f>
        <v>3</v>
      </c>
      <c r="G164" s="4">
        <f t="shared" ref="G164:M164" si="48">F164+1</f>
        <v>4</v>
      </c>
      <c r="H164" s="4">
        <f t="shared" si="48"/>
        <v>5</v>
      </c>
      <c r="I164" s="4">
        <f t="shared" si="48"/>
        <v>6</v>
      </c>
      <c r="J164" s="4">
        <f t="shared" si="48"/>
        <v>7</v>
      </c>
      <c r="K164" s="4">
        <f t="shared" si="48"/>
        <v>8</v>
      </c>
      <c r="L164" s="4">
        <f t="shared" si="48"/>
        <v>9</v>
      </c>
      <c r="M164" s="4">
        <f t="shared" si="48"/>
        <v>10</v>
      </c>
      <c r="N164" s="4" t="s">
        <v>285</v>
      </c>
      <c r="O164" s="479"/>
    </row>
    <row r="165" spans="2:15" x14ac:dyDescent="0.15">
      <c r="B165" s="480" t="s">
        <v>661</v>
      </c>
      <c r="C165" s="4">
        <v>1</v>
      </c>
      <c r="D165" s="2">
        <f>IF(ISNUMBER(IPMT($E$13/12,((D$20-1)*12)+$C165,$I$11*12,$C$4)),IPMT($E$13/12,((D$20-1)*12)+$C165,$I$11*12,$C$4),0)</f>
        <v>0</v>
      </c>
      <c r="E165" s="2">
        <f t="shared" ref="E165:M165" si="49">IF(ISNUMBER(IPMT($E$13/12,((E$20-1)*12)+$C165,$I$11*12,$C$4)),IPMT($E$13/12,((E$20-1)*12)+$C165,$I$11*12,$C$4),0)</f>
        <v>0</v>
      </c>
      <c r="F165" s="2">
        <f t="shared" si="49"/>
        <v>0</v>
      </c>
      <c r="G165" s="2">
        <f t="shared" si="49"/>
        <v>0</v>
      </c>
      <c r="H165" s="2">
        <f t="shared" si="49"/>
        <v>0</v>
      </c>
      <c r="I165" s="2">
        <f t="shared" si="49"/>
        <v>0</v>
      </c>
      <c r="J165" s="2">
        <f t="shared" si="49"/>
        <v>0</v>
      </c>
      <c r="K165" s="2">
        <f t="shared" si="49"/>
        <v>0</v>
      </c>
      <c r="L165" s="2">
        <f t="shared" si="49"/>
        <v>0</v>
      </c>
      <c r="M165" s="2">
        <f t="shared" si="49"/>
        <v>0</v>
      </c>
      <c r="N165" s="2">
        <f>SUM(C165:M165)</f>
        <v>1</v>
      </c>
      <c r="O165" s="480"/>
    </row>
    <row r="166" spans="2:15" x14ac:dyDescent="0.15">
      <c r="B166" s="515">
        <f>-PMT($E$13/12,$I$11*12,$C$4)</f>
        <v>0</v>
      </c>
      <c r="C166" s="4">
        <v>2</v>
      </c>
      <c r="D166" s="2">
        <f t="shared" ref="D166:M176" si="50">IF(ISNUMBER(IPMT($E$13/12,((D$20-1)*12)+$C166,$I$11*12,$C$4)),IPMT($E$13/12,((D$20-1)*12)+$C166,$I$11*12,$C$4),0)</f>
        <v>0</v>
      </c>
      <c r="E166" s="2">
        <f t="shared" si="50"/>
        <v>0</v>
      </c>
      <c r="F166" s="2">
        <f t="shared" si="50"/>
        <v>0</v>
      </c>
      <c r="G166" s="2">
        <f t="shared" si="50"/>
        <v>0</v>
      </c>
      <c r="H166" s="2">
        <f t="shared" si="50"/>
        <v>0</v>
      </c>
      <c r="I166" s="2">
        <f t="shared" si="50"/>
        <v>0</v>
      </c>
      <c r="J166" s="2">
        <f t="shared" si="50"/>
        <v>0</v>
      </c>
      <c r="K166" s="2">
        <f t="shared" si="50"/>
        <v>0</v>
      </c>
      <c r="L166" s="2">
        <f t="shared" si="50"/>
        <v>0</v>
      </c>
      <c r="M166" s="2">
        <f t="shared" si="50"/>
        <v>0</v>
      </c>
      <c r="N166" s="2">
        <f t="shared" ref="N166:N178" si="51">SUM(C166:M166)</f>
        <v>2</v>
      </c>
      <c r="O166" s="480"/>
    </row>
    <row r="167" spans="2:15" x14ac:dyDescent="0.15">
      <c r="B167" s="544">
        <f>B166*12</f>
        <v>0</v>
      </c>
      <c r="C167" s="4">
        <v>3</v>
      </c>
      <c r="D167" s="2">
        <f t="shared" si="50"/>
        <v>0</v>
      </c>
      <c r="E167" s="2">
        <f t="shared" si="50"/>
        <v>0</v>
      </c>
      <c r="F167" s="2">
        <f t="shared" si="50"/>
        <v>0</v>
      </c>
      <c r="G167" s="2">
        <f t="shared" si="50"/>
        <v>0</v>
      </c>
      <c r="H167" s="2">
        <f t="shared" si="50"/>
        <v>0</v>
      </c>
      <c r="I167" s="2">
        <f t="shared" si="50"/>
        <v>0</v>
      </c>
      <c r="J167" s="2">
        <f t="shared" si="50"/>
        <v>0</v>
      </c>
      <c r="K167" s="2">
        <f t="shared" si="50"/>
        <v>0</v>
      </c>
      <c r="L167" s="2">
        <f t="shared" si="50"/>
        <v>0</v>
      </c>
      <c r="M167" s="2">
        <f t="shared" si="50"/>
        <v>0</v>
      </c>
      <c r="N167" s="2">
        <f t="shared" si="51"/>
        <v>3</v>
      </c>
      <c r="O167" s="480"/>
    </row>
    <row r="168" spans="2:15" x14ac:dyDescent="0.15">
      <c r="B168" s="480" t="s">
        <v>665</v>
      </c>
      <c r="C168" s="4">
        <v>4</v>
      </c>
      <c r="D168" s="2">
        <f t="shared" si="50"/>
        <v>0</v>
      </c>
      <c r="E168" s="2">
        <f t="shared" si="50"/>
        <v>0</v>
      </c>
      <c r="F168" s="2">
        <f t="shared" si="50"/>
        <v>0</v>
      </c>
      <c r="G168" s="2">
        <f t="shared" si="50"/>
        <v>0</v>
      </c>
      <c r="H168" s="2">
        <f t="shared" si="50"/>
        <v>0</v>
      </c>
      <c r="I168" s="2">
        <f t="shared" si="50"/>
        <v>0</v>
      </c>
      <c r="J168" s="2">
        <f t="shared" si="50"/>
        <v>0</v>
      </c>
      <c r="K168" s="2">
        <f t="shared" si="50"/>
        <v>0</v>
      </c>
      <c r="L168" s="2">
        <f t="shared" si="50"/>
        <v>0</v>
      </c>
      <c r="M168" s="2">
        <f t="shared" si="50"/>
        <v>0</v>
      </c>
      <c r="N168" s="2">
        <f t="shared" si="51"/>
        <v>4</v>
      </c>
      <c r="O168" s="480"/>
    </row>
    <row r="169" spans="2:15" x14ac:dyDescent="0.15">
      <c r="B169" s="543">
        <f>$C$10</f>
        <v>0</v>
      </c>
      <c r="C169" s="4">
        <v>5</v>
      </c>
      <c r="D169" s="2">
        <f t="shared" si="50"/>
        <v>0</v>
      </c>
      <c r="E169" s="2">
        <f t="shared" si="50"/>
        <v>0</v>
      </c>
      <c r="F169" s="2">
        <f t="shared" si="50"/>
        <v>0</v>
      </c>
      <c r="G169" s="2">
        <f t="shared" si="50"/>
        <v>0</v>
      </c>
      <c r="H169" s="2">
        <f t="shared" si="50"/>
        <v>0</v>
      </c>
      <c r="I169" s="2">
        <f t="shared" si="50"/>
        <v>0</v>
      </c>
      <c r="J169" s="2">
        <f t="shared" si="50"/>
        <v>0</v>
      </c>
      <c r="K169" s="2">
        <f t="shared" si="50"/>
        <v>0</v>
      </c>
      <c r="L169" s="2">
        <f t="shared" si="50"/>
        <v>0</v>
      </c>
      <c r="M169" s="2">
        <f t="shared" si="50"/>
        <v>0</v>
      </c>
      <c r="N169" s="2">
        <f t="shared" si="51"/>
        <v>5</v>
      </c>
      <c r="O169" s="480"/>
    </row>
    <row r="170" spans="2:15" x14ac:dyDescent="0.15">
      <c r="B170" s="480"/>
      <c r="C170" s="4">
        <v>6</v>
      </c>
      <c r="D170" s="2">
        <f t="shared" si="50"/>
        <v>0</v>
      </c>
      <c r="E170" s="2">
        <f t="shared" si="50"/>
        <v>0</v>
      </c>
      <c r="F170" s="2">
        <f t="shared" si="50"/>
        <v>0</v>
      </c>
      <c r="G170" s="2">
        <f t="shared" si="50"/>
        <v>0</v>
      </c>
      <c r="H170" s="2">
        <f t="shared" si="50"/>
        <v>0</v>
      </c>
      <c r="I170" s="2">
        <f t="shared" si="50"/>
        <v>0</v>
      </c>
      <c r="J170" s="2">
        <f t="shared" si="50"/>
        <v>0</v>
      </c>
      <c r="K170" s="2">
        <f t="shared" si="50"/>
        <v>0</v>
      </c>
      <c r="L170" s="2">
        <f t="shared" si="50"/>
        <v>0</v>
      </c>
      <c r="M170" s="2">
        <f t="shared" si="50"/>
        <v>0</v>
      </c>
      <c r="N170" s="2">
        <f t="shared" si="51"/>
        <v>6</v>
      </c>
      <c r="O170" s="480"/>
    </row>
    <row r="171" spans="2:15" x14ac:dyDescent="0.15">
      <c r="B171" s="480"/>
      <c r="C171" s="4">
        <v>7</v>
      </c>
      <c r="D171" s="2">
        <f t="shared" si="50"/>
        <v>0</v>
      </c>
      <c r="E171" s="2">
        <f t="shared" si="50"/>
        <v>0</v>
      </c>
      <c r="F171" s="2">
        <f t="shared" si="50"/>
        <v>0</v>
      </c>
      <c r="G171" s="2">
        <f t="shared" si="50"/>
        <v>0</v>
      </c>
      <c r="H171" s="2">
        <f t="shared" si="50"/>
        <v>0</v>
      </c>
      <c r="I171" s="2">
        <f t="shared" si="50"/>
        <v>0</v>
      </c>
      <c r="J171" s="2">
        <f t="shared" si="50"/>
        <v>0</v>
      </c>
      <c r="K171" s="2">
        <f t="shared" si="50"/>
        <v>0</v>
      </c>
      <c r="L171" s="2">
        <f t="shared" si="50"/>
        <v>0</v>
      </c>
      <c r="M171" s="2">
        <f t="shared" si="50"/>
        <v>0</v>
      </c>
      <c r="N171" s="2">
        <f t="shared" si="51"/>
        <v>7</v>
      </c>
      <c r="O171" s="480"/>
    </row>
    <row r="172" spans="2:15" x14ac:dyDescent="0.15">
      <c r="B172" s="480"/>
      <c r="C172" s="4">
        <v>8</v>
      </c>
      <c r="D172" s="2">
        <f t="shared" si="50"/>
        <v>0</v>
      </c>
      <c r="E172" s="2">
        <f t="shared" si="50"/>
        <v>0</v>
      </c>
      <c r="F172" s="2">
        <f t="shared" si="50"/>
        <v>0</v>
      </c>
      <c r="G172" s="2">
        <f t="shared" si="50"/>
        <v>0</v>
      </c>
      <c r="H172" s="2">
        <f t="shared" si="50"/>
        <v>0</v>
      </c>
      <c r="I172" s="2">
        <f t="shared" si="50"/>
        <v>0</v>
      </c>
      <c r="J172" s="2">
        <f t="shared" si="50"/>
        <v>0</v>
      </c>
      <c r="K172" s="2">
        <f t="shared" si="50"/>
        <v>0</v>
      </c>
      <c r="L172" s="2">
        <f t="shared" si="50"/>
        <v>0</v>
      </c>
      <c r="M172" s="2">
        <f t="shared" si="50"/>
        <v>0</v>
      </c>
      <c r="N172" s="2">
        <f t="shared" si="51"/>
        <v>8</v>
      </c>
      <c r="O172" s="480"/>
    </row>
    <row r="173" spans="2:15" x14ac:dyDescent="0.15">
      <c r="B173" s="480"/>
      <c r="C173" s="4">
        <v>9</v>
      </c>
      <c r="D173" s="2">
        <f t="shared" si="50"/>
        <v>0</v>
      </c>
      <c r="E173" s="2">
        <f t="shared" si="50"/>
        <v>0</v>
      </c>
      <c r="F173" s="2">
        <f t="shared" si="50"/>
        <v>0</v>
      </c>
      <c r="G173" s="2">
        <f t="shared" si="50"/>
        <v>0</v>
      </c>
      <c r="H173" s="2">
        <f t="shared" si="50"/>
        <v>0</v>
      </c>
      <c r="I173" s="2">
        <f t="shared" si="50"/>
        <v>0</v>
      </c>
      <c r="J173" s="2">
        <f t="shared" si="50"/>
        <v>0</v>
      </c>
      <c r="K173" s="2">
        <f t="shared" si="50"/>
        <v>0</v>
      </c>
      <c r="L173" s="2">
        <f t="shared" si="50"/>
        <v>0</v>
      </c>
      <c r="M173" s="2">
        <f t="shared" si="50"/>
        <v>0</v>
      </c>
      <c r="N173" s="2">
        <f t="shared" si="51"/>
        <v>9</v>
      </c>
      <c r="O173" s="480"/>
    </row>
    <row r="174" spans="2:15" x14ac:dyDescent="0.15">
      <c r="B174" s="480"/>
      <c r="C174" s="4">
        <v>10</v>
      </c>
      <c r="D174" s="2">
        <f t="shared" si="50"/>
        <v>0</v>
      </c>
      <c r="E174" s="2">
        <f t="shared" si="50"/>
        <v>0</v>
      </c>
      <c r="F174" s="2">
        <f t="shared" si="50"/>
        <v>0</v>
      </c>
      <c r="G174" s="2">
        <f t="shared" si="50"/>
        <v>0</v>
      </c>
      <c r="H174" s="2">
        <f t="shared" si="50"/>
        <v>0</v>
      </c>
      <c r="I174" s="2">
        <f t="shared" si="50"/>
        <v>0</v>
      </c>
      <c r="J174" s="2">
        <f t="shared" si="50"/>
        <v>0</v>
      </c>
      <c r="K174" s="2">
        <f t="shared" si="50"/>
        <v>0</v>
      </c>
      <c r="L174" s="2">
        <f t="shared" si="50"/>
        <v>0</v>
      </c>
      <c r="M174" s="2">
        <f t="shared" si="50"/>
        <v>0</v>
      </c>
      <c r="N174" s="2">
        <f t="shared" si="51"/>
        <v>10</v>
      </c>
      <c r="O174" s="480"/>
    </row>
    <row r="175" spans="2:15" x14ac:dyDescent="0.15">
      <c r="B175" s="480"/>
      <c r="C175" s="4">
        <v>11</v>
      </c>
      <c r="D175" s="2">
        <f t="shared" si="50"/>
        <v>0</v>
      </c>
      <c r="E175" s="2">
        <f t="shared" si="50"/>
        <v>0</v>
      </c>
      <c r="F175" s="2">
        <f t="shared" si="50"/>
        <v>0</v>
      </c>
      <c r="G175" s="2">
        <f t="shared" si="50"/>
        <v>0</v>
      </c>
      <c r="H175" s="2">
        <f t="shared" si="50"/>
        <v>0</v>
      </c>
      <c r="I175" s="2">
        <f t="shared" si="50"/>
        <v>0</v>
      </c>
      <c r="J175" s="2">
        <f t="shared" si="50"/>
        <v>0</v>
      </c>
      <c r="K175" s="2">
        <f t="shared" si="50"/>
        <v>0</v>
      </c>
      <c r="L175" s="2">
        <f t="shared" si="50"/>
        <v>0</v>
      </c>
      <c r="M175" s="2">
        <f t="shared" si="50"/>
        <v>0</v>
      </c>
      <c r="N175" s="2">
        <f t="shared" si="51"/>
        <v>11</v>
      </c>
      <c r="O175" s="480"/>
    </row>
    <row r="176" spans="2:15" ht="14" thickBot="1" x14ac:dyDescent="0.2">
      <c r="B176" s="480"/>
      <c r="C176" s="4">
        <v>12</v>
      </c>
      <c r="D176" s="2">
        <f t="shared" si="50"/>
        <v>0</v>
      </c>
      <c r="E176" s="2">
        <f t="shared" si="50"/>
        <v>0</v>
      </c>
      <c r="F176" s="2">
        <f t="shared" si="50"/>
        <v>0</v>
      </c>
      <c r="G176" s="2">
        <f t="shared" si="50"/>
        <v>0</v>
      </c>
      <c r="H176" s="2">
        <f t="shared" si="50"/>
        <v>0</v>
      </c>
      <c r="I176" s="2">
        <f t="shared" si="50"/>
        <v>0</v>
      </c>
      <c r="J176" s="2">
        <f t="shared" si="50"/>
        <v>0</v>
      </c>
      <c r="K176" s="2">
        <f t="shared" si="50"/>
        <v>0</v>
      </c>
      <c r="L176" s="2">
        <f t="shared" si="50"/>
        <v>0</v>
      </c>
      <c r="M176" s="2">
        <f t="shared" si="50"/>
        <v>0</v>
      </c>
      <c r="N176" s="2">
        <f t="shared" si="51"/>
        <v>12</v>
      </c>
      <c r="O176" s="480"/>
    </row>
    <row r="177" spans="2:15" ht="14" thickBot="1" x14ac:dyDescent="0.2">
      <c r="B177" s="480"/>
      <c r="C177" s="4" t="s">
        <v>273</v>
      </c>
      <c r="D177" s="503">
        <f>IF(D164&gt;$I$11,0,IPMT($E$13,D164,$I$11,$B$25))</f>
        <v>0</v>
      </c>
      <c r="E177" s="503">
        <f t="shared" ref="E177:M177" si="52">IF(E164&gt;$I$11,0,IPMT($E$13,E164,$I$11,$B$25))</f>
        <v>0</v>
      </c>
      <c r="F177" s="503">
        <f t="shared" si="52"/>
        <v>0</v>
      </c>
      <c r="G177" s="503">
        <f t="shared" si="52"/>
        <v>0</v>
      </c>
      <c r="H177" s="503">
        <f t="shared" si="52"/>
        <v>0</v>
      </c>
      <c r="I177" s="503">
        <f t="shared" si="52"/>
        <v>0</v>
      </c>
      <c r="J177" s="503">
        <f t="shared" si="52"/>
        <v>0</v>
      </c>
      <c r="K177" s="503">
        <f t="shared" si="52"/>
        <v>0</v>
      </c>
      <c r="L177" s="503">
        <f t="shared" si="52"/>
        <v>0</v>
      </c>
      <c r="M177" s="503">
        <f t="shared" si="52"/>
        <v>0</v>
      </c>
      <c r="N177" s="2">
        <f t="shared" si="51"/>
        <v>0</v>
      </c>
      <c r="O177" s="480"/>
    </row>
    <row r="178" spans="2:15" ht="14" thickBot="1" x14ac:dyDescent="0.2">
      <c r="B178" s="516"/>
      <c r="C178" s="502" t="s">
        <v>663</v>
      </c>
      <c r="D178" s="522">
        <f>IF(D164&gt;$I$11,0,PPMT($E$13,D164,$I$11,$B$25))</f>
        <v>0</v>
      </c>
      <c r="E178" s="522">
        <f t="shared" ref="E178:M178" si="53">IF(E164&gt;$I$11,0,PPMT($E$13,E164,$I$11,$B$25))</f>
        <v>0</v>
      </c>
      <c r="F178" s="522">
        <f t="shared" si="53"/>
        <v>0</v>
      </c>
      <c r="G178" s="522">
        <f t="shared" si="53"/>
        <v>0</v>
      </c>
      <c r="H178" s="522">
        <f t="shared" si="53"/>
        <v>0</v>
      </c>
      <c r="I178" s="522">
        <f t="shared" si="53"/>
        <v>0</v>
      </c>
      <c r="J178" s="522">
        <f t="shared" si="53"/>
        <v>0</v>
      </c>
      <c r="K178" s="522">
        <f t="shared" si="53"/>
        <v>0</v>
      </c>
      <c r="L178" s="522">
        <f t="shared" si="53"/>
        <v>0</v>
      </c>
      <c r="M178" s="522">
        <f t="shared" si="53"/>
        <v>0</v>
      </c>
      <c r="N178" s="504">
        <f t="shared" si="51"/>
        <v>0</v>
      </c>
      <c r="O178" s="482"/>
    </row>
    <row r="180" spans="2:15" ht="14" thickBot="1" x14ac:dyDescent="0.2"/>
    <row r="181" spans="2:15" ht="14" thickBot="1" x14ac:dyDescent="0.2">
      <c r="B181" s="481" t="s">
        <v>421</v>
      </c>
      <c r="C181" s="178"/>
      <c r="D181" s="483" t="s">
        <v>133</v>
      </c>
      <c r="E181" s="483" t="s">
        <v>133</v>
      </c>
      <c r="F181" s="483" t="s">
        <v>133</v>
      </c>
      <c r="G181" s="483" t="s">
        <v>133</v>
      </c>
      <c r="H181" s="483" t="s">
        <v>133</v>
      </c>
      <c r="I181" s="483" t="s">
        <v>133</v>
      </c>
      <c r="J181" s="483" t="s">
        <v>133</v>
      </c>
      <c r="K181" s="483" t="s">
        <v>133</v>
      </c>
      <c r="L181" s="483" t="s">
        <v>133</v>
      </c>
      <c r="M181" s="483" t="s">
        <v>133</v>
      </c>
      <c r="N181" s="178"/>
      <c r="O181" s="499" t="str">
        <f>B181</f>
        <v>+20%</v>
      </c>
    </row>
    <row r="182" spans="2:15" x14ac:dyDescent="0.15">
      <c r="B182" s="514"/>
      <c r="C182" s="4" t="s">
        <v>660</v>
      </c>
      <c r="D182" s="4">
        <v>1</v>
      </c>
      <c r="E182" s="4">
        <f>D182+1</f>
        <v>2</v>
      </c>
      <c r="F182" s="4">
        <f>E182+1</f>
        <v>3</v>
      </c>
      <c r="G182" s="4">
        <f t="shared" ref="G182:M182" si="54">F182+1</f>
        <v>4</v>
      </c>
      <c r="H182" s="4">
        <f t="shared" si="54"/>
        <v>5</v>
      </c>
      <c r="I182" s="4">
        <f t="shared" si="54"/>
        <v>6</v>
      </c>
      <c r="J182" s="4">
        <f t="shared" si="54"/>
        <v>7</v>
      </c>
      <c r="K182" s="4">
        <f t="shared" si="54"/>
        <v>8</v>
      </c>
      <c r="L182" s="4">
        <f t="shared" si="54"/>
        <v>9</v>
      </c>
      <c r="M182" s="4">
        <f t="shared" si="54"/>
        <v>10</v>
      </c>
      <c r="N182" s="4" t="s">
        <v>285</v>
      </c>
      <c r="O182" s="479"/>
    </row>
    <row r="183" spans="2:15" x14ac:dyDescent="0.15">
      <c r="B183" s="480" t="s">
        <v>661</v>
      </c>
      <c r="C183" s="4">
        <v>1</v>
      </c>
      <c r="D183" s="2">
        <f>IF(ISNUMBER(IPMT($E$14/12,((D$20-1)*12)+$C183,$I$11*12,$C$4)),IPMT($E$14/12,((D$20-1)*12)+$C183,$I$11*12,$C$4),0)</f>
        <v>0</v>
      </c>
      <c r="E183" s="2">
        <f t="shared" ref="E183:M183" si="55">IF(ISNUMBER(IPMT($E$14/12,((E$20-1)*12)+$C183,$I$11*12,$C$4)),IPMT($E$14/12,((E$20-1)*12)+$C183,$I$11*12,$C$4),0)</f>
        <v>0</v>
      </c>
      <c r="F183" s="2">
        <f t="shared" si="55"/>
        <v>0</v>
      </c>
      <c r="G183" s="2">
        <f t="shared" si="55"/>
        <v>0</v>
      </c>
      <c r="H183" s="2">
        <f t="shared" si="55"/>
        <v>0</v>
      </c>
      <c r="I183" s="2">
        <f t="shared" si="55"/>
        <v>0</v>
      </c>
      <c r="J183" s="2">
        <f t="shared" si="55"/>
        <v>0</v>
      </c>
      <c r="K183" s="2">
        <f t="shared" si="55"/>
        <v>0</v>
      </c>
      <c r="L183" s="2">
        <f t="shared" si="55"/>
        <v>0</v>
      </c>
      <c r="M183" s="2">
        <f t="shared" si="55"/>
        <v>0</v>
      </c>
      <c r="N183" s="2">
        <f>SUM(C183:M183)</f>
        <v>1</v>
      </c>
      <c r="O183" s="480"/>
    </row>
    <row r="184" spans="2:15" x14ac:dyDescent="0.15">
      <c r="B184" s="515">
        <f>-PMT($E$14/12,$I$11*12,$C$4)</f>
        <v>0</v>
      </c>
      <c r="C184" s="4">
        <v>2</v>
      </c>
      <c r="D184" s="2">
        <f t="shared" ref="D184:M194" si="56">IF(ISNUMBER(IPMT($E$14/12,((D$20-1)*12)+$C184,$I$11*12,$C$4)),IPMT($E$14/12,((D$20-1)*12)+$C184,$I$11*12,$C$4),0)</f>
        <v>0</v>
      </c>
      <c r="E184" s="2">
        <f t="shared" si="56"/>
        <v>0</v>
      </c>
      <c r="F184" s="2">
        <f t="shared" si="56"/>
        <v>0</v>
      </c>
      <c r="G184" s="2">
        <f t="shared" si="56"/>
        <v>0</v>
      </c>
      <c r="H184" s="2">
        <f t="shared" si="56"/>
        <v>0</v>
      </c>
      <c r="I184" s="2">
        <f t="shared" si="56"/>
        <v>0</v>
      </c>
      <c r="J184" s="2">
        <f t="shared" si="56"/>
        <v>0</v>
      </c>
      <c r="K184" s="2">
        <f t="shared" si="56"/>
        <v>0</v>
      </c>
      <c r="L184" s="2">
        <f t="shared" si="56"/>
        <v>0</v>
      </c>
      <c r="M184" s="2">
        <f t="shared" si="56"/>
        <v>0</v>
      </c>
      <c r="N184" s="2">
        <f t="shared" ref="N184:N196" si="57">SUM(C184:M184)</f>
        <v>2</v>
      </c>
      <c r="O184" s="480"/>
    </row>
    <row r="185" spans="2:15" x14ac:dyDescent="0.15">
      <c r="B185" s="544">
        <f>B184*12</f>
        <v>0</v>
      </c>
      <c r="C185" s="4">
        <v>3</v>
      </c>
      <c r="D185" s="2">
        <f t="shared" si="56"/>
        <v>0</v>
      </c>
      <c r="E185" s="2">
        <f t="shared" si="56"/>
        <v>0</v>
      </c>
      <c r="F185" s="2">
        <f t="shared" si="56"/>
        <v>0</v>
      </c>
      <c r="G185" s="2">
        <f t="shared" si="56"/>
        <v>0</v>
      </c>
      <c r="H185" s="2">
        <f t="shared" si="56"/>
        <v>0</v>
      </c>
      <c r="I185" s="2">
        <f t="shared" si="56"/>
        <v>0</v>
      </c>
      <c r="J185" s="2">
        <f t="shared" si="56"/>
        <v>0</v>
      </c>
      <c r="K185" s="2">
        <f t="shared" si="56"/>
        <v>0</v>
      </c>
      <c r="L185" s="2">
        <f t="shared" si="56"/>
        <v>0</v>
      </c>
      <c r="M185" s="2">
        <f t="shared" si="56"/>
        <v>0</v>
      </c>
      <c r="N185" s="2">
        <f t="shared" si="57"/>
        <v>3</v>
      </c>
      <c r="O185" s="480"/>
    </row>
    <row r="186" spans="2:15" x14ac:dyDescent="0.15">
      <c r="B186" s="480" t="s">
        <v>665</v>
      </c>
      <c r="C186" s="4">
        <v>4</v>
      </c>
      <c r="D186" s="2">
        <f t="shared" si="56"/>
        <v>0</v>
      </c>
      <c r="E186" s="2">
        <f t="shared" si="56"/>
        <v>0</v>
      </c>
      <c r="F186" s="2">
        <f t="shared" si="56"/>
        <v>0</v>
      </c>
      <c r="G186" s="2">
        <f t="shared" si="56"/>
        <v>0</v>
      </c>
      <c r="H186" s="2">
        <f t="shared" si="56"/>
        <v>0</v>
      </c>
      <c r="I186" s="2">
        <f t="shared" si="56"/>
        <v>0</v>
      </c>
      <c r="J186" s="2">
        <f t="shared" si="56"/>
        <v>0</v>
      </c>
      <c r="K186" s="2">
        <f t="shared" si="56"/>
        <v>0</v>
      </c>
      <c r="L186" s="2">
        <f t="shared" si="56"/>
        <v>0</v>
      </c>
      <c r="M186" s="2">
        <f t="shared" si="56"/>
        <v>0</v>
      </c>
      <c r="N186" s="2">
        <f t="shared" si="57"/>
        <v>4</v>
      </c>
      <c r="O186" s="480"/>
    </row>
    <row r="187" spans="2:15" x14ac:dyDescent="0.15">
      <c r="B187" s="543">
        <f>$C$10</f>
        <v>0</v>
      </c>
      <c r="C187" s="4">
        <v>5</v>
      </c>
      <c r="D187" s="2">
        <f t="shared" si="56"/>
        <v>0</v>
      </c>
      <c r="E187" s="2">
        <f t="shared" si="56"/>
        <v>0</v>
      </c>
      <c r="F187" s="2">
        <f t="shared" si="56"/>
        <v>0</v>
      </c>
      <c r="G187" s="2">
        <f t="shared" si="56"/>
        <v>0</v>
      </c>
      <c r="H187" s="2">
        <f t="shared" si="56"/>
        <v>0</v>
      </c>
      <c r="I187" s="2">
        <f t="shared" si="56"/>
        <v>0</v>
      </c>
      <c r="J187" s="2">
        <f t="shared" si="56"/>
        <v>0</v>
      </c>
      <c r="K187" s="2">
        <f t="shared" si="56"/>
        <v>0</v>
      </c>
      <c r="L187" s="2">
        <f t="shared" si="56"/>
        <v>0</v>
      </c>
      <c r="M187" s="2">
        <f t="shared" si="56"/>
        <v>0</v>
      </c>
      <c r="N187" s="2">
        <f t="shared" si="57"/>
        <v>5</v>
      </c>
      <c r="O187" s="480"/>
    </row>
    <row r="188" spans="2:15" x14ac:dyDescent="0.15">
      <c r="B188" s="480"/>
      <c r="C188" s="4">
        <v>6</v>
      </c>
      <c r="D188" s="2">
        <f t="shared" si="56"/>
        <v>0</v>
      </c>
      <c r="E188" s="2">
        <f t="shared" si="56"/>
        <v>0</v>
      </c>
      <c r="F188" s="2">
        <f t="shared" si="56"/>
        <v>0</v>
      </c>
      <c r="G188" s="2">
        <f t="shared" si="56"/>
        <v>0</v>
      </c>
      <c r="H188" s="2">
        <f t="shared" si="56"/>
        <v>0</v>
      </c>
      <c r="I188" s="2">
        <f t="shared" si="56"/>
        <v>0</v>
      </c>
      <c r="J188" s="2">
        <f t="shared" si="56"/>
        <v>0</v>
      </c>
      <c r="K188" s="2">
        <f t="shared" si="56"/>
        <v>0</v>
      </c>
      <c r="L188" s="2">
        <f t="shared" si="56"/>
        <v>0</v>
      </c>
      <c r="M188" s="2">
        <f t="shared" si="56"/>
        <v>0</v>
      </c>
      <c r="N188" s="2">
        <f t="shared" si="57"/>
        <v>6</v>
      </c>
      <c r="O188" s="480"/>
    </row>
    <row r="189" spans="2:15" x14ac:dyDescent="0.15">
      <c r="B189" s="480"/>
      <c r="C189" s="4">
        <v>7</v>
      </c>
      <c r="D189" s="2">
        <f t="shared" si="56"/>
        <v>0</v>
      </c>
      <c r="E189" s="2">
        <f t="shared" si="56"/>
        <v>0</v>
      </c>
      <c r="F189" s="2">
        <f t="shared" si="56"/>
        <v>0</v>
      </c>
      <c r="G189" s="2">
        <f t="shared" si="56"/>
        <v>0</v>
      </c>
      <c r="H189" s="2">
        <f t="shared" si="56"/>
        <v>0</v>
      </c>
      <c r="I189" s="2">
        <f t="shared" si="56"/>
        <v>0</v>
      </c>
      <c r="J189" s="2">
        <f t="shared" si="56"/>
        <v>0</v>
      </c>
      <c r="K189" s="2">
        <f t="shared" si="56"/>
        <v>0</v>
      </c>
      <c r="L189" s="2">
        <f t="shared" si="56"/>
        <v>0</v>
      </c>
      <c r="M189" s="2">
        <f t="shared" si="56"/>
        <v>0</v>
      </c>
      <c r="N189" s="2">
        <f t="shared" si="57"/>
        <v>7</v>
      </c>
      <c r="O189" s="480"/>
    </row>
    <row r="190" spans="2:15" x14ac:dyDescent="0.15">
      <c r="B190" s="480"/>
      <c r="C190" s="4">
        <v>8</v>
      </c>
      <c r="D190" s="2">
        <f t="shared" si="56"/>
        <v>0</v>
      </c>
      <c r="E190" s="2">
        <f t="shared" si="56"/>
        <v>0</v>
      </c>
      <c r="F190" s="2">
        <f t="shared" si="56"/>
        <v>0</v>
      </c>
      <c r="G190" s="2">
        <f t="shared" si="56"/>
        <v>0</v>
      </c>
      <c r="H190" s="2">
        <f t="shared" si="56"/>
        <v>0</v>
      </c>
      <c r="I190" s="2">
        <f t="shared" si="56"/>
        <v>0</v>
      </c>
      <c r="J190" s="2">
        <f t="shared" si="56"/>
        <v>0</v>
      </c>
      <c r="K190" s="2">
        <f t="shared" si="56"/>
        <v>0</v>
      </c>
      <c r="L190" s="2">
        <f t="shared" si="56"/>
        <v>0</v>
      </c>
      <c r="M190" s="2">
        <f t="shared" si="56"/>
        <v>0</v>
      </c>
      <c r="N190" s="2">
        <f t="shared" si="57"/>
        <v>8</v>
      </c>
      <c r="O190" s="480"/>
    </row>
    <row r="191" spans="2:15" x14ac:dyDescent="0.15">
      <c r="B191" s="480"/>
      <c r="C191" s="4">
        <v>9</v>
      </c>
      <c r="D191" s="2">
        <f t="shared" si="56"/>
        <v>0</v>
      </c>
      <c r="E191" s="2">
        <f t="shared" si="56"/>
        <v>0</v>
      </c>
      <c r="F191" s="2">
        <f t="shared" si="56"/>
        <v>0</v>
      </c>
      <c r="G191" s="2">
        <f t="shared" si="56"/>
        <v>0</v>
      </c>
      <c r="H191" s="2">
        <f t="shared" si="56"/>
        <v>0</v>
      </c>
      <c r="I191" s="2">
        <f t="shared" si="56"/>
        <v>0</v>
      </c>
      <c r="J191" s="2">
        <f t="shared" si="56"/>
        <v>0</v>
      </c>
      <c r="K191" s="2">
        <f t="shared" si="56"/>
        <v>0</v>
      </c>
      <c r="L191" s="2">
        <f t="shared" si="56"/>
        <v>0</v>
      </c>
      <c r="M191" s="2">
        <f t="shared" si="56"/>
        <v>0</v>
      </c>
      <c r="N191" s="2">
        <f t="shared" si="57"/>
        <v>9</v>
      </c>
      <c r="O191" s="480"/>
    </row>
    <row r="192" spans="2:15" x14ac:dyDescent="0.15">
      <c r="B192" s="480"/>
      <c r="C192" s="4">
        <v>10</v>
      </c>
      <c r="D192" s="2">
        <f t="shared" si="56"/>
        <v>0</v>
      </c>
      <c r="E192" s="2">
        <f t="shared" si="56"/>
        <v>0</v>
      </c>
      <c r="F192" s="2">
        <f t="shared" si="56"/>
        <v>0</v>
      </c>
      <c r="G192" s="2">
        <f t="shared" si="56"/>
        <v>0</v>
      </c>
      <c r="H192" s="2">
        <f t="shared" si="56"/>
        <v>0</v>
      </c>
      <c r="I192" s="2">
        <f t="shared" si="56"/>
        <v>0</v>
      </c>
      <c r="J192" s="2">
        <f t="shared" si="56"/>
        <v>0</v>
      </c>
      <c r="K192" s="2">
        <f t="shared" si="56"/>
        <v>0</v>
      </c>
      <c r="L192" s="2">
        <f t="shared" si="56"/>
        <v>0</v>
      </c>
      <c r="M192" s="2">
        <f t="shared" si="56"/>
        <v>0</v>
      </c>
      <c r="N192" s="2">
        <f t="shared" si="57"/>
        <v>10</v>
      </c>
      <c r="O192" s="480"/>
    </row>
    <row r="193" spans="2:15" x14ac:dyDescent="0.15">
      <c r="B193" s="480"/>
      <c r="C193" s="4">
        <v>11</v>
      </c>
      <c r="D193" s="2">
        <f t="shared" si="56"/>
        <v>0</v>
      </c>
      <c r="E193" s="2">
        <f t="shared" si="56"/>
        <v>0</v>
      </c>
      <c r="F193" s="2">
        <f t="shared" si="56"/>
        <v>0</v>
      </c>
      <c r="G193" s="2">
        <f t="shared" si="56"/>
        <v>0</v>
      </c>
      <c r="H193" s="2">
        <f t="shared" si="56"/>
        <v>0</v>
      </c>
      <c r="I193" s="2">
        <f t="shared" si="56"/>
        <v>0</v>
      </c>
      <c r="J193" s="2">
        <f t="shared" si="56"/>
        <v>0</v>
      </c>
      <c r="K193" s="2">
        <f t="shared" si="56"/>
        <v>0</v>
      </c>
      <c r="L193" s="2">
        <f t="shared" si="56"/>
        <v>0</v>
      </c>
      <c r="M193" s="2">
        <f t="shared" si="56"/>
        <v>0</v>
      </c>
      <c r="N193" s="2">
        <f t="shared" si="57"/>
        <v>11</v>
      </c>
      <c r="O193" s="480"/>
    </row>
    <row r="194" spans="2:15" ht="14" thickBot="1" x14ac:dyDescent="0.2">
      <c r="B194" s="480"/>
      <c r="C194" s="4">
        <v>12</v>
      </c>
      <c r="D194" s="2">
        <f t="shared" si="56"/>
        <v>0</v>
      </c>
      <c r="E194" s="2">
        <f t="shared" si="56"/>
        <v>0</v>
      </c>
      <c r="F194" s="2">
        <f t="shared" si="56"/>
        <v>0</v>
      </c>
      <c r="G194" s="2">
        <f t="shared" si="56"/>
        <v>0</v>
      </c>
      <c r="H194" s="2">
        <f t="shared" si="56"/>
        <v>0</v>
      </c>
      <c r="I194" s="2">
        <f t="shared" si="56"/>
        <v>0</v>
      </c>
      <c r="J194" s="2">
        <f t="shared" si="56"/>
        <v>0</v>
      </c>
      <c r="K194" s="2">
        <f t="shared" si="56"/>
        <v>0</v>
      </c>
      <c r="L194" s="2">
        <f t="shared" si="56"/>
        <v>0</v>
      </c>
      <c r="M194" s="2">
        <f t="shared" si="56"/>
        <v>0</v>
      </c>
      <c r="N194" s="2">
        <f t="shared" si="57"/>
        <v>12</v>
      </c>
      <c r="O194" s="480"/>
    </row>
    <row r="195" spans="2:15" ht="14" thickBot="1" x14ac:dyDescent="0.2">
      <c r="B195" s="480"/>
      <c r="C195" s="4" t="s">
        <v>273</v>
      </c>
      <c r="D195" s="503">
        <f>IF(D182&gt;$I$11,0,IPMT($E$14,D182,$I$11,$B$25))</f>
        <v>0</v>
      </c>
      <c r="E195" s="503">
        <f t="shared" ref="E195:M195" si="58">IF(E182&gt;$I$11,0,IPMT($E$14,E182,$I$11,$B$25))</f>
        <v>0</v>
      </c>
      <c r="F195" s="503">
        <f t="shared" si="58"/>
        <v>0</v>
      </c>
      <c r="G195" s="503">
        <f t="shared" si="58"/>
        <v>0</v>
      </c>
      <c r="H195" s="503">
        <f t="shared" si="58"/>
        <v>0</v>
      </c>
      <c r="I195" s="503">
        <f t="shared" si="58"/>
        <v>0</v>
      </c>
      <c r="J195" s="503">
        <f t="shared" si="58"/>
        <v>0</v>
      </c>
      <c r="K195" s="503">
        <f t="shared" si="58"/>
        <v>0</v>
      </c>
      <c r="L195" s="503">
        <f t="shared" si="58"/>
        <v>0</v>
      </c>
      <c r="M195" s="503">
        <f t="shared" si="58"/>
        <v>0</v>
      </c>
      <c r="N195" s="2">
        <f t="shared" si="57"/>
        <v>0</v>
      </c>
      <c r="O195" s="480"/>
    </row>
    <row r="196" spans="2:15" ht="14" thickBot="1" x14ac:dyDescent="0.2">
      <c r="B196" s="516"/>
      <c r="C196" s="502" t="s">
        <v>663</v>
      </c>
      <c r="D196" s="522">
        <f>IF(D182&gt;$I$11,0,PPMT($E$14,D182,$I$11,$B$25))</f>
        <v>0</v>
      </c>
      <c r="E196" s="522">
        <f t="shared" ref="E196:M196" si="59">IF(E182&gt;$I$11,0,PPMT($E$14,E182,$I$11,$B$25))</f>
        <v>0</v>
      </c>
      <c r="F196" s="522">
        <f t="shared" si="59"/>
        <v>0</v>
      </c>
      <c r="G196" s="522">
        <f t="shared" si="59"/>
        <v>0</v>
      </c>
      <c r="H196" s="522">
        <f t="shared" si="59"/>
        <v>0</v>
      </c>
      <c r="I196" s="522">
        <f t="shared" si="59"/>
        <v>0</v>
      </c>
      <c r="J196" s="522">
        <f t="shared" si="59"/>
        <v>0</v>
      </c>
      <c r="K196" s="522">
        <f t="shared" si="59"/>
        <v>0</v>
      </c>
      <c r="L196" s="522">
        <f t="shared" si="59"/>
        <v>0</v>
      </c>
      <c r="M196" s="522">
        <f t="shared" si="59"/>
        <v>0</v>
      </c>
      <c r="N196" s="504">
        <f t="shared" si="57"/>
        <v>0</v>
      </c>
      <c r="O196" s="482"/>
    </row>
    <row r="198" spans="2:15" ht="14" thickBot="1" x14ac:dyDescent="0.2"/>
    <row r="199" spans="2:15" ht="14" thickBot="1" x14ac:dyDescent="0.2">
      <c r="B199" s="495" t="s">
        <v>422</v>
      </c>
      <c r="C199" s="178"/>
      <c r="D199" s="483" t="s">
        <v>133</v>
      </c>
      <c r="E199" s="483" t="s">
        <v>133</v>
      </c>
      <c r="F199" s="483" t="s">
        <v>133</v>
      </c>
      <c r="G199" s="483" t="s">
        <v>133</v>
      </c>
      <c r="H199" s="483" t="s">
        <v>133</v>
      </c>
      <c r="I199" s="483" t="s">
        <v>133</v>
      </c>
      <c r="J199" s="483" t="s">
        <v>133</v>
      </c>
      <c r="K199" s="483" t="s">
        <v>133</v>
      </c>
      <c r="L199" s="483" t="s">
        <v>133</v>
      </c>
      <c r="M199" s="483" t="s">
        <v>133</v>
      </c>
      <c r="N199" s="178"/>
      <c r="O199" s="499" t="str">
        <f>B199</f>
        <v>+25%</v>
      </c>
    </row>
    <row r="200" spans="2:15" x14ac:dyDescent="0.15">
      <c r="B200" s="514"/>
      <c r="C200" s="4" t="s">
        <v>660</v>
      </c>
      <c r="D200" s="4">
        <v>1</v>
      </c>
      <c r="E200" s="4">
        <f>D200+1</f>
        <v>2</v>
      </c>
      <c r="F200" s="4">
        <f>E200+1</f>
        <v>3</v>
      </c>
      <c r="G200" s="4">
        <f t="shared" ref="G200:M200" si="60">F200+1</f>
        <v>4</v>
      </c>
      <c r="H200" s="4">
        <f t="shared" si="60"/>
        <v>5</v>
      </c>
      <c r="I200" s="4">
        <f t="shared" si="60"/>
        <v>6</v>
      </c>
      <c r="J200" s="4">
        <f t="shared" si="60"/>
        <v>7</v>
      </c>
      <c r="K200" s="4">
        <f t="shared" si="60"/>
        <v>8</v>
      </c>
      <c r="L200" s="4">
        <f t="shared" si="60"/>
        <v>9</v>
      </c>
      <c r="M200" s="4">
        <f t="shared" si="60"/>
        <v>10</v>
      </c>
      <c r="N200" s="4" t="s">
        <v>285</v>
      </c>
      <c r="O200" s="479"/>
    </row>
    <row r="201" spans="2:15" x14ac:dyDescent="0.15">
      <c r="B201" s="480" t="s">
        <v>661</v>
      </c>
      <c r="C201" s="4">
        <v>1</v>
      </c>
      <c r="D201" s="2">
        <f>IF(ISNUMBER(IPMT($E$15/12,((D$20-1)*12)+$C201,$I$11*12,$C$4)),IPMT($E$15/12,((D$20-1)*12)+$C201,$I$11*12,$C$4),0)</f>
        <v>0</v>
      </c>
      <c r="E201" s="2">
        <f t="shared" ref="E201:M201" si="61">IF(ISNUMBER(IPMT($E$15/12,((E$20-1)*12)+$C201,$I$11*12,$C$4)),IPMT($E$15/12,((E$20-1)*12)+$C201,$I$11*12,$C$4),0)</f>
        <v>0</v>
      </c>
      <c r="F201" s="2">
        <f t="shared" si="61"/>
        <v>0</v>
      </c>
      <c r="G201" s="2">
        <f t="shared" si="61"/>
        <v>0</v>
      </c>
      <c r="H201" s="2">
        <f t="shared" si="61"/>
        <v>0</v>
      </c>
      <c r="I201" s="2">
        <f t="shared" si="61"/>
        <v>0</v>
      </c>
      <c r="J201" s="2">
        <f t="shared" si="61"/>
        <v>0</v>
      </c>
      <c r="K201" s="2">
        <f t="shared" si="61"/>
        <v>0</v>
      </c>
      <c r="L201" s="2">
        <f t="shared" si="61"/>
        <v>0</v>
      </c>
      <c r="M201" s="2">
        <f t="shared" si="61"/>
        <v>0</v>
      </c>
      <c r="N201" s="2">
        <f>SUM(C201:M201)</f>
        <v>1</v>
      </c>
      <c r="O201" s="480"/>
    </row>
    <row r="202" spans="2:15" x14ac:dyDescent="0.15">
      <c r="B202" s="515">
        <f>-PMT($E$15/12,$I$11*12,$C$4)</f>
        <v>0</v>
      </c>
      <c r="C202" s="4">
        <v>2</v>
      </c>
      <c r="D202" s="2">
        <f t="shared" ref="D202:M212" si="62">IF(ISNUMBER(IPMT($E$15/12,((D$20-1)*12)+$C202,$I$11*12,$C$4)),IPMT($E$15/12,((D$20-1)*12)+$C202,$I$11*12,$C$4),0)</f>
        <v>0</v>
      </c>
      <c r="E202" s="2">
        <f t="shared" si="62"/>
        <v>0</v>
      </c>
      <c r="F202" s="2">
        <f t="shared" si="62"/>
        <v>0</v>
      </c>
      <c r="G202" s="2">
        <f t="shared" si="62"/>
        <v>0</v>
      </c>
      <c r="H202" s="2">
        <f t="shared" si="62"/>
        <v>0</v>
      </c>
      <c r="I202" s="2">
        <f t="shared" si="62"/>
        <v>0</v>
      </c>
      <c r="J202" s="2">
        <f t="shared" si="62"/>
        <v>0</v>
      </c>
      <c r="K202" s="2">
        <f t="shared" si="62"/>
        <v>0</v>
      </c>
      <c r="L202" s="2">
        <f t="shared" si="62"/>
        <v>0</v>
      </c>
      <c r="M202" s="2">
        <f t="shared" si="62"/>
        <v>0</v>
      </c>
      <c r="N202" s="2">
        <f t="shared" ref="N202:N214" si="63">SUM(C202:M202)</f>
        <v>2</v>
      </c>
      <c r="O202" s="480"/>
    </row>
    <row r="203" spans="2:15" x14ac:dyDescent="0.15">
      <c r="B203" s="544">
        <f>B202*12</f>
        <v>0</v>
      </c>
      <c r="C203" s="4">
        <v>3</v>
      </c>
      <c r="D203" s="2">
        <f t="shared" si="62"/>
        <v>0</v>
      </c>
      <c r="E203" s="2">
        <f t="shared" si="62"/>
        <v>0</v>
      </c>
      <c r="F203" s="2">
        <f t="shared" si="62"/>
        <v>0</v>
      </c>
      <c r="G203" s="2">
        <f t="shared" si="62"/>
        <v>0</v>
      </c>
      <c r="H203" s="2">
        <f t="shared" si="62"/>
        <v>0</v>
      </c>
      <c r="I203" s="2">
        <f t="shared" si="62"/>
        <v>0</v>
      </c>
      <c r="J203" s="2">
        <f t="shared" si="62"/>
        <v>0</v>
      </c>
      <c r="K203" s="2">
        <f t="shared" si="62"/>
        <v>0</v>
      </c>
      <c r="L203" s="2">
        <f t="shared" si="62"/>
        <v>0</v>
      </c>
      <c r="M203" s="2">
        <f t="shared" si="62"/>
        <v>0</v>
      </c>
      <c r="N203" s="2">
        <f t="shared" si="63"/>
        <v>3</v>
      </c>
      <c r="O203" s="480"/>
    </row>
    <row r="204" spans="2:15" x14ac:dyDescent="0.15">
      <c r="B204" s="480" t="s">
        <v>665</v>
      </c>
      <c r="C204" s="4">
        <v>4</v>
      </c>
      <c r="D204" s="2">
        <f t="shared" si="62"/>
        <v>0</v>
      </c>
      <c r="E204" s="2">
        <f t="shared" si="62"/>
        <v>0</v>
      </c>
      <c r="F204" s="2">
        <f t="shared" si="62"/>
        <v>0</v>
      </c>
      <c r="G204" s="2">
        <f t="shared" si="62"/>
        <v>0</v>
      </c>
      <c r="H204" s="2">
        <f t="shared" si="62"/>
        <v>0</v>
      </c>
      <c r="I204" s="2">
        <f t="shared" si="62"/>
        <v>0</v>
      </c>
      <c r="J204" s="2">
        <f t="shared" si="62"/>
        <v>0</v>
      </c>
      <c r="K204" s="2">
        <f t="shared" si="62"/>
        <v>0</v>
      </c>
      <c r="L204" s="2">
        <f t="shared" si="62"/>
        <v>0</v>
      </c>
      <c r="M204" s="2">
        <f t="shared" si="62"/>
        <v>0</v>
      </c>
      <c r="N204" s="2">
        <f t="shared" si="63"/>
        <v>4</v>
      </c>
      <c r="O204" s="480"/>
    </row>
    <row r="205" spans="2:15" x14ac:dyDescent="0.15">
      <c r="B205" s="543">
        <f>$C$10</f>
        <v>0</v>
      </c>
      <c r="C205" s="4">
        <v>5</v>
      </c>
      <c r="D205" s="2">
        <f t="shared" si="62"/>
        <v>0</v>
      </c>
      <c r="E205" s="2">
        <f t="shared" si="62"/>
        <v>0</v>
      </c>
      <c r="F205" s="2">
        <f t="shared" si="62"/>
        <v>0</v>
      </c>
      <c r="G205" s="2">
        <f t="shared" si="62"/>
        <v>0</v>
      </c>
      <c r="H205" s="2">
        <f t="shared" si="62"/>
        <v>0</v>
      </c>
      <c r="I205" s="2">
        <f t="shared" si="62"/>
        <v>0</v>
      </c>
      <c r="J205" s="2">
        <f t="shared" si="62"/>
        <v>0</v>
      </c>
      <c r="K205" s="2">
        <f t="shared" si="62"/>
        <v>0</v>
      </c>
      <c r="L205" s="2">
        <f t="shared" si="62"/>
        <v>0</v>
      </c>
      <c r="M205" s="2">
        <f t="shared" si="62"/>
        <v>0</v>
      </c>
      <c r="N205" s="2">
        <f t="shared" si="63"/>
        <v>5</v>
      </c>
      <c r="O205" s="480"/>
    </row>
    <row r="206" spans="2:15" x14ac:dyDescent="0.15">
      <c r="B206" s="480"/>
      <c r="C206" s="4">
        <v>6</v>
      </c>
      <c r="D206" s="2">
        <f t="shared" si="62"/>
        <v>0</v>
      </c>
      <c r="E206" s="2">
        <f t="shared" si="62"/>
        <v>0</v>
      </c>
      <c r="F206" s="2">
        <f t="shared" si="62"/>
        <v>0</v>
      </c>
      <c r="G206" s="2">
        <f t="shared" si="62"/>
        <v>0</v>
      </c>
      <c r="H206" s="2">
        <f t="shared" si="62"/>
        <v>0</v>
      </c>
      <c r="I206" s="2">
        <f t="shared" si="62"/>
        <v>0</v>
      </c>
      <c r="J206" s="2">
        <f t="shared" si="62"/>
        <v>0</v>
      </c>
      <c r="K206" s="2">
        <f t="shared" si="62"/>
        <v>0</v>
      </c>
      <c r="L206" s="2">
        <f t="shared" si="62"/>
        <v>0</v>
      </c>
      <c r="M206" s="2">
        <f t="shared" si="62"/>
        <v>0</v>
      </c>
      <c r="N206" s="2">
        <f t="shared" si="63"/>
        <v>6</v>
      </c>
      <c r="O206" s="480"/>
    </row>
    <row r="207" spans="2:15" x14ac:dyDescent="0.15">
      <c r="B207" s="480"/>
      <c r="C207" s="4">
        <v>7</v>
      </c>
      <c r="D207" s="2">
        <f t="shared" si="62"/>
        <v>0</v>
      </c>
      <c r="E207" s="2">
        <f t="shared" si="62"/>
        <v>0</v>
      </c>
      <c r="F207" s="2">
        <f t="shared" si="62"/>
        <v>0</v>
      </c>
      <c r="G207" s="2">
        <f t="shared" si="62"/>
        <v>0</v>
      </c>
      <c r="H207" s="2">
        <f t="shared" si="62"/>
        <v>0</v>
      </c>
      <c r="I207" s="2">
        <f t="shared" si="62"/>
        <v>0</v>
      </c>
      <c r="J207" s="2">
        <f t="shared" si="62"/>
        <v>0</v>
      </c>
      <c r="K207" s="2">
        <f t="shared" si="62"/>
        <v>0</v>
      </c>
      <c r="L207" s="2">
        <f t="shared" si="62"/>
        <v>0</v>
      </c>
      <c r="M207" s="2">
        <f t="shared" si="62"/>
        <v>0</v>
      </c>
      <c r="N207" s="2">
        <f t="shared" si="63"/>
        <v>7</v>
      </c>
      <c r="O207" s="480"/>
    </row>
    <row r="208" spans="2:15" x14ac:dyDescent="0.15">
      <c r="B208" s="480"/>
      <c r="C208" s="4">
        <v>8</v>
      </c>
      <c r="D208" s="2">
        <f t="shared" si="62"/>
        <v>0</v>
      </c>
      <c r="E208" s="2">
        <f t="shared" si="62"/>
        <v>0</v>
      </c>
      <c r="F208" s="2">
        <f t="shared" si="62"/>
        <v>0</v>
      </c>
      <c r="G208" s="2">
        <f t="shared" si="62"/>
        <v>0</v>
      </c>
      <c r="H208" s="2">
        <f t="shared" si="62"/>
        <v>0</v>
      </c>
      <c r="I208" s="2">
        <f t="shared" si="62"/>
        <v>0</v>
      </c>
      <c r="J208" s="2">
        <f t="shared" si="62"/>
        <v>0</v>
      </c>
      <c r="K208" s="2">
        <f t="shared" si="62"/>
        <v>0</v>
      </c>
      <c r="L208" s="2">
        <f t="shared" si="62"/>
        <v>0</v>
      </c>
      <c r="M208" s="2">
        <f t="shared" si="62"/>
        <v>0</v>
      </c>
      <c r="N208" s="2">
        <f t="shared" si="63"/>
        <v>8</v>
      </c>
      <c r="O208" s="480"/>
    </row>
    <row r="209" spans="2:15" x14ac:dyDescent="0.15">
      <c r="B209" s="480"/>
      <c r="C209" s="4">
        <v>9</v>
      </c>
      <c r="D209" s="2">
        <f t="shared" si="62"/>
        <v>0</v>
      </c>
      <c r="E209" s="2">
        <f t="shared" si="62"/>
        <v>0</v>
      </c>
      <c r="F209" s="2">
        <f t="shared" si="62"/>
        <v>0</v>
      </c>
      <c r="G209" s="2">
        <f t="shared" si="62"/>
        <v>0</v>
      </c>
      <c r="H209" s="2">
        <f t="shared" si="62"/>
        <v>0</v>
      </c>
      <c r="I209" s="2">
        <f t="shared" si="62"/>
        <v>0</v>
      </c>
      <c r="J209" s="2">
        <f t="shared" si="62"/>
        <v>0</v>
      </c>
      <c r="K209" s="2">
        <f t="shared" si="62"/>
        <v>0</v>
      </c>
      <c r="L209" s="2">
        <f t="shared" si="62"/>
        <v>0</v>
      </c>
      <c r="M209" s="2">
        <f t="shared" si="62"/>
        <v>0</v>
      </c>
      <c r="N209" s="2">
        <f t="shared" si="63"/>
        <v>9</v>
      </c>
      <c r="O209" s="480"/>
    </row>
    <row r="210" spans="2:15" x14ac:dyDescent="0.15">
      <c r="B210" s="480"/>
      <c r="C210" s="4">
        <v>10</v>
      </c>
      <c r="D210" s="2">
        <f t="shared" si="62"/>
        <v>0</v>
      </c>
      <c r="E210" s="2">
        <f t="shared" si="62"/>
        <v>0</v>
      </c>
      <c r="F210" s="2">
        <f t="shared" si="62"/>
        <v>0</v>
      </c>
      <c r="G210" s="2">
        <f t="shared" si="62"/>
        <v>0</v>
      </c>
      <c r="H210" s="2">
        <f t="shared" si="62"/>
        <v>0</v>
      </c>
      <c r="I210" s="2">
        <f t="shared" si="62"/>
        <v>0</v>
      </c>
      <c r="J210" s="2">
        <f t="shared" si="62"/>
        <v>0</v>
      </c>
      <c r="K210" s="2">
        <f t="shared" si="62"/>
        <v>0</v>
      </c>
      <c r="L210" s="2">
        <f t="shared" si="62"/>
        <v>0</v>
      </c>
      <c r="M210" s="2">
        <f t="shared" si="62"/>
        <v>0</v>
      </c>
      <c r="N210" s="2">
        <f t="shared" si="63"/>
        <v>10</v>
      </c>
      <c r="O210" s="480"/>
    </row>
    <row r="211" spans="2:15" x14ac:dyDescent="0.15">
      <c r="B211" s="480"/>
      <c r="C211" s="4">
        <v>11</v>
      </c>
      <c r="D211" s="2">
        <f t="shared" si="62"/>
        <v>0</v>
      </c>
      <c r="E211" s="2">
        <f t="shared" si="62"/>
        <v>0</v>
      </c>
      <c r="F211" s="2">
        <f t="shared" si="62"/>
        <v>0</v>
      </c>
      <c r="G211" s="2">
        <f t="shared" si="62"/>
        <v>0</v>
      </c>
      <c r="H211" s="2">
        <f t="shared" si="62"/>
        <v>0</v>
      </c>
      <c r="I211" s="2">
        <f t="shared" si="62"/>
        <v>0</v>
      </c>
      <c r="J211" s="2">
        <f t="shared" si="62"/>
        <v>0</v>
      </c>
      <c r="K211" s="2">
        <f t="shared" si="62"/>
        <v>0</v>
      </c>
      <c r="L211" s="2">
        <f t="shared" si="62"/>
        <v>0</v>
      </c>
      <c r="M211" s="2">
        <f t="shared" si="62"/>
        <v>0</v>
      </c>
      <c r="N211" s="2">
        <f t="shared" si="63"/>
        <v>11</v>
      </c>
      <c r="O211" s="480"/>
    </row>
    <row r="212" spans="2:15" ht="14" thickBot="1" x14ac:dyDescent="0.2">
      <c r="B212" s="480"/>
      <c r="C212" s="4">
        <v>12</v>
      </c>
      <c r="D212" s="2">
        <f t="shared" si="62"/>
        <v>0</v>
      </c>
      <c r="E212" s="2">
        <f t="shared" si="62"/>
        <v>0</v>
      </c>
      <c r="F212" s="2">
        <f t="shared" si="62"/>
        <v>0</v>
      </c>
      <c r="G212" s="2">
        <f t="shared" si="62"/>
        <v>0</v>
      </c>
      <c r="H212" s="2">
        <f t="shared" si="62"/>
        <v>0</v>
      </c>
      <c r="I212" s="2">
        <f t="shared" si="62"/>
        <v>0</v>
      </c>
      <c r="J212" s="2">
        <f t="shared" si="62"/>
        <v>0</v>
      </c>
      <c r="K212" s="2">
        <f t="shared" si="62"/>
        <v>0</v>
      </c>
      <c r="L212" s="2">
        <f t="shared" si="62"/>
        <v>0</v>
      </c>
      <c r="M212" s="2">
        <f t="shared" si="62"/>
        <v>0</v>
      </c>
      <c r="N212" s="2">
        <f t="shared" si="63"/>
        <v>12</v>
      </c>
      <c r="O212" s="480"/>
    </row>
    <row r="213" spans="2:15" ht="14" thickBot="1" x14ac:dyDescent="0.2">
      <c r="B213" s="480"/>
      <c r="C213" s="4" t="s">
        <v>273</v>
      </c>
      <c r="D213" s="503">
        <f>IF(D200&gt;$I$11,0,IPMT($E$15,D200,$I$11,$B$25))</f>
        <v>0</v>
      </c>
      <c r="E213" s="503">
        <f t="shared" ref="E213:M213" si="64">IF(E200&gt;$I$11,0,IPMT($E$15,E200,$I$11,$B$25))</f>
        <v>0</v>
      </c>
      <c r="F213" s="503">
        <f t="shared" si="64"/>
        <v>0</v>
      </c>
      <c r="G213" s="503">
        <f t="shared" si="64"/>
        <v>0</v>
      </c>
      <c r="H213" s="503">
        <f t="shared" si="64"/>
        <v>0</v>
      </c>
      <c r="I213" s="503">
        <f t="shared" si="64"/>
        <v>0</v>
      </c>
      <c r="J213" s="503">
        <f t="shared" si="64"/>
        <v>0</v>
      </c>
      <c r="K213" s="503">
        <f t="shared" si="64"/>
        <v>0</v>
      </c>
      <c r="L213" s="503">
        <f t="shared" si="64"/>
        <v>0</v>
      </c>
      <c r="M213" s="503">
        <f t="shared" si="64"/>
        <v>0</v>
      </c>
      <c r="N213" s="2">
        <f t="shared" si="63"/>
        <v>0</v>
      </c>
      <c r="O213" s="480"/>
    </row>
    <row r="214" spans="2:15" ht="14" thickBot="1" x14ac:dyDescent="0.2">
      <c r="B214" s="516"/>
      <c r="C214" s="502" t="s">
        <v>663</v>
      </c>
      <c r="D214" s="522">
        <f>IF(D200&gt;$I$11,0,PPMT($E$15,D200,$I$11,$B$25))</f>
        <v>0</v>
      </c>
      <c r="E214" s="522">
        <f t="shared" ref="E214:M214" si="65">IF(E200&gt;$I$11,0,PPMT($E$15,E200,$I$11,$B$25))</f>
        <v>0</v>
      </c>
      <c r="F214" s="522">
        <f t="shared" si="65"/>
        <v>0</v>
      </c>
      <c r="G214" s="522">
        <f t="shared" si="65"/>
        <v>0</v>
      </c>
      <c r="H214" s="522">
        <f t="shared" si="65"/>
        <v>0</v>
      </c>
      <c r="I214" s="522">
        <f t="shared" si="65"/>
        <v>0</v>
      </c>
      <c r="J214" s="522">
        <f t="shared" si="65"/>
        <v>0</v>
      </c>
      <c r="K214" s="522">
        <f t="shared" si="65"/>
        <v>0</v>
      </c>
      <c r="L214" s="522">
        <f t="shared" si="65"/>
        <v>0</v>
      </c>
      <c r="M214" s="522">
        <f t="shared" si="65"/>
        <v>0</v>
      </c>
      <c r="N214" s="504">
        <f t="shared" si="63"/>
        <v>0</v>
      </c>
      <c r="O214" s="482"/>
    </row>
  </sheetData>
  <sheetProtection password="AA36" sheet="1" objects="1" scenarios="1"/>
  <phoneticPr fontId="0"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198"/>
  <sheetViews>
    <sheetView zoomScale="70" workbookViewId="0"/>
  </sheetViews>
  <sheetFormatPr baseColWidth="10" defaultColWidth="8.83203125" defaultRowHeight="13" x14ac:dyDescent="0.15"/>
  <cols>
    <col min="2" max="2" width="35.5" bestFit="1" customWidth="1"/>
    <col min="3" max="3" width="13.5" bestFit="1" customWidth="1"/>
    <col min="4" max="4" width="18.6640625" bestFit="1" customWidth="1"/>
    <col min="5" max="6" width="15" bestFit="1" customWidth="1"/>
    <col min="7" max="7" width="18.5" bestFit="1" customWidth="1"/>
    <col min="8" max="8" width="15" bestFit="1" customWidth="1"/>
    <col min="9" max="9" width="12.6640625" bestFit="1" customWidth="1"/>
    <col min="10" max="13" width="11.6640625" bestFit="1" customWidth="1"/>
    <col min="14" max="14" width="4.33203125" bestFit="1" customWidth="1"/>
    <col min="15" max="15" width="17.33203125" customWidth="1"/>
  </cols>
  <sheetData>
    <row r="1" spans="1:5" ht="18" x14ac:dyDescent="0.2">
      <c r="A1" s="549" t="s">
        <v>681</v>
      </c>
    </row>
    <row r="2" spans="1:5" ht="16" x14ac:dyDescent="0.2">
      <c r="B2" s="39" t="s">
        <v>675</v>
      </c>
    </row>
    <row r="3" spans="1:5" ht="16" x14ac:dyDescent="0.2">
      <c r="B3" s="727" t="s">
        <v>647</v>
      </c>
    </row>
    <row r="4" spans="1:5" ht="42" x14ac:dyDescent="0.15">
      <c r="C4" s="23" t="s">
        <v>648</v>
      </c>
      <c r="D4" s="61">
        <f>'Loan Amortization'!D5</f>
        <v>0</v>
      </c>
      <c r="E4" s="26" t="s">
        <v>435</v>
      </c>
    </row>
    <row r="5" spans="1:5" x14ac:dyDescent="0.15">
      <c r="C5" s="103">
        <v>-0.25</v>
      </c>
      <c r="D5" s="107">
        <f>D4*0.75</f>
        <v>0</v>
      </c>
      <c r="E5" s="574">
        <f>IF(ISNUMBER(D5/'Capital &amp; Depr'!$E$20),(D5/'Capital &amp; Depr'!$E$20),"NMF")</f>
        <v>0</v>
      </c>
    </row>
    <row r="6" spans="1:5" x14ac:dyDescent="0.15">
      <c r="C6" s="103">
        <v>-0.2</v>
      </c>
      <c r="D6" s="107">
        <f>D4*0.8</f>
        <v>0</v>
      </c>
      <c r="E6" s="574">
        <f>IF(ISNUMBER(D6/'Capital &amp; Depr'!$E$20),(D6/'Capital &amp; Depr'!$E$20),"NMF")</f>
        <v>0</v>
      </c>
    </row>
    <row r="7" spans="1:5" x14ac:dyDescent="0.15">
      <c r="C7" s="103">
        <v>-0.15</v>
      </c>
      <c r="D7" s="107">
        <f>D4*0.85</f>
        <v>0</v>
      </c>
      <c r="E7" s="574">
        <f>IF(ISNUMBER(D7/'Capital &amp; Depr'!$E$20),(D7/'Capital &amp; Depr'!$E$20),"NMF")</f>
        <v>0</v>
      </c>
    </row>
    <row r="8" spans="1:5" x14ac:dyDescent="0.15">
      <c r="C8" s="103">
        <v>-0.1</v>
      </c>
      <c r="D8" s="107">
        <f>D4*0.9</f>
        <v>0</v>
      </c>
      <c r="E8" s="574">
        <f>IF(ISNUMBER(D8/'Capital &amp; Depr'!$E$20),(D8/'Capital &amp; Depr'!$E$20),"NMF")</f>
        <v>0</v>
      </c>
    </row>
    <row r="9" spans="1:5" x14ac:dyDescent="0.15">
      <c r="C9" s="103">
        <v>-0.05</v>
      </c>
      <c r="D9" s="107">
        <f>D4*0.95</f>
        <v>0</v>
      </c>
      <c r="E9" s="574">
        <f>IF(ISNUMBER(D9/'Capital &amp; Depr'!$E$20),(D9/'Capital &amp; Depr'!$E$20),"NMF")</f>
        <v>0</v>
      </c>
    </row>
    <row r="10" spans="1:5" x14ac:dyDescent="0.15">
      <c r="C10" s="103">
        <v>0.05</v>
      </c>
      <c r="D10" s="107">
        <f>D4*1.05</f>
        <v>0</v>
      </c>
      <c r="E10" s="574">
        <f>IF(ISNUMBER(D10/'Capital &amp; Depr'!$E$20),(D10/'Capital &amp; Depr'!$E$20),"NMF")</f>
        <v>0</v>
      </c>
    </row>
    <row r="11" spans="1:5" x14ac:dyDescent="0.15">
      <c r="C11" s="103">
        <v>0.1</v>
      </c>
      <c r="D11" s="107">
        <f>D4*1.1</f>
        <v>0</v>
      </c>
      <c r="E11" s="574">
        <f>IF(ISNUMBER(D11/'Capital &amp; Depr'!$E$20),(D11/'Capital &amp; Depr'!$E$20),"NMF")</f>
        <v>0</v>
      </c>
    </row>
    <row r="12" spans="1:5" x14ac:dyDescent="0.15">
      <c r="C12" s="103">
        <v>0.15</v>
      </c>
      <c r="D12" s="107">
        <f>D4*1.15</f>
        <v>0</v>
      </c>
      <c r="E12" s="574">
        <f>IF(ISNUMBER(D12/'Capital &amp; Depr'!$E$20),(D12/'Capital &amp; Depr'!$E$20),"NMF")</f>
        <v>0</v>
      </c>
    </row>
    <row r="13" spans="1:5" x14ac:dyDescent="0.15">
      <c r="C13" s="103">
        <v>0.2</v>
      </c>
      <c r="D13" s="107">
        <f>D4*1.2</f>
        <v>0</v>
      </c>
      <c r="E13" s="574">
        <f>IF(ISNUMBER(D13/'Capital &amp; Depr'!$E$20),(D13/'Capital &amp; Depr'!$E$20),"NMF")</f>
        <v>0</v>
      </c>
    </row>
    <row r="14" spans="1:5" x14ac:dyDescent="0.15">
      <c r="C14" s="103">
        <v>0.25</v>
      </c>
      <c r="D14" s="107">
        <f>D4*1.25</f>
        <v>0</v>
      </c>
      <c r="E14" s="574">
        <f>IF(ISNUMBER(D14/'Capital &amp; Depr'!$E$20),(D14/'Capital &amp; Depr'!$E$20),"NMF")</f>
        <v>0</v>
      </c>
    </row>
    <row r="16" spans="1:5" x14ac:dyDescent="0.15">
      <c r="B16" t="s">
        <v>283</v>
      </c>
    </row>
    <row r="17" spans="2:15" x14ac:dyDescent="0.15">
      <c r="B17" s="12" t="s">
        <v>630</v>
      </c>
      <c r="C17" s="26">
        <v>0</v>
      </c>
      <c r="D17" s="26">
        <v>1</v>
      </c>
      <c r="E17" s="26">
        <v>2</v>
      </c>
      <c r="F17" s="26">
        <v>3</v>
      </c>
      <c r="G17" s="26">
        <v>4</v>
      </c>
      <c r="H17" s="26">
        <v>5</v>
      </c>
      <c r="I17" s="26">
        <v>6</v>
      </c>
      <c r="J17" s="26">
        <v>7</v>
      </c>
      <c r="K17" s="26">
        <v>8</v>
      </c>
      <c r="L17" s="26">
        <v>9</v>
      </c>
      <c r="M17" s="26">
        <v>10</v>
      </c>
      <c r="N17" s="26" t="s">
        <v>284</v>
      </c>
      <c r="O17" s="91" t="s">
        <v>216</v>
      </c>
    </row>
    <row r="18" spans="2:15" x14ac:dyDescent="0.15">
      <c r="B18" s="12" t="s">
        <v>631</v>
      </c>
      <c r="C18" s="12"/>
      <c r="D18" s="61">
        <f>'After Tax Analysis'!E8</f>
        <v>300000000</v>
      </c>
      <c r="E18" s="61">
        <f>'After Tax Analysis'!F8</f>
        <v>313500000.00000006</v>
      </c>
      <c r="F18" s="61">
        <f>'After Tax Analysis'!G8</f>
        <v>327607500.00000006</v>
      </c>
      <c r="G18" s="61">
        <f>'After Tax Analysis'!H8</f>
        <v>342349837.50000012</v>
      </c>
      <c r="H18" s="61">
        <f>'After Tax Analysis'!I8</f>
        <v>357755580.18750012</v>
      </c>
      <c r="I18" s="61">
        <f>'After Tax Analysis'!J8</f>
        <v>0</v>
      </c>
      <c r="J18" s="61">
        <f>'After Tax Analysis'!K8</f>
        <v>0</v>
      </c>
      <c r="K18" s="61">
        <f>'After Tax Analysis'!L8</f>
        <v>0</v>
      </c>
      <c r="L18" s="61">
        <f>'After Tax Analysis'!M8</f>
        <v>0</v>
      </c>
      <c r="M18" s="61">
        <f>'After Tax Analysis'!N8</f>
        <v>0</v>
      </c>
      <c r="N18" s="162"/>
      <c r="O18" s="63">
        <f>SUM(D18:M18)</f>
        <v>1641212917.6875</v>
      </c>
    </row>
    <row r="19" spans="2:15" x14ac:dyDescent="0.15">
      <c r="B19" s="12" t="s">
        <v>632</v>
      </c>
      <c r="C19" s="12"/>
      <c r="D19" s="61">
        <f>'After Tax Analysis'!E9</f>
        <v>230170000</v>
      </c>
      <c r="E19" s="61">
        <f>'After Tax Analysis'!F9</f>
        <v>253018375.00000003</v>
      </c>
      <c r="F19" s="61">
        <f>'After Tax Analysis'!G9</f>
        <v>278725718.45125008</v>
      </c>
      <c r="G19" s="61">
        <f>'After Tax Analysis'!H9</f>
        <v>307665975.06072807</v>
      </c>
      <c r="H19" s="61">
        <f>'After Tax Analysis'!I9</f>
        <v>340262566.36057305</v>
      </c>
      <c r="I19" s="61">
        <f>'After Tax Analysis'!J9</f>
        <v>0</v>
      </c>
      <c r="J19" s="61">
        <f>'After Tax Analysis'!K9</f>
        <v>0</v>
      </c>
      <c r="K19" s="61">
        <f>'After Tax Analysis'!L9</f>
        <v>0</v>
      </c>
      <c r="L19" s="61">
        <f>'After Tax Analysis'!M9</f>
        <v>0</v>
      </c>
      <c r="M19" s="61">
        <f>'After Tax Analysis'!N9</f>
        <v>0</v>
      </c>
      <c r="N19" s="162"/>
      <c r="O19" s="63">
        <f>SUM(D19:M19)</f>
        <v>1409842634.8725512</v>
      </c>
    </row>
    <row r="20" spans="2:15" x14ac:dyDescent="0.15">
      <c r="B20" s="12" t="s">
        <v>633</v>
      </c>
      <c r="C20" s="12"/>
      <c r="D20" s="67">
        <f>D18-D19</f>
        <v>69830000</v>
      </c>
      <c r="E20" s="67">
        <f t="shared" ref="E20:L20" si="0">E18-E19</f>
        <v>60481625.00000003</v>
      </c>
      <c r="F20" s="67">
        <f t="shared" si="0"/>
        <v>48881781.548749983</v>
      </c>
      <c r="G20" s="67">
        <f t="shared" si="0"/>
        <v>34683862.439272046</v>
      </c>
      <c r="H20" s="67">
        <f t="shared" si="0"/>
        <v>17493013.826927066</v>
      </c>
      <c r="I20" s="67">
        <f t="shared" si="0"/>
        <v>0</v>
      </c>
      <c r="J20" s="67">
        <f t="shared" si="0"/>
        <v>0</v>
      </c>
      <c r="K20" s="67">
        <f t="shared" si="0"/>
        <v>0</v>
      </c>
      <c r="L20" s="67">
        <f t="shared" si="0"/>
        <v>0</v>
      </c>
      <c r="M20" s="67">
        <f>M18-M19</f>
        <v>0</v>
      </c>
      <c r="N20" s="162"/>
      <c r="O20" s="67">
        <f>SUM(D20:M20)</f>
        <v>231370282.81494913</v>
      </c>
    </row>
    <row r="21" spans="2:15" x14ac:dyDescent="0.15">
      <c r="B21" s="12" t="s">
        <v>292</v>
      </c>
      <c r="C21" s="12"/>
      <c r="D21" s="92">
        <f>'After Tax Analysis'!E11</f>
        <v>3772500</v>
      </c>
      <c r="E21" s="92">
        <f>'After Tax Analysis'!F11</f>
        <v>6218850</v>
      </c>
      <c r="F21" s="92">
        <f>'After Tax Analysis'!G11</f>
        <v>4083150</v>
      </c>
      <c r="G21" s="92">
        <f>'After Tax Analysis'!H11</f>
        <v>2775510</v>
      </c>
      <c r="H21" s="92">
        <f>'After Tax Analysis'!I11</f>
        <v>1352955</v>
      </c>
      <c r="I21" s="92">
        <f>'After Tax Analysis'!J11</f>
        <v>0</v>
      </c>
      <c r="J21" s="92">
        <f>'After Tax Analysis'!K11</f>
        <v>0</v>
      </c>
      <c r="K21" s="92">
        <f>'After Tax Analysis'!L11</f>
        <v>0</v>
      </c>
      <c r="L21" s="92">
        <f>'After Tax Analysis'!M11</f>
        <v>0</v>
      </c>
      <c r="M21" s="92">
        <f>'After Tax Analysis'!N11</f>
        <v>0</v>
      </c>
      <c r="N21" s="162"/>
      <c r="O21" s="67">
        <f>SUM(D21:M21)</f>
        <v>18202965</v>
      </c>
    </row>
    <row r="22" spans="2:15" x14ac:dyDescent="0.15">
      <c r="B22" s="12" t="s">
        <v>633</v>
      </c>
      <c r="C22" s="12"/>
      <c r="D22" s="67">
        <f>D20-D21</f>
        <v>66057500</v>
      </c>
      <c r="E22" s="67">
        <f t="shared" ref="E22:L22" si="1">E20-E21</f>
        <v>54262775.00000003</v>
      </c>
      <c r="F22" s="67">
        <f t="shared" si="1"/>
        <v>44798631.548749983</v>
      </c>
      <c r="G22" s="67">
        <f t="shared" si="1"/>
        <v>31908352.439272046</v>
      </c>
      <c r="H22" s="67">
        <f t="shared" si="1"/>
        <v>16140058.826927066</v>
      </c>
      <c r="I22" s="67">
        <f t="shared" si="1"/>
        <v>0</v>
      </c>
      <c r="J22" s="67">
        <f t="shared" si="1"/>
        <v>0</v>
      </c>
      <c r="K22" s="67">
        <f t="shared" si="1"/>
        <v>0</v>
      </c>
      <c r="L22" s="67">
        <f t="shared" si="1"/>
        <v>0</v>
      </c>
      <c r="M22" s="67">
        <f>M20-M21</f>
        <v>0</v>
      </c>
      <c r="N22" s="162"/>
      <c r="O22" s="67">
        <f>SUM(D22:M22)</f>
        <v>213167317.81494913</v>
      </c>
    </row>
    <row r="23" spans="2:15" x14ac:dyDescent="0.15">
      <c r="B23" s="12" t="s">
        <v>462</v>
      </c>
      <c r="C23" s="12"/>
      <c r="D23" s="67"/>
      <c r="E23" s="67"/>
      <c r="F23" s="67"/>
      <c r="G23" s="67"/>
      <c r="H23" s="67"/>
      <c r="I23" s="67"/>
      <c r="J23" s="67"/>
      <c r="K23" s="67"/>
      <c r="L23" s="67"/>
      <c r="M23" s="67"/>
      <c r="N23" s="162"/>
      <c r="O23" s="67"/>
    </row>
    <row r="24" spans="2:15" x14ac:dyDescent="0.15">
      <c r="B24" s="103">
        <v>-0.25</v>
      </c>
      <c r="C24" s="12"/>
      <c r="D24" s="110">
        <f>-'Lvl Pmt Int Rate Sens Calc'!D33</f>
        <v>0</v>
      </c>
      <c r="E24" s="110">
        <f>-'Lvl Pmt Int Rate Sens Calc'!E33</f>
        <v>0</v>
      </c>
      <c r="F24" s="110">
        <f>-'Lvl Pmt Int Rate Sens Calc'!F33</f>
        <v>0</v>
      </c>
      <c r="G24" s="110">
        <f>-'Lvl Pmt Int Rate Sens Calc'!G33</f>
        <v>0</v>
      </c>
      <c r="H24" s="110">
        <f>-'Lvl Pmt Int Rate Sens Calc'!H33</f>
        <v>0</v>
      </c>
      <c r="I24" s="110">
        <f>-'Lvl Pmt Int Rate Sens Calc'!I33</f>
        <v>0</v>
      </c>
      <c r="J24" s="110">
        <f>-'Lvl Pmt Int Rate Sens Calc'!J33</f>
        <v>0</v>
      </c>
      <c r="K24" s="110">
        <f>-'Lvl Pmt Int Rate Sens Calc'!K33</f>
        <v>0</v>
      </c>
      <c r="L24" s="110">
        <f>-'Lvl Pmt Int Rate Sens Calc'!L33</f>
        <v>0</v>
      </c>
      <c r="M24" s="110">
        <f>-'Lvl Pmt Int Rate Sens Calc'!M33</f>
        <v>0</v>
      </c>
      <c r="N24" s="162"/>
      <c r="O24" s="67">
        <f t="shared" ref="O24:O34" si="2">SUM(D24:M24)</f>
        <v>0</v>
      </c>
    </row>
    <row r="25" spans="2:15" x14ac:dyDescent="0.15">
      <c r="B25" s="103">
        <v>-0.2</v>
      </c>
      <c r="C25" s="12"/>
      <c r="D25" s="110">
        <f>-'Lvl Pmt Int Rate Sens Calc'!D51</f>
        <v>0</v>
      </c>
      <c r="E25" s="110">
        <f>-'Lvl Pmt Int Rate Sens Calc'!E51</f>
        <v>0</v>
      </c>
      <c r="F25" s="110">
        <f>-'Lvl Pmt Int Rate Sens Calc'!F51</f>
        <v>0</v>
      </c>
      <c r="G25" s="110">
        <f>-'Lvl Pmt Int Rate Sens Calc'!G51</f>
        <v>0</v>
      </c>
      <c r="H25" s="110">
        <f>-'Lvl Pmt Int Rate Sens Calc'!H51</f>
        <v>0</v>
      </c>
      <c r="I25" s="110">
        <f>-'Lvl Pmt Int Rate Sens Calc'!I51</f>
        <v>0</v>
      </c>
      <c r="J25" s="110">
        <f>-'Lvl Pmt Int Rate Sens Calc'!J51</f>
        <v>0</v>
      </c>
      <c r="K25" s="110">
        <f>-'Lvl Pmt Int Rate Sens Calc'!K51</f>
        <v>0</v>
      </c>
      <c r="L25" s="110">
        <f>-'Lvl Pmt Int Rate Sens Calc'!L51</f>
        <v>0</v>
      </c>
      <c r="M25" s="110">
        <f>-'Lvl Pmt Int Rate Sens Calc'!M51</f>
        <v>0</v>
      </c>
      <c r="N25" s="162"/>
      <c r="O25" s="67">
        <f t="shared" si="2"/>
        <v>0</v>
      </c>
    </row>
    <row r="26" spans="2:15" x14ac:dyDescent="0.15">
      <c r="B26" s="103">
        <v>-0.15</v>
      </c>
      <c r="C26" s="12"/>
      <c r="D26" s="110">
        <f>-'Lvl Pmt Int Rate Sens Calc'!D69</f>
        <v>0</v>
      </c>
      <c r="E26" s="110">
        <f>-'Lvl Pmt Int Rate Sens Calc'!E69</f>
        <v>0</v>
      </c>
      <c r="F26" s="110">
        <f>-'Lvl Pmt Int Rate Sens Calc'!F69</f>
        <v>0</v>
      </c>
      <c r="G26" s="110">
        <f>-'Lvl Pmt Int Rate Sens Calc'!G69</f>
        <v>0</v>
      </c>
      <c r="H26" s="110">
        <f>-'Lvl Pmt Int Rate Sens Calc'!H69</f>
        <v>0</v>
      </c>
      <c r="I26" s="110">
        <f>-'Lvl Pmt Int Rate Sens Calc'!I69</f>
        <v>0</v>
      </c>
      <c r="J26" s="110">
        <f>-'Lvl Pmt Int Rate Sens Calc'!J69</f>
        <v>0</v>
      </c>
      <c r="K26" s="110">
        <f>-'Lvl Pmt Int Rate Sens Calc'!K69</f>
        <v>0</v>
      </c>
      <c r="L26" s="110">
        <f>-'Lvl Pmt Int Rate Sens Calc'!L69</f>
        <v>0</v>
      </c>
      <c r="M26" s="110">
        <f>-'Lvl Pmt Int Rate Sens Calc'!M69</f>
        <v>0</v>
      </c>
      <c r="N26" s="162"/>
      <c r="O26" s="107">
        <f t="shared" si="2"/>
        <v>0</v>
      </c>
    </row>
    <row r="27" spans="2:15" x14ac:dyDescent="0.15">
      <c r="B27" s="103">
        <v>-0.1</v>
      </c>
      <c r="C27" s="12"/>
      <c r="D27" s="110">
        <f>-'Lvl Pmt Int Rate Sens Calc'!D87</f>
        <v>0</v>
      </c>
      <c r="E27" s="110">
        <f>-'Lvl Pmt Int Rate Sens Calc'!E87</f>
        <v>0</v>
      </c>
      <c r="F27" s="110">
        <f>-'Lvl Pmt Int Rate Sens Calc'!F87</f>
        <v>0</v>
      </c>
      <c r="G27" s="110">
        <f>-'Lvl Pmt Int Rate Sens Calc'!G87</f>
        <v>0</v>
      </c>
      <c r="H27" s="110">
        <f>-'Lvl Pmt Int Rate Sens Calc'!H87</f>
        <v>0</v>
      </c>
      <c r="I27" s="110">
        <f>-'Lvl Pmt Int Rate Sens Calc'!I87</f>
        <v>0</v>
      </c>
      <c r="J27" s="110">
        <f>-'Lvl Pmt Int Rate Sens Calc'!J87</f>
        <v>0</v>
      </c>
      <c r="K27" s="110">
        <f>-'Lvl Pmt Int Rate Sens Calc'!K87</f>
        <v>0</v>
      </c>
      <c r="L27" s="110">
        <f>-'Lvl Pmt Int Rate Sens Calc'!L87</f>
        <v>0</v>
      </c>
      <c r="M27" s="110">
        <f>-'Lvl Pmt Int Rate Sens Calc'!M87</f>
        <v>0</v>
      </c>
      <c r="N27" s="162"/>
      <c r="O27" s="67">
        <f t="shared" si="2"/>
        <v>0</v>
      </c>
    </row>
    <row r="28" spans="2:15" x14ac:dyDescent="0.15">
      <c r="B28" s="103">
        <v>-0.05</v>
      </c>
      <c r="C28" s="12"/>
      <c r="D28" s="110">
        <f>-'Lvl Pmt Int Rate Sens Calc'!D105</f>
        <v>0</v>
      </c>
      <c r="E28" s="110">
        <f>-'Lvl Pmt Int Rate Sens Calc'!E105</f>
        <v>0</v>
      </c>
      <c r="F28" s="110">
        <f>-'Lvl Pmt Int Rate Sens Calc'!F105</f>
        <v>0</v>
      </c>
      <c r="G28" s="110">
        <f>-'Lvl Pmt Int Rate Sens Calc'!G105</f>
        <v>0</v>
      </c>
      <c r="H28" s="110">
        <f>-'Lvl Pmt Int Rate Sens Calc'!H105</f>
        <v>0</v>
      </c>
      <c r="I28" s="110">
        <f>-'Lvl Pmt Int Rate Sens Calc'!I105</f>
        <v>0</v>
      </c>
      <c r="J28" s="110">
        <f>-'Lvl Pmt Int Rate Sens Calc'!J105</f>
        <v>0</v>
      </c>
      <c r="K28" s="110">
        <f>-'Lvl Pmt Int Rate Sens Calc'!K105</f>
        <v>0</v>
      </c>
      <c r="L28" s="110">
        <f>-'Lvl Pmt Int Rate Sens Calc'!L105</f>
        <v>0</v>
      </c>
      <c r="M28" s="110">
        <f>-'Lvl Pmt Int Rate Sens Calc'!M105</f>
        <v>0</v>
      </c>
      <c r="N28" s="162"/>
      <c r="O28" s="67">
        <f t="shared" si="2"/>
        <v>0</v>
      </c>
    </row>
    <row r="29" spans="2:15" x14ac:dyDescent="0.15">
      <c r="B29" s="103" t="s">
        <v>417</v>
      </c>
      <c r="C29" s="12"/>
      <c r="D29" s="110">
        <f>-'Lvl Pmt Int Rate Sens Calc'!D123</f>
        <v>0</v>
      </c>
      <c r="E29" s="110">
        <f>-'Lvl Pmt Int Rate Sens Calc'!E123</f>
        <v>0</v>
      </c>
      <c r="F29" s="110">
        <f>-'Lvl Pmt Int Rate Sens Calc'!F123</f>
        <v>0</v>
      </c>
      <c r="G29" s="110">
        <f>-'Lvl Pmt Int Rate Sens Calc'!G123</f>
        <v>0</v>
      </c>
      <c r="H29" s="110">
        <f>-'Lvl Pmt Int Rate Sens Calc'!H123</f>
        <v>0</v>
      </c>
      <c r="I29" s="110">
        <f>-'Lvl Pmt Int Rate Sens Calc'!I123</f>
        <v>0</v>
      </c>
      <c r="J29" s="110">
        <f>-'Lvl Pmt Int Rate Sens Calc'!J123</f>
        <v>0</v>
      </c>
      <c r="K29" s="110">
        <f>-'Lvl Pmt Int Rate Sens Calc'!K123</f>
        <v>0</v>
      </c>
      <c r="L29" s="110">
        <f>-'Lvl Pmt Int Rate Sens Calc'!L123</f>
        <v>0</v>
      </c>
      <c r="M29" s="110">
        <f>-'Lvl Pmt Int Rate Sens Calc'!M123</f>
        <v>0</v>
      </c>
      <c r="N29" s="162"/>
      <c r="O29" s="67"/>
    </row>
    <row r="30" spans="2:15" x14ac:dyDescent="0.15">
      <c r="B30" s="103">
        <v>0.05</v>
      </c>
      <c r="C30" s="12"/>
      <c r="D30" s="110">
        <f>-'Lvl Pmt Int Rate Sens Calc'!D141</f>
        <v>0</v>
      </c>
      <c r="E30" s="110">
        <f>-'Lvl Pmt Int Rate Sens Calc'!E141</f>
        <v>0</v>
      </c>
      <c r="F30" s="110">
        <f>-'Lvl Pmt Int Rate Sens Calc'!F141</f>
        <v>0</v>
      </c>
      <c r="G30" s="110">
        <f>-'Lvl Pmt Int Rate Sens Calc'!G141</f>
        <v>0</v>
      </c>
      <c r="H30" s="110">
        <f>-'Lvl Pmt Int Rate Sens Calc'!H141</f>
        <v>0</v>
      </c>
      <c r="I30" s="110">
        <f>-'Lvl Pmt Int Rate Sens Calc'!I141</f>
        <v>0</v>
      </c>
      <c r="J30" s="110">
        <f>-'Lvl Pmt Int Rate Sens Calc'!J141</f>
        <v>0</v>
      </c>
      <c r="K30" s="110">
        <f>-'Lvl Pmt Int Rate Sens Calc'!K141</f>
        <v>0</v>
      </c>
      <c r="L30" s="110">
        <f>-'Lvl Pmt Int Rate Sens Calc'!L141</f>
        <v>0</v>
      </c>
      <c r="M30" s="110">
        <f>-'Lvl Pmt Int Rate Sens Calc'!M141</f>
        <v>0</v>
      </c>
      <c r="N30" s="162"/>
      <c r="O30" s="67">
        <f t="shared" si="2"/>
        <v>0</v>
      </c>
    </row>
    <row r="31" spans="2:15" x14ac:dyDescent="0.15">
      <c r="B31" s="103">
        <v>0.1</v>
      </c>
      <c r="C31" s="12"/>
      <c r="D31" s="110">
        <f>-'Lvl Pmt Int Rate Sens Calc'!D159</f>
        <v>0</v>
      </c>
      <c r="E31" s="110">
        <f>-'Lvl Pmt Int Rate Sens Calc'!E159</f>
        <v>0</v>
      </c>
      <c r="F31" s="110">
        <f>-'Lvl Pmt Int Rate Sens Calc'!F159</f>
        <v>0</v>
      </c>
      <c r="G31" s="110">
        <f>-'Lvl Pmt Int Rate Sens Calc'!G159</f>
        <v>0</v>
      </c>
      <c r="H31" s="110">
        <f>-'Lvl Pmt Int Rate Sens Calc'!H159</f>
        <v>0</v>
      </c>
      <c r="I31" s="110">
        <f>-'Lvl Pmt Int Rate Sens Calc'!I159</f>
        <v>0</v>
      </c>
      <c r="J31" s="110">
        <f>-'Lvl Pmt Int Rate Sens Calc'!J159</f>
        <v>0</v>
      </c>
      <c r="K31" s="110">
        <f>-'Lvl Pmt Int Rate Sens Calc'!K159</f>
        <v>0</v>
      </c>
      <c r="L31" s="110">
        <f>-'Lvl Pmt Int Rate Sens Calc'!L159</f>
        <v>0</v>
      </c>
      <c r="M31" s="110">
        <f>-'Lvl Pmt Int Rate Sens Calc'!M159</f>
        <v>0</v>
      </c>
      <c r="N31" s="162"/>
      <c r="O31" s="67">
        <f t="shared" si="2"/>
        <v>0</v>
      </c>
    </row>
    <row r="32" spans="2:15" x14ac:dyDescent="0.15">
      <c r="B32" s="103">
        <v>0.15</v>
      </c>
      <c r="C32" s="67"/>
      <c r="D32" s="110">
        <f>-'Lvl Pmt Int Rate Sens Calc'!D177</f>
        <v>0</v>
      </c>
      <c r="E32" s="110">
        <f>-'Lvl Pmt Int Rate Sens Calc'!E177</f>
        <v>0</v>
      </c>
      <c r="F32" s="110">
        <f>-'Lvl Pmt Int Rate Sens Calc'!F177</f>
        <v>0</v>
      </c>
      <c r="G32" s="110">
        <f>-'Lvl Pmt Int Rate Sens Calc'!G177</f>
        <v>0</v>
      </c>
      <c r="H32" s="110">
        <f>-'Lvl Pmt Int Rate Sens Calc'!H177</f>
        <v>0</v>
      </c>
      <c r="I32" s="110">
        <f>-'Lvl Pmt Int Rate Sens Calc'!I177</f>
        <v>0</v>
      </c>
      <c r="J32" s="110">
        <f>-'Lvl Pmt Int Rate Sens Calc'!J177</f>
        <v>0</v>
      </c>
      <c r="K32" s="110">
        <f>-'Lvl Pmt Int Rate Sens Calc'!K177</f>
        <v>0</v>
      </c>
      <c r="L32" s="110">
        <f>-'Lvl Pmt Int Rate Sens Calc'!L177</f>
        <v>0</v>
      </c>
      <c r="M32" s="110">
        <f>-'Lvl Pmt Int Rate Sens Calc'!M177</f>
        <v>0</v>
      </c>
      <c r="N32" s="162"/>
      <c r="O32" s="67">
        <f t="shared" si="2"/>
        <v>0</v>
      </c>
    </row>
    <row r="33" spans="2:15" x14ac:dyDescent="0.15">
      <c r="B33" s="103">
        <v>0.2</v>
      </c>
      <c r="C33" s="67"/>
      <c r="D33" s="110">
        <f>-'Lvl Pmt Int Rate Sens Calc'!D195</f>
        <v>0</v>
      </c>
      <c r="E33" s="110">
        <f>-'Lvl Pmt Int Rate Sens Calc'!E195</f>
        <v>0</v>
      </c>
      <c r="F33" s="110">
        <f>-'Lvl Pmt Int Rate Sens Calc'!F195</f>
        <v>0</v>
      </c>
      <c r="G33" s="110">
        <f>-'Lvl Pmt Int Rate Sens Calc'!G195</f>
        <v>0</v>
      </c>
      <c r="H33" s="110">
        <f>-'Lvl Pmt Int Rate Sens Calc'!H195</f>
        <v>0</v>
      </c>
      <c r="I33" s="110">
        <f>-'Lvl Pmt Int Rate Sens Calc'!I195</f>
        <v>0</v>
      </c>
      <c r="J33" s="110">
        <f>-'Lvl Pmt Int Rate Sens Calc'!J195</f>
        <v>0</v>
      </c>
      <c r="K33" s="110">
        <f>-'Lvl Pmt Int Rate Sens Calc'!K195</f>
        <v>0</v>
      </c>
      <c r="L33" s="110">
        <f>-'Lvl Pmt Int Rate Sens Calc'!L195</f>
        <v>0</v>
      </c>
      <c r="M33" s="110">
        <f>-'Lvl Pmt Int Rate Sens Calc'!M195</f>
        <v>0</v>
      </c>
      <c r="N33" s="162"/>
      <c r="O33" s="67">
        <f t="shared" si="2"/>
        <v>0</v>
      </c>
    </row>
    <row r="34" spans="2:15" x14ac:dyDescent="0.15">
      <c r="B34" s="103">
        <v>0.25</v>
      </c>
      <c r="C34" s="67"/>
      <c r="D34" s="110">
        <f>-'Lvl Pmt Int Rate Sens Calc'!D213</f>
        <v>0</v>
      </c>
      <c r="E34" s="110">
        <f>-'Lvl Pmt Int Rate Sens Calc'!E213</f>
        <v>0</v>
      </c>
      <c r="F34" s="110">
        <f>-'Lvl Pmt Int Rate Sens Calc'!F213</f>
        <v>0</v>
      </c>
      <c r="G34" s="110">
        <f>-'Lvl Pmt Int Rate Sens Calc'!G213</f>
        <v>0</v>
      </c>
      <c r="H34" s="110">
        <f>-'Lvl Pmt Int Rate Sens Calc'!H213</f>
        <v>0</v>
      </c>
      <c r="I34" s="110">
        <f>-'Lvl Pmt Int Rate Sens Calc'!I213</f>
        <v>0</v>
      </c>
      <c r="J34" s="110">
        <f>-'Lvl Pmt Int Rate Sens Calc'!J213</f>
        <v>0</v>
      </c>
      <c r="K34" s="110">
        <f>-'Lvl Pmt Int Rate Sens Calc'!K213</f>
        <v>0</v>
      </c>
      <c r="L34" s="110">
        <f>-'Lvl Pmt Int Rate Sens Calc'!L213</f>
        <v>0</v>
      </c>
      <c r="M34" s="110">
        <f>-'Lvl Pmt Int Rate Sens Calc'!M213</f>
        <v>0</v>
      </c>
      <c r="N34" s="162"/>
      <c r="O34" s="67">
        <f t="shared" si="2"/>
        <v>0</v>
      </c>
    </row>
    <row r="35" spans="2:15" x14ac:dyDescent="0.15">
      <c r="B35" s="12" t="s">
        <v>634</v>
      </c>
      <c r="C35" s="107"/>
      <c r="D35" s="107"/>
      <c r="E35" s="107"/>
      <c r="F35" s="107"/>
      <c r="G35" s="107"/>
      <c r="H35" s="107"/>
      <c r="I35" s="107"/>
      <c r="J35" s="107"/>
      <c r="K35" s="107"/>
      <c r="L35" s="107"/>
      <c r="M35" s="107"/>
      <c r="N35" s="162"/>
      <c r="O35" s="63"/>
    </row>
    <row r="36" spans="2:15" x14ac:dyDescent="0.15">
      <c r="B36" s="103">
        <v>-0.25</v>
      </c>
      <c r="C36" s="107"/>
      <c r="D36" s="109">
        <f>D$22-D24</f>
        <v>66057500</v>
      </c>
      <c r="E36" s="109">
        <f t="shared" ref="E36:M40" si="3">E$22-E24</f>
        <v>54262775.00000003</v>
      </c>
      <c r="F36" s="109">
        <f t="shared" si="3"/>
        <v>44798631.548749983</v>
      </c>
      <c r="G36" s="109">
        <f t="shared" si="3"/>
        <v>31908352.439272046</v>
      </c>
      <c r="H36" s="109">
        <f t="shared" si="3"/>
        <v>16140058.826927066</v>
      </c>
      <c r="I36" s="109">
        <f t="shared" si="3"/>
        <v>0</v>
      </c>
      <c r="J36" s="109">
        <f t="shared" si="3"/>
        <v>0</v>
      </c>
      <c r="K36" s="109">
        <f t="shared" si="3"/>
        <v>0</v>
      </c>
      <c r="L36" s="109">
        <f t="shared" si="3"/>
        <v>0</v>
      </c>
      <c r="M36" s="109">
        <f t="shared" si="3"/>
        <v>0</v>
      </c>
      <c r="N36" s="162"/>
      <c r="O36" s="63">
        <f t="shared" ref="O36:O46" si="4">SUM(D36:M36)</f>
        <v>213167317.81494913</v>
      </c>
    </row>
    <row r="37" spans="2:15" x14ac:dyDescent="0.15">
      <c r="B37" s="103">
        <v>-0.2</v>
      </c>
      <c r="C37" s="67"/>
      <c r="D37" s="109">
        <f>D$22-D25</f>
        <v>66057500</v>
      </c>
      <c r="E37" s="109">
        <f t="shared" si="3"/>
        <v>54262775.00000003</v>
      </c>
      <c r="F37" s="109">
        <f t="shared" si="3"/>
        <v>44798631.548749983</v>
      </c>
      <c r="G37" s="109">
        <f t="shared" si="3"/>
        <v>31908352.439272046</v>
      </c>
      <c r="H37" s="109">
        <f t="shared" si="3"/>
        <v>16140058.826927066</v>
      </c>
      <c r="I37" s="109">
        <f t="shared" si="3"/>
        <v>0</v>
      </c>
      <c r="J37" s="109">
        <f t="shared" si="3"/>
        <v>0</v>
      </c>
      <c r="K37" s="109">
        <f t="shared" si="3"/>
        <v>0</v>
      </c>
      <c r="L37" s="109">
        <f t="shared" si="3"/>
        <v>0</v>
      </c>
      <c r="M37" s="109">
        <f t="shared" si="3"/>
        <v>0</v>
      </c>
      <c r="N37" s="162"/>
      <c r="O37" s="109">
        <f t="shared" si="4"/>
        <v>213167317.81494913</v>
      </c>
    </row>
    <row r="38" spans="2:15" x14ac:dyDescent="0.15">
      <c r="B38" s="103">
        <v>-0.15</v>
      </c>
      <c r="C38" s="109"/>
      <c r="D38" s="109">
        <f>D$22-D26</f>
        <v>66057500</v>
      </c>
      <c r="E38" s="109">
        <f t="shared" si="3"/>
        <v>54262775.00000003</v>
      </c>
      <c r="F38" s="109">
        <f t="shared" si="3"/>
        <v>44798631.548749983</v>
      </c>
      <c r="G38" s="109">
        <f t="shared" si="3"/>
        <v>31908352.439272046</v>
      </c>
      <c r="H38" s="109">
        <f t="shared" si="3"/>
        <v>16140058.826927066</v>
      </c>
      <c r="I38" s="109">
        <f t="shared" si="3"/>
        <v>0</v>
      </c>
      <c r="J38" s="109">
        <f t="shared" si="3"/>
        <v>0</v>
      </c>
      <c r="K38" s="109">
        <f t="shared" si="3"/>
        <v>0</v>
      </c>
      <c r="L38" s="109">
        <f t="shared" si="3"/>
        <v>0</v>
      </c>
      <c r="M38" s="109">
        <f t="shared" si="3"/>
        <v>0</v>
      </c>
      <c r="N38" s="162"/>
      <c r="O38" s="67">
        <f t="shared" si="4"/>
        <v>213167317.81494913</v>
      </c>
    </row>
    <row r="39" spans="2:15" x14ac:dyDescent="0.15">
      <c r="B39" s="103">
        <v>-0.1</v>
      </c>
      <c r="C39" s="67"/>
      <c r="D39" s="109">
        <f>D$22-D27</f>
        <v>66057500</v>
      </c>
      <c r="E39" s="109">
        <f t="shared" si="3"/>
        <v>54262775.00000003</v>
      </c>
      <c r="F39" s="109">
        <f t="shared" si="3"/>
        <v>44798631.548749983</v>
      </c>
      <c r="G39" s="109">
        <f t="shared" si="3"/>
        <v>31908352.439272046</v>
      </c>
      <c r="H39" s="109">
        <f t="shared" si="3"/>
        <v>16140058.826927066</v>
      </c>
      <c r="I39" s="109">
        <f t="shared" si="3"/>
        <v>0</v>
      </c>
      <c r="J39" s="109">
        <f t="shared" si="3"/>
        <v>0</v>
      </c>
      <c r="K39" s="109">
        <f t="shared" si="3"/>
        <v>0</v>
      </c>
      <c r="L39" s="109">
        <f t="shared" si="3"/>
        <v>0</v>
      </c>
      <c r="M39" s="109">
        <f t="shared" si="3"/>
        <v>0</v>
      </c>
      <c r="N39" s="162"/>
      <c r="O39" s="67">
        <f t="shared" si="4"/>
        <v>213167317.81494913</v>
      </c>
    </row>
    <row r="40" spans="2:15" x14ac:dyDescent="0.15">
      <c r="B40" s="103">
        <v>-0.05</v>
      </c>
      <c r="C40" s="12"/>
      <c r="D40" s="109">
        <f>D$22-D28</f>
        <v>66057500</v>
      </c>
      <c r="E40" s="109">
        <f t="shared" si="3"/>
        <v>54262775.00000003</v>
      </c>
      <c r="F40" s="109">
        <f t="shared" si="3"/>
        <v>44798631.548749983</v>
      </c>
      <c r="G40" s="109">
        <f t="shared" si="3"/>
        <v>31908352.439272046</v>
      </c>
      <c r="H40" s="109">
        <f t="shared" si="3"/>
        <v>16140058.826927066</v>
      </c>
      <c r="I40" s="109">
        <f t="shared" si="3"/>
        <v>0</v>
      </c>
      <c r="J40" s="109">
        <f t="shared" si="3"/>
        <v>0</v>
      </c>
      <c r="K40" s="109">
        <f t="shared" si="3"/>
        <v>0</v>
      </c>
      <c r="L40" s="109">
        <f t="shared" si="3"/>
        <v>0</v>
      </c>
      <c r="M40" s="109">
        <f t="shared" si="3"/>
        <v>0</v>
      </c>
      <c r="N40" s="162"/>
      <c r="O40" s="67">
        <f t="shared" si="4"/>
        <v>213167317.81494913</v>
      </c>
    </row>
    <row r="41" spans="2:15" x14ac:dyDescent="0.15">
      <c r="B41" s="103"/>
      <c r="C41" s="12"/>
      <c r="D41" s="109"/>
      <c r="E41" s="109"/>
      <c r="F41" s="109"/>
      <c r="G41" s="109"/>
      <c r="H41" s="109"/>
      <c r="I41" s="109"/>
      <c r="J41" s="109"/>
      <c r="K41" s="109"/>
      <c r="L41" s="109"/>
      <c r="M41" s="109"/>
      <c r="N41" s="162"/>
      <c r="O41" s="67"/>
    </row>
    <row r="42" spans="2:15" x14ac:dyDescent="0.15">
      <c r="B42" s="103">
        <v>0.05</v>
      </c>
      <c r="C42" s="19"/>
      <c r="D42" s="109">
        <f t="shared" ref="D42:M46" si="5">D$22-D30</f>
        <v>66057500</v>
      </c>
      <c r="E42" s="109">
        <f t="shared" si="5"/>
        <v>54262775.00000003</v>
      </c>
      <c r="F42" s="109">
        <f t="shared" si="5"/>
        <v>44798631.548749983</v>
      </c>
      <c r="G42" s="109">
        <f t="shared" si="5"/>
        <v>31908352.439272046</v>
      </c>
      <c r="H42" s="109">
        <f t="shared" si="5"/>
        <v>16140058.826927066</v>
      </c>
      <c r="I42" s="109">
        <f t="shared" si="5"/>
        <v>0</v>
      </c>
      <c r="J42" s="109">
        <f t="shared" si="5"/>
        <v>0</v>
      </c>
      <c r="K42" s="109">
        <f t="shared" si="5"/>
        <v>0</v>
      </c>
      <c r="L42" s="109">
        <f t="shared" si="5"/>
        <v>0</v>
      </c>
      <c r="M42" s="109">
        <f t="shared" si="5"/>
        <v>0</v>
      </c>
      <c r="N42" s="162"/>
      <c r="O42" s="111">
        <f t="shared" si="4"/>
        <v>213167317.81494913</v>
      </c>
    </row>
    <row r="43" spans="2:15" x14ac:dyDescent="0.15">
      <c r="B43" s="103">
        <v>0.1</v>
      </c>
      <c r="C43" s="19"/>
      <c r="D43" s="109">
        <f t="shared" si="5"/>
        <v>66057500</v>
      </c>
      <c r="E43" s="109">
        <f t="shared" si="5"/>
        <v>54262775.00000003</v>
      </c>
      <c r="F43" s="109">
        <f t="shared" si="5"/>
        <v>44798631.548749983</v>
      </c>
      <c r="G43" s="109">
        <f t="shared" si="5"/>
        <v>31908352.439272046</v>
      </c>
      <c r="H43" s="109">
        <f t="shared" si="5"/>
        <v>16140058.826927066</v>
      </c>
      <c r="I43" s="109">
        <f t="shared" si="5"/>
        <v>0</v>
      </c>
      <c r="J43" s="109">
        <f t="shared" si="5"/>
        <v>0</v>
      </c>
      <c r="K43" s="109">
        <f t="shared" si="5"/>
        <v>0</v>
      </c>
      <c r="L43" s="109">
        <f t="shared" si="5"/>
        <v>0</v>
      </c>
      <c r="M43" s="109">
        <f t="shared" si="5"/>
        <v>0</v>
      </c>
      <c r="N43" s="162"/>
      <c r="O43" s="112">
        <f t="shared" si="4"/>
        <v>213167317.81494913</v>
      </c>
    </row>
    <row r="44" spans="2:15" x14ac:dyDescent="0.15">
      <c r="B44" s="103">
        <v>0.15</v>
      </c>
      <c r="C44" s="19"/>
      <c r="D44" s="109">
        <f t="shared" si="5"/>
        <v>66057500</v>
      </c>
      <c r="E44" s="109">
        <f t="shared" si="5"/>
        <v>54262775.00000003</v>
      </c>
      <c r="F44" s="109">
        <f t="shared" si="5"/>
        <v>44798631.548749983</v>
      </c>
      <c r="G44" s="109">
        <f t="shared" si="5"/>
        <v>31908352.439272046</v>
      </c>
      <c r="H44" s="109">
        <f t="shared" si="5"/>
        <v>16140058.826927066</v>
      </c>
      <c r="I44" s="109">
        <f t="shared" si="5"/>
        <v>0</v>
      </c>
      <c r="J44" s="109">
        <f t="shared" si="5"/>
        <v>0</v>
      </c>
      <c r="K44" s="109">
        <f t="shared" si="5"/>
        <v>0</v>
      </c>
      <c r="L44" s="109">
        <f t="shared" si="5"/>
        <v>0</v>
      </c>
      <c r="M44" s="109">
        <f t="shared" si="5"/>
        <v>0</v>
      </c>
      <c r="N44" s="162"/>
      <c r="O44" s="112">
        <f t="shared" si="4"/>
        <v>213167317.81494913</v>
      </c>
    </row>
    <row r="45" spans="2:15" x14ac:dyDescent="0.15">
      <c r="B45" s="103">
        <v>0.2</v>
      </c>
      <c r="C45" s="19"/>
      <c r="D45" s="109">
        <f t="shared" si="5"/>
        <v>66057500</v>
      </c>
      <c r="E45" s="109">
        <f t="shared" si="5"/>
        <v>54262775.00000003</v>
      </c>
      <c r="F45" s="109">
        <f t="shared" si="5"/>
        <v>44798631.548749983</v>
      </c>
      <c r="G45" s="109">
        <f t="shared" si="5"/>
        <v>31908352.439272046</v>
      </c>
      <c r="H45" s="109">
        <f t="shared" si="5"/>
        <v>16140058.826927066</v>
      </c>
      <c r="I45" s="109">
        <f t="shared" si="5"/>
        <v>0</v>
      </c>
      <c r="J45" s="109">
        <f t="shared" si="5"/>
        <v>0</v>
      </c>
      <c r="K45" s="109">
        <f t="shared" si="5"/>
        <v>0</v>
      </c>
      <c r="L45" s="109">
        <f t="shared" si="5"/>
        <v>0</v>
      </c>
      <c r="M45" s="109">
        <f t="shared" si="5"/>
        <v>0</v>
      </c>
      <c r="N45" s="162"/>
      <c r="O45" s="112">
        <f t="shared" si="4"/>
        <v>213167317.81494913</v>
      </c>
    </row>
    <row r="46" spans="2:15" x14ac:dyDescent="0.15">
      <c r="B46" s="103">
        <v>0.25</v>
      </c>
      <c r="C46" s="19"/>
      <c r="D46" s="109">
        <f t="shared" si="5"/>
        <v>66057500</v>
      </c>
      <c r="E46" s="109">
        <f t="shared" si="5"/>
        <v>54262775.00000003</v>
      </c>
      <c r="F46" s="109">
        <f t="shared" si="5"/>
        <v>44798631.548749983</v>
      </c>
      <c r="G46" s="109">
        <f t="shared" si="5"/>
        <v>31908352.439272046</v>
      </c>
      <c r="H46" s="109">
        <f t="shared" si="5"/>
        <v>16140058.826927066</v>
      </c>
      <c r="I46" s="109">
        <f t="shared" si="5"/>
        <v>0</v>
      </c>
      <c r="J46" s="109">
        <f t="shared" si="5"/>
        <v>0</v>
      </c>
      <c r="K46" s="109">
        <f t="shared" si="5"/>
        <v>0</v>
      </c>
      <c r="L46" s="109">
        <f t="shared" si="5"/>
        <v>0</v>
      </c>
      <c r="M46" s="109">
        <f t="shared" si="5"/>
        <v>0</v>
      </c>
      <c r="N46" s="162"/>
      <c r="O46" s="112">
        <f t="shared" si="4"/>
        <v>213167317.81494913</v>
      </c>
    </row>
    <row r="47" spans="2:15" ht="14" x14ac:dyDescent="0.15">
      <c r="B47" s="113" t="s">
        <v>635</v>
      </c>
      <c r="C47" s="19"/>
      <c r="D47" s="19"/>
      <c r="E47" s="19"/>
      <c r="F47" s="19"/>
      <c r="G47" s="19"/>
      <c r="H47" s="19"/>
      <c r="I47" s="19"/>
      <c r="J47" s="19"/>
      <c r="K47" s="19"/>
      <c r="L47" s="19"/>
      <c r="M47" s="19"/>
      <c r="N47" s="162"/>
      <c r="O47" s="102"/>
    </row>
    <row r="48" spans="2:15" x14ac:dyDescent="0.15">
      <c r="B48" s="103">
        <v>-0.25</v>
      </c>
      <c r="C48" s="19"/>
      <c r="D48" s="68">
        <f>D36*'After Tax Analysis'!$G$3</f>
        <v>19817250</v>
      </c>
      <c r="E48" s="68">
        <f>E36*'After Tax Analysis'!$G$3</f>
        <v>16278832.500000007</v>
      </c>
      <c r="F48" s="68">
        <f>F36*'After Tax Analysis'!$G$3</f>
        <v>13439589.464624995</v>
      </c>
      <c r="G48" s="68">
        <f>G36*'After Tax Analysis'!$G$3</f>
        <v>9572505.7317816131</v>
      </c>
      <c r="H48" s="68">
        <f>H36*'After Tax Analysis'!$G$3</f>
        <v>4842017.6480781194</v>
      </c>
      <c r="I48" s="68">
        <f>I36*'After Tax Analysis'!$G$3</f>
        <v>0</v>
      </c>
      <c r="J48" s="68">
        <f>J36*'After Tax Analysis'!$G$3</f>
        <v>0</v>
      </c>
      <c r="K48" s="68">
        <f>K36*'After Tax Analysis'!$G$3</f>
        <v>0</v>
      </c>
      <c r="L48" s="68">
        <f>L36*'After Tax Analysis'!$G$3</f>
        <v>0</v>
      </c>
      <c r="M48" s="68">
        <f>M36*'After Tax Analysis'!$G$3</f>
        <v>0</v>
      </c>
      <c r="N48" s="162"/>
      <c r="O48" s="112">
        <f t="shared" ref="O48:O58" si="6">SUM(D48:M48)</f>
        <v>63950195.344484739</v>
      </c>
    </row>
    <row r="49" spans="2:15" x14ac:dyDescent="0.15">
      <c r="B49" s="103">
        <v>-0.2</v>
      </c>
      <c r="C49" s="19"/>
      <c r="D49" s="68">
        <f>D37*'After Tax Analysis'!$G$3</f>
        <v>19817250</v>
      </c>
      <c r="E49" s="68">
        <f>E37*'After Tax Analysis'!$G$3</f>
        <v>16278832.500000007</v>
      </c>
      <c r="F49" s="68">
        <f>F37*'After Tax Analysis'!$G$3</f>
        <v>13439589.464624995</v>
      </c>
      <c r="G49" s="68">
        <f>G37*'After Tax Analysis'!$G$3</f>
        <v>9572505.7317816131</v>
      </c>
      <c r="H49" s="68">
        <f>H37*'After Tax Analysis'!$G$3</f>
        <v>4842017.6480781194</v>
      </c>
      <c r="I49" s="68">
        <f>I37*'After Tax Analysis'!$G$3</f>
        <v>0</v>
      </c>
      <c r="J49" s="68">
        <f>J37*'After Tax Analysis'!$G$3</f>
        <v>0</v>
      </c>
      <c r="K49" s="68">
        <f>K37*'After Tax Analysis'!$G$3</f>
        <v>0</v>
      </c>
      <c r="L49" s="68">
        <f>L37*'After Tax Analysis'!$G$3</f>
        <v>0</v>
      </c>
      <c r="M49" s="68">
        <f>M37*'After Tax Analysis'!$G$3</f>
        <v>0</v>
      </c>
      <c r="N49" s="162"/>
      <c r="O49" s="112">
        <f t="shared" si="6"/>
        <v>63950195.344484739</v>
      </c>
    </row>
    <row r="50" spans="2:15" x14ac:dyDescent="0.15">
      <c r="B50" s="103">
        <v>-0.15</v>
      </c>
      <c r="C50" s="19"/>
      <c r="D50" s="68">
        <f>D38*'After Tax Analysis'!$G$3</f>
        <v>19817250</v>
      </c>
      <c r="E50" s="68">
        <f>E38*'After Tax Analysis'!$G$3</f>
        <v>16278832.500000007</v>
      </c>
      <c r="F50" s="68">
        <f>F38*'After Tax Analysis'!$G$3</f>
        <v>13439589.464624995</v>
      </c>
      <c r="G50" s="68">
        <f>G38*'After Tax Analysis'!$G$3</f>
        <v>9572505.7317816131</v>
      </c>
      <c r="H50" s="68">
        <f>H38*'After Tax Analysis'!$G$3</f>
        <v>4842017.6480781194</v>
      </c>
      <c r="I50" s="68">
        <f>I38*'After Tax Analysis'!$G$3</f>
        <v>0</v>
      </c>
      <c r="J50" s="68">
        <f>J38*'After Tax Analysis'!$G$3</f>
        <v>0</v>
      </c>
      <c r="K50" s="68">
        <f>K38*'After Tax Analysis'!$G$3</f>
        <v>0</v>
      </c>
      <c r="L50" s="68">
        <f>L38*'After Tax Analysis'!$G$3</f>
        <v>0</v>
      </c>
      <c r="M50" s="68">
        <f>M38*'After Tax Analysis'!$G$3</f>
        <v>0</v>
      </c>
      <c r="N50" s="162"/>
      <c r="O50" s="112">
        <f t="shared" si="6"/>
        <v>63950195.344484739</v>
      </c>
    </row>
    <row r="51" spans="2:15" x14ac:dyDescent="0.15">
      <c r="B51" s="103">
        <v>-0.1</v>
      </c>
      <c r="C51" s="19"/>
      <c r="D51" s="68">
        <f>D39*'After Tax Analysis'!$G$3</f>
        <v>19817250</v>
      </c>
      <c r="E51" s="68">
        <f>E39*'After Tax Analysis'!$G$3</f>
        <v>16278832.500000007</v>
      </c>
      <c r="F51" s="68">
        <f>F39*'After Tax Analysis'!$G$3</f>
        <v>13439589.464624995</v>
      </c>
      <c r="G51" s="68">
        <f>G39*'After Tax Analysis'!$G$3</f>
        <v>9572505.7317816131</v>
      </c>
      <c r="H51" s="68">
        <f>H39*'After Tax Analysis'!$G$3</f>
        <v>4842017.6480781194</v>
      </c>
      <c r="I51" s="68">
        <f>I39*'After Tax Analysis'!$G$3</f>
        <v>0</v>
      </c>
      <c r="J51" s="68">
        <f>J39*'After Tax Analysis'!$G$3</f>
        <v>0</v>
      </c>
      <c r="K51" s="68">
        <f>K39*'After Tax Analysis'!$G$3</f>
        <v>0</v>
      </c>
      <c r="L51" s="68">
        <f>L39*'After Tax Analysis'!$G$3</f>
        <v>0</v>
      </c>
      <c r="M51" s="68">
        <f>M39*'After Tax Analysis'!$G$3</f>
        <v>0</v>
      </c>
      <c r="N51" s="162"/>
      <c r="O51" s="112">
        <f t="shared" si="6"/>
        <v>63950195.344484739</v>
      </c>
    </row>
    <row r="52" spans="2:15" x14ac:dyDescent="0.15">
      <c r="B52" s="103">
        <v>-0.05</v>
      </c>
      <c r="C52" s="12"/>
      <c r="D52" s="68">
        <f>D40*'After Tax Analysis'!$G$3</f>
        <v>19817250</v>
      </c>
      <c r="E52" s="68">
        <f>E40*'After Tax Analysis'!$G$3</f>
        <v>16278832.500000007</v>
      </c>
      <c r="F52" s="68">
        <f>F40*'After Tax Analysis'!$G$3</f>
        <v>13439589.464624995</v>
      </c>
      <c r="G52" s="68">
        <f>G40*'After Tax Analysis'!$G$3</f>
        <v>9572505.7317816131</v>
      </c>
      <c r="H52" s="68">
        <f>H40*'After Tax Analysis'!$G$3</f>
        <v>4842017.6480781194</v>
      </c>
      <c r="I52" s="68">
        <f>I40*'After Tax Analysis'!$G$3</f>
        <v>0</v>
      </c>
      <c r="J52" s="68">
        <f>J40*'After Tax Analysis'!$G$3</f>
        <v>0</v>
      </c>
      <c r="K52" s="68">
        <f>K40*'After Tax Analysis'!$G$3</f>
        <v>0</v>
      </c>
      <c r="L52" s="68">
        <f>L40*'After Tax Analysis'!$G$3</f>
        <v>0</v>
      </c>
      <c r="M52" s="68">
        <f>M40*'After Tax Analysis'!$G$3</f>
        <v>0</v>
      </c>
      <c r="N52" s="162"/>
      <c r="O52" s="67">
        <f t="shared" si="6"/>
        <v>63950195.344484739</v>
      </c>
    </row>
    <row r="53" spans="2:15" x14ac:dyDescent="0.15">
      <c r="B53" s="103"/>
      <c r="C53" s="12"/>
      <c r="D53" s="68"/>
      <c r="E53" s="68"/>
      <c r="F53" s="68"/>
      <c r="G53" s="68"/>
      <c r="H53" s="68"/>
      <c r="I53" s="68"/>
      <c r="J53" s="68"/>
      <c r="K53" s="68"/>
      <c r="L53" s="68"/>
      <c r="M53" s="68"/>
      <c r="N53" s="162"/>
      <c r="O53" s="67"/>
    </row>
    <row r="54" spans="2:15" x14ac:dyDescent="0.15">
      <c r="B54" s="103">
        <v>0.05</v>
      </c>
      <c r="C54" s="67"/>
      <c r="D54" s="68">
        <f>D42*'After Tax Analysis'!$G$3</f>
        <v>19817250</v>
      </c>
      <c r="E54" s="68">
        <f>E42*'After Tax Analysis'!$G$3</f>
        <v>16278832.500000007</v>
      </c>
      <c r="F54" s="68">
        <f>F42*'After Tax Analysis'!$G$3</f>
        <v>13439589.464624995</v>
      </c>
      <c r="G54" s="68">
        <f>G42*'After Tax Analysis'!$G$3</f>
        <v>9572505.7317816131</v>
      </c>
      <c r="H54" s="68">
        <f>H42*'After Tax Analysis'!$G$3</f>
        <v>4842017.6480781194</v>
      </c>
      <c r="I54" s="68">
        <f>I42*'After Tax Analysis'!$G$3</f>
        <v>0</v>
      </c>
      <c r="J54" s="68">
        <f>J42*'After Tax Analysis'!$G$3</f>
        <v>0</v>
      </c>
      <c r="K54" s="68">
        <f>K42*'After Tax Analysis'!$G$3</f>
        <v>0</v>
      </c>
      <c r="L54" s="68">
        <f>L42*'After Tax Analysis'!$G$3</f>
        <v>0</v>
      </c>
      <c r="M54" s="68">
        <f>M42*'After Tax Analysis'!$G$3</f>
        <v>0</v>
      </c>
      <c r="N54" s="162"/>
      <c r="O54" s="67">
        <f t="shared" si="6"/>
        <v>63950195.344484739</v>
      </c>
    </row>
    <row r="55" spans="2:15" x14ac:dyDescent="0.15">
      <c r="B55" s="103">
        <v>0.1</v>
      </c>
      <c r="C55" s="67"/>
      <c r="D55" s="68">
        <f>D43*'After Tax Analysis'!$G$3</f>
        <v>19817250</v>
      </c>
      <c r="E55" s="68">
        <f>E43*'After Tax Analysis'!$G$3</f>
        <v>16278832.500000007</v>
      </c>
      <c r="F55" s="68">
        <f>F43*'After Tax Analysis'!$G$3</f>
        <v>13439589.464624995</v>
      </c>
      <c r="G55" s="68">
        <f>G43*'After Tax Analysis'!$G$3</f>
        <v>9572505.7317816131</v>
      </c>
      <c r="H55" s="68">
        <f>H43*'After Tax Analysis'!$G$3</f>
        <v>4842017.6480781194</v>
      </c>
      <c r="I55" s="68">
        <f>I43*'After Tax Analysis'!$G$3</f>
        <v>0</v>
      </c>
      <c r="J55" s="68">
        <f>J43*'After Tax Analysis'!$G$3</f>
        <v>0</v>
      </c>
      <c r="K55" s="68">
        <f>K43*'After Tax Analysis'!$G$3</f>
        <v>0</v>
      </c>
      <c r="L55" s="68">
        <f>L43*'After Tax Analysis'!$G$3</f>
        <v>0</v>
      </c>
      <c r="M55" s="68">
        <f>M43*'After Tax Analysis'!$G$3</f>
        <v>0</v>
      </c>
      <c r="N55" s="162"/>
      <c r="O55" s="67">
        <f t="shared" si="6"/>
        <v>63950195.344484739</v>
      </c>
    </row>
    <row r="56" spans="2:15" x14ac:dyDescent="0.15">
      <c r="B56" s="103">
        <v>0.15</v>
      </c>
      <c r="C56" s="67"/>
      <c r="D56" s="68">
        <f>D44*'After Tax Analysis'!$G$3</f>
        <v>19817250</v>
      </c>
      <c r="E56" s="68">
        <f>E44*'After Tax Analysis'!$G$3</f>
        <v>16278832.500000007</v>
      </c>
      <c r="F56" s="68">
        <f>F44*'After Tax Analysis'!$G$3</f>
        <v>13439589.464624995</v>
      </c>
      <c r="G56" s="68">
        <f>G44*'After Tax Analysis'!$G$3</f>
        <v>9572505.7317816131</v>
      </c>
      <c r="H56" s="68">
        <f>H44*'After Tax Analysis'!$G$3</f>
        <v>4842017.6480781194</v>
      </c>
      <c r="I56" s="68">
        <f>I44*'After Tax Analysis'!$G$3</f>
        <v>0</v>
      </c>
      <c r="J56" s="68">
        <f>J44*'After Tax Analysis'!$G$3</f>
        <v>0</v>
      </c>
      <c r="K56" s="68">
        <f>K44*'After Tax Analysis'!$G$3</f>
        <v>0</v>
      </c>
      <c r="L56" s="68">
        <f>L44*'After Tax Analysis'!$G$3</f>
        <v>0</v>
      </c>
      <c r="M56" s="68">
        <f>M44*'After Tax Analysis'!$G$3</f>
        <v>0</v>
      </c>
      <c r="N56" s="162"/>
      <c r="O56" s="67">
        <f t="shared" si="6"/>
        <v>63950195.344484739</v>
      </c>
    </row>
    <row r="57" spans="2:15" x14ac:dyDescent="0.15">
      <c r="B57" s="103">
        <v>0.2</v>
      </c>
      <c r="C57" s="67"/>
      <c r="D57" s="68">
        <f>D45*'After Tax Analysis'!$G$3</f>
        <v>19817250</v>
      </c>
      <c r="E57" s="68">
        <f>E45*'After Tax Analysis'!$G$3</f>
        <v>16278832.500000007</v>
      </c>
      <c r="F57" s="68">
        <f>F45*'After Tax Analysis'!$G$3</f>
        <v>13439589.464624995</v>
      </c>
      <c r="G57" s="68">
        <f>G45*'After Tax Analysis'!$G$3</f>
        <v>9572505.7317816131</v>
      </c>
      <c r="H57" s="68">
        <f>H45*'After Tax Analysis'!$G$3</f>
        <v>4842017.6480781194</v>
      </c>
      <c r="I57" s="68">
        <f>I45*'After Tax Analysis'!$G$3</f>
        <v>0</v>
      </c>
      <c r="J57" s="68">
        <f>J45*'After Tax Analysis'!$G$3</f>
        <v>0</v>
      </c>
      <c r="K57" s="68">
        <f>K45*'After Tax Analysis'!$G$3</f>
        <v>0</v>
      </c>
      <c r="L57" s="68">
        <f>L45*'After Tax Analysis'!$G$3</f>
        <v>0</v>
      </c>
      <c r="M57" s="68">
        <f>M45*'After Tax Analysis'!$G$3</f>
        <v>0</v>
      </c>
      <c r="N57" s="162"/>
      <c r="O57" s="67">
        <f t="shared" si="6"/>
        <v>63950195.344484739</v>
      </c>
    </row>
    <row r="58" spans="2:15" x14ac:dyDescent="0.15">
      <c r="B58" s="103">
        <v>0.25</v>
      </c>
      <c r="C58" s="67"/>
      <c r="D58" s="68">
        <f>D46*'After Tax Analysis'!$G$3</f>
        <v>19817250</v>
      </c>
      <c r="E58" s="68">
        <f>E46*'After Tax Analysis'!$G$3</f>
        <v>16278832.500000007</v>
      </c>
      <c r="F58" s="68">
        <f>F46*'After Tax Analysis'!$G$3</f>
        <v>13439589.464624995</v>
      </c>
      <c r="G58" s="68">
        <f>G46*'After Tax Analysis'!$G$3</f>
        <v>9572505.7317816131</v>
      </c>
      <c r="H58" s="68">
        <f>H46*'After Tax Analysis'!$G$3</f>
        <v>4842017.6480781194</v>
      </c>
      <c r="I58" s="68">
        <f>I46*'After Tax Analysis'!$G$3</f>
        <v>0</v>
      </c>
      <c r="J58" s="68">
        <f>J46*'After Tax Analysis'!$G$3</f>
        <v>0</v>
      </c>
      <c r="K58" s="68">
        <f>K46*'After Tax Analysis'!$G$3</f>
        <v>0</v>
      </c>
      <c r="L58" s="68">
        <f>L46*'After Tax Analysis'!$G$3</f>
        <v>0</v>
      </c>
      <c r="M58" s="68">
        <f>M46*'After Tax Analysis'!$G$3</f>
        <v>0</v>
      </c>
      <c r="N58" s="162"/>
      <c r="O58" s="67">
        <f t="shared" si="6"/>
        <v>63950195.344484739</v>
      </c>
    </row>
    <row r="59" spans="2:15" ht="14" x14ac:dyDescent="0.15">
      <c r="B59" s="113" t="s">
        <v>128</v>
      </c>
      <c r="C59" s="67"/>
      <c r="D59" s="67"/>
      <c r="E59" s="67"/>
      <c r="F59" s="67"/>
      <c r="G59" s="67"/>
      <c r="H59" s="67"/>
      <c r="I59" s="67"/>
      <c r="J59" s="67"/>
      <c r="K59" s="67"/>
      <c r="L59" s="67"/>
      <c r="M59" s="67"/>
      <c r="N59" s="162"/>
      <c r="O59" s="67"/>
    </row>
    <row r="60" spans="2:15" x14ac:dyDescent="0.15">
      <c r="B60" s="103">
        <v>-0.25</v>
      </c>
      <c r="C60" s="67"/>
      <c r="D60" s="569">
        <f>-'After Tax Analysis'!E16</f>
        <v>0</v>
      </c>
      <c r="E60" s="15">
        <v>0</v>
      </c>
      <c r="F60" s="15">
        <v>0</v>
      </c>
      <c r="G60" s="15">
        <v>0</v>
      </c>
      <c r="H60" s="15">
        <v>0</v>
      </c>
      <c r="I60" s="15">
        <v>0</v>
      </c>
      <c r="J60" s="15">
        <v>0</v>
      </c>
      <c r="K60" s="15">
        <v>0</v>
      </c>
      <c r="L60" s="15">
        <v>0</v>
      </c>
      <c r="M60" s="15">
        <v>0</v>
      </c>
      <c r="N60" s="162"/>
      <c r="O60" s="67">
        <f t="shared" ref="O60:O70" si="7">SUM(D60:M60)</f>
        <v>0</v>
      </c>
    </row>
    <row r="61" spans="2:15" x14ac:dyDescent="0.15">
      <c r="B61" s="103">
        <v>-0.2</v>
      </c>
      <c r="C61" s="67"/>
      <c r="D61" s="569">
        <f>D60</f>
        <v>0</v>
      </c>
      <c r="E61" s="15">
        <v>0</v>
      </c>
      <c r="F61" s="15">
        <v>0</v>
      </c>
      <c r="G61" s="15">
        <v>0</v>
      </c>
      <c r="H61" s="15">
        <v>0</v>
      </c>
      <c r="I61" s="15">
        <v>0</v>
      </c>
      <c r="J61" s="15">
        <v>0</v>
      </c>
      <c r="K61" s="15">
        <v>0</v>
      </c>
      <c r="L61" s="15">
        <v>0</v>
      </c>
      <c r="M61" s="15">
        <v>0</v>
      </c>
      <c r="N61" s="162"/>
      <c r="O61" s="67">
        <f t="shared" si="7"/>
        <v>0</v>
      </c>
    </row>
    <row r="62" spans="2:15" x14ac:dyDescent="0.15">
      <c r="B62" s="103">
        <v>-0.15</v>
      </c>
      <c r="C62" s="67"/>
      <c r="D62" s="569">
        <f t="shared" ref="D62:D70" si="8">D61</f>
        <v>0</v>
      </c>
      <c r="E62" s="15">
        <v>0</v>
      </c>
      <c r="F62" s="15">
        <v>0</v>
      </c>
      <c r="G62" s="15">
        <v>0</v>
      </c>
      <c r="H62" s="15">
        <v>0</v>
      </c>
      <c r="I62" s="15">
        <v>0</v>
      </c>
      <c r="J62" s="15">
        <v>0</v>
      </c>
      <c r="K62" s="15">
        <v>0</v>
      </c>
      <c r="L62" s="15">
        <v>0</v>
      </c>
      <c r="M62" s="15">
        <v>0</v>
      </c>
      <c r="N62" s="162"/>
      <c r="O62" s="67">
        <f t="shared" si="7"/>
        <v>0</v>
      </c>
    </row>
    <row r="63" spans="2:15" x14ac:dyDescent="0.15">
      <c r="B63" s="103">
        <v>-0.1</v>
      </c>
      <c r="C63" s="67"/>
      <c r="D63" s="569">
        <f t="shared" si="8"/>
        <v>0</v>
      </c>
      <c r="E63" s="15">
        <v>0</v>
      </c>
      <c r="F63" s="15">
        <v>0</v>
      </c>
      <c r="G63" s="15">
        <v>0</v>
      </c>
      <c r="H63" s="15">
        <v>0</v>
      </c>
      <c r="I63" s="15">
        <v>0</v>
      </c>
      <c r="J63" s="15">
        <v>0</v>
      </c>
      <c r="K63" s="15">
        <v>0</v>
      </c>
      <c r="L63" s="15">
        <v>0</v>
      </c>
      <c r="M63" s="15">
        <v>0</v>
      </c>
      <c r="N63" s="162"/>
      <c r="O63" s="67">
        <f t="shared" si="7"/>
        <v>0</v>
      </c>
    </row>
    <row r="64" spans="2:15" x14ac:dyDescent="0.15">
      <c r="B64" s="103">
        <v>-0.05</v>
      </c>
      <c r="C64" s="12"/>
      <c r="D64" s="569">
        <f t="shared" si="8"/>
        <v>0</v>
      </c>
      <c r="E64" s="15">
        <v>0</v>
      </c>
      <c r="F64" s="15">
        <v>0</v>
      </c>
      <c r="G64" s="15">
        <v>0</v>
      </c>
      <c r="H64" s="15">
        <v>0</v>
      </c>
      <c r="I64" s="15">
        <v>0</v>
      </c>
      <c r="J64" s="15">
        <v>0</v>
      </c>
      <c r="K64" s="15">
        <v>0</v>
      </c>
      <c r="L64" s="15">
        <v>0</v>
      </c>
      <c r="M64" s="15">
        <v>0</v>
      </c>
      <c r="N64" s="162"/>
      <c r="O64" s="67">
        <f t="shared" si="7"/>
        <v>0</v>
      </c>
    </row>
    <row r="65" spans="2:15" x14ac:dyDescent="0.15">
      <c r="B65" s="103"/>
      <c r="C65" s="12"/>
      <c r="D65" s="569">
        <f t="shared" si="8"/>
        <v>0</v>
      </c>
      <c r="E65" s="15"/>
      <c r="F65" s="15"/>
      <c r="G65" s="15"/>
      <c r="H65" s="15"/>
      <c r="I65" s="15"/>
      <c r="J65" s="15"/>
      <c r="K65" s="15"/>
      <c r="L65" s="15"/>
      <c r="M65" s="15"/>
      <c r="N65" s="162"/>
      <c r="O65" s="67"/>
    </row>
    <row r="66" spans="2:15" x14ac:dyDescent="0.15">
      <c r="B66" s="103">
        <v>0.05</v>
      </c>
      <c r="C66" s="67"/>
      <c r="D66" s="569">
        <f t="shared" si="8"/>
        <v>0</v>
      </c>
      <c r="E66" s="15">
        <v>0</v>
      </c>
      <c r="F66" s="15">
        <v>0</v>
      </c>
      <c r="G66" s="15">
        <v>0</v>
      </c>
      <c r="H66" s="15">
        <v>0</v>
      </c>
      <c r="I66" s="15">
        <v>0</v>
      </c>
      <c r="J66" s="15">
        <v>0</v>
      </c>
      <c r="K66" s="15">
        <v>0</v>
      </c>
      <c r="L66" s="15">
        <v>0</v>
      </c>
      <c r="M66" s="15">
        <v>0</v>
      </c>
      <c r="N66" s="162"/>
      <c r="O66" s="67">
        <f t="shared" si="7"/>
        <v>0</v>
      </c>
    </row>
    <row r="67" spans="2:15" x14ac:dyDescent="0.15">
      <c r="B67" s="103">
        <v>0.1</v>
      </c>
      <c r="C67" s="67"/>
      <c r="D67" s="569">
        <f t="shared" si="8"/>
        <v>0</v>
      </c>
      <c r="E67" s="15">
        <v>0</v>
      </c>
      <c r="F67" s="15">
        <v>0</v>
      </c>
      <c r="G67" s="15">
        <v>0</v>
      </c>
      <c r="H67" s="15">
        <v>0</v>
      </c>
      <c r="I67" s="15">
        <v>0</v>
      </c>
      <c r="J67" s="15">
        <v>0</v>
      </c>
      <c r="K67" s="15">
        <v>0</v>
      </c>
      <c r="L67" s="15">
        <v>0</v>
      </c>
      <c r="M67" s="15">
        <v>0</v>
      </c>
      <c r="N67" s="162"/>
      <c r="O67" s="67">
        <f t="shared" si="7"/>
        <v>0</v>
      </c>
    </row>
    <row r="68" spans="2:15" x14ac:dyDescent="0.15">
      <c r="B68" s="103">
        <v>0.15</v>
      </c>
      <c r="C68" s="67"/>
      <c r="D68" s="569">
        <f t="shared" si="8"/>
        <v>0</v>
      </c>
      <c r="E68" s="15">
        <v>0</v>
      </c>
      <c r="F68" s="15">
        <v>0</v>
      </c>
      <c r="G68" s="15">
        <v>0</v>
      </c>
      <c r="H68" s="15">
        <v>0</v>
      </c>
      <c r="I68" s="15">
        <v>0</v>
      </c>
      <c r="J68" s="15">
        <v>0</v>
      </c>
      <c r="K68" s="15">
        <v>0</v>
      </c>
      <c r="L68" s="15">
        <v>0</v>
      </c>
      <c r="M68" s="15">
        <v>0</v>
      </c>
      <c r="N68" s="162"/>
      <c r="O68" s="67">
        <f t="shared" si="7"/>
        <v>0</v>
      </c>
    </row>
    <row r="69" spans="2:15" x14ac:dyDescent="0.15">
      <c r="B69" s="103">
        <v>0.2</v>
      </c>
      <c r="C69" s="67"/>
      <c r="D69" s="569">
        <f t="shared" si="8"/>
        <v>0</v>
      </c>
      <c r="E69" s="15">
        <v>0</v>
      </c>
      <c r="F69" s="15">
        <v>0</v>
      </c>
      <c r="G69" s="15">
        <v>0</v>
      </c>
      <c r="H69" s="15">
        <v>0</v>
      </c>
      <c r="I69" s="15">
        <v>0</v>
      </c>
      <c r="J69" s="15">
        <v>0</v>
      </c>
      <c r="K69" s="15">
        <v>0</v>
      </c>
      <c r="L69" s="15">
        <v>0</v>
      </c>
      <c r="M69" s="15">
        <v>0</v>
      </c>
      <c r="N69" s="162"/>
      <c r="O69" s="67">
        <f t="shared" si="7"/>
        <v>0</v>
      </c>
    </row>
    <row r="70" spans="2:15" x14ac:dyDescent="0.15">
      <c r="B70" s="103">
        <v>0.25</v>
      </c>
      <c r="C70" s="67"/>
      <c r="D70" s="569">
        <f t="shared" si="8"/>
        <v>0</v>
      </c>
      <c r="E70" s="15">
        <v>0</v>
      </c>
      <c r="F70" s="15">
        <v>0</v>
      </c>
      <c r="G70" s="15">
        <v>0</v>
      </c>
      <c r="H70" s="15">
        <v>0</v>
      </c>
      <c r="I70" s="15">
        <v>0</v>
      </c>
      <c r="J70" s="15">
        <v>0</v>
      </c>
      <c r="K70" s="15">
        <v>0</v>
      </c>
      <c r="L70" s="15">
        <v>0</v>
      </c>
      <c r="M70" s="15">
        <v>0</v>
      </c>
      <c r="N70" s="162"/>
      <c r="O70" s="67">
        <f t="shared" si="7"/>
        <v>0</v>
      </c>
    </row>
    <row r="71" spans="2:15" x14ac:dyDescent="0.15">
      <c r="B71" s="103" t="s">
        <v>636</v>
      </c>
      <c r="C71" s="67"/>
      <c r="D71" s="67"/>
      <c r="E71" s="67"/>
      <c r="F71" s="67"/>
      <c r="G71" s="67"/>
      <c r="H71" s="67"/>
      <c r="I71" s="67"/>
      <c r="J71" s="67"/>
      <c r="K71" s="67"/>
      <c r="L71" s="67"/>
      <c r="M71" s="67"/>
      <c r="N71" s="162"/>
      <c r="O71" s="12"/>
    </row>
    <row r="72" spans="2:15" x14ac:dyDescent="0.15">
      <c r="B72" s="103">
        <v>-0.25</v>
      </c>
      <c r="C72" s="67"/>
      <c r="D72" s="67">
        <f>D36-D48+D60</f>
        <v>46240250</v>
      </c>
      <c r="E72" s="67">
        <f t="shared" ref="E72:M76" si="9">E36-E48+E60</f>
        <v>37983942.500000022</v>
      </c>
      <c r="F72" s="67">
        <f t="shared" si="9"/>
        <v>31359042.08412499</v>
      </c>
      <c r="G72" s="67">
        <f t="shared" si="9"/>
        <v>22335846.707490433</v>
      </c>
      <c r="H72" s="67">
        <f t="shared" si="9"/>
        <v>11298041.178848946</v>
      </c>
      <c r="I72" s="67">
        <f t="shared" si="9"/>
        <v>0</v>
      </c>
      <c r="J72" s="67">
        <f t="shared" si="9"/>
        <v>0</v>
      </c>
      <c r="K72" s="67">
        <f t="shared" si="9"/>
        <v>0</v>
      </c>
      <c r="L72" s="67">
        <f t="shared" si="9"/>
        <v>0</v>
      </c>
      <c r="M72" s="67">
        <f t="shared" si="9"/>
        <v>0</v>
      </c>
      <c r="N72" s="162"/>
      <c r="O72" s="67">
        <f t="shared" ref="O72:O83" si="10">SUM(D72:M72)</f>
        <v>149217122.47046441</v>
      </c>
    </row>
    <row r="73" spans="2:15" x14ac:dyDescent="0.15">
      <c r="B73" s="103">
        <v>-0.2</v>
      </c>
      <c r="C73" s="67"/>
      <c r="D73" s="67">
        <f>D37-D49+D61</f>
        <v>46240250</v>
      </c>
      <c r="E73" s="67">
        <f t="shared" si="9"/>
        <v>37983942.500000022</v>
      </c>
      <c r="F73" s="67">
        <f t="shared" si="9"/>
        <v>31359042.08412499</v>
      </c>
      <c r="G73" s="67">
        <f t="shared" si="9"/>
        <v>22335846.707490433</v>
      </c>
      <c r="H73" s="67">
        <f t="shared" si="9"/>
        <v>11298041.178848946</v>
      </c>
      <c r="I73" s="67">
        <f t="shared" si="9"/>
        <v>0</v>
      </c>
      <c r="J73" s="67">
        <f t="shared" si="9"/>
        <v>0</v>
      </c>
      <c r="K73" s="67">
        <f t="shared" si="9"/>
        <v>0</v>
      </c>
      <c r="L73" s="67">
        <f t="shared" si="9"/>
        <v>0</v>
      </c>
      <c r="M73" s="67">
        <f t="shared" si="9"/>
        <v>0</v>
      </c>
      <c r="N73" s="162"/>
      <c r="O73" s="67">
        <f t="shared" si="10"/>
        <v>149217122.47046441</v>
      </c>
    </row>
    <row r="74" spans="2:15" x14ac:dyDescent="0.15">
      <c r="B74" s="103">
        <v>-0.15</v>
      </c>
      <c r="C74" s="67"/>
      <c r="D74" s="67">
        <f>D38-D50+D62</f>
        <v>46240250</v>
      </c>
      <c r="E74" s="67">
        <f t="shared" si="9"/>
        <v>37983942.500000022</v>
      </c>
      <c r="F74" s="67">
        <f t="shared" si="9"/>
        <v>31359042.08412499</v>
      </c>
      <c r="G74" s="67">
        <f t="shared" si="9"/>
        <v>22335846.707490433</v>
      </c>
      <c r="H74" s="67">
        <f t="shared" si="9"/>
        <v>11298041.178848946</v>
      </c>
      <c r="I74" s="67">
        <f t="shared" si="9"/>
        <v>0</v>
      </c>
      <c r="J74" s="67">
        <f t="shared" si="9"/>
        <v>0</v>
      </c>
      <c r="K74" s="67">
        <f t="shared" si="9"/>
        <v>0</v>
      </c>
      <c r="L74" s="67">
        <f t="shared" si="9"/>
        <v>0</v>
      </c>
      <c r="M74" s="67">
        <f t="shared" si="9"/>
        <v>0</v>
      </c>
      <c r="N74" s="162"/>
      <c r="O74" s="67">
        <f t="shared" si="10"/>
        <v>149217122.47046441</v>
      </c>
    </row>
    <row r="75" spans="2:15" x14ac:dyDescent="0.15">
      <c r="B75" s="103">
        <v>-0.1</v>
      </c>
      <c r="C75" s="67"/>
      <c r="D75" s="67">
        <f>D39-D51+D63</f>
        <v>46240250</v>
      </c>
      <c r="E75" s="67">
        <f t="shared" si="9"/>
        <v>37983942.500000022</v>
      </c>
      <c r="F75" s="67">
        <f t="shared" si="9"/>
        <v>31359042.08412499</v>
      </c>
      <c r="G75" s="67">
        <f t="shared" si="9"/>
        <v>22335846.707490433</v>
      </c>
      <c r="H75" s="67">
        <f t="shared" si="9"/>
        <v>11298041.178848946</v>
      </c>
      <c r="I75" s="67">
        <f t="shared" si="9"/>
        <v>0</v>
      </c>
      <c r="J75" s="67">
        <f t="shared" si="9"/>
        <v>0</v>
      </c>
      <c r="K75" s="67">
        <f t="shared" si="9"/>
        <v>0</v>
      </c>
      <c r="L75" s="67">
        <f t="shared" si="9"/>
        <v>0</v>
      </c>
      <c r="M75" s="67">
        <f t="shared" si="9"/>
        <v>0</v>
      </c>
      <c r="N75" s="162"/>
      <c r="O75" s="67">
        <f t="shared" si="10"/>
        <v>149217122.47046441</v>
      </c>
    </row>
    <row r="76" spans="2:15" x14ac:dyDescent="0.15">
      <c r="B76" s="103">
        <v>-0.05</v>
      </c>
      <c r="C76" s="12"/>
      <c r="D76" s="67">
        <f>D40-D52+D64</f>
        <v>46240250</v>
      </c>
      <c r="E76" s="67">
        <f t="shared" si="9"/>
        <v>37983942.500000022</v>
      </c>
      <c r="F76" s="67">
        <f t="shared" si="9"/>
        <v>31359042.08412499</v>
      </c>
      <c r="G76" s="67">
        <f t="shared" si="9"/>
        <v>22335846.707490433</v>
      </c>
      <c r="H76" s="67">
        <f t="shared" si="9"/>
        <v>11298041.178848946</v>
      </c>
      <c r="I76" s="67">
        <f t="shared" si="9"/>
        <v>0</v>
      </c>
      <c r="J76" s="67">
        <f t="shared" si="9"/>
        <v>0</v>
      </c>
      <c r="K76" s="67">
        <f t="shared" si="9"/>
        <v>0</v>
      </c>
      <c r="L76" s="67">
        <f t="shared" si="9"/>
        <v>0</v>
      </c>
      <c r="M76" s="67">
        <f t="shared" si="9"/>
        <v>0</v>
      </c>
      <c r="N76" s="162"/>
      <c r="O76" s="67">
        <f t="shared" si="10"/>
        <v>149217122.47046441</v>
      </c>
    </row>
    <row r="77" spans="2:15" x14ac:dyDescent="0.15">
      <c r="B77" s="103"/>
      <c r="C77" s="12"/>
      <c r="D77" s="67"/>
      <c r="E77" s="67"/>
      <c r="F77" s="67"/>
      <c r="G77" s="67"/>
      <c r="H77" s="67"/>
      <c r="I77" s="67"/>
      <c r="J77" s="67"/>
      <c r="K77" s="67"/>
      <c r="L77" s="67"/>
      <c r="M77" s="67"/>
      <c r="N77" s="162"/>
      <c r="O77" s="67"/>
    </row>
    <row r="78" spans="2:15" x14ac:dyDescent="0.15">
      <c r="B78" s="103">
        <v>0.05</v>
      </c>
      <c r="C78" s="12"/>
      <c r="D78" s="67">
        <f t="shared" ref="D78:M82" si="11">D42-D54+D66</f>
        <v>46240250</v>
      </c>
      <c r="E78" s="67">
        <f t="shared" si="11"/>
        <v>37983942.500000022</v>
      </c>
      <c r="F78" s="67">
        <f t="shared" si="11"/>
        <v>31359042.08412499</v>
      </c>
      <c r="G78" s="67">
        <f t="shared" si="11"/>
        <v>22335846.707490433</v>
      </c>
      <c r="H78" s="67">
        <f t="shared" si="11"/>
        <v>11298041.178848946</v>
      </c>
      <c r="I78" s="67">
        <f t="shared" si="11"/>
        <v>0</v>
      </c>
      <c r="J78" s="67">
        <f t="shared" si="11"/>
        <v>0</v>
      </c>
      <c r="K78" s="67">
        <f t="shared" si="11"/>
        <v>0</v>
      </c>
      <c r="L78" s="67">
        <f t="shared" si="11"/>
        <v>0</v>
      </c>
      <c r="M78" s="67">
        <f t="shared" si="11"/>
        <v>0</v>
      </c>
      <c r="N78" s="162"/>
      <c r="O78" s="67">
        <f t="shared" si="10"/>
        <v>149217122.47046441</v>
      </c>
    </row>
    <row r="79" spans="2:15" x14ac:dyDescent="0.15">
      <c r="B79" s="103">
        <v>0.1</v>
      </c>
      <c r="C79" s="104"/>
      <c r="D79" s="67">
        <f t="shared" si="11"/>
        <v>46240250</v>
      </c>
      <c r="E79" s="67">
        <f t="shared" si="11"/>
        <v>37983942.500000022</v>
      </c>
      <c r="F79" s="67">
        <f t="shared" si="11"/>
        <v>31359042.08412499</v>
      </c>
      <c r="G79" s="67">
        <f t="shared" si="11"/>
        <v>22335846.707490433</v>
      </c>
      <c r="H79" s="67">
        <f t="shared" si="11"/>
        <v>11298041.178848946</v>
      </c>
      <c r="I79" s="67">
        <f t="shared" si="11"/>
        <v>0</v>
      </c>
      <c r="J79" s="67">
        <f t="shared" si="11"/>
        <v>0</v>
      </c>
      <c r="K79" s="67">
        <f t="shared" si="11"/>
        <v>0</v>
      </c>
      <c r="L79" s="67">
        <f t="shared" si="11"/>
        <v>0</v>
      </c>
      <c r="M79" s="67">
        <f t="shared" si="11"/>
        <v>0</v>
      </c>
      <c r="N79" s="162"/>
      <c r="O79" s="67">
        <f t="shared" si="10"/>
        <v>149217122.47046441</v>
      </c>
    </row>
    <row r="80" spans="2:15" x14ac:dyDescent="0.15">
      <c r="B80" s="103">
        <v>0.15</v>
      </c>
      <c r="C80" s="104"/>
      <c r="D80" s="67">
        <f t="shared" si="11"/>
        <v>46240250</v>
      </c>
      <c r="E80" s="67">
        <f t="shared" si="11"/>
        <v>37983942.500000022</v>
      </c>
      <c r="F80" s="67">
        <f t="shared" si="11"/>
        <v>31359042.08412499</v>
      </c>
      <c r="G80" s="67">
        <f t="shared" si="11"/>
        <v>22335846.707490433</v>
      </c>
      <c r="H80" s="67">
        <f t="shared" si="11"/>
        <v>11298041.178848946</v>
      </c>
      <c r="I80" s="67">
        <f t="shared" si="11"/>
        <v>0</v>
      </c>
      <c r="J80" s="67">
        <f t="shared" si="11"/>
        <v>0</v>
      </c>
      <c r="K80" s="67">
        <f t="shared" si="11"/>
        <v>0</v>
      </c>
      <c r="L80" s="67">
        <f t="shared" si="11"/>
        <v>0</v>
      </c>
      <c r="M80" s="67">
        <f t="shared" si="11"/>
        <v>0</v>
      </c>
      <c r="N80" s="162"/>
      <c r="O80" s="67">
        <f t="shared" si="10"/>
        <v>149217122.47046441</v>
      </c>
    </row>
    <row r="81" spans="2:15" x14ac:dyDescent="0.15">
      <c r="B81" s="103">
        <v>0.2</v>
      </c>
      <c r="C81" s="104"/>
      <c r="D81" s="67">
        <f t="shared" si="11"/>
        <v>46240250</v>
      </c>
      <c r="E81" s="67">
        <f t="shared" si="11"/>
        <v>37983942.500000022</v>
      </c>
      <c r="F81" s="67">
        <f t="shared" si="11"/>
        <v>31359042.08412499</v>
      </c>
      <c r="G81" s="67">
        <f t="shared" si="11"/>
        <v>22335846.707490433</v>
      </c>
      <c r="H81" s="67">
        <f t="shared" si="11"/>
        <v>11298041.178848946</v>
      </c>
      <c r="I81" s="67">
        <f t="shared" si="11"/>
        <v>0</v>
      </c>
      <c r="J81" s="67">
        <f t="shared" si="11"/>
        <v>0</v>
      </c>
      <c r="K81" s="67">
        <f t="shared" si="11"/>
        <v>0</v>
      </c>
      <c r="L81" s="67">
        <f t="shared" si="11"/>
        <v>0</v>
      </c>
      <c r="M81" s="67">
        <f t="shared" si="11"/>
        <v>0</v>
      </c>
      <c r="N81" s="162"/>
      <c r="O81" s="67">
        <f t="shared" si="10"/>
        <v>149217122.47046441</v>
      </c>
    </row>
    <row r="82" spans="2:15" x14ac:dyDescent="0.15">
      <c r="B82" s="103">
        <v>0.25</v>
      </c>
      <c r="C82" s="104"/>
      <c r="D82" s="67">
        <f t="shared" si="11"/>
        <v>46240250</v>
      </c>
      <c r="E82" s="67">
        <f t="shared" si="11"/>
        <v>37983942.500000022</v>
      </c>
      <c r="F82" s="67">
        <f t="shared" si="11"/>
        <v>31359042.08412499</v>
      </c>
      <c r="G82" s="67">
        <f t="shared" si="11"/>
        <v>22335846.707490433</v>
      </c>
      <c r="H82" s="67">
        <f t="shared" si="11"/>
        <v>11298041.178848946</v>
      </c>
      <c r="I82" s="67">
        <f t="shared" si="11"/>
        <v>0</v>
      </c>
      <c r="J82" s="67">
        <f t="shared" si="11"/>
        <v>0</v>
      </c>
      <c r="K82" s="67">
        <f t="shared" si="11"/>
        <v>0</v>
      </c>
      <c r="L82" s="67">
        <f t="shared" si="11"/>
        <v>0</v>
      </c>
      <c r="M82" s="67">
        <f t="shared" si="11"/>
        <v>0</v>
      </c>
      <c r="N82" s="162"/>
      <c r="O82" s="67">
        <f t="shared" si="10"/>
        <v>149217122.47046441</v>
      </c>
    </row>
    <row r="83" spans="2:15" x14ac:dyDescent="0.15">
      <c r="B83" s="103" t="s">
        <v>292</v>
      </c>
      <c r="C83" s="104"/>
      <c r="D83" s="92">
        <f>D21</f>
        <v>3772500</v>
      </c>
      <c r="E83" s="92">
        <f t="shared" ref="E83:M83" si="12">E21</f>
        <v>6218850</v>
      </c>
      <c r="F83" s="92">
        <f t="shared" si="12"/>
        <v>4083150</v>
      </c>
      <c r="G83" s="92">
        <f t="shared" si="12"/>
        <v>2775510</v>
      </c>
      <c r="H83" s="92">
        <f t="shared" si="12"/>
        <v>1352955</v>
      </c>
      <c r="I83" s="92">
        <f t="shared" si="12"/>
        <v>0</v>
      </c>
      <c r="J83" s="92">
        <f t="shared" si="12"/>
        <v>0</v>
      </c>
      <c r="K83" s="92">
        <f t="shared" si="12"/>
        <v>0</v>
      </c>
      <c r="L83" s="92">
        <f t="shared" si="12"/>
        <v>0</v>
      </c>
      <c r="M83" s="92">
        <f t="shared" si="12"/>
        <v>0</v>
      </c>
      <c r="N83" s="162"/>
      <c r="O83" s="67">
        <f t="shared" si="10"/>
        <v>18202965</v>
      </c>
    </row>
    <row r="84" spans="2:15" ht="14" x14ac:dyDescent="0.15">
      <c r="B84" s="113" t="s">
        <v>650</v>
      </c>
      <c r="C84" s="104"/>
      <c r="D84" s="12"/>
      <c r="E84" s="103"/>
      <c r="F84" s="67"/>
      <c r="G84" s="12"/>
      <c r="H84" s="12"/>
      <c r="I84" s="12"/>
      <c r="J84" s="12"/>
      <c r="K84" s="12"/>
      <c r="L84" s="12"/>
      <c r="M84" s="12"/>
      <c r="N84" s="162"/>
      <c r="O84" s="12"/>
    </row>
    <row r="85" spans="2:15" x14ac:dyDescent="0.15">
      <c r="B85" s="103">
        <v>-0.25</v>
      </c>
      <c r="C85" s="104"/>
      <c r="D85" s="67">
        <f>D72+D$83</f>
        <v>50012750</v>
      </c>
      <c r="E85" s="67">
        <f t="shared" ref="E85:M89" si="13">E72+E$83</f>
        <v>44202792.500000022</v>
      </c>
      <c r="F85" s="67">
        <f t="shared" si="13"/>
        <v>35442192.08412499</v>
      </c>
      <c r="G85" s="67">
        <f t="shared" si="13"/>
        <v>25111356.707490433</v>
      </c>
      <c r="H85" s="67">
        <f t="shared" si="13"/>
        <v>12650996.178848946</v>
      </c>
      <c r="I85" s="67">
        <f t="shared" si="13"/>
        <v>0</v>
      </c>
      <c r="J85" s="67">
        <f t="shared" si="13"/>
        <v>0</v>
      </c>
      <c r="K85" s="67">
        <f t="shared" si="13"/>
        <v>0</v>
      </c>
      <c r="L85" s="67">
        <f t="shared" si="13"/>
        <v>0</v>
      </c>
      <c r="M85" s="67">
        <f t="shared" si="13"/>
        <v>0</v>
      </c>
      <c r="N85" s="162"/>
      <c r="O85" s="67">
        <f t="shared" ref="O85:O95" si="14">SUM(D85:M85)</f>
        <v>167420087.47046441</v>
      </c>
    </row>
    <row r="86" spans="2:15" x14ac:dyDescent="0.15">
      <c r="B86" s="103">
        <v>-0.2</v>
      </c>
      <c r="C86" s="104"/>
      <c r="D86" s="67">
        <f>D73+D$83</f>
        <v>50012750</v>
      </c>
      <c r="E86" s="67">
        <f t="shared" si="13"/>
        <v>44202792.500000022</v>
      </c>
      <c r="F86" s="67">
        <f t="shared" si="13"/>
        <v>35442192.08412499</v>
      </c>
      <c r="G86" s="67">
        <f t="shared" si="13"/>
        <v>25111356.707490433</v>
      </c>
      <c r="H86" s="67">
        <f t="shared" si="13"/>
        <v>12650996.178848946</v>
      </c>
      <c r="I86" s="67">
        <f t="shared" si="13"/>
        <v>0</v>
      </c>
      <c r="J86" s="67">
        <f t="shared" si="13"/>
        <v>0</v>
      </c>
      <c r="K86" s="67">
        <f t="shared" si="13"/>
        <v>0</v>
      </c>
      <c r="L86" s="67">
        <f t="shared" si="13"/>
        <v>0</v>
      </c>
      <c r="M86" s="67">
        <f t="shared" si="13"/>
        <v>0</v>
      </c>
      <c r="N86" s="162"/>
      <c r="O86" s="67">
        <f t="shared" si="14"/>
        <v>167420087.47046441</v>
      </c>
    </row>
    <row r="87" spans="2:15" x14ac:dyDescent="0.15">
      <c r="B87" s="103">
        <v>-0.15</v>
      </c>
      <c r="C87" s="104"/>
      <c r="D87" s="67">
        <f>D74+D$83</f>
        <v>50012750</v>
      </c>
      <c r="E87" s="67">
        <f t="shared" si="13"/>
        <v>44202792.500000022</v>
      </c>
      <c r="F87" s="67">
        <f t="shared" si="13"/>
        <v>35442192.08412499</v>
      </c>
      <c r="G87" s="67">
        <f t="shared" si="13"/>
        <v>25111356.707490433</v>
      </c>
      <c r="H87" s="67">
        <f t="shared" si="13"/>
        <v>12650996.178848946</v>
      </c>
      <c r="I87" s="67">
        <f t="shared" si="13"/>
        <v>0</v>
      </c>
      <c r="J87" s="67">
        <f t="shared" si="13"/>
        <v>0</v>
      </c>
      <c r="K87" s="67">
        <f t="shared" si="13"/>
        <v>0</v>
      </c>
      <c r="L87" s="67">
        <f t="shared" si="13"/>
        <v>0</v>
      </c>
      <c r="M87" s="67">
        <f t="shared" si="13"/>
        <v>0</v>
      </c>
      <c r="N87" s="162"/>
      <c r="O87" s="67">
        <f t="shared" si="14"/>
        <v>167420087.47046441</v>
      </c>
    </row>
    <row r="88" spans="2:15" x14ac:dyDescent="0.15">
      <c r="B88" s="103">
        <v>-0.1</v>
      </c>
      <c r="C88" s="104"/>
      <c r="D88" s="67">
        <f>D75+D$83</f>
        <v>50012750</v>
      </c>
      <c r="E88" s="67">
        <f t="shared" si="13"/>
        <v>44202792.500000022</v>
      </c>
      <c r="F88" s="67">
        <f t="shared" si="13"/>
        <v>35442192.08412499</v>
      </c>
      <c r="G88" s="67">
        <f t="shared" si="13"/>
        <v>25111356.707490433</v>
      </c>
      <c r="H88" s="67">
        <f t="shared" si="13"/>
        <v>12650996.178848946</v>
      </c>
      <c r="I88" s="67">
        <f t="shared" si="13"/>
        <v>0</v>
      </c>
      <c r="J88" s="67">
        <f t="shared" si="13"/>
        <v>0</v>
      </c>
      <c r="K88" s="67">
        <f t="shared" si="13"/>
        <v>0</v>
      </c>
      <c r="L88" s="67">
        <f t="shared" si="13"/>
        <v>0</v>
      </c>
      <c r="M88" s="67">
        <f t="shared" si="13"/>
        <v>0</v>
      </c>
      <c r="N88" s="162"/>
      <c r="O88" s="67">
        <f t="shared" si="14"/>
        <v>167420087.47046441</v>
      </c>
    </row>
    <row r="89" spans="2:15" x14ac:dyDescent="0.15">
      <c r="B89" s="103">
        <v>-0.05</v>
      </c>
      <c r="C89" s="12"/>
      <c r="D89" s="67">
        <f>D76+D$83</f>
        <v>50012750</v>
      </c>
      <c r="E89" s="67">
        <f t="shared" si="13"/>
        <v>44202792.500000022</v>
      </c>
      <c r="F89" s="67">
        <f t="shared" si="13"/>
        <v>35442192.08412499</v>
      </c>
      <c r="G89" s="67">
        <f t="shared" si="13"/>
        <v>25111356.707490433</v>
      </c>
      <c r="H89" s="67">
        <f t="shared" si="13"/>
        <v>12650996.178848946</v>
      </c>
      <c r="I89" s="67">
        <f t="shared" si="13"/>
        <v>0</v>
      </c>
      <c r="J89" s="67">
        <f t="shared" si="13"/>
        <v>0</v>
      </c>
      <c r="K89" s="67">
        <f t="shared" si="13"/>
        <v>0</v>
      </c>
      <c r="L89" s="67">
        <f t="shared" si="13"/>
        <v>0</v>
      </c>
      <c r="M89" s="67">
        <f t="shared" si="13"/>
        <v>0</v>
      </c>
      <c r="N89" s="162"/>
      <c r="O89" s="67">
        <f t="shared" si="14"/>
        <v>167420087.47046441</v>
      </c>
    </row>
    <row r="90" spans="2:15" x14ac:dyDescent="0.15">
      <c r="B90" s="103"/>
      <c r="C90" s="12"/>
      <c r="D90" s="67"/>
      <c r="E90" s="67"/>
      <c r="F90" s="67"/>
      <c r="G90" s="67"/>
      <c r="H90" s="67"/>
      <c r="I90" s="67"/>
      <c r="J90" s="67"/>
      <c r="K90" s="67"/>
      <c r="L90" s="67"/>
      <c r="M90" s="67"/>
      <c r="N90" s="162"/>
      <c r="O90" s="67"/>
    </row>
    <row r="91" spans="2:15" x14ac:dyDescent="0.15">
      <c r="B91" s="103">
        <v>0.05</v>
      </c>
      <c r="C91" s="12"/>
      <c r="D91" s="67">
        <f t="shared" ref="D91:M95" si="15">D78+D$83</f>
        <v>50012750</v>
      </c>
      <c r="E91" s="67">
        <f t="shared" si="15"/>
        <v>44202792.500000022</v>
      </c>
      <c r="F91" s="67">
        <f t="shared" si="15"/>
        <v>35442192.08412499</v>
      </c>
      <c r="G91" s="67">
        <f t="shared" si="15"/>
        <v>25111356.707490433</v>
      </c>
      <c r="H91" s="67">
        <f t="shared" si="15"/>
        <v>12650996.178848946</v>
      </c>
      <c r="I91" s="67">
        <f t="shared" si="15"/>
        <v>0</v>
      </c>
      <c r="J91" s="67">
        <f t="shared" si="15"/>
        <v>0</v>
      </c>
      <c r="K91" s="67">
        <f t="shared" si="15"/>
        <v>0</v>
      </c>
      <c r="L91" s="67">
        <f t="shared" si="15"/>
        <v>0</v>
      </c>
      <c r="M91" s="67">
        <f t="shared" si="15"/>
        <v>0</v>
      </c>
      <c r="N91" s="162"/>
      <c r="O91" s="67">
        <f t="shared" si="14"/>
        <v>167420087.47046441</v>
      </c>
    </row>
    <row r="92" spans="2:15" x14ac:dyDescent="0.15">
      <c r="B92" s="103">
        <v>0.1</v>
      </c>
      <c r="C92" s="12"/>
      <c r="D92" s="67">
        <f t="shared" si="15"/>
        <v>50012750</v>
      </c>
      <c r="E92" s="67">
        <f t="shared" si="15"/>
        <v>44202792.500000022</v>
      </c>
      <c r="F92" s="67">
        <f t="shared" si="15"/>
        <v>35442192.08412499</v>
      </c>
      <c r="G92" s="67">
        <f t="shared" si="15"/>
        <v>25111356.707490433</v>
      </c>
      <c r="H92" s="67">
        <f t="shared" si="15"/>
        <v>12650996.178848946</v>
      </c>
      <c r="I92" s="67">
        <f t="shared" si="15"/>
        <v>0</v>
      </c>
      <c r="J92" s="67">
        <f t="shared" si="15"/>
        <v>0</v>
      </c>
      <c r="K92" s="67">
        <f t="shared" si="15"/>
        <v>0</v>
      </c>
      <c r="L92" s="67">
        <f t="shared" si="15"/>
        <v>0</v>
      </c>
      <c r="M92" s="67">
        <f t="shared" si="15"/>
        <v>0</v>
      </c>
      <c r="N92" s="162"/>
      <c r="O92" s="67">
        <f t="shared" si="14"/>
        <v>167420087.47046441</v>
      </c>
    </row>
    <row r="93" spans="2:15" x14ac:dyDescent="0.15">
      <c r="B93" s="103">
        <v>0.15</v>
      </c>
      <c r="C93" s="12"/>
      <c r="D93" s="67">
        <f t="shared" si="15"/>
        <v>50012750</v>
      </c>
      <c r="E93" s="67">
        <f t="shared" si="15"/>
        <v>44202792.500000022</v>
      </c>
      <c r="F93" s="67">
        <f t="shared" si="15"/>
        <v>35442192.08412499</v>
      </c>
      <c r="G93" s="67">
        <f t="shared" si="15"/>
        <v>25111356.707490433</v>
      </c>
      <c r="H93" s="67">
        <f t="shared" si="15"/>
        <v>12650996.178848946</v>
      </c>
      <c r="I93" s="67">
        <f t="shared" si="15"/>
        <v>0</v>
      </c>
      <c r="J93" s="67">
        <f t="shared" si="15"/>
        <v>0</v>
      </c>
      <c r="K93" s="67">
        <f t="shared" si="15"/>
        <v>0</v>
      </c>
      <c r="L93" s="67">
        <f t="shared" si="15"/>
        <v>0</v>
      </c>
      <c r="M93" s="67">
        <f t="shared" si="15"/>
        <v>0</v>
      </c>
      <c r="N93" s="162"/>
      <c r="O93" s="67">
        <f t="shared" si="14"/>
        <v>167420087.47046441</v>
      </c>
    </row>
    <row r="94" spans="2:15" x14ac:dyDescent="0.15">
      <c r="B94" s="103">
        <v>0.2</v>
      </c>
      <c r="C94" s="12"/>
      <c r="D94" s="67">
        <f t="shared" si="15"/>
        <v>50012750</v>
      </c>
      <c r="E94" s="67">
        <f t="shared" si="15"/>
        <v>44202792.500000022</v>
      </c>
      <c r="F94" s="67">
        <f t="shared" si="15"/>
        <v>35442192.08412499</v>
      </c>
      <c r="G94" s="67">
        <f t="shared" si="15"/>
        <v>25111356.707490433</v>
      </c>
      <c r="H94" s="67">
        <f t="shared" si="15"/>
        <v>12650996.178848946</v>
      </c>
      <c r="I94" s="67">
        <f t="shared" si="15"/>
        <v>0</v>
      </c>
      <c r="J94" s="67">
        <f t="shared" si="15"/>
        <v>0</v>
      </c>
      <c r="K94" s="67">
        <f t="shared" si="15"/>
        <v>0</v>
      </c>
      <c r="L94" s="67">
        <f t="shared" si="15"/>
        <v>0</v>
      </c>
      <c r="M94" s="67">
        <f t="shared" si="15"/>
        <v>0</v>
      </c>
      <c r="N94" s="162"/>
      <c r="O94" s="67">
        <f t="shared" si="14"/>
        <v>167420087.47046441</v>
      </c>
    </row>
    <row r="95" spans="2:15" ht="14" thickBot="1" x14ac:dyDescent="0.2">
      <c r="B95" s="103">
        <v>0.25</v>
      </c>
      <c r="C95" s="94"/>
      <c r="D95" s="95">
        <f t="shared" si="15"/>
        <v>50012750</v>
      </c>
      <c r="E95" s="95">
        <f t="shared" si="15"/>
        <v>44202792.500000022</v>
      </c>
      <c r="F95" s="95">
        <f t="shared" si="15"/>
        <v>35442192.08412499</v>
      </c>
      <c r="G95" s="95">
        <f t="shared" si="15"/>
        <v>25111356.707490433</v>
      </c>
      <c r="H95" s="95">
        <f t="shared" si="15"/>
        <v>12650996.178848946</v>
      </c>
      <c r="I95" s="95">
        <f t="shared" si="15"/>
        <v>0</v>
      </c>
      <c r="J95" s="95">
        <f t="shared" si="15"/>
        <v>0</v>
      </c>
      <c r="K95" s="95">
        <f t="shared" si="15"/>
        <v>0</v>
      </c>
      <c r="L95" s="95">
        <f t="shared" si="15"/>
        <v>0</v>
      </c>
      <c r="M95" s="95">
        <f t="shared" si="15"/>
        <v>0</v>
      </c>
      <c r="N95" s="163"/>
      <c r="O95" s="95">
        <f t="shared" si="14"/>
        <v>167420087.47046441</v>
      </c>
    </row>
    <row r="96" spans="2:15" ht="14" thickTop="1" x14ac:dyDescent="0.15">
      <c r="B96" s="96" t="s">
        <v>638</v>
      </c>
      <c r="C96" s="96"/>
      <c r="D96" s="96"/>
      <c r="E96" s="96"/>
      <c r="F96" s="96"/>
      <c r="G96" s="96"/>
      <c r="H96" s="96"/>
      <c r="I96" s="96"/>
      <c r="J96" s="96"/>
      <c r="K96" s="96"/>
      <c r="L96" s="96"/>
      <c r="M96" s="96"/>
      <c r="N96" s="96"/>
      <c r="O96" s="96"/>
    </row>
    <row r="97" spans="2:15" x14ac:dyDescent="0.15">
      <c r="B97" s="103">
        <v>-0.25</v>
      </c>
      <c r="C97" s="12"/>
      <c r="D97" s="92">
        <f>'Lvl Pmt Int Rate Sens Calc'!D34</f>
        <v>0</v>
      </c>
      <c r="E97" s="92">
        <f>'Lvl Pmt Int Rate Sens Calc'!E34</f>
        <v>0</v>
      </c>
      <c r="F97" s="92">
        <f>'Lvl Pmt Int Rate Sens Calc'!F34</f>
        <v>0</v>
      </c>
      <c r="G97" s="92">
        <f>'Lvl Pmt Int Rate Sens Calc'!G34</f>
        <v>0</v>
      </c>
      <c r="H97" s="92">
        <f>'Lvl Pmt Int Rate Sens Calc'!H34</f>
        <v>0</v>
      </c>
      <c r="I97" s="92">
        <f>'Lvl Pmt Int Rate Sens Calc'!I34</f>
        <v>0</v>
      </c>
      <c r="J97" s="92">
        <f>'Lvl Pmt Int Rate Sens Calc'!J34</f>
        <v>0</v>
      </c>
      <c r="K97" s="92">
        <f>'Lvl Pmt Int Rate Sens Calc'!K34</f>
        <v>0</v>
      </c>
      <c r="L97" s="92">
        <f>'Lvl Pmt Int Rate Sens Calc'!L34</f>
        <v>0</v>
      </c>
      <c r="M97" s="92">
        <f>'Lvl Pmt Int Rate Sens Calc'!M34</f>
        <v>0</v>
      </c>
      <c r="N97" s="57"/>
      <c r="O97" s="67">
        <f t="shared" ref="O97:O107" si="16">SUM(D97:M97)</f>
        <v>0</v>
      </c>
    </row>
    <row r="98" spans="2:15" x14ac:dyDescent="0.15">
      <c r="B98" s="103">
        <v>-0.2</v>
      </c>
      <c r="C98" s="12"/>
      <c r="D98" s="92">
        <f>'Lvl Pmt Int Rate Sens Calc'!D52</f>
        <v>0</v>
      </c>
      <c r="E98" s="92">
        <f>'Lvl Pmt Int Rate Sens Calc'!E52</f>
        <v>0</v>
      </c>
      <c r="F98" s="92">
        <f>'Lvl Pmt Int Rate Sens Calc'!F52</f>
        <v>0</v>
      </c>
      <c r="G98" s="92">
        <f>'Lvl Pmt Int Rate Sens Calc'!G52</f>
        <v>0</v>
      </c>
      <c r="H98" s="92">
        <f>'Lvl Pmt Int Rate Sens Calc'!H52</f>
        <v>0</v>
      </c>
      <c r="I98" s="92">
        <f>'Lvl Pmt Int Rate Sens Calc'!I52</f>
        <v>0</v>
      </c>
      <c r="J98" s="92">
        <f>'Lvl Pmt Int Rate Sens Calc'!J52</f>
        <v>0</v>
      </c>
      <c r="K98" s="92">
        <f>'Lvl Pmt Int Rate Sens Calc'!K52</f>
        <v>0</v>
      </c>
      <c r="L98" s="92">
        <f>'Lvl Pmt Int Rate Sens Calc'!L52</f>
        <v>0</v>
      </c>
      <c r="M98" s="92">
        <f>'Lvl Pmt Int Rate Sens Calc'!M52</f>
        <v>0</v>
      </c>
      <c r="N98" s="57"/>
      <c r="O98" s="67">
        <f t="shared" si="16"/>
        <v>0</v>
      </c>
    </row>
    <row r="99" spans="2:15" x14ac:dyDescent="0.15">
      <c r="B99" s="103">
        <v>-0.15</v>
      </c>
      <c r="C99" s="12"/>
      <c r="D99" s="92">
        <f>'Lvl Pmt Int Rate Sens Calc'!D70</f>
        <v>0</v>
      </c>
      <c r="E99" s="92">
        <f>'Lvl Pmt Int Rate Sens Calc'!E70</f>
        <v>0</v>
      </c>
      <c r="F99" s="92">
        <f>'Lvl Pmt Int Rate Sens Calc'!F70</f>
        <v>0</v>
      </c>
      <c r="G99" s="92">
        <f>'Lvl Pmt Int Rate Sens Calc'!G70</f>
        <v>0</v>
      </c>
      <c r="H99" s="92">
        <f>'Lvl Pmt Int Rate Sens Calc'!H70</f>
        <v>0</v>
      </c>
      <c r="I99" s="92">
        <f>'Lvl Pmt Int Rate Sens Calc'!I70</f>
        <v>0</v>
      </c>
      <c r="J99" s="92">
        <f>'Lvl Pmt Int Rate Sens Calc'!J70</f>
        <v>0</v>
      </c>
      <c r="K99" s="92">
        <f>'Lvl Pmt Int Rate Sens Calc'!K70</f>
        <v>0</v>
      </c>
      <c r="L99" s="92">
        <f>'Lvl Pmt Int Rate Sens Calc'!L70</f>
        <v>0</v>
      </c>
      <c r="M99" s="92">
        <f>'Lvl Pmt Int Rate Sens Calc'!M70</f>
        <v>0</v>
      </c>
      <c r="N99" s="57"/>
      <c r="O99" s="67">
        <f t="shared" si="16"/>
        <v>0</v>
      </c>
    </row>
    <row r="100" spans="2:15" x14ac:dyDescent="0.15">
      <c r="B100" s="103">
        <v>-0.1</v>
      </c>
      <c r="C100" s="12"/>
      <c r="D100" s="92">
        <f>'Lvl Pmt Int Rate Sens Calc'!D88</f>
        <v>0</v>
      </c>
      <c r="E100" s="92">
        <f>'Lvl Pmt Int Rate Sens Calc'!E88</f>
        <v>0</v>
      </c>
      <c r="F100" s="92">
        <f>'Lvl Pmt Int Rate Sens Calc'!F88</f>
        <v>0</v>
      </c>
      <c r="G100" s="92">
        <f>'Lvl Pmt Int Rate Sens Calc'!G88</f>
        <v>0</v>
      </c>
      <c r="H100" s="92">
        <f>'Lvl Pmt Int Rate Sens Calc'!H88</f>
        <v>0</v>
      </c>
      <c r="I100" s="92">
        <f>'Lvl Pmt Int Rate Sens Calc'!I88</f>
        <v>0</v>
      </c>
      <c r="J100" s="92">
        <f>'Lvl Pmt Int Rate Sens Calc'!J88</f>
        <v>0</v>
      </c>
      <c r="K100" s="92">
        <f>'Lvl Pmt Int Rate Sens Calc'!K88</f>
        <v>0</v>
      </c>
      <c r="L100" s="92">
        <f>'Lvl Pmt Int Rate Sens Calc'!L88</f>
        <v>0</v>
      </c>
      <c r="M100" s="92">
        <f>'Lvl Pmt Int Rate Sens Calc'!M88</f>
        <v>0</v>
      </c>
      <c r="N100" s="57"/>
      <c r="O100" s="67">
        <f t="shared" si="16"/>
        <v>0</v>
      </c>
    </row>
    <row r="101" spans="2:15" x14ac:dyDescent="0.15">
      <c r="B101" s="103">
        <v>-0.05</v>
      </c>
      <c r="C101" s="12"/>
      <c r="D101" s="92">
        <f>'Lvl Pmt Int Rate Sens Calc'!D106</f>
        <v>0</v>
      </c>
      <c r="E101" s="92">
        <f>'Lvl Pmt Int Rate Sens Calc'!E106</f>
        <v>0</v>
      </c>
      <c r="F101" s="92">
        <f>'Lvl Pmt Int Rate Sens Calc'!F106</f>
        <v>0</v>
      </c>
      <c r="G101" s="92">
        <f>'Lvl Pmt Int Rate Sens Calc'!G106</f>
        <v>0</v>
      </c>
      <c r="H101" s="92">
        <f>'Lvl Pmt Int Rate Sens Calc'!H106</f>
        <v>0</v>
      </c>
      <c r="I101" s="92">
        <f>'Lvl Pmt Int Rate Sens Calc'!I106</f>
        <v>0</v>
      </c>
      <c r="J101" s="92">
        <f>'Lvl Pmt Int Rate Sens Calc'!J106</f>
        <v>0</v>
      </c>
      <c r="K101" s="92">
        <f>'Lvl Pmt Int Rate Sens Calc'!K106</f>
        <v>0</v>
      </c>
      <c r="L101" s="92">
        <f>'Lvl Pmt Int Rate Sens Calc'!L106</f>
        <v>0</v>
      </c>
      <c r="M101" s="92">
        <f>'Lvl Pmt Int Rate Sens Calc'!M106</f>
        <v>0</v>
      </c>
      <c r="N101" s="57"/>
      <c r="O101" s="67">
        <f t="shared" si="16"/>
        <v>0</v>
      </c>
    </row>
    <row r="102" spans="2:15" x14ac:dyDescent="0.15">
      <c r="B102" s="103"/>
      <c r="C102" s="12"/>
      <c r="D102" s="92">
        <f>'Level Payment Fin Sens Calc'!D123</f>
        <v>0</v>
      </c>
      <c r="E102" s="92">
        <f>'Level Payment Fin Sens Calc'!E123</f>
        <v>0</v>
      </c>
      <c r="F102" s="92">
        <f>'Level Payment Fin Sens Calc'!F123</f>
        <v>0</v>
      </c>
      <c r="G102" s="92">
        <f>'Level Payment Fin Sens Calc'!G123</f>
        <v>0</v>
      </c>
      <c r="H102" s="92">
        <f>'Level Payment Fin Sens Calc'!H123</f>
        <v>0</v>
      </c>
      <c r="I102" s="92">
        <f>'Level Payment Fin Sens Calc'!I123</f>
        <v>0</v>
      </c>
      <c r="J102" s="92">
        <f>'Level Payment Fin Sens Calc'!J123</f>
        <v>0</v>
      </c>
      <c r="K102" s="92">
        <f>'Level Payment Fin Sens Calc'!K123</f>
        <v>0</v>
      </c>
      <c r="L102" s="92">
        <f>'Level Payment Fin Sens Calc'!L123</f>
        <v>0</v>
      </c>
      <c r="M102" s="92">
        <f>'Level Payment Fin Sens Calc'!M123</f>
        <v>0</v>
      </c>
      <c r="N102" s="57"/>
      <c r="O102" s="67"/>
    </row>
    <row r="103" spans="2:15" x14ac:dyDescent="0.15">
      <c r="B103" s="103">
        <v>0.05</v>
      </c>
      <c r="C103" s="12"/>
      <c r="D103" s="92">
        <f>'Lvl Pmt Int Rate Sens Calc'!D142</f>
        <v>0</v>
      </c>
      <c r="E103" s="92">
        <f>'Lvl Pmt Int Rate Sens Calc'!E142</f>
        <v>0</v>
      </c>
      <c r="F103" s="92">
        <f>'Lvl Pmt Int Rate Sens Calc'!F142</f>
        <v>0</v>
      </c>
      <c r="G103" s="92">
        <f>'Lvl Pmt Int Rate Sens Calc'!G142</f>
        <v>0</v>
      </c>
      <c r="H103" s="92">
        <f>'Lvl Pmt Int Rate Sens Calc'!H142</f>
        <v>0</v>
      </c>
      <c r="I103" s="92">
        <f>'Lvl Pmt Int Rate Sens Calc'!I142</f>
        <v>0</v>
      </c>
      <c r="J103" s="92">
        <f>'Lvl Pmt Int Rate Sens Calc'!J142</f>
        <v>0</v>
      </c>
      <c r="K103" s="92">
        <f>'Lvl Pmt Int Rate Sens Calc'!K142</f>
        <v>0</v>
      </c>
      <c r="L103" s="92">
        <f>'Lvl Pmt Int Rate Sens Calc'!L142</f>
        <v>0</v>
      </c>
      <c r="M103" s="92">
        <f>'Lvl Pmt Int Rate Sens Calc'!M142</f>
        <v>0</v>
      </c>
      <c r="N103" s="57"/>
      <c r="O103" s="67">
        <f t="shared" si="16"/>
        <v>0</v>
      </c>
    </row>
    <row r="104" spans="2:15" x14ac:dyDescent="0.15">
      <c r="B104" s="103">
        <v>0.1</v>
      </c>
      <c r="C104" s="12"/>
      <c r="D104" s="92">
        <f>'Lvl Pmt Int Rate Sens Calc'!D160</f>
        <v>0</v>
      </c>
      <c r="E104" s="92">
        <f>'Lvl Pmt Int Rate Sens Calc'!E160</f>
        <v>0</v>
      </c>
      <c r="F104" s="92">
        <f>'Lvl Pmt Int Rate Sens Calc'!F160</f>
        <v>0</v>
      </c>
      <c r="G104" s="92">
        <f>'Lvl Pmt Int Rate Sens Calc'!G160</f>
        <v>0</v>
      </c>
      <c r="H104" s="92">
        <f>'Lvl Pmt Int Rate Sens Calc'!H160</f>
        <v>0</v>
      </c>
      <c r="I104" s="92">
        <f>'Lvl Pmt Int Rate Sens Calc'!I160</f>
        <v>0</v>
      </c>
      <c r="J104" s="92">
        <f>'Lvl Pmt Int Rate Sens Calc'!J160</f>
        <v>0</v>
      </c>
      <c r="K104" s="92">
        <f>'Lvl Pmt Int Rate Sens Calc'!K160</f>
        <v>0</v>
      </c>
      <c r="L104" s="92">
        <f>'Lvl Pmt Int Rate Sens Calc'!L160</f>
        <v>0</v>
      </c>
      <c r="M104" s="92">
        <f>'Lvl Pmt Int Rate Sens Calc'!M160</f>
        <v>0</v>
      </c>
      <c r="N104" s="57"/>
      <c r="O104" s="67">
        <f t="shared" si="16"/>
        <v>0</v>
      </c>
    </row>
    <row r="105" spans="2:15" x14ac:dyDescent="0.15">
      <c r="B105" s="103">
        <v>0.15</v>
      </c>
      <c r="C105" s="12"/>
      <c r="D105" s="92">
        <f>'Lvl Pmt Int Rate Sens Calc'!D178</f>
        <v>0</v>
      </c>
      <c r="E105" s="92">
        <f>'Lvl Pmt Int Rate Sens Calc'!E178</f>
        <v>0</v>
      </c>
      <c r="F105" s="92">
        <f>'Lvl Pmt Int Rate Sens Calc'!F178</f>
        <v>0</v>
      </c>
      <c r="G105" s="92">
        <f>'Lvl Pmt Int Rate Sens Calc'!G178</f>
        <v>0</v>
      </c>
      <c r="H105" s="92">
        <f>'Lvl Pmt Int Rate Sens Calc'!H178</f>
        <v>0</v>
      </c>
      <c r="I105" s="92">
        <f>'Lvl Pmt Int Rate Sens Calc'!I178</f>
        <v>0</v>
      </c>
      <c r="J105" s="92">
        <f>'Lvl Pmt Int Rate Sens Calc'!J178</f>
        <v>0</v>
      </c>
      <c r="K105" s="92">
        <f>'Lvl Pmt Int Rate Sens Calc'!K178</f>
        <v>0</v>
      </c>
      <c r="L105" s="92">
        <f>'Lvl Pmt Int Rate Sens Calc'!L178</f>
        <v>0</v>
      </c>
      <c r="M105" s="92">
        <f>'Lvl Pmt Int Rate Sens Calc'!M178</f>
        <v>0</v>
      </c>
      <c r="N105" s="57"/>
      <c r="O105" s="67">
        <f t="shared" si="16"/>
        <v>0</v>
      </c>
    </row>
    <row r="106" spans="2:15" x14ac:dyDescent="0.15">
      <c r="B106" s="103">
        <v>0.2</v>
      </c>
      <c r="C106" s="12"/>
      <c r="D106" s="92">
        <f>'Lvl Pmt Int Rate Sens Calc'!D196</f>
        <v>0</v>
      </c>
      <c r="E106" s="92">
        <f>'Lvl Pmt Int Rate Sens Calc'!E196</f>
        <v>0</v>
      </c>
      <c r="F106" s="92">
        <f>'Lvl Pmt Int Rate Sens Calc'!F196</f>
        <v>0</v>
      </c>
      <c r="G106" s="92">
        <f>'Lvl Pmt Int Rate Sens Calc'!G196</f>
        <v>0</v>
      </c>
      <c r="H106" s="92">
        <f>'Lvl Pmt Int Rate Sens Calc'!H196</f>
        <v>0</v>
      </c>
      <c r="I106" s="92">
        <f>'Lvl Pmt Int Rate Sens Calc'!I196</f>
        <v>0</v>
      </c>
      <c r="J106" s="92">
        <f>'Lvl Pmt Int Rate Sens Calc'!J196</f>
        <v>0</v>
      </c>
      <c r="K106" s="92">
        <f>'Lvl Pmt Int Rate Sens Calc'!K196</f>
        <v>0</v>
      </c>
      <c r="L106" s="92">
        <f>'Lvl Pmt Int Rate Sens Calc'!L196</f>
        <v>0</v>
      </c>
      <c r="M106" s="92">
        <f>'Lvl Pmt Int Rate Sens Calc'!M196</f>
        <v>0</v>
      </c>
      <c r="N106" s="57"/>
      <c r="O106" s="67">
        <f t="shared" si="16"/>
        <v>0</v>
      </c>
    </row>
    <row r="107" spans="2:15" x14ac:dyDescent="0.15">
      <c r="B107" s="103">
        <v>0.25</v>
      </c>
      <c r="C107" s="12"/>
      <c r="D107" s="92">
        <f>'Lvl Pmt Int Rate Sens Calc'!D214</f>
        <v>0</v>
      </c>
      <c r="E107" s="92">
        <f>'Lvl Pmt Int Rate Sens Calc'!E214</f>
        <v>0</v>
      </c>
      <c r="F107" s="92">
        <f>'Lvl Pmt Int Rate Sens Calc'!F214</f>
        <v>0</v>
      </c>
      <c r="G107" s="92">
        <f>'Lvl Pmt Int Rate Sens Calc'!G214</f>
        <v>0</v>
      </c>
      <c r="H107" s="92">
        <f>'Lvl Pmt Int Rate Sens Calc'!H214</f>
        <v>0</v>
      </c>
      <c r="I107" s="92">
        <f>'Lvl Pmt Int Rate Sens Calc'!I214</f>
        <v>0</v>
      </c>
      <c r="J107" s="92">
        <f>'Lvl Pmt Int Rate Sens Calc'!J214</f>
        <v>0</v>
      </c>
      <c r="K107" s="92">
        <f>'Lvl Pmt Int Rate Sens Calc'!K214</f>
        <v>0</v>
      </c>
      <c r="L107" s="92">
        <f>'Lvl Pmt Int Rate Sens Calc'!L214</f>
        <v>0</v>
      </c>
      <c r="M107" s="92">
        <f>'Lvl Pmt Int Rate Sens Calc'!M214</f>
        <v>0</v>
      </c>
      <c r="N107" s="57"/>
      <c r="O107" s="67">
        <f t="shared" si="16"/>
        <v>0</v>
      </c>
    </row>
    <row r="108" spans="2:15" x14ac:dyDescent="0.15">
      <c r="B108" s="12" t="s">
        <v>639</v>
      </c>
      <c r="C108" s="12"/>
      <c r="D108" s="12"/>
      <c r="E108" s="12"/>
      <c r="F108" s="12"/>
      <c r="G108" s="12"/>
      <c r="H108" s="12"/>
      <c r="I108" s="12"/>
      <c r="J108" s="12"/>
      <c r="K108" s="12"/>
      <c r="L108" s="12"/>
      <c r="M108" s="12"/>
      <c r="N108" s="12"/>
      <c r="O108" s="12"/>
    </row>
    <row r="109" spans="2:15" x14ac:dyDescent="0.15">
      <c r="B109" s="103">
        <v>-0.25</v>
      </c>
      <c r="C109" s="67">
        <f>C$120+C$121+C123</f>
        <v>-32550000</v>
      </c>
      <c r="D109" s="15"/>
      <c r="E109" s="15"/>
      <c r="F109" s="15"/>
      <c r="G109" s="15"/>
      <c r="H109" s="15"/>
      <c r="I109" s="15"/>
      <c r="J109" s="15"/>
      <c r="K109" s="15"/>
      <c r="L109" s="15"/>
      <c r="M109" s="15"/>
      <c r="N109" s="12"/>
      <c r="O109" s="67">
        <f t="shared" ref="O109:O119" si="17">SUM(C109:M109)</f>
        <v>-32550000</v>
      </c>
    </row>
    <row r="110" spans="2:15" x14ac:dyDescent="0.15">
      <c r="B110" s="103">
        <v>-0.2</v>
      </c>
      <c r="C110" s="67">
        <f>C$120+C$121+C124</f>
        <v>-32550000</v>
      </c>
      <c r="D110" s="15"/>
      <c r="E110" s="15"/>
      <c r="F110" s="15"/>
      <c r="G110" s="15"/>
      <c r="H110" s="15"/>
      <c r="I110" s="15"/>
      <c r="J110" s="15"/>
      <c r="K110" s="15"/>
      <c r="L110" s="15"/>
      <c r="M110" s="15"/>
      <c r="N110" s="12"/>
      <c r="O110" s="67">
        <f t="shared" si="17"/>
        <v>-32550000</v>
      </c>
    </row>
    <row r="111" spans="2:15" x14ac:dyDescent="0.15">
      <c r="B111" s="103">
        <v>-0.15</v>
      </c>
      <c r="C111" s="67">
        <f>C$120+C$121+C125</f>
        <v>-32550000</v>
      </c>
      <c r="D111" s="15"/>
      <c r="E111" s="15"/>
      <c r="F111" s="15"/>
      <c r="G111" s="15"/>
      <c r="H111" s="15"/>
      <c r="I111" s="15"/>
      <c r="J111" s="15"/>
      <c r="K111" s="15"/>
      <c r="L111" s="15"/>
      <c r="M111" s="15"/>
      <c r="N111" s="12"/>
      <c r="O111" s="67">
        <f t="shared" si="17"/>
        <v>-32550000</v>
      </c>
    </row>
    <row r="112" spans="2:15" x14ac:dyDescent="0.15">
      <c r="B112" s="103">
        <v>-0.1</v>
      </c>
      <c r="C112" s="67">
        <f>C$120+C$121+C126</f>
        <v>-32550000</v>
      </c>
      <c r="D112" s="15"/>
      <c r="E112" s="15"/>
      <c r="F112" s="15"/>
      <c r="G112" s="15"/>
      <c r="H112" s="15"/>
      <c r="I112" s="15"/>
      <c r="J112" s="15"/>
      <c r="K112" s="15"/>
      <c r="L112" s="15"/>
      <c r="M112" s="15"/>
      <c r="N112" s="12"/>
      <c r="O112" s="67">
        <f t="shared" si="17"/>
        <v>-32550000</v>
      </c>
    </row>
    <row r="113" spans="2:15" x14ac:dyDescent="0.15">
      <c r="B113" s="103">
        <v>-0.05</v>
      </c>
      <c r="C113" s="67">
        <f>C$120+C$121+C127</f>
        <v>-32550000</v>
      </c>
      <c r="D113" s="15"/>
      <c r="E113" s="15"/>
      <c r="F113" s="15"/>
      <c r="G113" s="15"/>
      <c r="H113" s="15"/>
      <c r="I113" s="15"/>
      <c r="J113" s="15"/>
      <c r="K113" s="15"/>
      <c r="L113" s="15"/>
      <c r="M113" s="15"/>
      <c r="N113" s="12"/>
      <c r="O113" s="67">
        <f t="shared" si="17"/>
        <v>-32550000</v>
      </c>
    </row>
    <row r="114" spans="2:15" x14ac:dyDescent="0.15">
      <c r="B114" s="103"/>
      <c r="C114" s="67"/>
      <c r="D114" s="15"/>
      <c r="E114" s="15"/>
      <c r="F114" s="15"/>
      <c r="G114" s="15"/>
      <c r="H114" s="15"/>
      <c r="I114" s="15"/>
      <c r="J114" s="15"/>
      <c r="K114" s="15"/>
      <c r="L114" s="15"/>
      <c r="M114" s="15"/>
      <c r="N114" s="12"/>
      <c r="O114" s="67"/>
    </row>
    <row r="115" spans="2:15" x14ac:dyDescent="0.15">
      <c r="B115" s="103">
        <v>0.05</v>
      </c>
      <c r="C115" s="67">
        <f>C$120+C$121+C129</f>
        <v>-32550000</v>
      </c>
      <c r="D115" s="15"/>
      <c r="E115" s="15"/>
      <c r="F115" s="15"/>
      <c r="G115" s="15"/>
      <c r="H115" s="15"/>
      <c r="I115" s="15"/>
      <c r="J115" s="15"/>
      <c r="K115" s="15"/>
      <c r="L115" s="15"/>
      <c r="M115" s="15"/>
      <c r="N115" s="12"/>
      <c r="O115" s="67">
        <f t="shared" si="17"/>
        <v>-32550000</v>
      </c>
    </row>
    <row r="116" spans="2:15" x14ac:dyDescent="0.15">
      <c r="B116" s="103">
        <v>0.1</v>
      </c>
      <c r="C116" s="67">
        <f>C$120+C$121+C130</f>
        <v>-32550000</v>
      </c>
      <c r="D116" s="15"/>
      <c r="E116" s="15"/>
      <c r="F116" s="15"/>
      <c r="G116" s="15"/>
      <c r="H116" s="15"/>
      <c r="I116" s="15"/>
      <c r="J116" s="15"/>
      <c r="K116" s="15"/>
      <c r="L116" s="15"/>
      <c r="M116" s="15"/>
      <c r="N116" s="12"/>
      <c r="O116" s="67">
        <f t="shared" si="17"/>
        <v>-32550000</v>
      </c>
    </row>
    <row r="117" spans="2:15" x14ac:dyDescent="0.15">
      <c r="B117" s="103">
        <v>0.15</v>
      </c>
      <c r="C117" s="67">
        <f>C$120+C$121+C131</f>
        <v>-32550000</v>
      </c>
      <c r="D117" s="15"/>
      <c r="E117" s="15"/>
      <c r="F117" s="15"/>
      <c r="G117" s="15"/>
      <c r="H117" s="15"/>
      <c r="I117" s="15"/>
      <c r="J117" s="15"/>
      <c r="K117" s="15"/>
      <c r="L117" s="15"/>
      <c r="M117" s="15"/>
      <c r="N117" s="12"/>
      <c r="O117" s="67">
        <f t="shared" si="17"/>
        <v>-32550000</v>
      </c>
    </row>
    <row r="118" spans="2:15" x14ac:dyDescent="0.15">
      <c r="B118" s="103">
        <v>0.2</v>
      </c>
      <c r="C118" s="67">
        <f>C$120+C$121+C132</f>
        <v>-32550000</v>
      </c>
      <c r="D118" s="15"/>
      <c r="E118" s="15"/>
      <c r="F118" s="15"/>
      <c r="G118" s="15"/>
      <c r="H118" s="15"/>
      <c r="I118" s="15"/>
      <c r="J118" s="15"/>
      <c r="K118" s="15"/>
      <c r="L118" s="15"/>
      <c r="M118" s="15"/>
      <c r="N118" s="12"/>
      <c r="O118" s="67">
        <f t="shared" si="17"/>
        <v>-32550000</v>
      </c>
    </row>
    <row r="119" spans="2:15" x14ac:dyDescent="0.15">
      <c r="B119" s="103">
        <v>0.25</v>
      </c>
      <c r="C119" s="67">
        <f>C$120+C$121+C133</f>
        <v>-32550000</v>
      </c>
      <c r="D119" s="15"/>
      <c r="E119" s="15"/>
      <c r="F119" s="15"/>
      <c r="G119" s="15"/>
      <c r="H119" s="15"/>
      <c r="I119" s="15"/>
      <c r="J119" s="15"/>
      <c r="K119" s="15"/>
      <c r="L119" s="15"/>
      <c r="M119" s="15"/>
      <c r="N119" s="12"/>
      <c r="O119" s="67">
        <f t="shared" si="17"/>
        <v>-32550000</v>
      </c>
    </row>
    <row r="120" spans="2:15" x14ac:dyDescent="0.15">
      <c r="B120" s="99" t="s">
        <v>207</v>
      </c>
      <c r="C120" s="92">
        <f>'After Tax Analysis'!D22</f>
        <v>-31050000</v>
      </c>
      <c r="D120" s="110">
        <f>'After Tax Analysis'!E22</f>
        <v>0</v>
      </c>
      <c r="E120" s="110">
        <f>'After Tax Analysis'!F22</f>
        <v>0</v>
      </c>
      <c r="F120" s="110">
        <f>'After Tax Analysis'!G22</f>
        <v>0</v>
      </c>
      <c r="G120" s="110">
        <f>'After Tax Analysis'!H22</f>
        <v>0</v>
      </c>
      <c r="H120" s="110">
        <f>'After Tax Analysis'!I22</f>
        <v>12847035</v>
      </c>
      <c r="I120" s="110">
        <f>'After Tax Analysis'!J22</f>
        <v>0</v>
      </c>
      <c r="J120" s="110">
        <f>'After Tax Analysis'!K22</f>
        <v>0</v>
      </c>
      <c r="K120" s="110">
        <f>'After Tax Analysis'!L22</f>
        <v>0</v>
      </c>
      <c r="L120" s="110">
        <f>'After Tax Analysis'!M22</f>
        <v>0</v>
      </c>
      <c r="M120" s="110">
        <f>'After Tax Analysis'!N22</f>
        <v>0</v>
      </c>
      <c r="N120" s="110">
        <f>'After Tax Analysis'!O22</f>
        <v>0</v>
      </c>
      <c r="O120" s="67">
        <f>SUM(C120:N120)</f>
        <v>-18202965</v>
      </c>
    </row>
    <row r="121" spans="2:15" x14ac:dyDescent="0.15">
      <c r="B121" s="99" t="s">
        <v>640</v>
      </c>
      <c r="C121" s="92">
        <f>'After Tax Analysis'!D23</f>
        <v>-1500000</v>
      </c>
      <c r="D121" s="110">
        <f>'After Tax Analysis'!E23</f>
        <v>0</v>
      </c>
      <c r="E121" s="110">
        <f>'After Tax Analysis'!F23</f>
        <v>0</v>
      </c>
      <c r="F121" s="110">
        <f>'After Tax Analysis'!G23</f>
        <v>0</v>
      </c>
      <c r="G121" s="110">
        <f>'After Tax Analysis'!H23</f>
        <v>0</v>
      </c>
      <c r="H121" s="110">
        <f>'After Tax Analysis'!I23</f>
        <v>1500000</v>
      </c>
      <c r="I121" s="110">
        <f>'After Tax Analysis'!J23</f>
        <v>0</v>
      </c>
      <c r="J121" s="110">
        <f>'After Tax Analysis'!K23</f>
        <v>0</v>
      </c>
      <c r="K121" s="110">
        <f>'After Tax Analysis'!L23</f>
        <v>0</v>
      </c>
      <c r="L121" s="110">
        <f>'After Tax Analysis'!M23</f>
        <v>0</v>
      </c>
      <c r="M121" s="110">
        <f>'After Tax Analysis'!N23</f>
        <v>0</v>
      </c>
      <c r="N121" s="110">
        <f>'After Tax Analysis'!O23</f>
        <v>0</v>
      </c>
      <c r="O121" s="62">
        <f>SUM(C121:N121)</f>
        <v>0</v>
      </c>
    </row>
    <row r="122" spans="2:15" x14ac:dyDescent="0.15">
      <c r="B122" s="99" t="s">
        <v>309</v>
      </c>
      <c r="C122" s="12"/>
      <c r="D122" s="12"/>
      <c r="E122" s="12"/>
      <c r="F122" s="12"/>
      <c r="G122" s="12"/>
      <c r="H122" s="12"/>
      <c r="I122" s="12"/>
      <c r="J122" s="12"/>
      <c r="K122" s="12"/>
      <c r="L122" s="12"/>
      <c r="M122" s="12"/>
      <c r="N122" s="12"/>
      <c r="O122" s="12"/>
    </row>
    <row r="123" spans="2:15" x14ac:dyDescent="0.15">
      <c r="B123" s="103">
        <v>-0.25</v>
      </c>
      <c r="C123" s="63">
        <f>D5</f>
        <v>0</v>
      </c>
      <c r="D123" s="15"/>
      <c r="E123" s="15"/>
      <c r="F123" s="15"/>
      <c r="G123" s="15"/>
      <c r="H123" s="15"/>
      <c r="I123" s="15"/>
      <c r="J123" s="15"/>
      <c r="K123" s="15"/>
      <c r="L123" s="15"/>
      <c r="M123" s="15"/>
      <c r="N123" s="15"/>
      <c r="O123" s="63">
        <f t="shared" ref="O123:O133" si="18">SUM(C123:M123)</f>
        <v>0</v>
      </c>
    </row>
    <row r="124" spans="2:15" x14ac:dyDescent="0.15">
      <c r="B124" s="103">
        <v>-0.2</v>
      </c>
      <c r="C124" s="63">
        <f>D6</f>
        <v>0</v>
      </c>
      <c r="D124" s="15"/>
      <c r="E124" s="15"/>
      <c r="F124" s="15"/>
      <c r="G124" s="15"/>
      <c r="H124" s="15"/>
      <c r="I124" s="15"/>
      <c r="J124" s="15"/>
      <c r="K124" s="15"/>
      <c r="L124" s="15"/>
      <c r="M124" s="15"/>
      <c r="N124" s="15"/>
      <c r="O124" s="63">
        <f t="shared" si="18"/>
        <v>0</v>
      </c>
    </row>
    <row r="125" spans="2:15" x14ac:dyDescent="0.15">
      <c r="B125" s="103">
        <v>-0.15</v>
      </c>
      <c r="C125" s="63">
        <f>D7</f>
        <v>0</v>
      </c>
      <c r="D125" s="15"/>
      <c r="E125" s="15"/>
      <c r="F125" s="15"/>
      <c r="G125" s="15"/>
      <c r="H125" s="15"/>
      <c r="I125" s="15"/>
      <c r="J125" s="15"/>
      <c r="K125" s="15"/>
      <c r="L125" s="15"/>
      <c r="M125" s="15"/>
      <c r="N125" s="15"/>
      <c r="O125" s="63">
        <f t="shared" si="18"/>
        <v>0</v>
      </c>
    </row>
    <row r="126" spans="2:15" x14ac:dyDescent="0.15">
      <c r="B126" s="103">
        <v>-0.1</v>
      </c>
      <c r="C126" s="63">
        <f>D8</f>
        <v>0</v>
      </c>
      <c r="D126" s="15"/>
      <c r="E126" s="15"/>
      <c r="F126" s="15"/>
      <c r="G126" s="15"/>
      <c r="H126" s="15"/>
      <c r="I126" s="15"/>
      <c r="J126" s="15"/>
      <c r="K126" s="15"/>
      <c r="L126" s="15"/>
      <c r="M126" s="15"/>
      <c r="N126" s="15"/>
      <c r="O126" s="63">
        <f t="shared" si="18"/>
        <v>0</v>
      </c>
    </row>
    <row r="127" spans="2:15" x14ac:dyDescent="0.15">
      <c r="B127" s="103">
        <v>-0.05</v>
      </c>
      <c r="C127" s="63">
        <f>D9</f>
        <v>0</v>
      </c>
      <c r="D127" s="15"/>
      <c r="E127" s="15"/>
      <c r="F127" s="15"/>
      <c r="G127" s="15"/>
      <c r="H127" s="15"/>
      <c r="I127" s="15"/>
      <c r="J127" s="15"/>
      <c r="K127" s="15"/>
      <c r="L127" s="15"/>
      <c r="M127" s="15"/>
      <c r="N127" s="15"/>
      <c r="O127" s="63">
        <f t="shared" si="18"/>
        <v>0</v>
      </c>
    </row>
    <row r="128" spans="2:15" x14ac:dyDescent="0.15">
      <c r="B128" s="103"/>
      <c r="C128" s="63"/>
      <c r="D128" s="15"/>
      <c r="E128" s="15"/>
      <c r="F128" s="15"/>
      <c r="G128" s="15"/>
      <c r="H128" s="15"/>
      <c r="I128" s="15"/>
      <c r="J128" s="15"/>
      <c r="K128" s="15"/>
      <c r="L128" s="15"/>
      <c r="M128" s="15"/>
      <c r="N128" s="15"/>
      <c r="O128" s="63"/>
    </row>
    <row r="129" spans="2:15" x14ac:dyDescent="0.15">
      <c r="B129" s="103">
        <v>0.05</v>
      </c>
      <c r="C129" s="63">
        <f>D10</f>
        <v>0</v>
      </c>
      <c r="D129" s="15"/>
      <c r="E129" s="15"/>
      <c r="F129" s="15"/>
      <c r="G129" s="15"/>
      <c r="H129" s="15"/>
      <c r="I129" s="15"/>
      <c r="J129" s="15"/>
      <c r="K129" s="15"/>
      <c r="L129" s="15"/>
      <c r="M129" s="15"/>
      <c r="N129" s="15"/>
      <c r="O129" s="63">
        <f t="shared" si="18"/>
        <v>0</v>
      </c>
    </row>
    <row r="130" spans="2:15" x14ac:dyDescent="0.15">
      <c r="B130" s="103">
        <v>0.1</v>
      </c>
      <c r="C130" s="63">
        <f>D11</f>
        <v>0</v>
      </c>
      <c r="D130" s="15"/>
      <c r="E130" s="15"/>
      <c r="F130" s="15"/>
      <c r="G130" s="15"/>
      <c r="H130" s="15"/>
      <c r="I130" s="15"/>
      <c r="J130" s="15"/>
      <c r="K130" s="15"/>
      <c r="L130" s="15"/>
      <c r="M130" s="15"/>
      <c r="N130" s="15"/>
      <c r="O130" s="63">
        <f t="shared" si="18"/>
        <v>0</v>
      </c>
    </row>
    <row r="131" spans="2:15" x14ac:dyDescent="0.15">
      <c r="B131" s="103">
        <v>0.15</v>
      </c>
      <c r="C131" s="63">
        <f>D12</f>
        <v>0</v>
      </c>
      <c r="D131" s="15"/>
      <c r="E131" s="15"/>
      <c r="F131" s="15"/>
      <c r="G131" s="15"/>
      <c r="H131" s="15"/>
      <c r="I131" s="15"/>
      <c r="J131" s="15"/>
      <c r="K131" s="15"/>
      <c r="L131" s="15"/>
      <c r="M131" s="15"/>
      <c r="N131" s="15"/>
      <c r="O131" s="63">
        <f t="shared" si="18"/>
        <v>0</v>
      </c>
    </row>
    <row r="132" spans="2:15" x14ac:dyDescent="0.15">
      <c r="B132" s="103">
        <v>0.2</v>
      </c>
      <c r="C132" s="63">
        <f>D13</f>
        <v>0</v>
      </c>
      <c r="D132" s="15"/>
      <c r="E132" s="15"/>
      <c r="F132" s="15"/>
      <c r="G132" s="15"/>
      <c r="H132" s="15"/>
      <c r="I132" s="15"/>
      <c r="J132" s="15"/>
      <c r="K132" s="15"/>
      <c r="L132" s="15"/>
      <c r="M132" s="15"/>
      <c r="N132" s="15"/>
      <c r="O132" s="63">
        <f t="shared" si="18"/>
        <v>0</v>
      </c>
    </row>
    <row r="133" spans="2:15" x14ac:dyDescent="0.15">
      <c r="B133" s="103">
        <v>0.25</v>
      </c>
      <c r="C133" s="63">
        <f>D14</f>
        <v>0</v>
      </c>
      <c r="D133" s="15"/>
      <c r="E133" s="15"/>
      <c r="F133" s="15"/>
      <c r="G133" s="15"/>
      <c r="H133" s="15"/>
      <c r="I133" s="15"/>
      <c r="J133" s="15"/>
      <c r="K133" s="15"/>
      <c r="L133" s="15"/>
      <c r="M133" s="15"/>
      <c r="N133" s="15"/>
      <c r="O133" s="63">
        <f t="shared" si="18"/>
        <v>0</v>
      </c>
    </row>
    <row r="134" spans="2:15" x14ac:dyDescent="0.15">
      <c r="B134" s="12" t="s">
        <v>311</v>
      </c>
      <c r="C134" s="229"/>
      <c r="D134" s="110">
        <f>'After Tax Analysis'!E25</f>
        <v>0</v>
      </c>
      <c r="E134" s="110">
        <f>'After Tax Analysis'!F25</f>
        <v>0</v>
      </c>
      <c r="F134" s="110">
        <f>'After Tax Analysis'!G25</f>
        <v>0</v>
      </c>
      <c r="G134" s="110">
        <f>'After Tax Analysis'!H25</f>
        <v>0</v>
      </c>
      <c r="H134" s="110">
        <f>'After Tax Analysis'!I25</f>
        <v>-2596968.7000000002</v>
      </c>
      <c r="I134" s="110">
        <f>'After Tax Analysis'!J25</f>
        <v>0</v>
      </c>
      <c r="J134" s="110">
        <f>'After Tax Analysis'!K25</f>
        <v>0</v>
      </c>
      <c r="K134" s="110">
        <f>'After Tax Analysis'!L25</f>
        <v>0</v>
      </c>
      <c r="L134" s="110">
        <f>'After Tax Analysis'!M25</f>
        <v>0</v>
      </c>
      <c r="M134" s="110">
        <f>'After Tax Analysis'!N25</f>
        <v>0</v>
      </c>
      <c r="N134" s="110">
        <f>'After Tax Analysis'!O25</f>
        <v>0</v>
      </c>
      <c r="O134" s="68">
        <f>SUM(C134:N134)</f>
        <v>-2596968.7000000002</v>
      </c>
    </row>
    <row r="135" spans="2:15" x14ac:dyDescent="0.15">
      <c r="B135" s="12" t="s">
        <v>115</v>
      </c>
      <c r="C135" s="110">
        <f>'After Tax Analysis'!D26</f>
        <v>-60000000</v>
      </c>
      <c r="D135" s="110">
        <f>'After Tax Analysis'!E26</f>
        <v>0</v>
      </c>
      <c r="E135" s="110">
        <f>'After Tax Analysis'!F26</f>
        <v>0</v>
      </c>
      <c r="F135" s="110">
        <f>'After Tax Analysis'!G26</f>
        <v>0</v>
      </c>
      <c r="G135" s="110">
        <f>'After Tax Analysis'!H26</f>
        <v>0</v>
      </c>
      <c r="H135" s="110">
        <f>'After Tax Analysis'!I26</f>
        <v>60000000</v>
      </c>
      <c r="I135" s="110">
        <f>'After Tax Analysis'!J26</f>
        <v>0</v>
      </c>
      <c r="J135" s="110">
        <f>'After Tax Analysis'!K26</f>
        <v>0</v>
      </c>
      <c r="K135" s="110">
        <f>'After Tax Analysis'!L26</f>
        <v>0</v>
      </c>
      <c r="L135" s="110">
        <f>'After Tax Analysis'!M26</f>
        <v>0</v>
      </c>
      <c r="M135" s="110">
        <f>'After Tax Analysis'!N26</f>
        <v>0</v>
      </c>
      <c r="N135" s="110">
        <f>'After Tax Analysis'!O26</f>
        <v>0</v>
      </c>
      <c r="O135" s="68">
        <f>SUM(C135:N135)</f>
        <v>0</v>
      </c>
    </row>
    <row r="136" spans="2:15" x14ac:dyDescent="0.15">
      <c r="B136" s="12" t="s">
        <v>641</v>
      </c>
      <c r="C136" s="12"/>
      <c r="D136" s="12"/>
      <c r="E136" s="12"/>
      <c r="F136" s="12"/>
      <c r="G136" s="12"/>
      <c r="H136" s="12"/>
      <c r="I136" s="12"/>
      <c r="J136" s="12"/>
      <c r="K136" s="12"/>
      <c r="L136" s="12"/>
      <c r="M136" s="12"/>
      <c r="N136" s="12"/>
      <c r="O136" s="12"/>
    </row>
    <row r="137" spans="2:15" x14ac:dyDescent="0.15">
      <c r="B137" s="103">
        <v>-0.25</v>
      </c>
      <c r="C137" s="67">
        <f>C97+C$120+C$121+C123+C$134+C$135</f>
        <v>-92550000</v>
      </c>
      <c r="D137" s="67">
        <f t="shared" ref="D137:N141" si="19">D97+D$120+D$121+D123+D$134+D$135</f>
        <v>0</v>
      </c>
      <c r="E137" s="67">
        <f t="shared" si="19"/>
        <v>0</v>
      </c>
      <c r="F137" s="67">
        <f t="shared" si="19"/>
        <v>0</v>
      </c>
      <c r="G137" s="67">
        <f t="shared" si="19"/>
        <v>0</v>
      </c>
      <c r="H137" s="67">
        <f t="shared" si="19"/>
        <v>71750066.299999997</v>
      </c>
      <c r="I137" s="67">
        <f t="shared" si="19"/>
        <v>0</v>
      </c>
      <c r="J137" s="67">
        <f t="shared" si="19"/>
        <v>0</v>
      </c>
      <c r="K137" s="67">
        <f t="shared" si="19"/>
        <v>0</v>
      </c>
      <c r="L137" s="67">
        <f t="shared" si="19"/>
        <v>0</v>
      </c>
      <c r="M137" s="67">
        <f t="shared" si="19"/>
        <v>0</v>
      </c>
      <c r="N137" s="67">
        <f t="shared" si="19"/>
        <v>0</v>
      </c>
      <c r="O137" s="67">
        <f t="shared" ref="O137:O147" si="20">SUM(C137:N137)</f>
        <v>-20799933.700000003</v>
      </c>
    </row>
    <row r="138" spans="2:15" x14ac:dyDescent="0.15">
      <c r="B138" s="103">
        <v>-0.2</v>
      </c>
      <c r="C138" s="67">
        <f>C98+C$120+C$121+C124+C$134+C$135</f>
        <v>-92550000</v>
      </c>
      <c r="D138" s="67">
        <f t="shared" si="19"/>
        <v>0</v>
      </c>
      <c r="E138" s="67">
        <f t="shared" si="19"/>
        <v>0</v>
      </c>
      <c r="F138" s="67">
        <f t="shared" si="19"/>
        <v>0</v>
      </c>
      <c r="G138" s="67">
        <f t="shared" si="19"/>
        <v>0</v>
      </c>
      <c r="H138" s="67">
        <f t="shared" si="19"/>
        <v>71750066.299999997</v>
      </c>
      <c r="I138" s="67">
        <f t="shared" si="19"/>
        <v>0</v>
      </c>
      <c r="J138" s="67">
        <f t="shared" si="19"/>
        <v>0</v>
      </c>
      <c r="K138" s="67">
        <f t="shared" si="19"/>
        <v>0</v>
      </c>
      <c r="L138" s="67">
        <f t="shared" si="19"/>
        <v>0</v>
      </c>
      <c r="M138" s="67">
        <f t="shared" si="19"/>
        <v>0</v>
      </c>
      <c r="N138" s="67">
        <f t="shared" si="19"/>
        <v>0</v>
      </c>
      <c r="O138" s="67">
        <f t="shared" si="20"/>
        <v>-20799933.700000003</v>
      </c>
    </row>
    <row r="139" spans="2:15" x14ac:dyDescent="0.15">
      <c r="B139" s="103">
        <v>-0.15</v>
      </c>
      <c r="C139" s="67">
        <f>C99+C$120+C$121+C125+C$134+C$135</f>
        <v>-92550000</v>
      </c>
      <c r="D139" s="67">
        <f t="shared" si="19"/>
        <v>0</v>
      </c>
      <c r="E139" s="67">
        <f t="shared" si="19"/>
        <v>0</v>
      </c>
      <c r="F139" s="67">
        <f t="shared" si="19"/>
        <v>0</v>
      </c>
      <c r="G139" s="67">
        <f t="shared" si="19"/>
        <v>0</v>
      </c>
      <c r="H139" s="67">
        <f t="shared" si="19"/>
        <v>71750066.299999997</v>
      </c>
      <c r="I139" s="67">
        <f t="shared" si="19"/>
        <v>0</v>
      </c>
      <c r="J139" s="67">
        <f t="shared" si="19"/>
        <v>0</v>
      </c>
      <c r="K139" s="67">
        <f t="shared" si="19"/>
        <v>0</v>
      </c>
      <c r="L139" s="67">
        <f t="shared" si="19"/>
        <v>0</v>
      </c>
      <c r="M139" s="67">
        <f t="shared" si="19"/>
        <v>0</v>
      </c>
      <c r="N139" s="67">
        <f t="shared" si="19"/>
        <v>0</v>
      </c>
      <c r="O139" s="67">
        <f t="shared" si="20"/>
        <v>-20799933.700000003</v>
      </c>
    </row>
    <row r="140" spans="2:15" x14ac:dyDescent="0.15">
      <c r="B140" s="103">
        <v>-0.1</v>
      </c>
      <c r="C140" s="67">
        <f>C100+C$120+C$121+C126+C$134+C$135</f>
        <v>-92550000</v>
      </c>
      <c r="D140" s="67">
        <f t="shared" si="19"/>
        <v>0</v>
      </c>
      <c r="E140" s="67">
        <f t="shared" si="19"/>
        <v>0</v>
      </c>
      <c r="F140" s="67">
        <f t="shared" si="19"/>
        <v>0</v>
      </c>
      <c r="G140" s="67">
        <f t="shared" si="19"/>
        <v>0</v>
      </c>
      <c r="H140" s="67">
        <f t="shared" si="19"/>
        <v>71750066.299999997</v>
      </c>
      <c r="I140" s="67">
        <f t="shared" si="19"/>
        <v>0</v>
      </c>
      <c r="J140" s="67">
        <f t="shared" si="19"/>
        <v>0</v>
      </c>
      <c r="K140" s="67">
        <f t="shared" si="19"/>
        <v>0</v>
      </c>
      <c r="L140" s="67">
        <f t="shared" si="19"/>
        <v>0</v>
      </c>
      <c r="M140" s="67">
        <f t="shared" si="19"/>
        <v>0</v>
      </c>
      <c r="N140" s="67">
        <f t="shared" si="19"/>
        <v>0</v>
      </c>
      <c r="O140" s="67">
        <f t="shared" si="20"/>
        <v>-20799933.700000003</v>
      </c>
    </row>
    <row r="141" spans="2:15" x14ac:dyDescent="0.15">
      <c r="B141" s="103">
        <v>-0.05</v>
      </c>
      <c r="C141" s="67">
        <f>C101+C$120+C$121+C127+C$134+C$135</f>
        <v>-92550000</v>
      </c>
      <c r="D141" s="67">
        <f t="shared" si="19"/>
        <v>0</v>
      </c>
      <c r="E141" s="67">
        <f t="shared" si="19"/>
        <v>0</v>
      </c>
      <c r="F141" s="67">
        <f t="shared" si="19"/>
        <v>0</v>
      </c>
      <c r="G141" s="67">
        <f t="shared" si="19"/>
        <v>0</v>
      </c>
      <c r="H141" s="67">
        <f t="shared" si="19"/>
        <v>71750066.299999997</v>
      </c>
      <c r="I141" s="67">
        <f t="shared" si="19"/>
        <v>0</v>
      </c>
      <c r="J141" s="67">
        <f t="shared" si="19"/>
        <v>0</v>
      </c>
      <c r="K141" s="67">
        <f t="shared" si="19"/>
        <v>0</v>
      </c>
      <c r="L141" s="67">
        <f t="shared" si="19"/>
        <v>0</v>
      </c>
      <c r="M141" s="67">
        <f t="shared" si="19"/>
        <v>0</v>
      </c>
      <c r="N141" s="67">
        <f t="shared" si="19"/>
        <v>0</v>
      </c>
      <c r="O141" s="67">
        <f t="shared" si="20"/>
        <v>-20799933.700000003</v>
      </c>
    </row>
    <row r="142" spans="2:15" x14ac:dyDescent="0.15">
      <c r="B142" s="103"/>
      <c r="C142" s="67"/>
      <c r="D142" s="67"/>
      <c r="E142" s="67"/>
      <c r="F142" s="67"/>
      <c r="G142" s="67"/>
      <c r="H142" s="67"/>
      <c r="I142" s="67"/>
      <c r="J142" s="67"/>
      <c r="K142" s="67"/>
      <c r="L142" s="67"/>
      <c r="M142" s="67"/>
      <c r="N142" s="67"/>
      <c r="O142" s="67"/>
    </row>
    <row r="143" spans="2:15" x14ac:dyDescent="0.15">
      <c r="B143" s="103">
        <v>0.05</v>
      </c>
      <c r="C143" s="67">
        <f t="shared" ref="C143:N147" si="21">C103+C$120+C$121+C129+C$134+C$135</f>
        <v>-92550000</v>
      </c>
      <c r="D143" s="67">
        <f t="shared" si="21"/>
        <v>0</v>
      </c>
      <c r="E143" s="67">
        <f t="shared" si="21"/>
        <v>0</v>
      </c>
      <c r="F143" s="67">
        <f t="shared" si="21"/>
        <v>0</v>
      </c>
      <c r="G143" s="67">
        <f t="shared" si="21"/>
        <v>0</v>
      </c>
      <c r="H143" s="67">
        <f t="shared" si="21"/>
        <v>71750066.299999997</v>
      </c>
      <c r="I143" s="67">
        <f t="shared" si="21"/>
        <v>0</v>
      </c>
      <c r="J143" s="67">
        <f t="shared" si="21"/>
        <v>0</v>
      </c>
      <c r="K143" s="67">
        <f t="shared" si="21"/>
        <v>0</v>
      </c>
      <c r="L143" s="67">
        <f t="shared" si="21"/>
        <v>0</v>
      </c>
      <c r="M143" s="67">
        <f t="shared" si="21"/>
        <v>0</v>
      </c>
      <c r="N143" s="67">
        <f t="shared" si="21"/>
        <v>0</v>
      </c>
      <c r="O143" s="67">
        <f t="shared" si="20"/>
        <v>-20799933.700000003</v>
      </c>
    </row>
    <row r="144" spans="2:15" x14ac:dyDescent="0.15">
      <c r="B144" s="103">
        <v>0.1</v>
      </c>
      <c r="C144" s="67">
        <f t="shared" si="21"/>
        <v>-92550000</v>
      </c>
      <c r="D144" s="67">
        <f t="shared" si="21"/>
        <v>0</v>
      </c>
      <c r="E144" s="67">
        <f t="shared" si="21"/>
        <v>0</v>
      </c>
      <c r="F144" s="67">
        <f t="shared" si="21"/>
        <v>0</v>
      </c>
      <c r="G144" s="67">
        <f t="shared" si="21"/>
        <v>0</v>
      </c>
      <c r="H144" s="67">
        <f t="shared" si="21"/>
        <v>71750066.299999997</v>
      </c>
      <c r="I144" s="67">
        <f t="shared" si="21"/>
        <v>0</v>
      </c>
      <c r="J144" s="67">
        <f t="shared" si="21"/>
        <v>0</v>
      </c>
      <c r="K144" s="67">
        <f t="shared" si="21"/>
        <v>0</v>
      </c>
      <c r="L144" s="67">
        <f t="shared" si="21"/>
        <v>0</v>
      </c>
      <c r="M144" s="67">
        <f t="shared" si="21"/>
        <v>0</v>
      </c>
      <c r="N144" s="67">
        <f t="shared" si="21"/>
        <v>0</v>
      </c>
      <c r="O144" s="67">
        <f t="shared" si="20"/>
        <v>-20799933.700000003</v>
      </c>
    </row>
    <row r="145" spans="2:15" x14ac:dyDescent="0.15">
      <c r="B145" s="103">
        <v>0.15</v>
      </c>
      <c r="C145" s="67">
        <f t="shared" si="21"/>
        <v>-92550000</v>
      </c>
      <c r="D145" s="67">
        <f t="shared" si="21"/>
        <v>0</v>
      </c>
      <c r="E145" s="67">
        <f t="shared" si="21"/>
        <v>0</v>
      </c>
      <c r="F145" s="67">
        <f t="shared" si="21"/>
        <v>0</v>
      </c>
      <c r="G145" s="67">
        <f t="shared" si="21"/>
        <v>0</v>
      </c>
      <c r="H145" s="67">
        <f t="shared" si="21"/>
        <v>71750066.299999997</v>
      </c>
      <c r="I145" s="67">
        <f t="shared" si="21"/>
        <v>0</v>
      </c>
      <c r="J145" s="67">
        <f t="shared" si="21"/>
        <v>0</v>
      </c>
      <c r="K145" s="67">
        <f t="shared" si="21"/>
        <v>0</v>
      </c>
      <c r="L145" s="67">
        <f t="shared" si="21"/>
        <v>0</v>
      </c>
      <c r="M145" s="67">
        <f t="shared" si="21"/>
        <v>0</v>
      </c>
      <c r="N145" s="67">
        <f t="shared" si="21"/>
        <v>0</v>
      </c>
      <c r="O145" s="67">
        <f t="shared" si="20"/>
        <v>-20799933.700000003</v>
      </c>
    </row>
    <row r="146" spans="2:15" x14ac:dyDescent="0.15">
      <c r="B146" s="103">
        <v>0.2</v>
      </c>
      <c r="C146" s="67">
        <f t="shared" si="21"/>
        <v>-92550000</v>
      </c>
      <c r="D146" s="67">
        <f t="shared" si="21"/>
        <v>0</v>
      </c>
      <c r="E146" s="67">
        <f t="shared" si="21"/>
        <v>0</v>
      </c>
      <c r="F146" s="67">
        <f t="shared" si="21"/>
        <v>0</v>
      </c>
      <c r="G146" s="67">
        <f t="shared" si="21"/>
        <v>0</v>
      </c>
      <c r="H146" s="67">
        <f t="shared" si="21"/>
        <v>71750066.299999997</v>
      </c>
      <c r="I146" s="67">
        <f t="shared" si="21"/>
        <v>0</v>
      </c>
      <c r="J146" s="67">
        <f t="shared" si="21"/>
        <v>0</v>
      </c>
      <c r="K146" s="67">
        <f t="shared" si="21"/>
        <v>0</v>
      </c>
      <c r="L146" s="67">
        <f t="shared" si="21"/>
        <v>0</v>
      </c>
      <c r="M146" s="67">
        <f t="shared" si="21"/>
        <v>0</v>
      </c>
      <c r="N146" s="67">
        <f t="shared" si="21"/>
        <v>0</v>
      </c>
      <c r="O146" s="67">
        <f t="shared" si="20"/>
        <v>-20799933.700000003</v>
      </c>
    </row>
    <row r="147" spans="2:15" ht="14" thickBot="1" x14ac:dyDescent="0.2">
      <c r="B147" s="103">
        <v>0.25</v>
      </c>
      <c r="C147" s="67">
        <f t="shared" si="21"/>
        <v>-92550000</v>
      </c>
      <c r="D147" s="67">
        <f t="shared" si="21"/>
        <v>0</v>
      </c>
      <c r="E147" s="67">
        <f t="shared" si="21"/>
        <v>0</v>
      </c>
      <c r="F147" s="67">
        <f t="shared" si="21"/>
        <v>0</v>
      </c>
      <c r="G147" s="67">
        <f t="shared" si="21"/>
        <v>0</v>
      </c>
      <c r="H147" s="67">
        <f t="shared" si="21"/>
        <v>71750066.299999997</v>
      </c>
      <c r="I147" s="67">
        <f t="shared" si="21"/>
        <v>0</v>
      </c>
      <c r="J147" s="67">
        <f t="shared" si="21"/>
        <v>0</v>
      </c>
      <c r="K147" s="67">
        <f t="shared" si="21"/>
        <v>0</v>
      </c>
      <c r="L147" s="67">
        <f t="shared" si="21"/>
        <v>0</v>
      </c>
      <c r="M147" s="67">
        <f t="shared" si="21"/>
        <v>0</v>
      </c>
      <c r="N147" s="95">
        <f t="shared" si="21"/>
        <v>0</v>
      </c>
      <c r="O147" s="95">
        <f t="shared" si="20"/>
        <v>-20799933.700000003</v>
      </c>
    </row>
    <row r="148" spans="2:15" ht="14" thickTop="1" x14ac:dyDescent="0.15">
      <c r="B148" s="96" t="s">
        <v>642</v>
      </c>
      <c r="C148" s="96"/>
      <c r="D148" s="96"/>
      <c r="E148" s="96"/>
      <c r="F148" s="96"/>
      <c r="G148" s="96"/>
      <c r="H148" s="96"/>
      <c r="I148" s="96"/>
      <c r="J148" s="96"/>
      <c r="K148" s="96"/>
      <c r="L148" s="96"/>
      <c r="M148" s="96"/>
      <c r="O148" s="96"/>
    </row>
    <row r="149" spans="2:15" x14ac:dyDescent="0.15">
      <c r="B149" s="103">
        <v>-0.25</v>
      </c>
      <c r="C149" s="68">
        <f>C85+C137</f>
        <v>-92550000</v>
      </c>
      <c r="D149" s="68">
        <f t="shared" ref="D149:L153" si="22">D85+D137</f>
        <v>50012750</v>
      </c>
      <c r="E149" s="68">
        <f t="shared" si="22"/>
        <v>44202792.500000022</v>
      </c>
      <c r="F149" s="68">
        <f t="shared" si="22"/>
        <v>35442192.08412499</v>
      </c>
      <c r="G149" s="68">
        <f t="shared" si="22"/>
        <v>25111356.707490433</v>
      </c>
      <c r="H149" s="68">
        <f t="shared" si="22"/>
        <v>84401062.478848949</v>
      </c>
      <c r="I149" s="68">
        <f t="shared" si="22"/>
        <v>0</v>
      </c>
      <c r="J149" s="68">
        <f t="shared" si="22"/>
        <v>0</v>
      </c>
      <c r="K149" s="68">
        <f t="shared" si="22"/>
        <v>0</v>
      </c>
      <c r="L149" s="68">
        <f t="shared" si="22"/>
        <v>0</v>
      </c>
      <c r="M149" s="68">
        <f>M85+M137+N137</f>
        <v>0</v>
      </c>
      <c r="N149" s="164"/>
      <c r="O149" s="67">
        <f>SUM(C149:N149)</f>
        <v>146620153.77046439</v>
      </c>
    </row>
    <row r="150" spans="2:15" x14ac:dyDescent="0.15">
      <c r="B150" s="103">
        <v>-0.2</v>
      </c>
      <c r="C150" s="68">
        <f>C86+C138</f>
        <v>-92550000</v>
      </c>
      <c r="D150" s="68">
        <f t="shared" si="22"/>
        <v>50012750</v>
      </c>
      <c r="E150" s="68">
        <f t="shared" si="22"/>
        <v>44202792.500000022</v>
      </c>
      <c r="F150" s="68">
        <f t="shared" si="22"/>
        <v>35442192.08412499</v>
      </c>
      <c r="G150" s="68">
        <f t="shared" si="22"/>
        <v>25111356.707490433</v>
      </c>
      <c r="H150" s="68">
        <f t="shared" si="22"/>
        <v>84401062.478848949</v>
      </c>
      <c r="I150" s="68">
        <f t="shared" si="22"/>
        <v>0</v>
      </c>
      <c r="J150" s="68">
        <f t="shared" si="22"/>
        <v>0</v>
      </c>
      <c r="K150" s="68">
        <f t="shared" si="22"/>
        <v>0</v>
      </c>
      <c r="L150" s="68">
        <f t="shared" si="22"/>
        <v>0</v>
      </c>
      <c r="M150" s="68">
        <f>M86+M138+N138</f>
        <v>0</v>
      </c>
      <c r="N150" s="164"/>
      <c r="O150" s="67">
        <f t="shared" ref="O150:O159" si="23">SUM(C150:N150)</f>
        <v>146620153.77046439</v>
      </c>
    </row>
    <row r="151" spans="2:15" x14ac:dyDescent="0.15">
      <c r="B151" s="103">
        <v>-0.15</v>
      </c>
      <c r="C151" s="68">
        <f>C87+C139</f>
        <v>-92550000</v>
      </c>
      <c r="D151" s="68">
        <f t="shared" si="22"/>
        <v>50012750</v>
      </c>
      <c r="E151" s="68">
        <f t="shared" si="22"/>
        <v>44202792.500000022</v>
      </c>
      <c r="F151" s="68">
        <f t="shared" si="22"/>
        <v>35442192.08412499</v>
      </c>
      <c r="G151" s="68">
        <f t="shared" si="22"/>
        <v>25111356.707490433</v>
      </c>
      <c r="H151" s="68">
        <f t="shared" si="22"/>
        <v>84401062.478848949</v>
      </c>
      <c r="I151" s="68">
        <f t="shared" si="22"/>
        <v>0</v>
      </c>
      <c r="J151" s="68">
        <f t="shared" si="22"/>
        <v>0</v>
      </c>
      <c r="K151" s="68">
        <f t="shared" si="22"/>
        <v>0</v>
      </c>
      <c r="L151" s="68">
        <f t="shared" si="22"/>
        <v>0</v>
      </c>
      <c r="M151" s="68">
        <f>M87+M139+N139</f>
        <v>0</v>
      </c>
      <c r="N151" s="164"/>
      <c r="O151" s="67">
        <f t="shared" si="23"/>
        <v>146620153.77046439</v>
      </c>
    </row>
    <row r="152" spans="2:15" x14ac:dyDescent="0.15">
      <c r="B152" s="103">
        <v>-0.1</v>
      </c>
      <c r="C152" s="68">
        <f>C88+C140</f>
        <v>-92550000</v>
      </c>
      <c r="D152" s="68">
        <f t="shared" si="22"/>
        <v>50012750</v>
      </c>
      <c r="E152" s="68">
        <f t="shared" si="22"/>
        <v>44202792.500000022</v>
      </c>
      <c r="F152" s="68">
        <f t="shared" si="22"/>
        <v>35442192.08412499</v>
      </c>
      <c r="G152" s="68">
        <f t="shared" si="22"/>
        <v>25111356.707490433</v>
      </c>
      <c r="H152" s="68">
        <f t="shared" si="22"/>
        <v>84401062.478848949</v>
      </c>
      <c r="I152" s="68">
        <f t="shared" si="22"/>
        <v>0</v>
      </c>
      <c r="J152" s="68">
        <f t="shared" si="22"/>
        <v>0</v>
      </c>
      <c r="K152" s="68">
        <f t="shared" si="22"/>
        <v>0</v>
      </c>
      <c r="L152" s="68">
        <f t="shared" si="22"/>
        <v>0</v>
      </c>
      <c r="M152" s="68">
        <f>M88+M140+N140</f>
        <v>0</v>
      </c>
      <c r="N152" s="164"/>
      <c r="O152" s="67">
        <f t="shared" si="23"/>
        <v>146620153.77046439</v>
      </c>
    </row>
    <row r="153" spans="2:15" x14ac:dyDescent="0.15">
      <c r="B153" s="103">
        <v>-0.05</v>
      </c>
      <c r="C153" s="68">
        <f>C89+C141</f>
        <v>-92550000</v>
      </c>
      <c r="D153" s="68">
        <f t="shared" si="22"/>
        <v>50012750</v>
      </c>
      <c r="E153" s="68">
        <f t="shared" si="22"/>
        <v>44202792.500000022</v>
      </c>
      <c r="F153" s="68">
        <f t="shared" si="22"/>
        <v>35442192.08412499</v>
      </c>
      <c r="G153" s="68">
        <f t="shared" si="22"/>
        <v>25111356.707490433</v>
      </c>
      <c r="H153" s="68">
        <f t="shared" si="22"/>
        <v>84401062.478848949</v>
      </c>
      <c r="I153" s="68">
        <f t="shared" si="22"/>
        <v>0</v>
      </c>
      <c r="J153" s="68">
        <f t="shared" si="22"/>
        <v>0</v>
      </c>
      <c r="K153" s="68">
        <f t="shared" si="22"/>
        <v>0</v>
      </c>
      <c r="L153" s="68">
        <f t="shared" si="22"/>
        <v>0</v>
      </c>
      <c r="M153" s="68">
        <f>M89+M141+N141</f>
        <v>0</v>
      </c>
      <c r="N153" s="164"/>
      <c r="O153" s="67">
        <f t="shared" si="23"/>
        <v>146620153.77046439</v>
      </c>
    </row>
    <row r="154" spans="2:15" x14ac:dyDescent="0.15">
      <c r="B154" s="103">
        <v>0</v>
      </c>
      <c r="C154" s="68">
        <f>'After Tax Analysis'!D28</f>
        <v>-92550000</v>
      </c>
      <c r="D154" s="68">
        <f>'After Tax Analysis'!E28</f>
        <v>50012750</v>
      </c>
      <c r="E154" s="68">
        <f>'After Tax Analysis'!F28</f>
        <v>44202792.500000022</v>
      </c>
      <c r="F154" s="68">
        <f>'After Tax Analysis'!G28</f>
        <v>35442192.08412499</v>
      </c>
      <c r="G154" s="68">
        <f>'After Tax Analysis'!H28</f>
        <v>25111356.707490433</v>
      </c>
      <c r="H154" s="68">
        <f>'After Tax Analysis'!I28</f>
        <v>84401062.478848949</v>
      </c>
      <c r="I154" s="68">
        <f>'After Tax Analysis'!J28</f>
        <v>0</v>
      </c>
      <c r="J154" s="68">
        <f>'After Tax Analysis'!K28</f>
        <v>0</v>
      </c>
      <c r="K154" s="68">
        <f>'After Tax Analysis'!L28</f>
        <v>0</v>
      </c>
      <c r="L154" s="68">
        <f>'After Tax Analysis'!M28</f>
        <v>0</v>
      </c>
      <c r="M154" s="68">
        <f>'After Tax Analysis'!N28</f>
        <v>0</v>
      </c>
      <c r="N154" s="164"/>
      <c r="O154" s="67">
        <f t="shared" si="23"/>
        <v>146620153.77046439</v>
      </c>
    </row>
    <row r="155" spans="2:15" x14ac:dyDescent="0.15">
      <c r="B155" s="103">
        <v>0.05</v>
      </c>
      <c r="C155" s="68">
        <f t="shared" ref="C155:L159" si="24">C91+C143</f>
        <v>-92550000</v>
      </c>
      <c r="D155" s="68">
        <f t="shared" si="24"/>
        <v>50012750</v>
      </c>
      <c r="E155" s="68">
        <f t="shared" si="24"/>
        <v>44202792.500000022</v>
      </c>
      <c r="F155" s="68">
        <f t="shared" si="24"/>
        <v>35442192.08412499</v>
      </c>
      <c r="G155" s="68">
        <f t="shared" si="24"/>
        <v>25111356.707490433</v>
      </c>
      <c r="H155" s="68">
        <f t="shared" si="24"/>
        <v>84401062.478848949</v>
      </c>
      <c r="I155" s="68">
        <f t="shared" si="24"/>
        <v>0</v>
      </c>
      <c r="J155" s="68">
        <f t="shared" si="24"/>
        <v>0</v>
      </c>
      <c r="K155" s="68">
        <f t="shared" si="24"/>
        <v>0</v>
      </c>
      <c r="L155" s="68">
        <f t="shared" si="24"/>
        <v>0</v>
      </c>
      <c r="M155" s="68">
        <f>M91+M143+N143</f>
        <v>0</v>
      </c>
      <c r="N155" s="164"/>
      <c r="O155" s="67">
        <f t="shared" si="23"/>
        <v>146620153.77046439</v>
      </c>
    </row>
    <row r="156" spans="2:15" x14ac:dyDescent="0.15">
      <c r="B156" s="103">
        <v>0.1</v>
      </c>
      <c r="C156" s="68">
        <f t="shared" si="24"/>
        <v>-92550000</v>
      </c>
      <c r="D156" s="68">
        <f t="shared" si="24"/>
        <v>50012750</v>
      </c>
      <c r="E156" s="68">
        <f t="shared" si="24"/>
        <v>44202792.500000022</v>
      </c>
      <c r="F156" s="68">
        <f t="shared" si="24"/>
        <v>35442192.08412499</v>
      </c>
      <c r="G156" s="68">
        <f t="shared" si="24"/>
        <v>25111356.707490433</v>
      </c>
      <c r="H156" s="68">
        <f t="shared" si="24"/>
        <v>84401062.478848949</v>
      </c>
      <c r="I156" s="68">
        <f t="shared" si="24"/>
        <v>0</v>
      </c>
      <c r="J156" s="68">
        <f t="shared" si="24"/>
        <v>0</v>
      </c>
      <c r="K156" s="68">
        <f t="shared" si="24"/>
        <v>0</v>
      </c>
      <c r="L156" s="68">
        <f t="shared" si="24"/>
        <v>0</v>
      </c>
      <c r="M156" s="68">
        <f>M92+M144+N144</f>
        <v>0</v>
      </c>
      <c r="N156" s="164"/>
      <c r="O156" s="67">
        <f t="shared" si="23"/>
        <v>146620153.77046439</v>
      </c>
    </row>
    <row r="157" spans="2:15" x14ac:dyDescent="0.15">
      <c r="B157" s="103">
        <v>0.15</v>
      </c>
      <c r="C157" s="68">
        <f t="shared" si="24"/>
        <v>-92550000</v>
      </c>
      <c r="D157" s="68">
        <f t="shared" si="24"/>
        <v>50012750</v>
      </c>
      <c r="E157" s="68">
        <f t="shared" si="24"/>
        <v>44202792.500000022</v>
      </c>
      <c r="F157" s="68">
        <f t="shared" si="24"/>
        <v>35442192.08412499</v>
      </c>
      <c r="G157" s="68">
        <f t="shared" si="24"/>
        <v>25111356.707490433</v>
      </c>
      <c r="H157" s="68">
        <f t="shared" si="24"/>
        <v>84401062.478848949</v>
      </c>
      <c r="I157" s="68">
        <f t="shared" si="24"/>
        <v>0</v>
      </c>
      <c r="J157" s="68">
        <f t="shared" si="24"/>
        <v>0</v>
      </c>
      <c r="K157" s="68">
        <f t="shared" si="24"/>
        <v>0</v>
      </c>
      <c r="L157" s="68">
        <f t="shared" si="24"/>
        <v>0</v>
      </c>
      <c r="M157" s="68">
        <f>M93+M145+N145</f>
        <v>0</v>
      </c>
      <c r="N157" s="164"/>
      <c r="O157" s="67">
        <f t="shared" si="23"/>
        <v>146620153.77046439</v>
      </c>
    </row>
    <row r="158" spans="2:15" x14ac:dyDescent="0.15">
      <c r="B158" s="103">
        <v>0.2</v>
      </c>
      <c r="C158" s="68">
        <f t="shared" si="24"/>
        <v>-92550000</v>
      </c>
      <c r="D158" s="68">
        <f t="shared" si="24"/>
        <v>50012750</v>
      </c>
      <c r="E158" s="68">
        <f t="shared" si="24"/>
        <v>44202792.500000022</v>
      </c>
      <c r="F158" s="68">
        <f t="shared" si="24"/>
        <v>35442192.08412499</v>
      </c>
      <c r="G158" s="68">
        <f t="shared" si="24"/>
        <v>25111356.707490433</v>
      </c>
      <c r="H158" s="68">
        <f t="shared" si="24"/>
        <v>84401062.478848949</v>
      </c>
      <c r="I158" s="68">
        <f t="shared" si="24"/>
        <v>0</v>
      </c>
      <c r="J158" s="68">
        <f t="shared" si="24"/>
        <v>0</v>
      </c>
      <c r="K158" s="68">
        <f t="shared" si="24"/>
        <v>0</v>
      </c>
      <c r="L158" s="68">
        <f t="shared" si="24"/>
        <v>0</v>
      </c>
      <c r="M158" s="68">
        <f>M94+M146+N146</f>
        <v>0</v>
      </c>
      <c r="N158" s="164"/>
      <c r="O158" s="67">
        <f t="shared" si="23"/>
        <v>146620153.77046439</v>
      </c>
    </row>
    <row r="159" spans="2:15" x14ac:dyDescent="0.15">
      <c r="B159" s="103">
        <v>0.25</v>
      </c>
      <c r="C159" s="68">
        <f t="shared" si="24"/>
        <v>-92550000</v>
      </c>
      <c r="D159" s="68">
        <f t="shared" si="24"/>
        <v>50012750</v>
      </c>
      <c r="E159" s="68">
        <f t="shared" si="24"/>
        <v>44202792.500000022</v>
      </c>
      <c r="F159" s="68">
        <f t="shared" si="24"/>
        <v>35442192.08412499</v>
      </c>
      <c r="G159" s="68">
        <f t="shared" si="24"/>
        <v>25111356.707490433</v>
      </c>
      <c r="H159" s="68">
        <f t="shared" si="24"/>
        <v>84401062.478848949</v>
      </c>
      <c r="I159" s="68">
        <f t="shared" si="24"/>
        <v>0</v>
      </c>
      <c r="J159" s="68">
        <f t="shared" si="24"/>
        <v>0</v>
      </c>
      <c r="K159" s="68">
        <f t="shared" si="24"/>
        <v>0</v>
      </c>
      <c r="L159" s="68">
        <f t="shared" si="24"/>
        <v>0</v>
      </c>
      <c r="M159" s="68">
        <f>M95+M147+N147</f>
        <v>0</v>
      </c>
      <c r="N159" s="164"/>
      <c r="O159" s="67">
        <f t="shared" si="23"/>
        <v>146620153.77046439</v>
      </c>
    </row>
    <row r="160" spans="2:15" x14ac:dyDescent="0.15">
      <c r="B160" s="12" t="s">
        <v>340</v>
      </c>
      <c r="C160" s="101">
        <f>'After Tax Analysis'!D30</f>
        <v>1</v>
      </c>
      <c r="D160" s="101">
        <f>'After Tax Analysis'!E30</f>
        <v>0.86206896551724144</v>
      </c>
      <c r="E160" s="101">
        <f>'After Tax Analysis'!F30</f>
        <v>0.74316290130796681</v>
      </c>
      <c r="F160" s="101">
        <f>'After Tax Analysis'!G30</f>
        <v>0.64065767354135073</v>
      </c>
      <c r="G160" s="101">
        <f>'After Tax Analysis'!H30</f>
        <v>0.5522910978804747</v>
      </c>
      <c r="H160" s="101">
        <f>'After Tax Analysis'!I30</f>
        <v>0.47611301541420237</v>
      </c>
      <c r="I160" s="101">
        <f>'After Tax Analysis'!J30</f>
        <v>0.41044225466741585</v>
      </c>
      <c r="J160" s="101">
        <f>'After Tax Analysis'!K30</f>
        <v>0.35382952988570338</v>
      </c>
      <c r="K160" s="101">
        <f>'After Tax Analysis'!L30</f>
        <v>0.30502545679802012</v>
      </c>
      <c r="L160" s="101">
        <f>'After Tax Analysis'!M30</f>
        <v>0.26295297999829326</v>
      </c>
      <c r="M160" s="101">
        <f>'After Tax Analysis'!N30</f>
        <v>0.22668360344680452</v>
      </c>
      <c r="N160" s="164"/>
      <c r="O160" s="102">
        <v>0</v>
      </c>
    </row>
    <row r="161" spans="2:15" x14ac:dyDescent="0.15">
      <c r="B161" s="12" t="s">
        <v>643</v>
      </c>
      <c r="C161" s="12"/>
      <c r="D161" s="12"/>
      <c r="E161" s="12"/>
      <c r="F161" s="12"/>
      <c r="G161" s="12"/>
      <c r="H161" s="12"/>
      <c r="I161" s="12"/>
      <c r="J161" s="12"/>
      <c r="K161" s="12"/>
      <c r="L161" s="12"/>
      <c r="M161" s="12"/>
      <c r="N161" s="164"/>
      <c r="O161" s="12"/>
    </row>
    <row r="162" spans="2:15" x14ac:dyDescent="0.15">
      <c r="B162" s="103">
        <v>-0.25</v>
      </c>
      <c r="C162" s="67">
        <f>C149*C$160</f>
        <v>-92550000</v>
      </c>
      <c r="D162" s="67">
        <f t="shared" ref="D162:M166" si="25">D149*D$160</f>
        <v>43114439.655172415</v>
      </c>
      <c r="E162" s="67">
        <f t="shared" si="25"/>
        <v>32849875.520214051</v>
      </c>
      <c r="F162" s="67">
        <f t="shared" si="25"/>
        <v>22706312.325821191</v>
      </c>
      <c r="G162" s="67">
        <f t="shared" si="25"/>
        <v>13868778.765248114</v>
      </c>
      <c r="H162" s="67">
        <f t="shared" si="25"/>
        <v>40184444.360967264</v>
      </c>
      <c r="I162" s="67">
        <f t="shared" si="25"/>
        <v>0</v>
      </c>
      <c r="J162" s="67">
        <f t="shared" si="25"/>
        <v>0</v>
      </c>
      <c r="K162" s="67">
        <f t="shared" si="25"/>
        <v>0</v>
      </c>
      <c r="L162" s="67">
        <f t="shared" si="25"/>
        <v>0</v>
      </c>
      <c r="M162" s="67">
        <f t="shared" si="25"/>
        <v>0</v>
      </c>
      <c r="N162" s="164"/>
      <c r="O162" s="67">
        <f t="shared" ref="O162:O172" si="26">SUM(C162:M162)</f>
        <v>60173850.627423033</v>
      </c>
    </row>
    <row r="163" spans="2:15" x14ac:dyDescent="0.15">
      <c r="B163" s="103">
        <v>-0.2</v>
      </c>
      <c r="C163" s="67">
        <f>C150*C$160</f>
        <v>-92550000</v>
      </c>
      <c r="D163" s="67">
        <f t="shared" si="25"/>
        <v>43114439.655172415</v>
      </c>
      <c r="E163" s="67">
        <f t="shared" si="25"/>
        <v>32849875.520214051</v>
      </c>
      <c r="F163" s="67">
        <f t="shared" si="25"/>
        <v>22706312.325821191</v>
      </c>
      <c r="G163" s="67">
        <f t="shared" si="25"/>
        <v>13868778.765248114</v>
      </c>
      <c r="H163" s="67">
        <f t="shared" si="25"/>
        <v>40184444.360967264</v>
      </c>
      <c r="I163" s="67">
        <f t="shared" si="25"/>
        <v>0</v>
      </c>
      <c r="J163" s="67">
        <f t="shared" si="25"/>
        <v>0</v>
      </c>
      <c r="K163" s="67">
        <f t="shared" si="25"/>
        <v>0</v>
      </c>
      <c r="L163" s="67">
        <f t="shared" si="25"/>
        <v>0</v>
      </c>
      <c r="M163" s="67">
        <f t="shared" si="25"/>
        <v>0</v>
      </c>
      <c r="N163" s="164"/>
      <c r="O163" s="67">
        <f t="shared" si="26"/>
        <v>60173850.627423033</v>
      </c>
    </row>
    <row r="164" spans="2:15" x14ac:dyDescent="0.15">
      <c r="B164" s="103">
        <v>-0.15</v>
      </c>
      <c r="C164" s="67">
        <f>C151*C$160</f>
        <v>-92550000</v>
      </c>
      <c r="D164" s="67">
        <f t="shared" si="25"/>
        <v>43114439.655172415</v>
      </c>
      <c r="E164" s="67">
        <f t="shared" si="25"/>
        <v>32849875.520214051</v>
      </c>
      <c r="F164" s="67">
        <f t="shared" si="25"/>
        <v>22706312.325821191</v>
      </c>
      <c r="G164" s="67">
        <f t="shared" si="25"/>
        <v>13868778.765248114</v>
      </c>
      <c r="H164" s="67">
        <f t="shared" si="25"/>
        <v>40184444.360967264</v>
      </c>
      <c r="I164" s="67">
        <f t="shared" si="25"/>
        <v>0</v>
      </c>
      <c r="J164" s="67">
        <f t="shared" si="25"/>
        <v>0</v>
      </c>
      <c r="K164" s="67">
        <f t="shared" si="25"/>
        <v>0</v>
      </c>
      <c r="L164" s="67">
        <f t="shared" si="25"/>
        <v>0</v>
      </c>
      <c r="M164" s="67">
        <f t="shared" si="25"/>
        <v>0</v>
      </c>
      <c r="N164" s="164"/>
      <c r="O164" s="67">
        <f t="shared" si="26"/>
        <v>60173850.627423033</v>
      </c>
    </row>
    <row r="165" spans="2:15" x14ac:dyDescent="0.15">
      <c r="B165" s="103">
        <v>-0.1</v>
      </c>
      <c r="C165" s="67">
        <f>C152*C$160</f>
        <v>-92550000</v>
      </c>
      <c r="D165" s="67">
        <f t="shared" si="25"/>
        <v>43114439.655172415</v>
      </c>
      <c r="E165" s="67">
        <f t="shared" si="25"/>
        <v>32849875.520214051</v>
      </c>
      <c r="F165" s="67">
        <f t="shared" si="25"/>
        <v>22706312.325821191</v>
      </c>
      <c r="G165" s="67">
        <f t="shared" si="25"/>
        <v>13868778.765248114</v>
      </c>
      <c r="H165" s="67">
        <f t="shared" si="25"/>
        <v>40184444.360967264</v>
      </c>
      <c r="I165" s="67">
        <f t="shared" si="25"/>
        <v>0</v>
      </c>
      <c r="J165" s="67">
        <f t="shared" si="25"/>
        <v>0</v>
      </c>
      <c r="K165" s="67">
        <f t="shared" si="25"/>
        <v>0</v>
      </c>
      <c r="L165" s="67">
        <f t="shared" si="25"/>
        <v>0</v>
      </c>
      <c r="M165" s="67">
        <f t="shared" si="25"/>
        <v>0</v>
      </c>
      <c r="N165" s="164"/>
      <c r="O165" s="67">
        <f t="shared" si="26"/>
        <v>60173850.627423033</v>
      </c>
    </row>
    <row r="166" spans="2:15" x14ac:dyDescent="0.15">
      <c r="B166" s="103">
        <v>-0.05</v>
      </c>
      <c r="C166" s="67">
        <f>C153*C$160</f>
        <v>-92550000</v>
      </c>
      <c r="D166" s="67">
        <f t="shared" si="25"/>
        <v>43114439.655172415</v>
      </c>
      <c r="E166" s="67">
        <f t="shared" si="25"/>
        <v>32849875.520214051</v>
      </c>
      <c r="F166" s="67">
        <f t="shared" si="25"/>
        <v>22706312.325821191</v>
      </c>
      <c r="G166" s="67">
        <f t="shared" si="25"/>
        <v>13868778.765248114</v>
      </c>
      <c r="H166" s="67">
        <f t="shared" si="25"/>
        <v>40184444.360967264</v>
      </c>
      <c r="I166" s="67">
        <f t="shared" si="25"/>
        <v>0</v>
      </c>
      <c r="J166" s="67">
        <f t="shared" si="25"/>
        <v>0</v>
      </c>
      <c r="K166" s="67">
        <f t="shared" si="25"/>
        <v>0</v>
      </c>
      <c r="L166" s="67">
        <f t="shared" si="25"/>
        <v>0</v>
      </c>
      <c r="M166" s="67">
        <f t="shared" si="25"/>
        <v>0</v>
      </c>
      <c r="N166" s="164"/>
      <c r="O166" s="67">
        <f t="shared" si="26"/>
        <v>60173850.627423033</v>
      </c>
    </row>
    <row r="167" spans="2:15" x14ac:dyDescent="0.15">
      <c r="B167" s="103"/>
      <c r="C167" s="67"/>
      <c r="D167" s="67"/>
      <c r="E167" s="67"/>
      <c r="F167" s="67"/>
      <c r="G167" s="67"/>
      <c r="H167" s="67"/>
      <c r="I167" s="67"/>
      <c r="J167" s="67"/>
      <c r="K167" s="67"/>
      <c r="L167" s="67"/>
      <c r="M167" s="67"/>
      <c r="N167" s="164"/>
      <c r="O167" s="67"/>
    </row>
    <row r="168" spans="2:15" x14ac:dyDescent="0.15">
      <c r="B168" s="103">
        <v>0.05</v>
      </c>
      <c r="C168" s="67">
        <f t="shared" ref="C168:M172" si="27">C155*C$160</f>
        <v>-92550000</v>
      </c>
      <c r="D168" s="67">
        <f t="shared" si="27"/>
        <v>43114439.655172415</v>
      </c>
      <c r="E168" s="67">
        <f t="shared" si="27"/>
        <v>32849875.520214051</v>
      </c>
      <c r="F168" s="67">
        <f t="shared" si="27"/>
        <v>22706312.325821191</v>
      </c>
      <c r="G168" s="67">
        <f t="shared" si="27"/>
        <v>13868778.765248114</v>
      </c>
      <c r="H168" s="67">
        <f t="shared" si="27"/>
        <v>40184444.360967264</v>
      </c>
      <c r="I168" s="67">
        <f t="shared" si="27"/>
        <v>0</v>
      </c>
      <c r="J168" s="67">
        <f t="shared" si="27"/>
        <v>0</v>
      </c>
      <c r="K168" s="67">
        <f t="shared" si="27"/>
        <v>0</v>
      </c>
      <c r="L168" s="67">
        <f t="shared" si="27"/>
        <v>0</v>
      </c>
      <c r="M168" s="67">
        <f t="shared" si="27"/>
        <v>0</v>
      </c>
      <c r="N168" s="164"/>
      <c r="O168" s="67">
        <f t="shared" si="26"/>
        <v>60173850.627423033</v>
      </c>
    </row>
    <row r="169" spans="2:15" x14ac:dyDescent="0.15">
      <c r="B169" s="103">
        <v>0.1</v>
      </c>
      <c r="C169" s="67">
        <f t="shared" si="27"/>
        <v>-92550000</v>
      </c>
      <c r="D169" s="67">
        <f t="shared" si="27"/>
        <v>43114439.655172415</v>
      </c>
      <c r="E169" s="67">
        <f t="shared" si="27"/>
        <v>32849875.520214051</v>
      </c>
      <c r="F169" s="67">
        <f t="shared" si="27"/>
        <v>22706312.325821191</v>
      </c>
      <c r="G169" s="67">
        <f t="shared" si="27"/>
        <v>13868778.765248114</v>
      </c>
      <c r="H169" s="67">
        <f t="shared" si="27"/>
        <v>40184444.360967264</v>
      </c>
      <c r="I169" s="67">
        <f t="shared" si="27"/>
        <v>0</v>
      </c>
      <c r="J169" s="67">
        <f t="shared" si="27"/>
        <v>0</v>
      </c>
      <c r="K169" s="67">
        <f t="shared" si="27"/>
        <v>0</v>
      </c>
      <c r="L169" s="67">
        <f t="shared" si="27"/>
        <v>0</v>
      </c>
      <c r="M169" s="67">
        <f t="shared" si="27"/>
        <v>0</v>
      </c>
      <c r="N169" s="164"/>
      <c r="O169" s="67">
        <f t="shared" si="26"/>
        <v>60173850.627423033</v>
      </c>
    </row>
    <row r="170" spans="2:15" x14ac:dyDescent="0.15">
      <c r="B170" s="103">
        <v>0.15</v>
      </c>
      <c r="C170" s="67">
        <f t="shared" si="27"/>
        <v>-92550000</v>
      </c>
      <c r="D170" s="67">
        <f t="shared" si="27"/>
        <v>43114439.655172415</v>
      </c>
      <c r="E170" s="67">
        <f t="shared" si="27"/>
        <v>32849875.520214051</v>
      </c>
      <c r="F170" s="67">
        <f t="shared" si="27"/>
        <v>22706312.325821191</v>
      </c>
      <c r="G170" s="67">
        <f t="shared" si="27"/>
        <v>13868778.765248114</v>
      </c>
      <c r="H170" s="67">
        <f t="shared" si="27"/>
        <v>40184444.360967264</v>
      </c>
      <c r="I170" s="67">
        <f t="shared" si="27"/>
        <v>0</v>
      </c>
      <c r="J170" s="67">
        <f t="shared" si="27"/>
        <v>0</v>
      </c>
      <c r="K170" s="67">
        <f t="shared" si="27"/>
        <v>0</v>
      </c>
      <c r="L170" s="67">
        <f t="shared" si="27"/>
        <v>0</v>
      </c>
      <c r="M170" s="67">
        <f t="shared" si="27"/>
        <v>0</v>
      </c>
      <c r="N170" s="164"/>
      <c r="O170" s="67">
        <f t="shared" si="26"/>
        <v>60173850.627423033</v>
      </c>
    </row>
    <row r="171" spans="2:15" x14ac:dyDescent="0.15">
      <c r="B171" s="103">
        <v>0.2</v>
      </c>
      <c r="C171" s="67">
        <f t="shared" si="27"/>
        <v>-92550000</v>
      </c>
      <c r="D171" s="67">
        <f t="shared" si="27"/>
        <v>43114439.655172415</v>
      </c>
      <c r="E171" s="67">
        <f t="shared" si="27"/>
        <v>32849875.520214051</v>
      </c>
      <c r="F171" s="67">
        <f t="shared" si="27"/>
        <v>22706312.325821191</v>
      </c>
      <c r="G171" s="67">
        <f t="shared" si="27"/>
        <v>13868778.765248114</v>
      </c>
      <c r="H171" s="67">
        <f t="shared" si="27"/>
        <v>40184444.360967264</v>
      </c>
      <c r="I171" s="67">
        <f t="shared" si="27"/>
        <v>0</v>
      </c>
      <c r="J171" s="67">
        <f t="shared" si="27"/>
        <v>0</v>
      </c>
      <c r="K171" s="67">
        <f t="shared" si="27"/>
        <v>0</v>
      </c>
      <c r="L171" s="67">
        <f t="shared" si="27"/>
        <v>0</v>
      </c>
      <c r="M171" s="67">
        <f t="shared" si="27"/>
        <v>0</v>
      </c>
      <c r="N171" s="164"/>
      <c r="O171" s="67">
        <f t="shared" si="26"/>
        <v>60173850.627423033</v>
      </c>
    </row>
    <row r="172" spans="2:15" x14ac:dyDescent="0.15">
      <c r="B172" s="103">
        <v>0.25</v>
      </c>
      <c r="C172" s="67">
        <f t="shared" si="27"/>
        <v>-92550000</v>
      </c>
      <c r="D172" s="67">
        <f t="shared" si="27"/>
        <v>43114439.655172415</v>
      </c>
      <c r="E172" s="67">
        <f t="shared" si="27"/>
        <v>32849875.520214051</v>
      </c>
      <c r="F172" s="67">
        <f t="shared" si="27"/>
        <v>22706312.325821191</v>
      </c>
      <c r="G172" s="67">
        <f t="shared" si="27"/>
        <v>13868778.765248114</v>
      </c>
      <c r="H172" s="67">
        <f t="shared" si="27"/>
        <v>40184444.360967264</v>
      </c>
      <c r="I172" s="67">
        <f t="shared" si="27"/>
        <v>0</v>
      </c>
      <c r="J172" s="67">
        <f t="shared" si="27"/>
        <v>0</v>
      </c>
      <c r="K172" s="67">
        <f t="shared" si="27"/>
        <v>0</v>
      </c>
      <c r="L172" s="67">
        <f t="shared" si="27"/>
        <v>0</v>
      </c>
      <c r="M172" s="67">
        <f t="shared" si="27"/>
        <v>0</v>
      </c>
      <c r="N172" s="164"/>
      <c r="O172" s="67">
        <f t="shared" si="26"/>
        <v>60173850.627423033</v>
      </c>
    </row>
    <row r="173" spans="2:15" x14ac:dyDescent="0.15">
      <c r="B173" s="12" t="s">
        <v>317</v>
      </c>
      <c r="C173" s="12"/>
      <c r="D173" s="12"/>
      <c r="E173" s="12"/>
      <c r="F173" s="12"/>
      <c r="G173" s="12"/>
      <c r="H173" s="12"/>
      <c r="I173" s="12"/>
      <c r="J173" s="12"/>
      <c r="K173" s="12"/>
      <c r="L173" s="12"/>
      <c r="M173" s="12"/>
      <c r="N173" s="164"/>
      <c r="O173" s="12"/>
    </row>
    <row r="174" spans="2:15" x14ac:dyDescent="0.15">
      <c r="B174" s="103">
        <v>-0.25</v>
      </c>
      <c r="C174" s="67">
        <f>C162</f>
        <v>-92550000</v>
      </c>
      <c r="D174" s="67">
        <f>C174+D162</f>
        <v>-49435560.344827585</v>
      </c>
      <c r="E174" s="67">
        <f t="shared" ref="E174:M178" si="28">D174+E162</f>
        <v>-16585684.824613534</v>
      </c>
      <c r="F174" s="67">
        <f t="shared" si="28"/>
        <v>6120627.5012076572</v>
      </c>
      <c r="G174" s="67">
        <f t="shared" si="28"/>
        <v>19989406.26645577</v>
      </c>
      <c r="H174" s="67">
        <f t="shared" si="28"/>
        <v>60173850.627423033</v>
      </c>
      <c r="I174" s="67">
        <f t="shared" si="28"/>
        <v>60173850.627423033</v>
      </c>
      <c r="J174" s="67">
        <f t="shared" si="28"/>
        <v>60173850.627423033</v>
      </c>
      <c r="K174" s="67">
        <f t="shared" si="28"/>
        <v>60173850.627423033</v>
      </c>
      <c r="L174" s="67">
        <f t="shared" si="28"/>
        <v>60173850.627423033</v>
      </c>
      <c r="M174" s="67">
        <f t="shared" si="28"/>
        <v>60173850.627423033</v>
      </c>
      <c r="N174" s="164"/>
      <c r="O174" s="12"/>
    </row>
    <row r="175" spans="2:15" x14ac:dyDescent="0.15">
      <c r="B175" s="103">
        <v>-0.2</v>
      </c>
      <c r="C175" s="67">
        <f>C163</f>
        <v>-92550000</v>
      </c>
      <c r="D175" s="67">
        <f>C175+D163</f>
        <v>-49435560.344827585</v>
      </c>
      <c r="E175" s="67">
        <f t="shared" si="28"/>
        <v>-16585684.824613534</v>
      </c>
      <c r="F175" s="67">
        <f t="shared" si="28"/>
        <v>6120627.5012076572</v>
      </c>
      <c r="G175" s="67">
        <f t="shared" si="28"/>
        <v>19989406.26645577</v>
      </c>
      <c r="H175" s="67">
        <f t="shared" si="28"/>
        <v>60173850.627423033</v>
      </c>
      <c r="I175" s="67">
        <f t="shared" si="28"/>
        <v>60173850.627423033</v>
      </c>
      <c r="J175" s="67">
        <f t="shared" si="28"/>
        <v>60173850.627423033</v>
      </c>
      <c r="K175" s="67">
        <f t="shared" si="28"/>
        <v>60173850.627423033</v>
      </c>
      <c r="L175" s="67">
        <f t="shared" si="28"/>
        <v>60173850.627423033</v>
      </c>
      <c r="M175" s="67">
        <f t="shared" si="28"/>
        <v>60173850.627423033</v>
      </c>
      <c r="N175" s="164"/>
      <c r="O175" s="12"/>
    </row>
    <row r="176" spans="2:15" x14ac:dyDescent="0.15">
      <c r="B176" s="103">
        <v>-0.15</v>
      </c>
      <c r="C176" s="67">
        <f>C164</f>
        <v>-92550000</v>
      </c>
      <c r="D176" s="67">
        <f>C176+D164</f>
        <v>-49435560.344827585</v>
      </c>
      <c r="E176" s="67">
        <f t="shared" si="28"/>
        <v>-16585684.824613534</v>
      </c>
      <c r="F176" s="67">
        <f t="shared" si="28"/>
        <v>6120627.5012076572</v>
      </c>
      <c r="G176" s="67">
        <f t="shared" si="28"/>
        <v>19989406.26645577</v>
      </c>
      <c r="H176" s="67">
        <f t="shared" si="28"/>
        <v>60173850.627423033</v>
      </c>
      <c r="I176" s="67">
        <f t="shared" si="28"/>
        <v>60173850.627423033</v>
      </c>
      <c r="J176" s="67">
        <f t="shared" si="28"/>
        <v>60173850.627423033</v>
      </c>
      <c r="K176" s="67">
        <f t="shared" si="28"/>
        <v>60173850.627423033</v>
      </c>
      <c r="L176" s="67">
        <f t="shared" si="28"/>
        <v>60173850.627423033</v>
      </c>
      <c r="M176" s="67">
        <f t="shared" si="28"/>
        <v>60173850.627423033</v>
      </c>
      <c r="N176" s="164"/>
      <c r="O176" s="12"/>
    </row>
    <row r="177" spans="2:15" x14ac:dyDescent="0.15">
      <c r="B177" s="103">
        <v>-0.1</v>
      </c>
      <c r="C177" s="67">
        <f>C165</f>
        <v>-92550000</v>
      </c>
      <c r="D177" s="67">
        <f>C177+D165</f>
        <v>-49435560.344827585</v>
      </c>
      <c r="E177" s="67">
        <f t="shared" si="28"/>
        <v>-16585684.824613534</v>
      </c>
      <c r="F177" s="67">
        <f t="shared" si="28"/>
        <v>6120627.5012076572</v>
      </c>
      <c r="G177" s="67">
        <f t="shared" si="28"/>
        <v>19989406.26645577</v>
      </c>
      <c r="H177" s="67">
        <f t="shared" si="28"/>
        <v>60173850.627423033</v>
      </c>
      <c r="I177" s="67">
        <f t="shared" si="28"/>
        <v>60173850.627423033</v>
      </c>
      <c r="J177" s="67">
        <f t="shared" si="28"/>
        <v>60173850.627423033</v>
      </c>
      <c r="K177" s="67">
        <f t="shared" si="28"/>
        <v>60173850.627423033</v>
      </c>
      <c r="L177" s="67">
        <f t="shared" si="28"/>
        <v>60173850.627423033</v>
      </c>
      <c r="M177" s="67">
        <f t="shared" si="28"/>
        <v>60173850.627423033</v>
      </c>
      <c r="N177" s="164"/>
      <c r="O177" s="12"/>
    </row>
    <row r="178" spans="2:15" x14ac:dyDescent="0.15">
      <c r="B178" s="103">
        <v>-0.05</v>
      </c>
      <c r="C178" s="67">
        <f>C166</f>
        <v>-92550000</v>
      </c>
      <c r="D178" s="67">
        <f>C178+D166</f>
        <v>-49435560.344827585</v>
      </c>
      <c r="E178" s="67">
        <f t="shared" si="28"/>
        <v>-16585684.824613534</v>
      </c>
      <c r="F178" s="67">
        <f t="shared" si="28"/>
        <v>6120627.5012076572</v>
      </c>
      <c r="G178" s="67">
        <f t="shared" si="28"/>
        <v>19989406.26645577</v>
      </c>
      <c r="H178" s="67">
        <f t="shared" si="28"/>
        <v>60173850.627423033</v>
      </c>
      <c r="I178" s="67">
        <f t="shared" si="28"/>
        <v>60173850.627423033</v>
      </c>
      <c r="J178" s="67">
        <f t="shared" si="28"/>
        <v>60173850.627423033</v>
      </c>
      <c r="K178" s="67">
        <f t="shared" si="28"/>
        <v>60173850.627423033</v>
      </c>
      <c r="L178" s="67">
        <f t="shared" si="28"/>
        <v>60173850.627423033</v>
      </c>
      <c r="M178" s="67">
        <f t="shared" si="28"/>
        <v>60173850.627423033</v>
      </c>
      <c r="N178" s="164"/>
      <c r="O178" s="12"/>
    </row>
    <row r="179" spans="2:15" x14ac:dyDescent="0.15">
      <c r="B179" s="103"/>
      <c r="C179" s="67"/>
      <c r="D179" s="67"/>
      <c r="E179" s="67"/>
      <c r="F179" s="67"/>
      <c r="G179" s="67"/>
      <c r="H179" s="67"/>
      <c r="I179" s="67"/>
      <c r="J179" s="67"/>
      <c r="K179" s="67"/>
      <c r="L179" s="67"/>
      <c r="M179" s="67"/>
      <c r="N179" s="164"/>
      <c r="O179" s="12"/>
    </row>
    <row r="180" spans="2:15" x14ac:dyDescent="0.15">
      <c r="B180" s="103">
        <v>0.05</v>
      </c>
      <c r="C180" s="67">
        <f>C168</f>
        <v>-92550000</v>
      </c>
      <c r="D180" s="67">
        <f t="shared" ref="D180:M184" si="29">C180+D168</f>
        <v>-49435560.344827585</v>
      </c>
      <c r="E180" s="67">
        <f t="shared" si="29"/>
        <v>-16585684.824613534</v>
      </c>
      <c r="F180" s="67">
        <f t="shared" si="29"/>
        <v>6120627.5012076572</v>
      </c>
      <c r="G180" s="67">
        <f t="shared" si="29"/>
        <v>19989406.26645577</v>
      </c>
      <c r="H180" s="67">
        <f t="shared" si="29"/>
        <v>60173850.627423033</v>
      </c>
      <c r="I180" s="67">
        <f t="shared" si="29"/>
        <v>60173850.627423033</v>
      </c>
      <c r="J180" s="67">
        <f t="shared" si="29"/>
        <v>60173850.627423033</v>
      </c>
      <c r="K180" s="67">
        <f t="shared" si="29"/>
        <v>60173850.627423033</v>
      </c>
      <c r="L180" s="67">
        <f t="shared" si="29"/>
        <v>60173850.627423033</v>
      </c>
      <c r="M180" s="67">
        <f t="shared" si="29"/>
        <v>60173850.627423033</v>
      </c>
      <c r="N180" s="164"/>
      <c r="O180" s="12"/>
    </row>
    <row r="181" spans="2:15" x14ac:dyDescent="0.15">
      <c r="B181" s="103">
        <v>0.1</v>
      </c>
      <c r="C181" s="67">
        <f>C169</f>
        <v>-92550000</v>
      </c>
      <c r="D181" s="67">
        <f t="shared" si="29"/>
        <v>-49435560.344827585</v>
      </c>
      <c r="E181" s="67">
        <f t="shared" si="29"/>
        <v>-16585684.824613534</v>
      </c>
      <c r="F181" s="67">
        <f t="shared" si="29"/>
        <v>6120627.5012076572</v>
      </c>
      <c r="G181" s="67">
        <f t="shared" si="29"/>
        <v>19989406.26645577</v>
      </c>
      <c r="H181" s="67">
        <f t="shared" si="29"/>
        <v>60173850.627423033</v>
      </c>
      <c r="I181" s="67">
        <f t="shared" si="29"/>
        <v>60173850.627423033</v>
      </c>
      <c r="J181" s="67">
        <f t="shared" si="29"/>
        <v>60173850.627423033</v>
      </c>
      <c r="K181" s="67">
        <f t="shared" si="29"/>
        <v>60173850.627423033</v>
      </c>
      <c r="L181" s="67">
        <f t="shared" si="29"/>
        <v>60173850.627423033</v>
      </c>
      <c r="M181" s="67">
        <f t="shared" si="29"/>
        <v>60173850.627423033</v>
      </c>
      <c r="N181" s="164"/>
      <c r="O181" s="12"/>
    </row>
    <row r="182" spans="2:15" x14ac:dyDescent="0.15">
      <c r="B182" s="103">
        <v>0.15</v>
      </c>
      <c r="C182" s="67">
        <f>C170</f>
        <v>-92550000</v>
      </c>
      <c r="D182" s="67">
        <f t="shared" si="29"/>
        <v>-49435560.344827585</v>
      </c>
      <c r="E182" s="67">
        <f t="shared" si="29"/>
        <v>-16585684.824613534</v>
      </c>
      <c r="F182" s="67">
        <f t="shared" si="29"/>
        <v>6120627.5012076572</v>
      </c>
      <c r="G182" s="67">
        <f t="shared" si="29"/>
        <v>19989406.26645577</v>
      </c>
      <c r="H182" s="67">
        <f t="shared" si="29"/>
        <v>60173850.627423033</v>
      </c>
      <c r="I182" s="67">
        <f t="shared" si="29"/>
        <v>60173850.627423033</v>
      </c>
      <c r="J182" s="67">
        <f t="shared" si="29"/>
        <v>60173850.627423033</v>
      </c>
      <c r="K182" s="67">
        <f t="shared" si="29"/>
        <v>60173850.627423033</v>
      </c>
      <c r="L182" s="67">
        <f t="shared" si="29"/>
        <v>60173850.627423033</v>
      </c>
      <c r="M182" s="67">
        <f t="shared" si="29"/>
        <v>60173850.627423033</v>
      </c>
      <c r="N182" s="164"/>
      <c r="O182" s="12"/>
    </row>
    <row r="183" spans="2:15" x14ac:dyDescent="0.15">
      <c r="B183" s="103">
        <v>0.2</v>
      </c>
      <c r="C183" s="67">
        <f>C171</f>
        <v>-92550000</v>
      </c>
      <c r="D183" s="67">
        <f t="shared" si="29"/>
        <v>-49435560.344827585</v>
      </c>
      <c r="E183" s="67">
        <f t="shared" si="29"/>
        <v>-16585684.824613534</v>
      </c>
      <c r="F183" s="67">
        <f t="shared" si="29"/>
        <v>6120627.5012076572</v>
      </c>
      <c r="G183" s="67">
        <f t="shared" si="29"/>
        <v>19989406.26645577</v>
      </c>
      <c r="H183" s="67">
        <f t="shared" si="29"/>
        <v>60173850.627423033</v>
      </c>
      <c r="I183" s="67">
        <f t="shared" si="29"/>
        <v>60173850.627423033</v>
      </c>
      <c r="J183" s="67">
        <f t="shared" si="29"/>
        <v>60173850.627423033</v>
      </c>
      <c r="K183" s="67">
        <f t="shared" si="29"/>
        <v>60173850.627423033</v>
      </c>
      <c r="L183" s="67">
        <f t="shared" si="29"/>
        <v>60173850.627423033</v>
      </c>
      <c r="M183" s="67">
        <f t="shared" si="29"/>
        <v>60173850.627423033</v>
      </c>
      <c r="N183" s="164"/>
      <c r="O183" s="12"/>
    </row>
    <row r="184" spans="2:15" ht="14" thickBot="1" x14ac:dyDescent="0.2">
      <c r="B184" s="103">
        <v>0.25</v>
      </c>
      <c r="C184" s="95">
        <f>C172</f>
        <v>-92550000</v>
      </c>
      <c r="D184" s="95">
        <f t="shared" si="29"/>
        <v>-49435560.344827585</v>
      </c>
      <c r="E184" s="95">
        <f t="shared" si="29"/>
        <v>-16585684.824613534</v>
      </c>
      <c r="F184" s="95">
        <f t="shared" si="29"/>
        <v>6120627.5012076572</v>
      </c>
      <c r="G184" s="95">
        <f t="shared" si="29"/>
        <v>19989406.26645577</v>
      </c>
      <c r="H184" s="95">
        <f t="shared" si="29"/>
        <v>60173850.627423033</v>
      </c>
      <c r="I184" s="95">
        <f t="shared" si="29"/>
        <v>60173850.627423033</v>
      </c>
      <c r="J184" s="95">
        <f t="shared" si="29"/>
        <v>60173850.627423033</v>
      </c>
      <c r="K184" s="95">
        <f t="shared" si="29"/>
        <v>60173850.627423033</v>
      </c>
      <c r="L184" s="95">
        <f t="shared" si="29"/>
        <v>60173850.627423033</v>
      </c>
      <c r="M184" s="95">
        <f t="shared" si="29"/>
        <v>60173850.627423033</v>
      </c>
      <c r="N184" s="154"/>
      <c r="O184" s="94"/>
    </row>
    <row r="185" spans="2:15" ht="14" thickTop="1" x14ac:dyDescent="0.15">
      <c r="B185" s="587"/>
      <c r="C185" s="2"/>
      <c r="D185" s="2"/>
      <c r="E185" s="2"/>
      <c r="F185" s="2"/>
      <c r="G185" s="2"/>
      <c r="H185" s="2"/>
      <c r="I185" s="2"/>
      <c r="J185" s="2"/>
      <c r="K185" s="2"/>
      <c r="L185" s="2"/>
      <c r="M185" s="2"/>
      <c r="N185" s="165"/>
    </row>
    <row r="186" spans="2:15" ht="14" thickBot="1" x14ac:dyDescent="0.2"/>
    <row r="187" spans="2:15" x14ac:dyDescent="0.15">
      <c r="B187" s="526" t="s">
        <v>436</v>
      </c>
      <c r="C187" s="527"/>
      <c r="D187" s="528" t="s">
        <v>652</v>
      </c>
      <c r="E187" s="526" t="s">
        <v>341</v>
      </c>
      <c r="F187" s="527"/>
      <c r="G187" s="529" t="s">
        <v>652</v>
      </c>
    </row>
    <row r="188" spans="2:15" x14ac:dyDescent="0.15">
      <c r="B188" s="530">
        <v>-0.25</v>
      </c>
      <c r="C188" s="531">
        <f>IF(ISNUMBER(IRR(C149:M149)),IRR(C149:M149),"NMF")</f>
        <v>0.40549033935008683</v>
      </c>
      <c r="D188" s="534">
        <f>IF(ISNUMBER((C188-$C$193)/$C$193),(C188-$C$193)/$C$193,0)</f>
        <v>0</v>
      </c>
      <c r="E188" s="530">
        <v>-0.25</v>
      </c>
      <c r="F188" s="533">
        <f>O162</f>
        <v>60173850.627423033</v>
      </c>
      <c r="G188" s="534">
        <f>IF(ISNUMBER((F188-$F$193)/$F$193),(F188-$F$193)/$F$193,0)</f>
        <v>0</v>
      </c>
    </row>
    <row r="189" spans="2:15" x14ac:dyDescent="0.15">
      <c r="B189" s="530">
        <v>-0.2</v>
      </c>
      <c r="C189" s="531">
        <f t="shared" ref="C189:C198" si="30">IF(ISNUMBER(IRR(C150:M150)),IRR(C150:M150),"NMF")</f>
        <v>0.40549033935008683</v>
      </c>
      <c r="D189" s="534">
        <f t="shared" ref="D189:D198" si="31">IF(ISNUMBER((C189-$C$193)/$C$193),(C189-$C$193)/$C$193,0)</f>
        <v>0</v>
      </c>
      <c r="E189" s="530">
        <v>-0.2</v>
      </c>
      <c r="F189" s="533">
        <f>O163</f>
        <v>60173850.627423033</v>
      </c>
      <c r="G189" s="534">
        <f t="shared" ref="G189:G198" si="32">IF(ISNUMBER((F189-$F$193)/$F$193),(F189-$F$193)/$F$193,0)</f>
        <v>0</v>
      </c>
    </row>
    <row r="190" spans="2:15" x14ac:dyDescent="0.15">
      <c r="B190" s="530">
        <v>-0.15</v>
      </c>
      <c r="C190" s="531">
        <f t="shared" si="30"/>
        <v>0.40549033935008683</v>
      </c>
      <c r="D190" s="534">
        <f t="shared" si="31"/>
        <v>0</v>
      </c>
      <c r="E190" s="530">
        <v>-0.15</v>
      </c>
      <c r="F190" s="533">
        <f>O164</f>
        <v>60173850.627423033</v>
      </c>
      <c r="G190" s="534">
        <f t="shared" si="32"/>
        <v>0</v>
      </c>
    </row>
    <row r="191" spans="2:15" x14ac:dyDescent="0.15">
      <c r="B191" s="530">
        <v>-0.1</v>
      </c>
      <c r="C191" s="531">
        <f t="shared" si="30"/>
        <v>0.40549033935008683</v>
      </c>
      <c r="D191" s="534">
        <f t="shared" si="31"/>
        <v>0</v>
      </c>
      <c r="E191" s="530">
        <v>-0.1</v>
      </c>
      <c r="F191" s="533">
        <f>O165</f>
        <v>60173850.627423033</v>
      </c>
      <c r="G191" s="534">
        <f t="shared" si="32"/>
        <v>0</v>
      </c>
    </row>
    <row r="192" spans="2:15" x14ac:dyDescent="0.15">
      <c r="B192" s="530">
        <v>-0.05</v>
      </c>
      <c r="C192" s="531">
        <f t="shared" si="30"/>
        <v>0.40549033935008683</v>
      </c>
      <c r="D192" s="534">
        <f t="shared" si="31"/>
        <v>0</v>
      </c>
      <c r="E192" s="530">
        <v>-0.05</v>
      </c>
      <c r="F192" s="533">
        <f>O166</f>
        <v>60173850.627423033</v>
      </c>
      <c r="G192" s="534">
        <f t="shared" si="32"/>
        <v>0</v>
      </c>
    </row>
    <row r="193" spans="2:7" x14ac:dyDescent="0.15">
      <c r="B193" s="535" t="s">
        <v>653</v>
      </c>
      <c r="C193" s="531">
        <f t="shared" si="30"/>
        <v>0.40549033935008683</v>
      </c>
      <c r="D193" s="534">
        <f t="shared" si="31"/>
        <v>0</v>
      </c>
      <c r="E193" s="535" t="s">
        <v>653</v>
      </c>
      <c r="F193" s="533">
        <f>'After Tax Analysis'!D38</f>
        <v>60173850.627423033</v>
      </c>
      <c r="G193" s="534">
        <f t="shared" si="32"/>
        <v>0</v>
      </c>
    </row>
    <row r="194" spans="2:7" x14ac:dyDescent="0.15">
      <c r="B194" s="530">
        <v>0.05</v>
      </c>
      <c r="C194" s="531">
        <f t="shared" si="30"/>
        <v>0.40549033935008683</v>
      </c>
      <c r="D194" s="534">
        <f t="shared" si="31"/>
        <v>0</v>
      </c>
      <c r="E194" s="530">
        <v>0.05</v>
      </c>
      <c r="F194" s="533">
        <f>O168</f>
        <v>60173850.627423033</v>
      </c>
      <c r="G194" s="534">
        <f t="shared" si="32"/>
        <v>0</v>
      </c>
    </row>
    <row r="195" spans="2:7" x14ac:dyDescent="0.15">
      <c r="B195" s="530">
        <v>0.1</v>
      </c>
      <c r="C195" s="531">
        <f t="shared" si="30"/>
        <v>0.40549033935008683</v>
      </c>
      <c r="D195" s="534">
        <f t="shared" si="31"/>
        <v>0</v>
      </c>
      <c r="E195" s="530">
        <v>0.1</v>
      </c>
      <c r="F195" s="533">
        <f>O169</f>
        <v>60173850.627423033</v>
      </c>
      <c r="G195" s="534">
        <f t="shared" si="32"/>
        <v>0</v>
      </c>
    </row>
    <row r="196" spans="2:7" x14ac:dyDescent="0.15">
      <c r="B196" s="530">
        <v>0.15</v>
      </c>
      <c r="C196" s="531">
        <f t="shared" si="30"/>
        <v>0.40549033935008683</v>
      </c>
      <c r="D196" s="534">
        <f t="shared" si="31"/>
        <v>0</v>
      </c>
      <c r="E196" s="530">
        <v>0.15</v>
      </c>
      <c r="F196" s="533">
        <f>O170</f>
        <v>60173850.627423033</v>
      </c>
      <c r="G196" s="534">
        <f t="shared" si="32"/>
        <v>0</v>
      </c>
    </row>
    <row r="197" spans="2:7" x14ac:dyDescent="0.15">
      <c r="B197" s="530">
        <v>0.2</v>
      </c>
      <c r="C197" s="531">
        <f t="shared" si="30"/>
        <v>0.40549033935008683</v>
      </c>
      <c r="D197" s="534">
        <f t="shared" si="31"/>
        <v>0</v>
      </c>
      <c r="E197" s="530">
        <v>0.2</v>
      </c>
      <c r="F197" s="533">
        <f>O171</f>
        <v>60173850.627423033</v>
      </c>
      <c r="G197" s="534">
        <f t="shared" si="32"/>
        <v>0</v>
      </c>
    </row>
    <row r="198" spans="2:7" ht="14" thickBot="1" x14ac:dyDescent="0.2">
      <c r="B198" s="536">
        <v>0.25</v>
      </c>
      <c r="C198" s="531">
        <f t="shared" si="30"/>
        <v>0.40549033935008683</v>
      </c>
      <c r="D198" s="534">
        <f t="shared" si="31"/>
        <v>0</v>
      </c>
      <c r="E198" s="536">
        <v>0.25</v>
      </c>
      <c r="F198" s="537">
        <f>O172</f>
        <v>60173850.627423033</v>
      </c>
      <c r="G198" s="534">
        <f t="shared" si="32"/>
        <v>0</v>
      </c>
    </row>
  </sheetData>
  <sheetProtection password="AA36" sheet="1" objects="1" scenarios="1"/>
  <phoneticPr fontId="0" type="noConversion"/>
  <pageMargins left="0.75" right="0.75" top="1" bottom="1" header="0.5" footer="0.5"/>
  <pageSetup orientation="portrait" horizontalDpi="0" verticalDpi="0"/>
  <headerFooter alignWithMargins="0"/>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214"/>
  <sheetViews>
    <sheetView zoomScale="75" workbookViewId="0"/>
  </sheetViews>
  <sheetFormatPr baseColWidth="10" defaultColWidth="8.83203125" defaultRowHeight="13" x14ac:dyDescent="0.15"/>
  <cols>
    <col min="2" max="2" width="25.33203125" customWidth="1"/>
    <col min="3" max="3" width="13.1640625" customWidth="1"/>
    <col min="4" max="14" width="12.5" customWidth="1"/>
    <col min="15" max="15" width="15.5" customWidth="1"/>
  </cols>
  <sheetData>
    <row r="1" spans="1:10" ht="18" x14ac:dyDescent="0.2">
      <c r="A1" s="549" t="s">
        <v>682</v>
      </c>
    </row>
    <row r="2" spans="1:10" ht="18" x14ac:dyDescent="0.2">
      <c r="A2" s="525"/>
      <c r="B2" s="39" t="s">
        <v>658</v>
      </c>
    </row>
    <row r="3" spans="1:10" ht="14" thickBot="1" x14ac:dyDescent="0.2"/>
    <row r="4" spans="1:10" x14ac:dyDescent="0.15">
      <c r="B4" s="417" t="str">
        <f>'Level Payment Fin Sens Wksht'!C4</f>
        <v>Base Case Loan Proceeds</v>
      </c>
      <c r="C4" s="475">
        <f>'Level Payment Fin Sens Wksht'!D4</f>
        <v>0</v>
      </c>
      <c r="D4" s="290" t="str">
        <f>'Level Payment Fin Sens Wksht'!E4</f>
        <v>Debt Ratio</v>
      </c>
      <c r="F4" s="484" t="s">
        <v>119</v>
      </c>
      <c r="G4" s="485"/>
      <c r="H4" s="486">
        <f>'Initial Inputs'!C35</f>
        <v>0</v>
      </c>
    </row>
    <row r="5" spans="1:10" x14ac:dyDescent="0.15">
      <c r="B5" s="476">
        <f>'Level Payment Fin Sens Wksht'!C5</f>
        <v>-0.25</v>
      </c>
      <c r="C5" s="62">
        <f>'Level Payment Fin Sens Wksht'!D5</f>
        <v>0</v>
      </c>
      <c r="D5" s="418">
        <f>'Level Payment Fin Sens Wksht'!E5</f>
        <v>0</v>
      </c>
      <c r="F5" s="487"/>
      <c r="G5" s="12"/>
      <c r="H5" s="488"/>
    </row>
    <row r="6" spans="1:10" x14ac:dyDescent="0.15">
      <c r="B6" s="476">
        <f>'Level Payment Fin Sens Wksht'!C6</f>
        <v>-0.2</v>
      </c>
      <c r="C6" s="62">
        <f>'Level Payment Fin Sens Wksht'!D6</f>
        <v>0</v>
      </c>
      <c r="D6" s="418">
        <f>'Level Payment Fin Sens Wksht'!E6</f>
        <v>0</v>
      </c>
      <c r="F6" s="487" t="s">
        <v>121</v>
      </c>
      <c r="G6" s="12"/>
      <c r="H6" s="489">
        <f>'Initial Inputs'!C37</f>
        <v>0.08</v>
      </c>
    </row>
    <row r="7" spans="1:10" x14ac:dyDescent="0.15">
      <c r="B7" s="476">
        <f>'Level Payment Fin Sens Wksht'!C7</f>
        <v>-0.15</v>
      </c>
      <c r="C7" s="62">
        <f>'Level Payment Fin Sens Wksht'!D7</f>
        <v>0</v>
      </c>
      <c r="D7" s="418">
        <f>'Level Payment Fin Sens Wksht'!E7</f>
        <v>0</v>
      </c>
      <c r="F7" s="487"/>
      <c r="G7" s="12"/>
      <c r="H7" s="488"/>
    </row>
    <row r="8" spans="1:10" x14ac:dyDescent="0.15">
      <c r="B8" s="476">
        <f>'Level Payment Fin Sens Wksht'!C8</f>
        <v>-0.1</v>
      </c>
      <c r="C8" s="62">
        <f>'Level Payment Fin Sens Wksht'!D8</f>
        <v>0</v>
      </c>
      <c r="D8" s="418">
        <f>'Level Payment Fin Sens Wksht'!E8</f>
        <v>0</v>
      </c>
      <c r="F8" s="487" t="str">
        <f>'Initial Inputs'!B7</f>
        <v>Project Life in years (10 Max) =</v>
      </c>
      <c r="H8" s="487">
        <f>'Initial Inputs'!C7</f>
        <v>5</v>
      </c>
    </row>
    <row r="9" spans="1:10" x14ac:dyDescent="0.15">
      <c r="B9" s="476">
        <f>'Level Payment Fin Sens Wksht'!C9</f>
        <v>-0.05</v>
      </c>
      <c r="C9" s="62">
        <f>'Level Payment Fin Sens Wksht'!D9</f>
        <v>0</v>
      </c>
      <c r="D9" s="418">
        <f>'Level Payment Fin Sens Wksht'!E9</f>
        <v>0</v>
      </c>
      <c r="F9" s="487"/>
      <c r="G9" s="12"/>
      <c r="H9" s="488"/>
    </row>
    <row r="10" spans="1:10" ht="14" thickBot="1" x14ac:dyDescent="0.2">
      <c r="B10" s="90">
        <v>0</v>
      </c>
      <c r="C10" s="66">
        <f>C4</f>
        <v>0</v>
      </c>
      <c r="D10" s="648">
        <v>0.09</v>
      </c>
      <c r="F10" s="490" t="s">
        <v>659</v>
      </c>
      <c r="G10" s="201"/>
      <c r="H10" s="491">
        <f>IF(I12=1,MIN(H8,H14),H14)</f>
        <v>5</v>
      </c>
    </row>
    <row r="11" spans="1:10" ht="14" thickBot="1" x14ac:dyDescent="0.2">
      <c r="B11" s="476">
        <f>'Level Payment Fin Sens Wksht'!C11</f>
        <v>0.05</v>
      </c>
      <c r="C11" s="62">
        <f>'Level Payment Fin Sens Wksht'!D11</f>
        <v>0</v>
      </c>
      <c r="D11" s="418">
        <f>'Level Payment Fin Sens Wksht'!E11</f>
        <v>0</v>
      </c>
    </row>
    <row r="12" spans="1:10" ht="14" thickBot="1" x14ac:dyDescent="0.2">
      <c r="B12" s="476">
        <f>'Level Payment Fin Sens Wksht'!C12</f>
        <v>0.1</v>
      </c>
      <c r="C12" s="62">
        <f>'Level Payment Fin Sens Wksht'!D12</f>
        <v>0</v>
      </c>
      <c r="D12" s="418">
        <f>'Level Payment Fin Sens Wksht'!E12</f>
        <v>0</v>
      </c>
      <c r="F12" s="492" t="str">
        <f>'Initial Inputs'!E37</f>
        <v>Liquidate Loan Balance at end of Project Life?</v>
      </c>
      <c r="G12" s="493"/>
      <c r="H12" s="494"/>
      <c r="I12" s="334">
        <f>'Initial Inputs'!E39</f>
        <v>1</v>
      </c>
      <c r="J12" t="str">
        <f>'Initial Inputs'!E38</f>
        <v>(Enter "1" for YES, or "0" for NO)</v>
      </c>
    </row>
    <row r="13" spans="1:10" ht="14" thickBot="1" x14ac:dyDescent="0.2">
      <c r="B13" s="476">
        <f>'Level Payment Fin Sens Wksht'!C13</f>
        <v>0.15</v>
      </c>
      <c r="C13" s="62">
        <f>'Level Payment Fin Sens Wksht'!D13</f>
        <v>0</v>
      </c>
      <c r="D13" s="418">
        <f>'Level Payment Fin Sens Wksht'!E13</f>
        <v>0</v>
      </c>
    </row>
    <row r="14" spans="1:10" ht="14" thickBot="1" x14ac:dyDescent="0.2">
      <c r="B14" s="476">
        <f>'Level Payment Fin Sens Wksht'!C14</f>
        <v>0.2</v>
      </c>
      <c r="C14" s="62">
        <f>'Level Payment Fin Sens Wksht'!D14</f>
        <v>0</v>
      </c>
      <c r="D14" s="418">
        <f>'Level Payment Fin Sens Wksht'!E14</f>
        <v>0</v>
      </c>
      <c r="F14" s="492" t="str">
        <f>'Initial Inputs'!B39</f>
        <v>Loan Length (Yrs)</v>
      </c>
      <c r="G14" s="494"/>
      <c r="H14" s="334">
        <f>'Initial Inputs'!C39</f>
        <v>5</v>
      </c>
    </row>
    <row r="15" spans="1:10" ht="14" thickBot="1" x14ac:dyDescent="0.2">
      <c r="B15" s="477">
        <f>'Level Payment Fin Sens Wksht'!C15</f>
        <v>0.25</v>
      </c>
      <c r="C15" s="465">
        <f>'Level Payment Fin Sens Wksht'!D15</f>
        <v>0</v>
      </c>
      <c r="D15" s="419">
        <f>'Level Payment Fin Sens Wksht'!E15</f>
        <v>0</v>
      </c>
    </row>
    <row r="16" spans="1:10" x14ac:dyDescent="0.15">
      <c r="C16" s="250"/>
    </row>
    <row r="17" spans="2:15" ht="14" thickBot="1" x14ac:dyDescent="0.2"/>
    <row r="18" spans="2:15" ht="14" thickBot="1" x14ac:dyDescent="0.2">
      <c r="B18" s="481" t="s">
        <v>412</v>
      </c>
      <c r="C18" s="496"/>
      <c r="D18" s="483" t="s">
        <v>133</v>
      </c>
      <c r="E18" s="483" t="s">
        <v>133</v>
      </c>
      <c r="F18" s="483" t="s">
        <v>133</v>
      </c>
      <c r="G18" s="483" t="s">
        <v>133</v>
      </c>
      <c r="H18" s="483" t="s">
        <v>133</v>
      </c>
      <c r="I18" s="483" t="s">
        <v>133</v>
      </c>
      <c r="J18" s="483" t="s">
        <v>133</v>
      </c>
      <c r="K18" s="483" t="s">
        <v>133</v>
      </c>
      <c r="L18" s="483" t="s">
        <v>133</v>
      </c>
      <c r="M18" s="483" t="s">
        <v>133</v>
      </c>
      <c r="N18" s="272"/>
      <c r="O18" s="498" t="str">
        <f>B18</f>
        <v>-25%</v>
      </c>
    </row>
    <row r="19" spans="2:15" x14ac:dyDescent="0.15">
      <c r="B19" s="426"/>
      <c r="C19" s="426" t="s">
        <v>660</v>
      </c>
      <c r="D19" s="4">
        <v>1</v>
      </c>
      <c r="E19" s="4">
        <f>D19+1</f>
        <v>2</v>
      </c>
      <c r="F19" s="4">
        <f>E19+1</f>
        <v>3</v>
      </c>
      <c r="G19" s="4">
        <f t="shared" ref="G19:M19" si="0">F19+1</f>
        <v>4</v>
      </c>
      <c r="H19" s="4">
        <f t="shared" si="0"/>
        <v>5</v>
      </c>
      <c r="I19" s="4">
        <f t="shared" si="0"/>
        <v>6</v>
      </c>
      <c r="J19" s="4">
        <f t="shared" si="0"/>
        <v>7</v>
      </c>
      <c r="K19" s="4">
        <f t="shared" si="0"/>
        <v>8</v>
      </c>
      <c r="L19" s="4">
        <f t="shared" si="0"/>
        <v>9</v>
      </c>
      <c r="M19" s="4">
        <f t="shared" si="0"/>
        <v>10</v>
      </c>
      <c r="N19" s="500" t="s">
        <v>285</v>
      </c>
      <c r="O19" s="180"/>
    </row>
    <row r="20" spans="2:15" x14ac:dyDescent="0.15">
      <c r="B20" s="202" t="s">
        <v>661</v>
      </c>
      <c r="C20" s="426">
        <v>1</v>
      </c>
      <c r="D20" s="2">
        <f t="shared" ref="D20:M31" si="1">IF(ISNUMBER(IPMT($H$6/12,((D$19-1)*12)+$C20,$H$10*12,$C$5)),IPMT($H$6/12,((D$19-1)*12)+$C20,$H$10*12,$C$5),0)</f>
        <v>0</v>
      </c>
      <c r="E20" s="2">
        <f t="shared" si="1"/>
        <v>0</v>
      </c>
      <c r="F20" s="2">
        <f t="shared" si="1"/>
        <v>0</v>
      </c>
      <c r="G20" s="2">
        <f t="shared" si="1"/>
        <v>0</v>
      </c>
      <c r="H20" s="2">
        <f t="shared" si="1"/>
        <v>0</v>
      </c>
      <c r="I20" s="2">
        <f t="shared" si="1"/>
        <v>0</v>
      </c>
      <c r="J20" s="2">
        <f t="shared" si="1"/>
        <v>0</v>
      </c>
      <c r="K20" s="2">
        <f t="shared" si="1"/>
        <v>0</v>
      </c>
      <c r="L20" s="2">
        <f t="shared" si="1"/>
        <v>0</v>
      </c>
      <c r="M20" s="2">
        <f t="shared" si="1"/>
        <v>0</v>
      </c>
      <c r="N20" s="501">
        <f>SUM(C20:M20)</f>
        <v>1</v>
      </c>
      <c r="O20" s="180"/>
    </row>
    <row r="21" spans="2:15" x14ac:dyDescent="0.15">
      <c r="B21" s="511">
        <f>-PMT($H$6/12,$H$10*12,C5)</f>
        <v>0</v>
      </c>
      <c r="C21" s="426">
        <v>2</v>
      </c>
      <c r="D21" s="2">
        <f t="shared" si="1"/>
        <v>0</v>
      </c>
      <c r="E21" s="2">
        <f t="shared" si="1"/>
        <v>0</v>
      </c>
      <c r="F21" s="2">
        <f t="shared" si="1"/>
        <v>0</v>
      </c>
      <c r="G21" s="2">
        <f t="shared" si="1"/>
        <v>0</v>
      </c>
      <c r="H21" s="2">
        <f t="shared" si="1"/>
        <v>0</v>
      </c>
      <c r="I21" s="2">
        <f t="shared" si="1"/>
        <v>0</v>
      </c>
      <c r="J21" s="2">
        <f t="shared" si="1"/>
        <v>0</v>
      </c>
      <c r="K21" s="2">
        <f t="shared" si="1"/>
        <v>0</v>
      </c>
      <c r="L21" s="2">
        <f t="shared" si="1"/>
        <v>0</v>
      </c>
      <c r="M21" s="2">
        <f t="shared" si="1"/>
        <v>0</v>
      </c>
      <c r="N21" s="501">
        <f t="shared" ref="N21:N33" si="2">SUM(C21:M21)</f>
        <v>2</v>
      </c>
      <c r="O21" s="180"/>
    </row>
    <row r="22" spans="2:15" x14ac:dyDescent="0.15">
      <c r="B22" s="540">
        <f>B21*12</f>
        <v>0</v>
      </c>
      <c r="C22" s="426">
        <v>3</v>
      </c>
      <c r="D22" s="2">
        <f t="shared" si="1"/>
        <v>0</v>
      </c>
      <c r="E22" s="2">
        <f t="shared" si="1"/>
        <v>0</v>
      </c>
      <c r="F22" s="2">
        <f t="shared" si="1"/>
        <v>0</v>
      </c>
      <c r="G22" s="2">
        <f t="shared" si="1"/>
        <v>0</v>
      </c>
      <c r="H22" s="2">
        <f t="shared" si="1"/>
        <v>0</v>
      </c>
      <c r="I22" s="2">
        <f t="shared" si="1"/>
        <v>0</v>
      </c>
      <c r="J22" s="2">
        <f t="shared" si="1"/>
        <v>0</v>
      </c>
      <c r="K22" s="2">
        <f t="shared" si="1"/>
        <v>0</v>
      </c>
      <c r="L22" s="2">
        <f t="shared" si="1"/>
        <v>0</v>
      </c>
      <c r="M22" s="2">
        <f t="shared" si="1"/>
        <v>0</v>
      </c>
      <c r="N22" s="501">
        <f t="shared" si="2"/>
        <v>3</v>
      </c>
      <c r="O22" s="180"/>
    </row>
    <row r="23" spans="2:15" x14ac:dyDescent="0.15">
      <c r="B23" s="202" t="s">
        <v>662</v>
      </c>
      <c r="C23" s="426">
        <v>4</v>
      </c>
      <c r="D23" s="2">
        <f t="shared" si="1"/>
        <v>0</v>
      </c>
      <c r="E23" s="2">
        <f t="shared" si="1"/>
        <v>0</v>
      </c>
      <c r="F23" s="2">
        <f t="shared" si="1"/>
        <v>0</v>
      </c>
      <c r="G23" s="2">
        <f t="shared" si="1"/>
        <v>0</v>
      </c>
      <c r="H23" s="2">
        <f t="shared" si="1"/>
        <v>0</v>
      </c>
      <c r="I23" s="2">
        <f t="shared" si="1"/>
        <v>0</v>
      </c>
      <c r="J23" s="2">
        <f t="shared" si="1"/>
        <v>0</v>
      </c>
      <c r="K23" s="2">
        <f t="shared" si="1"/>
        <v>0</v>
      </c>
      <c r="L23" s="2">
        <f t="shared" si="1"/>
        <v>0</v>
      </c>
      <c r="M23" s="2">
        <f t="shared" si="1"/>
        <v>0</v>
      </c>
      <c r="N23" s="501">
        <f t="shared" si="2"/>
        <v>4</v>
      </c>
      <c r="O23" s="180"/>
    </row>
    <row r="24" spans="2:15" x14ac:dyDescent="0.15">
      <c r="B24" s="521">
        <f>C5</f>
        <v>0</v>
      </c>
      <c r="C24" s="426">
        <v>5</v>
      </c>
      <c r="D24" s="2">
        <f t="shared" si="1"/>
        <v>0</v>
      </c>
      <c r="E24" s="2">
        <f t="shared" si="1"/>
        <v>0</v>
      </c>
      <c r="F24" s="2">
        <f t="shared" si="1"/>
        <v>0</v>
      </c>
      <c r="G24" s="2">
        <f t="shared" si="1"/>
        <v>0</v>
      </c>
      <c r="H24" s="2">
        <f t="shared" si="1"/>
        <v>0</v>
      </c>
      <c r="I24" s="2">
        <f t="shared" si="1"/>
        <v>0</v>
      </c>
      <c r="J24" s="2">
        <f t="shared" si="1"/>
        <v>0</v>
      </c>
      <c r="K24" s="2">
        <f t="shared" si="1"/>
        <v>0</v>
      </c>
      <c r="L24" s="2">
        <f t="shared" si="1"/>
        <v>0</v>
      </c>
      <c r="M24" s="2">
        <f t="shared" si="1"/>
        <v>0</v>
      </c>
      <c r="N24" s="501">
        <f t="shared" si="2"/>
        <v>5</v>
      </c>
      <c r="O24" s="180"/>
    </row>
    <row r="25" spans="2:15" x14ac:dyDescent="0.15">
      <c r="B25" s="202"/>
      <c r="C25" s="426">
        <v>6</v>
      </c>
      <c r="D25" s="2">
        <f t="shared" si="1"/>
        <v>0</v>
      </c>
      <c r="E25" s="2">
        <f t="shared" si="1"/>
        <v>0</v>
      </c>
      <c r="F25" s="2">
        <f t="shared" si="1"/>
        <v>0</v>
      </c>
      <c r="G25" s="2">
        <f t="shared" si="1"/>
        <v>0</v>
      </c>
      <c r="H25" s="2">
        <f t="shared" si="1"/>
        <v>0</v>
      </c>
      <c r="I25" s="2">
        <f t="shared" si="1"/>
        <v>0</v>
      </c>
      <c r="J25" s="2">
        <f t="shared" si="1"/>
        <v>0</v>
      </c>
      <c r="K25" s="2">
        <f t="shared" si="1"/>
        <v>0</v>
      </c>
      <c r="L25" s="2">
        <f t="shared" si="1"/>
        <v>0</v>
      </c>
      <c r="M25" s="2">
        <f t="shared" si="1"/>
        <v>0</v>
      </c>
      <c r="N25" s="501">
        <f t="shared" si="2"/>
        <v>6</v>
      </c>
      <c r="O25" s="180"/>
    </row>
    <row r="26" spans="2:15" x14ac:dyDescent="0.15">
      <c r="B26" s="521"/>
      <c r="C26" s="426">
        <v>7</v>
      </c>
      <c r="D26" s="2">
        <f t="shared" si="1"/>
        <v>0</v>
      </c>
      <c r="E26" s="2">
        <f t="shared" si="1"/>
        <v>0</v>
      </c>
      <c r="F26" s="2">
        <f t="shared" si="1"/>
        <v>0</v>
      </c>
      <c r="G26" s="2">
        <f t="shared" si="1"/>
        <v>0</v>
      </c>
      <c r="H26" s="2">
        <f t="shared" si="1"/>
        <v>0</v>
      </c>
      <c r="I26" s="2">
        <f t="shared" si="1"/>
        <v>0</v>
      </c>
      <c r="J26" s="2">
        <f t="shared" si="1"/>
        <v>0</v>
      </c>
      <c r="K26" s="2">
        <f t="shared" si="1"/>
        <v>0</v>
      </c>
      <c r="L26" s="2">
        <f t="shared" si="1"/>
        <v>0</v>
      </c>
      <c r="M26" s="2">
        <f t="shared" si="1"/>
        <v>0</v>
      </c>
      <c r="N26" s="501">
        <f t="shared" si="2"/>
        <v>7</v>
      </c>
      <c r="O26" s="180"/>
    </row>
    <row r="27" spans="2:15" x14ac:dyDescent="0.15">
      <c r="B27" s="202"/>
      <c r="C27" s="426">
        <v>8</v>
      </c>
      <c r="D27" s="2">
        <f t="shared" si="1"/>
        <v>0</v>
      </c>
      <c r="E27" s="2">
        <f t="shared" si="1"/>
        <v>0</v>
      </c>
      <c r="F27" s="2">
        <f t="shared" si="1"/>
        <v>0</v>
      </c>
      <c r="G27" s="2">
        <f t="shared" si="1"/>
        <v>0</v>
      </c>
      <c r="H27" s="2">
        <f t="shared" si="1"/>
        <v>0</v>
      </c>
      <c r="I27" s="2">
        <f t="shared" si="1"/>
        <v>0</v>
      </c>
      <c r="J27" s="2">
        <f t="shared" si="1"/>
        <v>0</v>
      </c>
      <c r="K27" s="2">
        <f t="shared" si="1"/>
        <v>0</v>
      </c>
      <c r="L27" s="2">
        <f t="shared" si="1"/>
        <v>0</v>
      </c>
      <c r="M27" s="2">
        <f t="shared" si="1"/>
        <v>0</v>
      </c>
      <c r="N27" s="501">
        <f t="shared" si="2"/>
        <v>8</v>
      </c>
      <c r="O27" s="180"/>
    </row>
    <row r="28" spans="2:15" x14ac:dyDescent="0.15">
      <c r="B28" s="202"/>
      <c r="C28" s="426">
        <v>9</v>
      </c>
      <c r="D28" s="2">
        <f t="shared" si="1"/>
        <v>0</v>
      </c>
      <c r="E28" s="2">
        <f t="shared" si="1"/>
        <v>0</v>
      </c>
      <c r="F28" s="2">
        <f t="shared" si="1"/>
        <v>0</v>
      </c>
      <c r="G28" s="2">
        <f t="shared" si="1"/>
        <v>0</v>
      </c>
      <c r="H28" s="2">
        <f t="shared" si="1"/>
        <v>0</v>
      </c>
      <c r="I28" s="2">
        <f t="shared" si="1"/>
        <v>0</v>
      </c>
      <c r="J28" s="2">
        <f t="shared" si="1"/>
        <v>0</v>
      </c>
      <c r="K28" s="2">
        <f t="shared" si="1"/>
        <v>0</v>
      </c>
      <c r="L28" s="2">
        <f t="shared" si="1"/>
        <v>0</v>
      </c>
      <c r="M28" s="2">
        <f t="shared" si="1"/>
        <v>0</v>
      </c>
      <c r="N28" s="501">
        <f t="shared" si="2"/>
        <v>9</v>
      </c>
      <c r="O28" s="180"/>
    </row>
    <row r="29" spans="2:15" x14ac:dyDescent="0.15">
      <c r="B29" s="202"/>
      <c r="C29" s="426">
        <v>10</v>
      </c>
      <c r="D29" s="2">
        <f t="shared" si="1"/>
        <v>0</v>
      </c>
      <c r="E29" s="2">
        <f t="shared" si="1"/>
        <v>0</v>
      </c>
      <c r="F29" s="2">
        <f t="shared" si="1"/>
        <v>0</v>
      </c>
      <c r="G29" s="2">
        <f t="shared" si="1"/>
        <v>0</v>
      </c>
      <c r="H29" s="2">
        <f t="shared" si="1"/>
        <v>0</v>
      </c>
      <c r="I29" s="2">
        <f t="shared" si="1"/>
        <v>0</v>
      </c>
      <c r="J29" s="2">
        <f t="shared" si="1"/>
        <v>0</v>
      </c>
      <c r="K29" s="2">
        <f t="shared" si="1"/>
        <v>0</v>
      </c>
      <c r="L29" s="2">
        <f t="shared" si="1"/>
        <v>0</v>
      </c>
      <c r="M29" s="2">
        <f t="shared" si="1"/>
        <v>0</v>
      </c>
      <c r="N29" s="501">
        <f t="shared" si="2"/>
        <v>10</v>
      </c>
      <c r="O29" s="180"/>
    </row>
    <row r="30" spans="2:15" x14ac:dyDescent="0.15">
      <c r="B30" s="202"/>
      <c r="C30" s="426">
        <v>11</v>
      </c>
      <c r="D30" s="2">
        <f t="shared" si="1"/>
        <v>0</v>
      </c>
      <c r="E30" s="2">
        <f t="shared" si="1"/>
        <v>0</v>
      </c>
      <c r="F30" s="2">
        <f t="shared" si="1"/>
        <v>0</v>
      </c>
      <c r="G30" s="2">
        <f t="shared" si="1"/>
        <v>0</v>
      </c>
      <c r="H30" s="2">
        <f t="shared" si="1"/>
        <v>0</v>
      </c>
      <c r="I30" s="2">
        <f t="shared" si="1"/>
        <v>0</v>
      </c>
      <c r="J30" s="2">
        <f t="shared" si="1"/>
        <v>0</v>
      </c>
      <c r="K30" s="2">
        <f t="shared" si="1"/>
        <v>0</v>
      </c>
      <c r="L30" s="2">
        <f t="shared" si="1"/>
        <v>0</v>
      </c>
      <c r="M30" s="2">
        <f t="shared" si="1"/>
        <v>0</v>
      </c>
      <c r="N30" s="501">
        <f t="shared" si="2"/>
        <v>11</v>
      </c>
      <c r="O30" s="180"/>
    </row>
    <row r="31" spans="2:15" ht="14" thickBot="1" x14ac:dyDescent="0.2">
      <c r="B31" s="202"/>
      <c r="C31" s="426">
        <v>12</v>
      </c>
      <c r="D31" s="2">
        <f t="shared" si="1"/>
        <v>0</v>
      </c>
      <c r="E31" s="2">
        <f t="shared" si="1"/>
        <v>0</v>
      </c>
      <c r="F31" s="2">
        <f t="shared" si="1"/>
        <v>0</v>
      </c>
      <c r="G31" s="2">
        <f t="shared" si="1"/>
        <v>0</v>
      </c>
      <c r="H31" s="2">
        <f t="shared" si="1"/>
        <v>0</v>
      </c>
      <c r="I31" s="2">
        <f t="shared" si="1"/>
        <v>0</v>
      </c>
      <c r="J31" s="2">
        <f t="shared" si="1"/>
        <v>0</v>
      </c>
      <c r="K31" s="2">
        <f t="shared" si="1"/>
        <v>0</v>
      </c>
      <c r="L31" s="2">
        <f t="shared" si="1"/>
        <v>0</v>
      </c>
      <c r="M31" s="2">
        <f t="shared" si="1"/>
        <v>0</v>
      </c>
      <c r="N31" s="501">
        <f t="shared" si="2"/>
        <v>12</v>
      </c>
      <c r="O31" s="180"/>
    </row>
    <row r="32" spans="2:15" ht="14" thickBot="1" x14ac:dyDescent="0.2">
      <c r="B32" s="541" t="s">
        <v>45</v>
      </c>
      <c r="C32" s="502" t="s">
        <v>273</v>
      </c>
      <c r="D32" s="503">
        <f>IF(D19&gt;$H$10,0,IPMT($H$6,D19,$H$10,$B$24))</f>
        <v>0</v>
      </c>
      <c r="E32" s="503">
        <f t="shared" ref="E32:J32" si="3">IF(E19&gt;$H$10,0,IPMT($H$6,E19,$H$10,$B$24))</f>
        <v>0</v>
      </c>
      <c r="F32" s="503">
        <f t="shared" si="3"/>
        <v>0</v>
      </c>
      <c r="G32" s="503">
        <f t="shared" si="3"/>
        <v>0</v>
      </c>
      <c r="H32" s="503">
        <f t="shared" si="3"/>
        <v>0</v>
      </c>
      <c r="I32" s="503">
        <f t="shared" si="3"/>
        <v>0</v>
      </c>
      <c r="J32" s="503">
        <f t="shared" si="3"/>
        <v>0</v>
      </c>
      <c r="K32" s="503">
        <f>IF(K19&gt;$H$10,0,IPMT($H$6,K19,$H$10,$B$24))</f>
        <v>0</v>
      </c>
      <c r="L32" s="503">
        <f>IF(L19&gt;$H$10,0,IPMT($H$6,L19,$H$10,$B$24))</f>
        <v>0</v>
      </c>
      <c r="M32" s="503">
        <f>IF(M19&gt;$H$10,0,IPMT($H$6,M19,$H$10,$B$24))</f>
        <v>0</v>
      </c>
      <c r="N32" s="504">
        <f t="shared" si="2"/>
        <v>0</v>
      </c>
      <c r="O32" s="180"/>
    </row>
    <row r="33" spans="2:15" ht="14" thickBot="1" x14ac:dyDescent="0.2">
      <c r="B33" s="478"/>
      <c r="C33" s="520" t="s">
        <v>663</v>
      </c>
      <c r="D33" s="522">
        <f>IF(D19&gt;$H$10,0,PPMT($H$6,D19,$H$10,$B$24))</f>
        <v>0</v>
      </c>
      <c r="E33" s="522">
        <f t="shared" ref="E33:J33" si="4">IF(E19&gt;$H$10,0,PPMT($H$6,E19,$H$10,$B$24))</f>
        <v>0</v>
      </c>
      <c r="F33" s="522">
        <f t="shared" si="4"/>
        <v>0</v>
      </c>
      <c r="G33" s="522">
        <f t="shared" si="4"/>
        <v>0</v>
      </c>
      <c r="H33" s="522">
        <f t="shared" si="4"/>
        <v>0</v>
      </c>
      <c r="I33" s="522">
        <f t="shared" si="4"/>
        <v>0</v>
      </c>
      <c r="J33" s="522">
        <f t="shared" si="4"/>
        <v>0</v>
      </c>
      <c r="K33" s="522">
        <f>IF(K19&gt;$H$10,0,PPMT($H$6,K19,$H$10,$B$24))</f>
        <v>0</v>
      </c>
      <c r="L33" s="522">
        <f>IF(L19&gt;$H$10,0,PPMT($H$6,L19,$H$10,$B$24))</f>
        <v>0</v>
      </c>
      <c r="M33" s="522">
        <f>IF(M19&gt;$H$10,0,PPMT($H$6,M19,$H$10,$B$24))</f>
        <v>0</v>
      </c>
      <c r="N33" s="504">
        <f t="shared" si="2"/>
        <v>0</v>
      </c>
      <c r="O33" s="273"/>
    </row>
    <row r="35" spans="2:15" ht="14" thickBot="1" x14ac:dyDescent="0.2"/>
    <row r="36" spans="2:15" ht="14" thickBot="1" x14ac:dyDescent="0.2">
      <c r="B36" s="481" t="s">
        <v>413</v>
      </c>
      <c r="C36" s="496"/>
      <c r="D36" s="483" t="s">
        <v>133</v>
      </c>
      <c r="E36" s="483" t="s">
        <v>133</v>
      </c>
      <c r="F36" s="483" t="s">
        <v>133</v>
      </c>
      <c r="G36" s="483" t="s">
        <v>133</v>
      </c>
      <c r="H36" s="483" t="s">
        <v>133</v>
      </c>
      <c r="I36" s="483" t="s">
        <v>133</v>
      </c>
      <c r="J36" s="483" t="s">
        <v>133</v>
      </c>
      <c r="K36" s="483" t="s">
        <v>133</v>
      </c>
      <c r="L36" s="483" t="s">
        <v>133</v>
      </c>
      <c r="M36" s="483" t="s">
        <v>133</v>
      </c>
      <c r="N36" s="272"/>
      <c r="O36" s="497" t="str">
        <f>B36</f>
        <v>-20%</v>
      </c>
    </row>
    <row r="37" spans="2:15" x14ac:dyDescent="0.15">
      <c r="B37" s="426"/>
      <c r="C37" s="426" t="s">
        <v>660</v>
      </c>
      <c r="D37" s="4">
        <v>1</v>
      </c>
      <c r="E37" s="4">
        <f>D37+1</f>
        <v>2</v>
      </c>
      <c r="F37" s="4">
        <f>E37+1</f>
        <v>3</v>
      </c>
      <c r="G37" s="4">
        <f t="shared" ref="G37:M37" si="5">F37+1</f>
        <v>4</v>
      </c>
      <c r="H37" s="4">
        <f t="shared" si="5"/>
        <v>5</v>
      </c>
      <c r="I37" s="4">
        <f t="shared" si="5"/>
        <v>6</v>
      </c>
      <c r="J37" s="4">
        <f t="shared" si="5"/>
        <v>7</v>
      </c>
      <c r="K37" s="4">
        <f t="shared" si="5"/>
        <v>8</v>
      </c>
      <c r="L37" s="4">
        <f t="shared" si="5"/>
        <v>9</v>
      </c>
      <c r="M37" s="4">
        <f t="shared" si="5"/>
        <v>10</v>
      </c>
      <c r="N37" s="500" t="s">
        <v>285</v>
      </c>
      <c r="O37" s="480"/>
    </row>
    <row r="38" spans="2:15" x14ac:dyDescent="0.15">
      <c r="B38" s="202" t="s">
        <v>661</v>
      </c>
      <c r="C38" s="426">
        <v>1</v>
      </c>
      <c r="D38" s="2">
        <f>IF(ISNUMBER(IPMT($H$6/12,((D$19-1)*12)+$C38,$H$10*12,$C$6)),IPMT($H$6/12,((D$19-1)*12)+$C38,$H$10*12,$C$6),0)</f>
        <v>0</v>
      </c>
      <c r="E38" s="2">
        <f t="shared" ref="E38:M38" si="6">IF(ISNUMBER(IPMT($H$6/12,((E$19-1)*12)+$C38,$H$10*12,$C$6)),IPMT($H$6/12,((E$19-1)*12)+$C38,$H$10*12,$C$6),0)</f>
        <v>0</v>
      </c>
      <c r="F38" s="2">
        <f t="shared" si="6"/>
        <v>0</v>
      </c>
      <c r="G38" s="2">
        <f t="shared" si="6"/>
        <v>0</v>
      </c>
      <c r="H38" s="2">
        <f t="shared" si="6"/>
        <v>0</v>
      </c>
      <c r="I38" s="2">
        <f t="shared" si="6"/>
        <v>0</v>
      </c>
      <c r="J38" s="2">
        <f t="shared" si="6"/>
        <v>0</v>
      </c>
      <c r="K38" s="2">
        <f t="shared" si="6"/>
        <v>0</v>
      </c>
      <c r="L38" s="2">
        <f t="shared" si="6"/>
        <v>0</v>
      </c>
      <c r="M38" s="2">
        <f t="shared" si="6"/>
        <v>0</v>
      </c>
      <c r="N38" s="501">
        <f>SUM(C38:M38)</f>
        <v>1</v>
      </c>
      <c r="O38" s="480"/>
    </row>
    <row r="39" spans="2:15" x14ac:dyDescent="0.15">
      <c r="B39" s="511">
        <f>-PMT($H$6/12,$H$10*12,C6)</f>
        <v>0</v>
      </c>
      <c r="C39" s="426">
        <v>2</v>
      </c>
      <c r="D39" s="2">
        <f t="shared" ref="D39:M49" si="7">IF(ISNUMBER(IPMT($H$6/12,((D$19-1)*12)+$C39,$H$10*12,$C$6)),IPMT($H$6/12,((D$19-1)*12)+$C39,$H$10*12,$C$6),0)</f>
        <v>0</v>
      </c>
      <c r="E39" s="2">
        <f t="shared" si="7"/>
        <v>0</v>
      </c>
      <c r="F39" s="2">
        <f t="shared" si="7"/>
        <v>0</v>
      </c>
      <c r="G39" s="2">
        <f t="shared" si="7"/>
        <v>0</v>
      </c>
      <c r="H39" s="2">
        <f t="shared" si="7"/>
        <v>0</v>
      </c>
      <c r="I39" s="2">
        <f t="shared" si="7"/>
        <v>0</v>
      </c>
      <c r="J39" s="2">
        <f t="shared" si="7"/>
        <v>0</v>
      </c>
      <c r="K39" s="2">
        <f t="shared" si="7"/>
        <v>0</v>
      </c>
      <c r="L39" s="2">
        <f t="shared" si="7"/>
        <v>0</v>
      </c>
      <c r="M39" s="2">
        <f t="shared" si="7"/>
        <v>0</v>
      </c>
      <c r="N39" s="501">
        <f t="shared" ref="N39:N51" si="8">SUM(C39:M39)</f>
        <v>2</v>
      </c>
      <c r="O39" s="480"/>
    </row>
    <row r="40" spans="2:15" x14ac:dyDescent="0.15">
      <c r="B40" s="540">
        <f>B39*12</f>
        <v>0</v>
      </c>
      <c r="C40" s="426">
        <v>3</v>
      </c>
      <c r="D40" s="2">
        <f t="shared" si="7"/>
        <v>0</v>
      </c>
      <c r="E40" s="2">
        <f t="shared" si="7"/>
        <v>0</v>
      </c>
      <c r="F40" s="2">
        <f t="shared" si="7"/>
        <v>0</v>
      </c>
      <c r="G40" s="2">
        <f t="shared" si="7"/>
        <v>0</v>
      </c>
      <c r="H40" s="2">
        <f t="shared" si="7"/>
        <v>0</v>
      </c>
      <c r="I40" s="2">
        <f t="shared" si="7"/>
        <v>0</v>
      </c>
      <c r="J40" s="2">
        <f t="shared" si="7"/>
        <v>0</v>
      </c>
      <c r="K40" s="2">
        <f t="shared" si="7"/>
        <v>0</v>
      </c>
      <c r="L40" s="2">
        <f t="shared" si="7"/>
        <v>0</v>
      </c>
      <c r="M40" s="2">
        <f t="shared" si="7"/>
        <v>0</v>
      </c>
      <c r="N40" s="501">
        <f t="shared" si="8"/>
        <v>3</v>
      </c>
      <c r="O40" s="480"/>
    </row>
    <row r="41" spans="2:15" x14ac:dyDescent="0.15">
      <c r="B41" s="202" t="s">
        <v>662</v>
      </c>
      <c r="C41" s="426">
        <v>4</v>
      </c>
      <c r="D41" s="2">
        <f t="shared" si="7"/>
        <v>0</v>
      </c>
      <c r="E41" s="2">
        <f t="shared" si="7"/>
        <v>0</v>
      </c>
      <c r="F41" s="2">
        <f t="shared" si="7"/>
        <v>0</v>
      </c>
      <c r="G41" s="2">
        <f t="shared" si="7"/>
        <v>0</v>
      </c>
      <c r="H41" s="2">
        <f t="shared" si="7"/>
        <v>0</v>
      </c>
      <c r="I41" s="2">
        <f t="shared" si="7"/>
        <v>0</v>
      </c>
      <c r="J41" s="2">
        <f t="shared" si="7"/>
        <v>0</v>
      </c>
      <c r="K41" s="2">
        <f t="shared" si="7"/>
        <v>0</v>
      </c>
      <c r="L41" s="2">
        <f t="shared" si="7"/>
        <v>0</v>
      </c>
      <c r="M41" s="2">
        <f t="shared" si="7"/>
        <v>0</v>
      </c>
      <c r="N41" s="501">
        <f t="shared" si="8"/>
        <v>4</v>
      </c>
      <c r="O41" s="480"/>
    </row>
    <row r="42" spans="2:15" x14ac:dyDescent="0.15">
      <c r="B42" s="521">
        <f>C6</f>
        <v>0</v>
      </c>
      <c r="C42" s="426">
        <v>5</v>
      </c>
      <c r="D42" s="2">
        <f t="shared" si="7"/>
        <v>0</v>
      </c>
      <c r="E42" s="2">
        <f t="shared" si="7"/>
        <v>0</v>
      </c>
      <c r="F42" s="2">
        <f t="shared" si="7"/>
        <v>0</v>
      </c>
      <c r="G42" s="2">
        <f t="shared" si="7"/>
        <v>0</v>
      </c>
      <c r="H42" s="2">
        <f t="shared" si="7"/>
        <v>0</v>
      </c>
      <c r="I42" s="2">
        <f t="shared" si="7"/>
        <v>0</v>
      </c>
      <c r="J42" s="2">
        <f t="shared" si="7"/>
        <v>0</v>
      </c>
      <c r="K42" s="2">
        <f t="shared" si="7"/>
        <v>0</v>
      </c>
      <c r="L42" s="2">
        <f t="shared" si="7"/>
        <v>0</v>
      </c>
      <c r="M42" s="2">
        <f t="shared" si="7"/>
        <v>0</v>
      </c>
      <c r="N42" s="501">
        <f t="shared" si="8"/>
        <v>5</v>
      </c>
      <c r="O42" s="480"/>
    </row>
    <row r="43" spans="2:15" x14ac:dyDescent="0.15">
      <c r="B43" s="202"/>
      <c r="C43" s="426">
        <v>6</v>
      </c>
      <c r="D43" s="2">
        <f t="shared" si="7"/>
        <v>0</v>
      </c>
      <c r="E43" s="2">
        <f t="shared" si="7"/>
        <v>0</v>
      </c>
      <c r="F43" s="2">
        <f t="shared" si="7"/>
        <v>0</v>
      </c>
      <c r="G43" s="2">
        <f t="shared" si="7"/>
        <v>0</v>
      </c>
      <c r="H43" s="2">
        <f t="shared" si="7"/>
        <v>0</v>
      </c>
      <c r="I43" s="2">
        <f t="shared" si="7"/>
        <v>0</v>
      </c>
      <c r="J43" s="2">
        <f t="shared" si="7"/>
        <v>0</v>
      </c>
      <c r="K43" s="2">
        <f t="shared" si="7"/>
        <v>0</v>
      </c>
      <c r="L43" s="2">
        <f t="shared" si="7"/>
        <v>0</v>
      </c>
      <c r="M43" s="2">
        <f t="shared" si="7"/>
        <v>0</v>
      </c>
      <c r="N43" s="501">
        <f t="shared" si="8"/>
        <v>6</v>
      </c>
      <c r="O43" s="480"/>
    </row>
    <row r="44" spans="2:15" x14ac:dyDescent="0.15">
      <c r="B44" s="202"/>
      <c r="C44" s="426">
        <v>7</v>
      </c>
      <c r="D44" s="2">
        <f t="shared" si="7"/>
        <v>0</v>
      </c>
      <c r="E44" s="2">
        <f t="shared" si="7"/>
        <v>0</v>
      </c>
      <c r="F44" s="2">
        <f t="shared" si="7"/>
        <v>0</v>
      </c>
      <c r="G44" s="2">
        <f t="shared" si="7"/>
        <v>0</v>
      </c>
      <c r="H44" s="2">
        <f t="shared" si="7"/>
        <v>0</v>
      </c>
      <c r="I44" s="2">
        <f t="shared" si="7"/>
        <v>0</v>
      </c>
      <c r="J44" s="2">
        <f t="shared" si="7"/>
        <v>0</v>
      </c>
      <c r="K44" s="2">
        <f t="shared" si="7"/>
        <v>0</v>
      </c>
      <c r="L44" s="2">
        <f t="shared" si="7"/>
        <v>0</v>
      </c>
      <c r="M44" s="2">
        <f t="shared" si="7"/>
        <v>0</v>
      </c>
      <c r="N44" s="501">
        <f t="shared" si="8"/>
        <v>7</v>
      </c>
      <c r="O44" s="480"/>
    </row>
    <row r="45" spans="2:15" x14ac:dyDescent="0.15">
      <c r="B45" s="202"/>
      <c r="C45" s="426">
        <v>8</v>
      </c>
      <c r="D45" s="2">
        <f t="shared" si="7"/>
        <v>0</v>
      </c>
      <c r="E45" s="2">
        <f t="shared" si="7"/>
        <v>0</v>
      </c>
      <c r="F45" s="2">
        <f t="shared" si="7"/>
        <v>0</v>
      </c>
      <c r="G45" s="2">
        <f t="shared" si="7"/>
        <v>0</v>
      </c>
      <c r="H45" s="2">
        <f t="shared" si="7"/>
        <v>0</v>
      </c>
      <c r="I45" s="2">
        <f t="shared" si="7"/>
        <v>0</v>
      </c>
      <c r="J45" s="2">
        <f t="shared" si="7"/>
        <v>0</v>
      </c>
      <c r="K45" s="2">
        <f t="shared" si="7"/>
        <v>0</v>
      </c>
      <c r="L45" s="2">
        <f t="shared" si="7"/>
        <v>0</v>
      </c>
      <c r="M45" s="2">
        <f t="shared" si="7"/>
        <v>0</v>
      </c>
      <c r="N45" s="501">
        <f t="shared" si="8"/>
        <v>8</v>
      </c>
      <c r="O45" s="480"/>
    </row>
    <row r="46" spans="2:15" x14ac:dyDescent="0.15">
      <c r="B46" s="202"/>
      <c r="C46" s="426">
        <v>9</v>
      </c>
      <c r="D46" s="2">
        <f t="shared" si="7"/>
        <v>0</v>
      </c>
      <c r="E46" s="2">
        <f t="shared" si="7"/>
        <v>0</v>
      </c>
      <c r="F46" s="2">
        <f t="shared" si="7"/>
        <v>0</v>
      </c>
      <c r="G46" s="2">
        <f t="shared" si="7"/>
        <v>0</v>
      </c>
      <c r="H46" s="2">
        <f t="shared" si="7"/>
        <v>0</v>
      </c>
      <c r="I46" s="2">
        <f t="shared" si="7"/>
        <v>0</v>
      </c>
      <c r="J46" s="2">
        <f t="shared" si="7"/>
        <v>0</v>
      </c>
      <c r="K46" s="2">
        <f t="shared" si="7"/>
        <v>0</v>
      </c>
      <c r="L46" s="2">
        <f t="shared" si="7"/>
        <v>0</v>
      </c>
      <c r="M46" s="2">
        <f t="shared" si="7"/>
        <v>0</v>
      </c>
      <c r="N46" s="501">
        <f t="shared" si="8"/>
        <v>9</v>
      </c>
      <c r="O46" s="480"/>
    </row>
    <row r="47" spans="2:15" x14ac:dyDescent="0.15">
      <c r="B47" s="202"/>
      <c r="C47" s="426">
        <v>10</v>
      </c>
      <c r="D47" s="2">
        <f t="shared" si="7"/>
        <v>0</v>
      </c>
      <c r="E47" s="2">
        <f t="shared" si="7"/>
        <v>0</v>
      </c>
      <c r="F47" s="2">
        <f t="shared" si="7"/>
        <v>0</v>
      </c>
      <c r="G47" s="2">
        <f t="shared" si="7"/>
        <v>0</v>
      </c>
      <c r="H47" s="2">
        <f t="shared" si="7"/>
        <v>0</v>
      </c>
      <c r="I47" s="2">
        <f t="shared" si="7"/>
        <v>0</v>
      </c>
      <c r="J47" s="2">
        <f t="shared" si="7"/>
        <v>0</v>
      </c>
      <c r="K47" s="2">
        <f t="shared" si="7"/>
        <v>0</v>
      </c>
      <c r="L47" s="2">
        <f t="shared" si="7"/>
        <v>0</v>
      </c>
      <c r="M47" s="2">
        <f t="shared" si="7"/>
        <v>0</v>
      </c>
      <c r="N47" s="501">
        <f t="shared" si="8"/>
        <v>10</v>
      </c>
      <c r="O47" s="480"/>
    </row>
    <row r="48" spans="2:15" x14ac:dyDescent="0.15">
      <c r="B48" s="202"/>
      <c r="C48" s="426">
        <v>11</v>
      </c>
      <c r="D48" s="2">
        <f t="shared" si="7"/>
        <v>0</v>
      </c>
      <c r="E48" s="2">
        <f t="shared" si="7"/>
        <v>0</v>
      </c>
      <c r="F48" s="2">
        <f t="shared" si="7"/>
        <v>0</v>
      </c>
      <c r="G48" s="2">
        <f t="shared" si="7"/>
        <v>0</v>
      </c>
      <c r="H48" s="2">
        <f t="shared" si="7"/>
        <v>0</v>
      </c>
      <c r="I48" s="2">
        <f t="shared" si="7"/>
        <v>0</v>
      </c>
      <c r="J48" s="2">
        <f t="shared" si="7"/>
        <v>0</v>
      </c>
      <c r="K48" s="2">
        <f t="shared" si="7"/>
        <v>0</v>
      </c>
      <c r="L48" s="2">
        <f t="shared" si="7"/>
        <v>0</v>
      </c>
      <c r="M48" s="2">
        <f t="shared" si="7"/>
        <v>0</v>
      </c>
      <c r="N48" s="501">
        <f t="shared" si="8"/>
        <v>11</v>
      </c>
      <c r="O48" s="480"/>
    </row>
    <row r="49" spans="2:15" ht="14" thickBot="1" x14ac:dyDescent="0.2">
      <c r="B49" s="202"/>
      <c r="C49" s="426">
        <v>12</v>
      </c>
      <c r="D49" s="2">
        <f t="shared" si="7"/>
        <v>0</v>
      </c>
      <c r="E49" s="2">
        <f t="shared" si="7"/>
        <v>0</v>
      </c>
      <c r="F49" s="2">
        <f t="shared" si="7"/>
        <v>0</v>
      </c>
      <c r="G49" s="2">
        <f t="shared" si="7"/>
        <v>0</v>
      </c>
      <c r="H49" s="2">
        <f t="shared" si="7"/>
        <v>0</v>
      </c>
      <c r="I49" s="2">
        <f t="shared" si="7"/>
        <v>0</v>
      </c>
      <c r="J49" s="2">
        <f t="shared" si="7"/>
        <v>0</v>
      </c>
      <c r="K49" s="2">
        <f t="shared" si="7"/>
        <v>0</v>
      </c>
      <c r="L49" s="2">
        <f t="shared" si="7"/>
        <v>0</v>
      </c>
      <c r="M49" s="2">
        <f t="shared" si="7"/>
        <v>0</v>
      </c>
      <c r="N49" s="501">
        <f t="shared" si="8"/>
        <v>12</v>
      </c>
      <c r="O49" s="480"/>
    </row>
    <row r="50" spans="2:15" ht="14" thickBot="1" x14ac:dyDescent="0.2">
      <c r="B50" s="541" t="s">
        <v>45</v>
      </c>
      <c r="C50" s="502" t="s">
        <v>273</v>
      </c>
      <c r="D50" s="503">
        <f>IF(D37&gt;$H$10,0,IPMT($H$6,D37,$H$10,$B$42))</f>
        <v>0</v>
      </c>
      <c r="E50" s="503">
        <f t="shared" ref="E50:M50" si="9">IF(E37&gt;$H$10,0,IPMT($H$6,E37,$H$10,$B$42))</f>
        <v>0</v>
      </c>
      <c r="F50" s="503">
        <f t="shared" si="9"/>
        <v>0</v>
      </c>
      <c r="G50" s="503">
        <f t="shared" si="9"/>
        <v>0</v>
      </c>
      <c r="H50" s="503">
        <f t="shared" si="9"/>
        <v>0</v>
      </c>
      <c r="I50" s="503">
        <f t="shared" si="9"/>
        <v>0</v>
      </c>
      <c r="J50" s="503">
        <f t="shared" si="9"/>
        <v>0</v>
      </c>
      <c r="K50" s="503">
        <f t="shared" si="9"/>
        <v>0</v>
      </c>
      <c r="L50" s="503">
        <f t="shared" si="9"/>
        <v>0</v>
      </c>
      <c r="M50" s="503">
        <f t="shared" si="9"/>
        <v>0</v>
      </c>
      <c r="N50" s="504">
        <f t="shared" si="8"/>
        <v>0</v>
      </c>
      <c r="O50" s="480"/>
    </row>
    <row r="51" spans="2:15" ht="14" thickBot="1" x14ac:dyDescent="0.2">
      <c r="B51" s="478"/>
      <c r="C51" s="520" t="s">
        <v>663</v>
      </c>
      <c r="D51" s="522">
        <f>IF(D37&gt;$H$10,0,PPMT($H$6,D37,$H$10,$B$42))</f>
        <v>0</v>
      </c>
      <c r="E51" s="522">
        <f t="shared" ref="E51:M51" si="10">IF(E37&gt;$H$10,0,PPMT($H$6,E37,$H$10,$B$42))</f>
        <v>0</v>
      </c>
      <c r="F51" s="522">
        <f t="shared" si="10"/>
        <v>0</v>
      </c>
      <c r="G51" s="522">
        <f t="shared" si="10"/>
        <v>0</v>
      </c>
      <c r="H51" s="522">
        <f t="shared" si="10"/>
        <v>0</v>
      </c>
      <c r="I51" s="522">
        <f t="shared" si="10"/>
        <v>0</v>
      </c>
      <c r="J51" s="522">
        <f t="shared" si="10"/>
        <v>0</v>
      </c>
      <c r="K51" s="522">
        <f t="shared" si="10"/>
        <v>0</v>
      </c>
      <c r="L51" s="522">
        <f t="shared" si="10"/>
        <v>0</v>
      </c>
      <c r="M51" s="522">
        <f t="shared" si="10"/>
        <v>0</v>
      </c>
      <c r="N51" s="504">
        <f t="shared" si="8"/>
        <v>0</v>
      </c>
      <c r="O51" s="482"/>
    </row>
    <row r="53" spans="2:15" ht="14" thickBot="1" x14ac:dyDescent="0.2"/>
    <row r="54" spans="2:15" ht="14" thickBot="1" x14ac:dyDescent="0.2">
      <c r="B54" s="495" t="s">
        <v>414</v>
      </c>
      <c r="C54" s="178"/>
      <c r="D54" s="483" t="s">
        <v>133</v>
      </c>
      <c r="E54" s="483" t="s">
        <v>133</v>
      </c>
      <c r="F54" s="483" t="s">
        <v>133</v>
      </c>
      <c r="G54" s="483" t="s">
        <v>133</v>
      </c>
      <c r="H54" s="483" t="s">
        <v>133</v>
      </c>
      <c r="I54" s="483" t="s">
        <v>133</v>
      </c>
      <c r="J54" s="483" t="s">
        <v>133</v>
      </c>
      <c r="K54" s="483" t="s">
        <v>133</v>
      </c>
      <c r="L54" s="483" t="s">
        <v>133</v>
      </c>
      <c r="M54" s="483" t="s">
        <v>133</v>
      </c>
      <c r="N54" s="178"/>
      <c r="O54" s="497" t="str">
        <f>B54</f>
        <v>-15%</v>
      </c>
    </row>
    <row r="55" spans="2:15" x14ac:dyDescent="0.15">
      <c r="B55" s="426"/>
      <c r="C55" s="4" t="s">
        <v>660</v>
      </c>
      <c r="D55" s="4">
        <v>1</v>
      </c>
      <c r="E55" s="4">
        <f>D55+1</f>
        <v>2</v>
      </c>
      <c r="F55" s="4">
        <f>E55+1</f>
        <v>3</v>
      </c>
      <c r="G55" s="4">
        <f t="shared" ref="G55:M55" si="11">F55+1</f>
        <v>4</v>
      </c>
      <c r="H55" s="4">
        <f t="shared" si="11"/>
        <v>5</v>
      </c>
      <c r="I55" s="4">
        <f t="shared" si="11"/>
        <v>6</v>
      </c>
      <c r="J55" s="4">
        <f t="shared" si="11"/>
        <v>7</v>
      </c>
      <c r="K55" s="4">
        <f t="shared" si="11"/>
        <v>8</v>
      </c>
      <c r="L55" s="4">
        <f t="shared" si="11"/>
        <v>9</v>
      </c>
      <c r="M55" s="4">
        <f t="shared" si="11"/>
        <v>10</v>
      </c>
      <c r="N55" s="4" t="s">
        <v>285</v>
      </c>
      <c r="O55" s="479"/>
    </row>
    <row r="56" spans="2:15" x14ac:dyDescent="0.15">
      <c r="B56" s="202" t="s">
        <v>661</v>
      </c>
      <c r="C56" s="4">
        <v>1</v>
      </c>
      <c r="D56" s="2">
        <f>IF(ISNUMBER(IPMT($H$6/12,((D$19-1)*12)+$C56,$H$10*12,$C$7)),IPMT($H$6/12,((D$19-1)*12)+$C56,$H$10*12,$C$7),0)</f>
        <v>0</v>
      </c>
      <c r="E56" s="2">
        <f t="shared" ref="E56:M56" si="12">IF(ISNUMBER(IPMT($H$6/12,((E$19-1)*12)+$C56,$H$10*12,$C$7)),IPMT($H$6/12,((E$19-1)*12)+$C56,$H$10*12,$C$7),0)</f>
        <v>0</v>
      </c>
      <c r="F56" s="2">
        <f t="shared" si="12"/>
        <v>0</v>
      </c>
      <c r="G56" s="2">
        <f t="shared" si="12"/>
        <v>0</v>
      </c>
      <c r="H56" s="2">
        <f t="shared" si="12"/>
        <v>0</v>
      </c>
      <c r="I56" s="2">
        <f t="shared" si="12"/>
        <v>0</v>
      </c>
      <c r="J56" s="2">
        <f t="shared" si="12"/>
        <v>0</v>
      </c>
      <c r="K56" s="2">
        <f t="shared" si="12"/>
        <v>0</v>
      </c>
      <c r="L56" s="2">
        <f t="shared" si="12"/>
        <v>0</v>
      </c>
      <c r="M56" s="2">
        <f t="shared" si="12"/>
        <v>0</v>
      </c>
      <c r="N56" s="2">
        <f>SUM(C56:M56)</f>
        <v>1</v>
      </c>
      <c r="O56" s="480"/>
    </row>
    <row r="57" spans="2:15" x14ac:dyDescent="0.15">
      <c r="B57" s="511">
        <f>-PMT($H$6/12,$H$10*12,C7)</f>
        <v>0</v>
      </c>
      <c r="C57" s="4">
        <v>2</v>
      </c>
      <c r="D57" s="2">
        <f t="shared" ref="D57:M67" si="13">IF(ISNUMBER(IPMT($H$6/12,((D$19-1)*12)+$C57,$H$10*12,$C$7)),IPMT($H$6/12,((D$19-1)*12)+$C57,$H$10*12,$C$7),0)</f>
        <v>0</v>
      </c>
      <c r="E57" s="2">
        <f t="shared" si="13"/>
        <v>0</v>
      </c>
      <c r="F57" s="2">
        <f t="shared" si="13"/>
        <v>0</v>
      </c>
      <c r="G57" s="2">
        <f t="shared" si="13"/>
        <v>0</v>
      </c>
      <c r="H57" s="2">
        <f t="shared" si="13"/>
        <v>0</v>
      </c>
      <c r="I57" s="2">
        <f t="shared" si="13"/>
        <v>0</v>
      </c>
      <c r="J57" s="2">
        <f t="shared" si="13"/>
        <v>0</v>
      </c>
      <c r="K57" s="2">
        <f t="shared" si="13"/>
        <v>0</v>
      </c>
      <c r="L57" s="2">
        <f t="shared" si="13"/>
        <v>0</v>
      </c>
      <c r="M57" s="2">
        <f t="shared" si="13"/>
        <v>0</v>
      </c>
      <c r="N57" s="2">
        <f t="shared" ref="N57:N69" si="14">SUM(C57:M57)</f>
        <v>2</v>
      </c>
      <c r="O57" s="480"/>
    </row>
    <row r="58" spans="2:15" x14ac:dyDescent="0.15">
      <c r="B58" s="540">
        <f>B57*12</f>
        <v>0</v>
      </c>
      <c r="C58" s="4">
        <v>3</v>
      </c>
      <c r="D58" s="2">
        <f t="shared" si="13"/>
        <v>0</v>
      </c>
      <c r="E58" s="2">
        <f t="shared" si="13"/>
        <v>0</v>
      </c>
      <c r="F58" s="2">
        <f t="shared" si="13"/>
        <v>0</v>
      </c>
      <c r="G58" s="2">
        <f t="shared" si="13"/>
        <v>0</v>
      </c>
      <c r="H58" s="2">
        <f t="shared" si="13"/>
        <v>0</v>
      </c>
      <c r="I58" s="2">
        <f t="shared" si="13"/>
        <v>0</v>
      </c>
      <c r="J58" s="2">
        <f t="shared" si="13"/>
        <v>0</v>
      </c>
      <c r="K58" s="2">
        <f t="shared" si="13"/>
        <v>0</v>
      </c>
      <c r="L58" s="2">
        <f t="shared" si="13"/>
        <v>0</v>
      </c>
      <c r="M58" s="2">
        <f t="shared" si="13"/>
        <v>0</v>
      </c>
      <c r="N58" s="2">
        <f t="shared" si="14"/>
        <v>3</v>
      </c>
      <c r="O58" s="480"/>
    </row>
    <row r="59" spans="2:15" x14ac:dyDescent="0.15">
      <c r="B59" s="202" t="s">
        <v>662</v>
      </c>
      <c r="C59" s="4">
        <v>4</v>
      </c>
      <c r="D59" s="2">
        <f t="shared" si="13"/>
        <v>0</v>
      </c>
      <c r="E59" s="2">
        <f t="shared" si="13"/>
        <v>0</v>
      </c>
      <c r="F59" s="2">
        <f t="shared" si="13"/>
        <v>0</v>
      </c>
      <c r="G59" s="2">
        <f t="shared" si="13"/>
        <v>0</v>
      </c>
      <c r="H59" s="2">
        <f t="shared" si="13"/>
        <v>0</v>
      </c>
      <c r="I59" s="2">
        <f t="shared" si="13"/>
        <v>0</v>
      </c>
      <c r="J59" s="2">
        <f t="shared" si="13"/>
        <v>0</v>
      </c>
      <c r="K59" s="2">
        <f t="shared" si="13"/>
        <v>0</v>
      </c>
      <c r="L59" s="2">
        <f t="shared" si="13"/>
        <v>0</v>
      </c>
      <c r="M59" s="2">
        <f t="shared" si="13"/>
        <v>0</v>
      </c>
      <c r="N59" s="2">
        <f t="shared" si="14"/>
        <v>4</v>
      </c>
      <c r="O59" s="480"/>
    </row>
    <row r="60" spans="2:15" x14ac:dyDescent="0.15">
      <c r="B60" s="521">
        <f>C7</f>
        <v>0</v>
      </c>
      <c r="C60" s="4">
        <v>5</v>
      </c>
      <c r="D60" s="2">
        <f t="shared" si="13"/>
        <v>0</v>
      </c>
      <c r="E60" s="2">
        <f t="shared" si="13"/>
        <v>0</v>
      </c>
      <c r="F60" s="2">
        <f t="shared" si="13"/>
        <v>0</v>
      </c>
      <c r="G60" s="2">
        <f t="shared" si="13"/>
        <v>0</v>
      </c>
      <c r="H60" s="2">
        <f t="shared" si="13"/>
        <v>0</v>
      </c>
      <c r="I60" s="2">
        <f t="shared" si="13"/>
        <v>0</v>
      </c>
      <c r="J60" s="2">
        <f t="shared" si="13"/>
        <v>0</v>
      </c>
      <c r="K60" s="2">
        <f t="shared" si="13"/>
        <v>0</v>
      </c>
      <c r="L60" s="2">
        <f t="shared" si="13"/>
        <v>0</v>
      </c>
      <c r="M60" s="2">
        <f t="shared" si="13"/>
        <v>0</v>
      </c>
      <c r="N60" s="2">
        <f t="shared" si="14"/>
        <v>5</v>
      </c>
      <c r="O60" s="480"/>
    </row>
    <row r="61" spans="2:15" x14ac:dyDescent="0.15">
      <c r="B61" s="202"/>
      <c r="C61" s="4">
        <v>6</v>
      </c>
      <c r="D61" s="2">
        <f t="shared" si="13"/>
        <v>0</v>
      </c>
      <c r="E61" s="2">
        <f t="shared" si="13"/>
        <v>0</v>
      </c>
      <c r="F61" s="2">
        <f t="shared" si="13"/>
        <v>0</v>
      </c>
      <c r="G61" s="2">
        <f t="shared" si="13"/>
        <v>0</v>
      </c>
      <c r="H61" s="2">
        <f t="shared" si="13"/>
        <v>0</v>
      </c>
      <c r="I61" s="2">
        <f t="shared" si="13"/>
        <v>0</v>
      </c>
      <c r="J61" s="2">
        <f t="shared" si="13"/>
        <v>0</v>
      </c>
      <c r="K61" s="2">
        <f t="shared" si="13"/>
        <v>0</v>
      </c>
      <c r="L61" s="2">
        <f t="shared" si="13"/>
        <v>0</v>
      </c>
      <c r="M61" s="2">
        <f t="shared" si="13"/>
        <v>0</v>
      </c>
      <c r="N61" s="2">
        <f t="shared" si="14"/>
        <v>6</v>
      </c>
      <c r="O61" s="480"/>
    </row>
    <row r="62" spans="2:15" x14ac:dyDescent="0.15">
      <c r="B62" s="202"/>
      <c r="C62" s="4">
        <v>7</v>
      </c>
      <c r="D62" s="2">
        <f t="shared" si="13"/>
        <v>0</v>
      </c>
      <c r="E62" s="2">
        <f t="shared" si="13"/>
        <v>0</v>
      </c>
      <c r="F62" s="2">
        <f t="shared" si="13"/>
        <v>0</v>
      </c>
      <c r="G62" s="2">
        <f t="shared" si="13"/>
        <v>0</v>
      </c>
      <c r="H62" s="2">
        <f t="shared" si="13"/>
        <v>0</v>
      </c>
      <c r="I62" s="2">
        <f t="shared" si="13"/>
        <v>0</v>
      </c>
      <c r="J62" s="2">
        <f t="shared" si="13"/>
        <v>0</v>
      </c>
      <c r="K62" s="2">
        <f t="shared" si="13"/>
        <v>0</v>
      </c>
      <c r="L62" s="2">
        <f t="shared" si="13"/>
        <v>0</v>
      </c>
      <c r="M62" s="2">
        <f t="shared" si="13"/>
        <v>0</v>
      </c>
      <c r="N62" s="2">
        <f t="shared" si="14"/>
        <v>7</v>
      </c>
      <c r="O62" s="480"/>
    </row>
    <row r="63" spans="2:15" x14ac:dyDescent="0.15">
      <c r="B63" s="202"/>
      <c r="C63" s="4">
        <v>8</v>
      </c>
      <c r="D63" s="2">
        <f t="shared" si="13"/>
        <v>0</v>
      </c>
      <c r="E63" s="2">
        <f t="shared" si="13"/>
        <v>0</v>
      </c>
      <c r="F63" s="2">
        <f t="shared" si="13"/>
        <v>0</v>
      </c>
      <c r="G63" s="2">
        <f t="shared" si="13"/>
        <v>0</v>
      </c>
      <c r="H63" s="2">
        <f t="shared" si="13"/>
        <v>0</v>
      </c>
      <c r="I63" s="2">
        <f t="shared" si="13"/>
        <v>0</v>
      </c>
      <c r="J63" s="2">
        <f t="shared" si="13"/>
        <v>0</v>
      </c>
      <c r="K63" s="2">
        <f t="shared" si="13"/>
        <v>0</v>
      </c>
      <c r="L63" s="2">
        <f t="shared" si="13"/>
        <v>0</v>
      </c>
      <c r="M63" s="2">
        <f t="shared" si="13"/>
        <v>0</v>
      </c>
      <c r="N63" s="2">
        <f t="shared" si="14"/>
        <v>8</v>
      </c>
      <c r="O63" s="480"/>
    </row>
    <row r="64" spans="2:15" x14ac:dyDescent="0.15">
      <c r="B64" s="202"/>
      <c r="C64" s="4">
        <v>9</v>
      </c>
      <c r="D64" s="2">
        <f t="shared" si="13"/>
        <v>0</v>
      </c>
      <c r="E64" s="2">
        <f t="shared" si="13"/>
        <v>0</v>
      </c>
      <c r="F64" s="2">
        <f t="shared" si="13"/>
        <v>0</v>
      </c>
      <c r="G64" s="2">
        <f t="shared" si="13"/>
        <v>0</v>
      </c>
      <c r="H64" s="2">
        <f t="shared" si="13"/>
        <v>0</v>
      </c>
      <c r="I64" s="2">
        <f t="shared" si="13"/>
        <v>0</v>
      </c>
      <c r="J64" s="2">
        <f t="shared" si="13"/>
        <v>0</v>
      </c>
      <c r="K64" s="2">
        <f t="shared" si="13"/>
        <v>0</v>
      </c>
      <c r="L64" s="2">
        <f t="shared" si="13"/>
        <v>0</v>
      </c>
      <c r="M64" s="2">
        <f t="shared" si="13"/>
        <v>0</v>
      </c>
      <c r="N64" s="2">
        <f t="shared" si="14"/>
        <v>9</v>
      </c>
      <c r="O64" s="480"/>
    </row>
    <row r="65" spans="2:15" x14ac:dyDescent="0.15">
      <c r="B65" s="202"/>
      <c r="C65" s="4">
        <v>10</v>
      </c>
      <c r="D65" s="2">
        <f t="shared" si="13"/>
        <v>0</v>
      </c>
      <c r="E65" s="2">
        <f t="shared" si="13"/>
        <v>0</v>
      </c>
      <c r="F65" s="2">
        <f t="shared" si="13"/>
        <v>0</v>
      </c>
      <c r="G65" s="2">
        <f t="shared" si="13"/>
        <v>0</v>
      </c>
      <c r="H65" s="2">
        <f t="shared" si="13"/>
        <v>0</v>
      </c>
      <c r="I65" s="2">
        <f t="shared" si="13"/>
        <v>0</v>
      </c>
      <c r="J65" s="2">
        <f t="shared" si="13"/>
        <v>0</v>
      </c>
      <c r="K65" s="2">
        <f t="shared" si="13"/>
        <v>0</v>
      </c>
      <c r="L65" s="2">
        <f t="shared" si="13"/>
        <v>0</v>
      </c>
      <c r="M65" s="2">
        <f t="shared" si="13"/>
        <v>0</v>
      </c>
      <c r="N65" s="2">
        <f t="shared" si="14"/>
        <v>10</v>
      </c>
      <c r="O65" s="480"/>
    </row>
    <row r="66" spans="2:15" x14ac:dyDescent="0.15">
      <c r="B66" s="202"/>
      <c r="C66" s="4">
        <v>11</v>
      </c>
      <c r="D66" s="2">
        <f t="shared" si="13"/>
        <v>0</v>
      </c>
      <c r="E66" s="2">
        <f t="shared" si="13"/>
        <v>0</v>
      </c>
      <c r="F66" s="2">
        <f t="shared" si="13"/>
        <v>0</v>
      </c>
      <c r="G66" s="2">
        <f t="shared" si="13"/>
        <v>0</v>
      </c>
      <c r="H66" s="2">
        <f t="shared" si="13"/>
        <v>0</v>
      </c>
      <c r="I66" s="2">
        <f t="shared" si="13"/>
        <v>0</v>
      </c>
      <c r="J66" s="2">
        <f t="shared" si="13"/>
        <v>0</v>
      </c>
      <c r="K66" s="2">
        <f t="shared" si="13"/>
        <v>0</v>
      </c>
      <c r="L66" s="2">
        <f t="shared" si="13"/>
        <v>0</v>
      </c>
      <c r="M66" s="2">
        <f t="shared" si="13"/>
        <v>0</v>
      </c>
      <c r="N66" s="2">
        <f t="shared" si="14"/>
        <v>11</v>
      </c>
      <c r="O66" s="480"/>
    </row>
    <row r="67" spans="2:15" ht="14" thickBot="1" x14ac:dyDescent="0.2">
      <c r="B67" s="202"/>
      <c r="C67" s="4">
        <v>12</v>
      </c>
      <c r="D67" s="2">
        <f t="shared" si="13"/>
        <v>0</v>
      </c>
      <c r="E67" s="2">
        <f t="shared" si="13"/>
        <v>0</v>
      </c>
      <c r="F67" s="2">
        <f t="shared" si="13"/>
        <v>0</v>
      </c>
      <c r="G67" s="2">
        <f t="shared" si="13"/>
        <v>0</v>
      </c>
      <c r="H67" s="2">
        <f t="shared" si="13"/>
        <v>0</v>
      </c>
      <c r="I67" s="2">
        <f t="shared" si="13"/>
        <v>0</v>
      </c>
      <c r="J67" s="2">
        <f t="shared" si="13"/>
        <v>0</v>
      </c>
      <c r="K67" s="2">
        <f t="shared" si="13"/>
        <v>0</v>
      </c>
      <c r="L67" s="2">
        <f t="shared" si="13"/>
        <v>0</v>
      </c>
      <c r="M67" s="2">
        <f t="shared" si="13"/>
        <v>0</v>
      </c>
      <c r="N67" s="2">
        <f t="shared" si="14"/>
        <v>12</v>
      </c>
      <c r="O67" s="480"/>
    </row>
    <row r="68" spans="2:15" ht="14" thickBot="1" x14ac:dyDescent="0.2">
      <c r="B68" s="541" t="s">
        <v>45</v>
      </c>
      <c r="C68" s="502" t="s">
        <v>273</v>
      </c>
      <c r="D68" s="503">
        <f>IF(D55&gt;$H$10,0,IPMT($H$6,D55,$H$10,$B$60))</f>
        <v>0</v>
      </c>
      <c r="E68" s="503">
        <f t="shared" ref="E68:M68" si="15">IF(E55&gt;$H$10,0,IPMT($H$6,E55,$H$10,$B$60))</f>
        <v>0</v>
      </c>
      <c r="F68" s="503">
        <f t="shared" si="15"/>
        <v>0</v>
      </c>
      <c r="G68" s="503">
        <f t="shared" si="15"/>
        <v>0</v>
      </c>
      <c r="H68" s="503">
        <f t="shared" si="15"/>
        <v>0</v>
      </c>
      <c r="I68" s="503">
        <f t="shared" si="15"/>
        <v>0</v>
      </c>
      <c r="J68" s="503">
        <f t="shared" si="15"/>
        <v>0</v>
      </c>
      <c r="K68" s="503">
        <f t="shared" si="15"/>
        <v>0</v>
      </c>
      <c r="L68" s="503">
        <f t="shared" si="15"/>
        <v>0</v>
      </c>
      <c r="M68" s="503">
        <f t="shared" si="15"/>
        <v>0</v>
      </c>
      <c r="N68" s="504">
        <f t="shared" si="14"/>
        <v>0</v>
      </c>
      <c r="O68" s="480"/>
    </row>
    <row r="69" spans="2:15" ht="14" thickBot="1" x14ac:dyDescent="0.2">
      <c r="B69" s="478"/>
      <c r="C69" s="520" t="s">
        <v>663</v>
      </c>
      <c r="D69" s="522">
        <f>IF(D55&gt;$H$10,0,PPMT($H$6,D55,$H$10,$B$60))</f>
        <v>0</v>
      </c>
      <c r="E69" s="522">
        <f t="shared" ref="E69:M69" si="16">IF(E55&gt;$H$10,0,PPMT($H$6,E55,$H$10,$B$60))</f>
        <v>0</v>
      </c>
      <c r="F69" s="522">
        <f t="shared" si="16"/>
        <v>0</v>
      </c>
      <c r="G69" s="522">
        <f t="shared" si="16"/>
        <v>0</v>
      </c>
      <c r="H69" s="522">
        <f t="shared" si="16"/>
        <v>0</v>
      </c>
      <c r="I69" s="522">
        <f t="shared" si="16"/>
        <v>0</v>
      </c>
      <c r="J69" s="522">
        <f t="shared" si="16"/>
        <v>0</v>
      </c>
      <c r="K69" s="522">
        <f t="shared" si="16"/>
        <v>0</v>
      </c>
      <c r="L69" s="522">
        <f t="shared" si="16"/>
        <v>0</v>
      </c>
      <c r="M69" s="522">
        <f t="shared" si="16"/>
        <v>0</v>
      </c>
      <c r="N69" s="504">
        <f t="shared" si="14"/>
        <v>0</v>
      </c>
      <c r="O69" s="482"/>
    </row>
    <row r="71" spans="2:15" ht="14" thickBot="1" x14ac:dyDescent="0.2"/>
    <row r="72" spans="2:15" ht="14" thickBot="1" x14ac:dyDescent="0.2">
      <c r="B72" s="495" t="s">
        <v>415</v>
      </c>
      <c r="C72" s="178"/>
      <c r="D72" s="483" t="s">
        <v>133</v>
      </c>
      <c r="E72" s="483" t="s">
        <v>133</v>
      </c>
      <c r="F72" s="483" t="s">
        <v>133</v>
      </c>
      <c r="G72" s="483" t="s">
        <v>133</v>
      </c>
      <c r="H72" s="483" t="s">
        <v>133</v>
      </c>
      <c r="I72" s="483" t="s">
        <v>133</v>
      </c>
      <c r="J72" s="483" t="s">
        <v>133</v>
      </c>
      <c r="K72" s="483" t="s">
        <v>133</v>
      </c>
      <c r="L72" s="483" t="s">
        <v>133</v>
      </c>
      <c r="M72" s="483" t="s">
        <v>133</v>
      </c>
      <c r="N72" s="178"/>
      <c r="O72" s="499" t="str">
        <f>B72</f>
        <v>-10%</v>
      </c>
    </row>
    <row r="73" spans="2:15" x14ac:dyDescent="0.15">
      <c r="B73" s="426"/>
      <c r="C73" s="4" t="s">
        <v>660</v>
      </c>
      <c r="D73" s="4">
        <v>1</v>
      </c>
      <c r="E73" s="4">
        <f>D73+1</f>
        <v>2</v>
      </c>
      <c r="F73" s="4">
        <f>E73+1</f>
        <v>3</v>
      </c>
      <c r="G73" s="4">
        <f t="shared" ref="G73:M73" si="17">F73+1</f>
        <v>4</v>
      </c>
      <c r="H73" s="4">
        <f t="shared" si="17"/>
        <v>5</v>
      </c>
      <c r="I73" s="4">
        <f t="shared" si="17"/>
        <v>6</v>
      </c>
      <c r="J73" s="4">
        <f t="shared" si="17"/>
        <v>7</v>
      </c>
      <c r="K73" s="4">
        <f t="shared" si="17"/>
        <v>8</v>
      </c>
      <c r="L73" s="4">
        <f t="shared" si="17"/>
        <v>9</v>
      </c>
      <c r="M73" s="4">
        <f t="shared" si="17"/>
        <v>10</v>
      </c>
      <c r="N73" s="4" t="s">
        <v>285</v>
      </c>
      <c r="O73" s="480"/>
    </row>
    <row r="74" spans="2:15" x14ac:dyDescent="0.15">
      <c r="B74" s="202" t="s">
        <v>661</v>
      </c>
      <c r="C74" s="4">
        <v>1</v>
      </c>
      <c r="D74" s="2">
        <f>IF(ISNUMBER(IPMT($H$6/12,((D$19-1)*12)+$C74,$H$10*12,$C$8)),IPMT($H$6/12,((D$19-1)*12)+$C74,$H$10*12,$C$8),0)</f>
        <v>0</v>
      </c>
      <c r="E74" s="2">
        <f t="shared" ref="E74:M74" si="18">IF(ISNUMBER(IPMT($H$6/12,((E$19-1)*12)+$C74,$H$10*12,$C$8)),IPMT($H$6/12,((E$19-1)*12)+$C74,$H$10*12,$C$8),0)</f>
        <v>0</v>
      </c>
      <c r="F74" s="2">
        <f t="shared" si="18"/>
        <v>0</v>
      </c>
      <c r="G74" s="2">
        <f t="shared" si="18"/>
        <v>0</v>
      </c>
      <c r="H74" s="2">
        <f t="shared" si="18"/>
        <v>0</v>
      </c>
      <c r="I74" s="2">
        <f t="shared" si="18"/>
        <v>0</v>
      </c>
      <c r="J74" s="2">
        <f t="shared" si="18"/>
        <v>0</v>
      </c>
      <c r="K74" s="2">
        <f t="shared" si="18"/>
        <v>0</v>
      </c>
      <c r="L74" s="2">
        <f t="shared" si="18"/>
        <v>0</v>
      </c>
      <c r="M74" s="2">
        <f t="shared" si="18"/>
        <v>0</v>
      </c>
      <c r="N74" s="2">
        <f>SUM(C74:M74)</f>
        <v>1</v>
      </c>
      <c r="O74" s="480"/>
    </row>
    <row r="75" spans="2:15" x14ac:dyDescent="0.15">
      <c r="B75" s="511">
        <f>-PMT($H$6/12,$H$10*12,C8)</f>
        <v>0</v>
      </c>
      <c r="C75" s="4">
        <v>2</v>
      </c>
      <c r="D75" s="2">
        <f t="shared" ref="D75:M85" si="19">IF(ISNUMBER(IPMT($H$6/12,((D$19-1)*12)+$C75,$H$10*12,$C$8)),IPMT($H$6/12,((D$19-1)*12)+$C75,$H$10*12,$C$8),0)</f>
        <v>0</v>
      </c>
      <c r="E75" s="2">
        <f t="shared" si="19"/>
        <v>0</v>
      </c>
      <c r="F75" s="2">
        <f t="shared" si="19"/>
        <v>0</v>
      </c>
      <c r="G75" s="2">
        <f t="shared" si="19"/>
        <v>0</v>
      </c>
      <c r="H75" s="2">
        <f t="shared" si="19"/>
        <v>0</v>
      </c>
      <c r="I75" s="2">
        <f t="shared" si="19"/>
        <v>0</v>
      </c>
      <c r="J75" s="2">
        <f t="shared" si="19"/>
        <v>0</v>
      </c>
      <c r="K75" s="2">
        <f t="shared" si="19"/>
        <v>0</v>
      </c>
      <c r="L75" s="2">
        <f t="shared" si="19"/>
        <v>0</v>
      </c>
      <c r="M75" s="2">
        <f t="shared" si="19"/>
        <v>0</v>
      </c>
      <c r="N75" s="2">
        <f t="shared" ref="N75:N87" si="20">SUM(C75:M75)</f>
        <v>2</v>
      </c>
      <c r="O75" s="480"/>
    </row>
    <row r="76" spans="2:15" x14ac:dyDescent="0.15">
      <c r="B76" s="540">
        <f>B75*12</f>
        <v>0</v>
      </c>
      <c r="C76" s="4">
        <v>3</v>
      </c>
      <c r="D76" s="2">
        <f t="shared" si="19"/>
        <v>0</v>
      </c>
      <c r="E76" s="2">
        <f t="shared" si="19"/>
        <v>0</v>
      </c>
      <c r="F76" s="2">
        <f t="shared" si="19"/>
        <v>0</v>
      </c>
      <c r="G76" s="2">
        <f t="shared" si="19"/>
        <v>0</v>
      </c>
      <c r="H76" s="2">
        <f t="shared" si="19"/>
        <v>0</v>
      </c>
      <c r="I76" s="2">
        <f t="shared" si="19"/>
        <v>0</v>
      </c>
      <c r="J76" s="2">
        <f t="shared" si="19"/>
        <v>0</v>
      </c>
      <c r="K76" s="2">
        <f t="shared" si="19"/>
        <v>0</v>
      </c>
      <c r="L76" s="2">
        <f t="shared" si="19"/>
        <v>0</v>
      </c>
      <c r="M76" s="2">
        <f t="shared" si="19"/>
        <v>0</v>
      </c>
      <c r="N76" s="2">
        <f t="shared" si="20"/>
        <v>3</v>
      </c>
      <c r="O76" s="480"/>
    </row>
    <row r="77" spans="2:15" x14ac:dyDescent="0.15">
      <c r="B77" s="202" t="s">
        <v>662</v>
      </c>
      <c r="C77" s="4">
        <v>4</v>
      </c>
      <c r="D77" s="2">
        <f t="shared" si="19"/>
        <v>0</v>
      </c>
      <c r="E77" s="2">
        <f t="shared" si="19"/>
        <v>0</v>
      </c>
      <c r="F77" s="2">
        <f t="shared" si="19"/>
        <v>0</v>
      </c>
      <c r="G77" s="2">
        <f t="shared" si="19"/>
        <v>0</v>
      </c>
      <c r="H77" s="2">
        <f t="shared" si="19"/>
        <v>0</v>
      </c>
      <c r="I77" s="2">
        <f t="shared" si="19"/>
        <v>0</v>
      </c>
      <c r="J77" s="2">
        <f t="shared" si="19"/>
        <v>0</v>
      </c>
      <c r="K77" s="2">
        <f t="shared" si="19"/>
        <v>0</v>
      </c>
      <c r="L77" s="2">
        <f t="shared" si="19"/>
        <v>0</v>
      </c>
      <c r="M77" s="2">
        <f t="shared" si="19"/>
        <v>0</v>
      </c>
      <c r="N77" s="2">
        <f t="shared" si="20"/>
        <v>4</v>
      </c>
      <c r="O77" s="480"/>
    </row>
    <row r="78" spans="2:15" x14ac:dyDescent="0.15">
      <c r="B78" s="521">
        <f>C8</f>
        <v>0</v>
      </c>
      <c r="C78" s="4">
        <v>5</v>
      </c>
      <c r="D78" s="2">
        <f t="shared" si="19"/>
        <v>0</v>
      </c>
      <c r="E78" s="2">
        <f t="shared" si="19"/>
        <v>0</v>
      </c>
      <c r="F78" s="2">
        <f t="shared" si="19"/>
        <v>0</v>
      </c>
      <c r="G78" s="2">
        <f t="shared" si="19"/>
        <v>0</v>
      </c>
      <c r="H78" s="2">
        <f t="shared" si="19"/>
        <v>0</v>
      </c>
      <c r="I78" s="2">
        <f t="shared" si="19"/>
        <v>0</v>
      </c>
      <c r="J78" s="2">
        <f t="shared" si="19"/>
        <v>0</v>
      </c>
      <c r="K78" s="2">
        <f t="shared" si="19"/>
        <v>0</v>
      </c>
      <c r="L78" s="2">
        <f t="shared" si="19"/>
        <v>0</v>
      </c>
      <c r="M78" s="2">
        <f t="shared" si="19"/>
        <v>0</v>
      </c>
      <c r="N78" s="2">
        <f t="shared" si="20"/>
        <v>5</v>
      </c>
      <c r="O78" s="480"/>
    </row>
    <row r="79" spans="2:15" x14ac:dyDescent="0.15">
      <c r="B79" s="202"/>
      <c r="C79" s="4">
        <v>6</v>
      </c>
      <c r="D79" s="2">
        <f t="shared" si="19"/>
        <v>0</v>
      </c>
      <c r="E79" s="2">
        <f t="shared" si="19"/>
        <v>0</v>
      </c>
      <c r="F79" s="2">
        <f t="shared" si="19"/>
        <v>0</v>
      </c>
      <c r="G79" s="2">
        <f t="shared" si="19"/>
        <v>0</v>
      </c>
      <c r="H79" s="2">
        <f t="shared" si="19"/>
        <v>0</v>
      </c>
      <c r="I79" s="2">
        <f t="shared" si="19"/>
        <v>0</v>
      </c>
      <c r="J79" s="2">
        <f t="shared" si="19"/>
        <v>0</v>
      </c>
      <c r="K79" s="2">
        <f t="shared" si="19"/>
        <v>0</v>
      </c>
      <c r="L79" s="2">
        <f t="shared" si="19"/>
        <v>0</v>
      </c>
      <c r="M79" s="2">
        <f t="shared" si="19"/>
        <v>0</v>
      </c>
      <c r="N79" s="2">
        <f t="shared" si="20"/>
        <v>6</v>
      </c>
      <c r="O79" s="480"/>
    </row>
    <row r="80" spans="2:15" x14ac:dyDescent="0.15">
      <c r="B80" s="202"/>
      <c r="C80" s="4">
        <v>7</v>
      </c>
      <c r="D80" s="2">
        <f t="shared" si="19"/>
        <v>0</v>
      </c>
      <c r="E80" s="2">
        <f t="shared" si="19"/>
        <v>0</v>
      </c>
      <c r="F80" s="2">
        <f t="shared" si="19"/>
        <v>0</v>
      </c>
      <c r="G80" s="2">
        <f t="shared" si="19"/>
        <v>0</v>
      </c>
      <c r="H80" s="2">
        <f t="shared" si="19"/>
        <v>0</v>
      </c>
      <c r="I80" s="2">
        <f t="shared" si="19"/>
        <v>0</v>
      </c>
      <c r="J80" s="2">
        <f t="shared" si="19"/>
        <v>0</v>
      </c>
      <c r="K80" s="2">
        <f t="shared" si="19"/>
        <v>0</v>
      </c>
      <c r="L80" s="2">
        <f t="shared" si="19"/>
        <v>0</v>
      </c>
      <c r="M80" s="2">
        <f t="shared" si="19"/>
        <v>0</v>
      </c>
      <c r="N80" s="2">
        <f t="shared" si="20"/>
        <v>7</v>
      </c>
      <c r="O80" s="480"/>
    </row>
    <row r="81" spans="2:15" x14ac:dyDescent="0.15">
      <c r="B81" s="202"/>
      <c r="C81" s="4">
        <v>8</v>
      </c>
      <c r="D81" s="2">
        <f t="shared" si="19"/>
        <v>0</v>
      </c>
      <c r="E81" s="2">
        <f t="shared" si="19"/>
        <v>0</v>
      </c>
      <c r="F81" s="2">
        <f t="shared" si="19"/>
        <v>0</v>
      </c>
      <c r="G81" s="2">
        <f t="shared" si="19"/>
        <v>0</v>
      </c>
      <c r="H81" s="2">
        <f t="shared" si="19"/>
        <v>0</v>
      </c>
      <c r="I81" s="2">
        <f t="shared" si="19"/>
        <v>0</v>
      </c>
      <c r="J81" s="2">
        <f t="shared" si="19"/>
        <v>0</v>
      </c>
      <c r="K81" s="2">
        <f t="shared" si="19"/>
        <v>0</v>
      </c>
      <c r="L81" s="2">
        <f t="shared" si="19"/>
        <v>0</v>
      </c>
      <c r="M81" s="2">
        <f t="shared" si="19"/>
        <v>0</v>
      </c>
      <c r="N81" s="2">
        <f t="shared" si="20"/>
        <v>8</v>
      </c>
      <c r="O81" s="480"/>
    </row>
    <row r="82" spans="2:15" x14ac:dyDescent="0.15">
      <c r="B82" s="202"/>
      <c r="C82" s="4">
        <v>9</v>
      </c>
      <c r="D82" s="2">
        <f t="shared" si="19"/>
        <v>0</v>
      </c>
      <c r="E82" s="2">
        <f t="shared" si="19"/>
        <v>0</v>
      </c>
      <c r="F82" s="2">
        <f t="shared" si="19"/>
        <v>0</v>
      </c>
      <c r="G82" s="2">
        <f t="shared" si="19"/>
        <v>0</v>
      </c>
      <c r="H82" s="2">
        <f t="shared" si="19"/>
        <v>0</v>
      </c>
      <c r="I82" s="2">
        <f t="shared" si="19"/>
        <v>0</v>
      </c>
      <c r="J82" s="2">
        <f t="shared" si="19"/>
        <v>0</v>
      </c>
      <c r="K82" s="2">
        <f t="shared" si="19"/>
        <v>0</v>
      </c>
      <c r="L82" s="2">
        <f t="shared" si="19"/>
        <v>0</v>
      </c>
      <c r="M82" s="2">
        <f t="shared" si="19"/>
        <v>0</v>
      </c>
      <c r="N82" s="2">
        <f t="shared" si="20"/>
        <v>9</v>
      </c>
      <c r="O82" s="480"/>
    </row>
    <row r="83" spans="2:15" x14ac:dyDescent="0.15">
      <c r="B83" s="202"/>
      <c r="C83" s="4">
        <v>10</v>
      </c>
      <c r="D83" s="2">
        <f t="shared" si="19"/>
        <v>0</v>
      </c>
      <c r="E83" s="2">
        <f t="shared" si="19"/>
        <v>0</v>
      </c>
      <c r="F83" s="2">
        <f t="shared" si="19"/>
        <v>0</v>
      </c>
      <c r="G83" s="2">
        <f t="shared" si="19"/>
        <v>0</v>
      </c>
      <c r="H83" s="2">
        <f t="shared" si="19"/>
        <v>0</v>
      </c>
      <c r="I83" s="2">
        <f t="shared" si="19"/>
        <v>0</v>
      </c>
      <c r="J83" s="2">
        <f t="shared" si="19"/>
        <v>0</v>
      </c>
      <c r="K83" s="2">
        <f t="shared" si="19"/>
        <v>0</v>
      </c>
      <c r="L83" s="2">
        <f t="shared" si="19"/>
        <v>0</v>
      </c>
      <c r="M83" s="2">
        <f t="shared" si="19"/>
        <v>0</v>
      </c>
      <c r="N83" s="2">
        <f t="shared" si="20"/>
        <v>10</v>
      </c>
      <c r="O83" s="480"/>
    </row>
    <row r="84" spans="2:15" x14ac:dyDescent="0.15">
      <c r="B84" s="202"/>
      <c r="C84" s="4">
        <v>11</v>
      </c>
      <c r="D84" s="2">
        <f t="shared" si="19"/>
        <v>0</v>
      </c>
      <c r="E84" s="2">
        <f t="shared" si="19"/>
        <v>0</v>
      </c>
      <c r="F84" s="2">
        <f t="shared" si="19"/>
        <v>0</v>
      </c>
      <c r="G84" s="2">
        <f t="shared" si="19"/>
        <v>0</v>
      </c>
      <c r="H84" s="2">
        <f t="shared" si="19"/>
        <v>0</v>
      </c>
      <c r="I84" s="2">
        <f t="shared" si="19"/>
        <v>0</v>
      </c>
      <c r="J84" s="2">
        <f t="shared" si="19"/>
        <v>0</v>
      </c>
      <c r="K84" s="2">
        <f t="shared" si="19"/>
        <v>0</v>
      </c>
      <c r="L84" s="2">
        <f t="shared" si="19"/>
        <v>0</v>
      </c>
      <c r="M84" s="2">
        <f t="shared" si="19"/>
        <v>0</v>
      </c>
      <c r="N84" s="2">
        <f t="shared" si="20"/>
        <v>11</v>
      </c>
      <c r="O84" s="480"/>
    </row>
    <row r="85" spans="2:15" ht="14" thickBot="1" x14ac:dyDescent="0.2">
      <c r="B85" s="202"/>
      <c r="C85" s="4">
        <v>12</v>
      </c>
      <c r="D85" s="2">
        <f t="shared" si="19"/>
        <v>0</v>
      </c>
      <c r="E85" s="2">
        <f t="shared" si="19"/>
        <v>0</v>
      </c>
      <c r="F85" s="2">
        <f t="shared" si="19"/>
        <v>0</v>
      </c>
      <c r="G85" s="2">
        <f t="shared" si="19"/>
        <v>0</v>
      </c>
      <c r="H85" s="2">
        <f t="shared" si="19"/>
        <v>0</v>
      </c>
      <c r="I85" s="2">
        <f t="shared" si="19"/>
        <v>0</v>
      </c>
      <c r="J85" s="2">
        <f t="shared" si="19"/>
        <v>0</v>
      </c>
      <c r="K85" s="2">
        <f t="shared" si="19"/>
        <v>0</v>
      </c>
      <c r="L85" s="2">
        <f t="shared" si="19"/>
        <v>0</v>
      </c>
      <c r="M85" s="2">
        <f t="shared" si="19"/>
        <v>0</v>
      </c>
      <c r="N85" s="2">
        <f t="shared" si="20"/>
        <v>12</v>
      </c>
      <c r="O85" s="480"/>
    </row>
    <row r="86" spans="2:15" ht="14" thickBot="1" x14ac:dyDescent="0.2">
      <c r="B86" s="541" t="s">
        <v>45</v>
      </c>
      <c r="C86" s="502" t="s">
        <v>273</v>
      </c>
      <c r="D86" s="503">
        <f>IF(D73&gt;$H$10,0,IPMT($H$6,D73,$H$10,$B$78))</f>
        <v>0</v>
      </c>
      <c r="E86" s="503">
        <f t="shared" ref="E86:M86" si="21">IF(E73&gt;$H$10,0,IPMT($H$6,E73,$H$10,$B$78))</f>
        <v>0</v>
      </c>
      <c r="F86" s="503">
        <f t="shared" si="21"/>
        <v>0</v>
      </c>
      <c r="G86" s="503">
        <f t="shared" si="21"/>
        <v>0</v>
      </c>
      <c r="H86" s="503">
        <f t="shared" si="21"/>
        <v>0</v>
      </c>
      <c r="I86" s="503">
        <f t="shared" si="21"/>
        <v>0</v>
      </c>
      <c r="J86" s="503">
        <f t="shared" si="21"/>
        <v>0</v>
      </c>
      <c r="K86" s="503">
        <f t="shared" si="21"/>
        <v>0</v>
      </c>
      <c r="L86" s="503">
        <f t="shared" si="21"/>
        <v>0</v>
      </c>
      <c r="M86" s="503">
        <f t="shared" si="21"/>
        <v>0</v>
      </c>
      <c r="N86" s="504">
        <f t="shared" si="20"/>
        <v>0</v>
      </c>
      <c r="O86" s="480"/>
    </row>
    <row r="87" spans="2:15" ht="14" thickBot="1" x14ac:dyDescent="0.2">
      <c r="B87" s="478"/>
      <c r="C87" s="520" t="s">
        <v>663</v>
      </c>
      <c r="D87" s="522">
        <f>IF(D73&gt;$H$10,0,PPMT($H$6,D73,$H$10,$B$78))</f>
        <v>0</v>
      </c>
      <c r="E87" s="522">
        <f t="shared" ref="E87:M87" si="22">IF(E73&gt;$H$10,0,PPMT($H$6,E73,$H$10,$B$78))</f>
        <v>0</v>
      </c>
      <c r="F87" s="522">
        <f t="shared" si="22"/>
        <v>0</v>
      </c>
      <c r="G87" s="522">
        <f t="shared" si="22"/>
        <v>0</v>
      </c>
      <c r="H87" s="522">
        <f t="shared" si="22"/>
        <v>0</v>
      </c>
      <c r="I87" s="522">
        <f t="shared" si="22"/>
        <v>0</v>
      </c>
      <c r="J87" s="522">
        <f t="shared" si="22"/>
        <v>0</v>
      </c>
      <c r="K87" s="522">
        <f t="shared" si="22"/>
        <v>0</v>
      </c>
      <c r="L87" s="522">
        <f t="shared" si="22"/>
        <v>0</v>
      </c>
      <c r="M87" s="522">
        <f t="shared" si="22"/>
        <v>0</v>
      </c>
      <c r="N87" s="504">
        <f t="shared" si="20"/>
        <v>0</v>
      </c>
      <c r="O87" s="482"/>
    </row>
    <row r="89" spans="2:15" ht="14" thickBot="1" x14ac:dyDescent="0.2"/>
    <row r="90" spans="2:15" ht="14" thickBot="1" x14ac:dyDescent="0.2">
      <c r="B90" s="495" t="s">
        <v>416</v>
      </c>
      <c r="C90" s="178"/>
      <c r="D90" s="483" t="s">
        <v>133</v>
      </c>
      <c r="E90" s="483" t="s">
        <v>133</v>
      </c>
      <c r="F90" s="483" t="s">
        <v>133</v>
      </c>
      <c r="G90" s="483" t="s">
        <v>133</v>
      </c>
      <c r="H90" s="483" t="s">
        <v>133</v>
      </c>
      <c r="I90" s="483" t="s">
        <v>133</v>
      </c>
      <c r="J90" s="483" t="s">
        <v>133</v>
      </c>
      <c r="K90" s="483" t="s">
        <v>133</v>
      </c>
      <c r="L90" s="483" t="s">
        <v>133</v>
      </c>
      <c r="M90" s="483" t="s">
        <v>133</v>
      </c>
      <c r="N90" s="178"/>
      <c r="O90" s="499" t="str">
        <f>B90</f>
        <v>-5%</v>
      </c>
    </row>
    <row r="91" spans="2:15" x14ac:dyDescent="0.15">
      <c r="B91" s="426"/>
      <c r="C91" s="4" t="s">
        <v>660</v>
      </c>
      <c r="D91" s="4">
        <v>1</v>
      </c>
      <c r="E91" s="4">
        <f>D91+1</f>
        <v>2</v>
      </c>
      <c r="F91" s="4">
        <f>E91+1</f>
        <v>3</v>
      </c>
      <c r="G91" s="4">
        <f t="shared" ref="G91:M91" si="23">F91+1</f>
        <v>4</v>
      </c>
      <c r="H91" s="4">
        <f t="shared" si="23"/>
        <v>5</v>
      </c>
      <c r="I91" s="4">
        <f t="shared" si="23"/>
        <v>6</v>
      </c>
      <c r="J91" s="4">
        <f t="shared" si="23"/>
        <v>7</v>
      </c>
      <c r="K91" s="4">
        <f t="shared" si="23"/>
        <v>8</v>
      </c>
      <c r="L91" s="4">
        <f t="shared" si="23"/>
        <v>9</v>
      </c>
      <c r="M91" s="4">
        <f t="shared" si="23"/>
        <v>10</v>
      </c>
      <c r="N91" s="4" t="s">
        <v>285</v>
      </c>
      <c r="O91" s="480"/>
    </row>
    <row r="92" spans="2:15" x14ac:dyDescent="0.15">
      <c r="B92" s="202" t="s">
        <v>661</v>
      </c>
      <c r="C92" s="4">
        <v>1</v>
      </c>
      <c r="D92" s="2">
        <f>IF(ISNUMBER(IPMT($H$6/12,((D$19-1)*12)+$C92,$H$10*12,$C$9)),IPMT($H$6/12,((D$19-1)*12)+$C92,$H$10*12,$C$9),0)</f>
        <v>0</v>
      </c>
      <c r="E92" s="2">
        <f t="shared" ref="E92:M92" si="24">IF(ISNUMBER(IPMT($H$6/12,((E$19-1)*12)+$C92,$H$10*12,$C$9)),IPMT($H$6/12,((E$19-1)*12)+$C92,$H$10*12,$C$9),0)</f>
        <v>0</v>
      </c>
      <c r="F92" s="2">
        <f t="shared" si="24"/>
        <v>0</v>
      </c>
      <c r="G92" s="2">
        <f t="shared" si="24"/>
        <v>0</v>
      </c>
      <c r="H92" s="2">
        <f t="shared" si="24"/>
        <v>0</v>
      </c>
      <c r="I92" s="2">
        <f t="shared" si="24"/>
        <v>0</v>
      </c>
      <c r="J92" s="2">
        <f t="shared" si="24"/>
        <v>0</v>
      </c>
      <c r="K92" s="2">
        <f t="shared" si="24"/>
        <v>0</v>
      </c>
      <c r="L92" s="2">
        <f t="shared" si="24"/>
        <v>0</v>
      </c>
      <c r="M92" s="2">
        <f t="shared" si="24"/>
        <v>0</v>
      </c>
      <c r="N92" s="2">
        <f>SUM(C92:M92)</f>
        <v>1</v>
      </c>
      <c r="O92" s="480"/>
    </row>
    <row r="93" spans="2:15" x14ac:dyDescent="0.15">
      <c r="B93" s="511">
        <f>-PMT($H$6/12,$H$10*12,C9)</f>
        <v>0</v>
      </c>
      <c r="C93" s="4">
        <v>2</v>
      </c>
      <c r="D93" s="2">
        <f t="shared" ref="D93:M103" si="25">IF(ISNUMBER(IPMT($H$6/12,((D$19-1)*12)+$C93,$H$10*12,$C$9)),IPMT($H$6/12,((D$19-1)*12)+$C93,$H$10*12,$C$9),0)</f>
        <v>0</v>
      </c>
      <c r="E93" s="2">
        <f t="shared" si="25"/>
        <v>0</v>
      </c>
      <c r="F93" s="2">
        <f t="shared" si="25"/>
        <v>0</v>
      </c>
      <c r="G93" s="2">
        <f t="shared" si="25"/>
        <v>0</v>
      </c>
      <c r="H93" s="2">
        <f t="shared" si="25"/>
        <v>0</v>
      </c>
      <c r="I93" s="2">
        <f t="shared" si="25"/>
        <v>0</v>
      </c>
      <c r="J93" s="2">
        <f t="shared" si="25"/>
        <v>0</v>
      </c>
      <c r="K93" s="2">
        <f t="shared" si="25"/>
        <v>0</v>
      </c>
      <c r="L93" s="2">
        <f t="shared" si="25"/>
        <v>0</v>
      </c>
      <c r="M93" s="2">
        <f t="shared" si="25"/>
        <v>0</v>
      </c>
      <c r="N93" s="2">
        <f t="shared" ref="N93:N105" si="26">SUM(C93:M93)</f>
        <v>2</v>
      </c>
      <c r="O93" s="480"/>
    </row>
    <row r="94" spans="2:15" x14ac:dyDescent="0.15">
      <c r="B94" s="540">
        <f>B93*12</f>
        <v>0</v>
      </c>
      <c r="C94" s="4">
        <v>3</v>
      </c>
      <c r="D94" s="2">
        <f t="shared" si="25"/>
        <v>0</v>
      </c>
      <c r="E94" s="2">
        <f t="shared" si="25"/>
        <v>0</v>
      </c>
      <c r="F94" s="2">
        <f t="shared" si="25"/>
        <v>0</v>
      </c>
      <c r="G94" s="2">
        <f t="shared" si="25"/>
        <v>0</v>
      </c>
      <c r="H94" s="2">
        <f t="shared" si="25"/>
        <v>0</v>
      </c>
      <c r="I94" s="2">
        <f t="shared" si="25"/>
        <v>0</v>
      </c>
      <c r="J94" s="2">
        <f t="shared" si="25"/>
        <v>0</v>
      </c>
      <c r="K94" s="2">
        <f t="shared" si="25"/>
        <v>0</v>
      </c>
      <c r="L94" s="2">
        <f t="shared" si="25"/>
        <v>0</v>
      </c>
      <c r="M94" s="2">
        <f t="shared" si="25"/>
        <v>0</v>
      </c>
      <c r="N94" s="2">
        <f t="shared" si="26"/>
        <v>3</v>
      </c>
      <c r="O94" s="480"/>
    </row>
    <row r="95" spans="2:15" x14ac:dyDescent="0.15">
      <c r="B95" s="202" t="s">
        <v>662</v>
      </c>
      <c r="C95" s="4">
        <v>4</v>
      </c>
      <c r="D95" s="2">
        <f t="shared" si="25"/>
        <v>0</v>
      </c>
      <c r="E95" s="2">
        <f t="shared" si="25"/>
        <v>0</v>
      </c>
      <c r="F95" s="2">
        <f t="shared" si="25"/>
        <v>0</v>
      </c>
      <c r="G95" s="2">
        <f t="shared" si="25"/>
        <v>0</v>
      </c>
      <c r="H95" s="2">
        <f t="shared" si="25"/>
        <v>0</v>
      </c>
      <c r="I95" s="2">
        <f t="shared" si="25"/>
        <v>0</v>
      </c>
      <c r="J95" s="2">
        <f t="shared" si="25"/>
        <v>0</v>
      </c>
      <c r="K95" s="2">
        <f t="shared" si="25"/>
        <v>0</v>
      </c>
      <c r="L95" s="2">
        <f t="shared" si="25"/>
        <v>0</v>
      </c>
      <c r="M95" s="2">
        <f t="shared" si="25"/>
        <v>0</v>
      </c>
      <c r="N95" s="2">
        <f t="shared" si="26"/>
        <v>4</v>
      </c>
      <c r="O95" s="480"/>
    </row>
    <row r="96" spans="2:15" x14ac:dyDescent="0.15">
      <c r="B96" s="521">
        <f>C9</f>
        <v>0</v>
      </c>
      <c r="C96" s="4">
        <v>5</v>
      </c>
      <c r="D96" s="2">
        <f t="shared" si="25"/>
        <v>0</v>
      </c>
      <c r="E96" s="2">
        <f t="shared" si="25"/>
        <v>0</v>
      </c>
      <c r="F96" s="2">
        <f t="shared" si="25"/>
        <v>0</v>
      </c>
      <c r="G96" s="2">
        <f t="shared" si="25"/>
        <v>0</v>
      </c>
      <c r="H96" s="2">
        <f t="shared" si="25"/>
        <v>0</v>
      </c>
      <c r="I96" s="2">
        <f t="shared" si="25"/>
        <v>0</v>
      </c>
      <c r="J96" s="2">
        <f t="shared" si="25"/>
        <v>0</v>
      </c>
      <c r="K96" s="2">
        <f t="shared" si="25"/>
        <v>0</v>
      </c>
      <c r="L96" s="2">
        <f t="shared" si="25"/>
        <v>0</v>
      </c>
      <c r="M96" s="2">
        <f t="shared" si="25"/>
        <v>0</v>
      </c>
      <c r="N96" s="2">
        <f t="shared" si="26"/>
        <v>5</v>
      </c>
      <c r="O96" s="480"/>
    </row>
    <row r="97" spans="2:15" x14ac:dyDescent="0.15">
      <c r="B97" s="202"/>
      <c r="C97" s="4">
        <v>6</v>
      </c>
      <c r="D97" s="2">
        <f t="shared" si="25"/>
        <v>0</v>
      </c>
      <c r="E97" s="2">
        <f t="shared" si="25"/>
        <v>0</v>
      </c>
      <c r="F97" s="2">
        <f t="shared" si="25"/>
        <v>0</v>
      </c>
      <c r="G97" s="2">
        <f t="shared" si="25"/>
        <v>0</v>
      </c>
      <c r="H97" s="2">
        <f t="shared" si="25"/>
        <v>0</v>
      </c>
      <c r="I97" s="2">
        <f t="shared" si="25"/>
        <v>0</v>
      </c>
      <c r="J97" s="2">
        <f t="shared" si="25"/>
        <v>0</v>
      </c>
      <c r="K97" s="2">
        <f t="shared" si="25"/>
        <v>0</v>
      </c>
      <c r="L97" s="2">
        <f t="shared" si="25"/>
        <v>0</v>
      </c>
      <c r="M97" s="2">
        <f t="shared" si="25"/>
        <v>0</v>
      </c>
      <c r="N97" s="2">
        <f t="shared" si="26"/>
        <v>6</v>
      </c>
      <c r="O97" s="480"/>
    </row>
    <row r="98" spans="2:15" x14ac:dyDescent="0.15">
      <c r="B98" s="202"/>
      <c r="C98" s="4">
        <v>7</v>
      </c>
      <c r="D98" s="2">
        <f t="shared" si="25"/>
        <v>0</v>
      </c>
      <c r="E98" s="2">
        <f t="shared" si="25"/>
        <v>0</v>
      </c>
      <c r="F98" s="2">
        <f t="shared" si="25"/>
        <v>0</v>
      </c>
      <c r="G98" s="2">
        <f t="shared" si="25"/>
        <v>0</v>
      </c>
      <c r="H98" s="2">
        <f t="shared" si="25"/>
        <v>0</v>
      </c>
      <c r="I98" s="2">
        <f t="shared" si="25"/>
        <v>0</v>
      </c>
      <c r="J98" s="2">
        <f t="shared" si="25"/>
        <v>0</v>
      </c>
      <c r="K98" s="2">
        <f t="shared" si="25"/>
        <v>0</v>
      </c>
      <c r="L98" s="2">
        <f t="shared" si="25"/>
        <v>0</v>
      </c>
      <c r="M98" s="2">
        <f t="shared" si="25"/>
        <v>0</v>
      </c>
      <c r="N98" s="2">
        <f t="shared" si="26"/>
        <v>7</v>
      </c>
      <c r="O98" s="480"/>
    </row>
    <row r="99" spans="2:15" x14ac:dyDescent="0.15">
      <c r="B99" s="202"/>
      <c r="C99" s="4">
        <v>8</v>
      </c>
      <c r="D99" s="2">
        <f t="shared" si="25"/>
        <v>0</v>
      </c>
      <c r="E99" s="2">
        <f t="shared" si="25"/>
        <v>0</v>
      </c>
      <c r="F99" s="2">
        <f t="shared" si="25"/>
        <v>0</v>
      </c>
      <c r="G99" s="2">
        <f t="shared" si="25"/>
        <v>0</v>
      </c>
      <c r="H99" s="2">
        <f t="shared" si="25"/>
        <v>0</v>
      </c>
      <c r="I99" s="2">
        <f t="shared" si="25"/>
        <v>0</v>
      </c>
      <c r="J99" s="2">
        <f t="shared" si="25"/>
        <v>0</v>
      </c>
      <c r="K99" s="2">
        <f t="shared" si="25"/>
        <v>0</v>
      </c>
      <c r="L99" s="2">
        <f t="shared" si="25"/>
        <v>0</v>
      </c>
      <c r="M99" s="2">
        <f t="shared" si="25"/>
        <v>0</v>
      </c>
      <c r="N99" s="2">
        <f t="shared" si="26"/>
        <v>8</v>
      </c>
      <c r="O99" s="480"/>
    </row>
    <row r="100" spans="2:15" x14ac:dyDescent="0.15">
      <c r="B100" s="202"/>
      <c r="C100" s="4">
        <v>9</v>
      </c>
      <c r="D100" s="2">
        <f t="shared" si="25"/>
        <v>0</v>
      </c>
      <c r="E100" s="2">
        <f t="shared" si="25"/>
        <v>0</v>
      </c>
      <c r="F100" s="2">
        <f t="shared" si="25"/>
        <v>0</v>
      </c>
      <c r="G100" s="2">
        <f t="shared" si="25"/>
        <v>0</v>
      </c>
      <c r="H100" s="2">
        <f t="shared" si="25"/>
        <v>0</v>
      </c>
      <c r="I100" s="2">
        <f t="shared" si="25"/>
        <v>0</v>
      </c>
      <c r="J100" s="2">
        <f t="shared" si="25"/>
        <v>0</v>
      </c>
      <c r="K100" s="2">
        <f t="shared" si="25"/>
        <v>0</v>
      </c>
      <c r="L100" s="2">
        <f t="shared" si="25"/>
        <v>0</v>
      </c>
      <c r="M100" s="2">
        <f t="shared" si="25"/>
        <v>0</v>
      </c>
      <c r="N100" s="2">
        <f t="shared" si="26"/>
        <v>9</v>
      </c>
      <c r="O100" s="480"/>
    </row>
    <row r="101" spans="2:15" x14ac:dyDescent="0.15">
      <c r="B101" s="202"/>
      <c r="C101" s="4">
        <v>10</v>
      </c>
      <c r="D101" s="2">
        <f t="shared" si="25"/>
        <v>0</v>
      </c>
      <c r="E101" s="2">
        <f t="shared" si="25"/>
        <v>0</v>
      </c>
      <c r="F101" s="2">
        <f t="shared" si="25"/>
        <v>0</v>
      </c>
      <c r="G101" s="2">
        <f t="shared" si="25"/>
        <v>0</v>
      </c>
      <c r="H101" s="2">
        <f t="shared" si="25"/>
        <v>0</v>
      </c>
      <c r="I101" s="2">
        <f t="shared" si="25"/>
        <v>0</v>
      </c>
      <c r="J101" s="2">
        <f t="shared" si="25"/>
        <v>0</v>
      </c>
      <c r="K101" s="2">
        <f t="shared" si="25"/>
        <v>0</v>
      </c>
      <c r="L101" s="2">
        <f t="shared" si="25"/>
        <v>0</v>
      </c>
      <c r="M101" s="2">
        <f t="shared" si="25"/>
        <v>0</v>
      </c>
      <c r="N101" s="2">
        <f t="shared" si="26"/>
        <v>10</v>
      </c>
      <c r="O101" s="480"/>
    </row>
    <row r="102" spans="2:15" x14ac:dyDescent="0.15">
      <c r="B102" s="202"/>
      <c r="C102" s="4">
        <v>11</v>
      </c>
      <c r="D102" s="2">
        <f t="shared" si="25"/>
        <v>0</v>
      </c>
      <c r="E102" s="2">
        <f t="shared" si="25"/>
        <v>0</v>
      </c>
      <c r="F102" s="2">
        <f t="shared" si="25"/>
        <v>0</v>
      </c>
      <c r="G102" s="2">
        <f t="shared" si="25"/>
        <v>0</v>
      </c>
      <c r="H102" s="2">
        <f t="shared" si="25"/>
        <v>0</v>
      </c>
      <c r="I102" s="2">
        <f t="shared" si="25"/>
        <v>0</v>
      </c>
      <c r="J102" s="2">
        <f t="shared" si="25"/>
        <v>0</v>
      </c>
      <c r="K102" s="2">
        <f t="shared" si="25"/>
        <v>0</v>
      </c>
      <c r="L102" s="2">
        <f t="shared" si="25"/>
        <v>0</v>
      </c>
      <c r="M102" s="2">
        <f t="shared" si="25"/>
        <v>0</v>
      </c>
      <c r="N102" s="2">
        <f t="shared" si="26"/>
        <v>11</v>
      </c>
      <c r="O102" s="480"/>
    </row>
    <row r="103" spans="2:15" ht="14" thickBot="1" x14ac:dyDescent="0.2">
      <c r="B103" s="202"/>
      <c r="C103" s="4">
        <v>12</v>
      </c>
      <c r="D103" s="2">
        <f t="shared" si="25"/>
        <v>0</v>
      </c>
      <c r="E103" s="2">
        <f t="shared" si="25"/>
        <v>0</v>
      </c>
      <c r="F103" s="2">
        <f t="shared" si="25"/>
        <v>0</v>
      </c>
      <c r="G103" s="2">
        <f t="shared" si="25"/>
        <v>0</v>
      </c>
      <c r="H103" s="2">
        <f t="shared" si="25"/>
        <v>0</v>
      </c>
      <c r="I103" s="2">
        <f t="shared" si="25"/>
        <v>0</v>
      </c>
      <c r="J103" s="2">
        <f t="shared" si="25"/>
        <v>0</v>
      </c>
      <c r="K103" s="2">
        <f t="shared" si="25"/>
        <v>0</v>
      </c>
      <c r="L103" s="2">
        <f t="shared" si="25"/>
        <v>0</v>
      </c>
      <c r="M103" s="2">
        <f t="shared" si="25"/>
        <v>0</v>
      </c>
      <c r="N103" s="2">
        <f t="shared" si="26"/>
        <v>12</v>
      </c>
      <c r="O103" s="480"/>
    </row>
    <row r="104" spans="2:15" ht="14" thickBot="1" x14ac:dyDescent="0.2">
      <c r="B104" s="541"/>
      <c r="C104" s="502" t="s">
        <v>273</v>
      </c>
      <c r="D104" s="503">
        <f>IF(D91&gt;$H$10,0,IPMT($H$6,D91,$H$10,$B$96))</f>
        <v>0</v>
      </c>
      <c r="E104" s="503">
        <f t="shared" ref="E104:M104" si="27">IF(E91&gt;$H$10,0,IPMT($H$6,E91,$H$10,$B$96))</f>
        <v>0</v>
      </c>
      <c r="F104" s="503">
        <f t="shared" si="27"/>
        <v>0</v>
      </c>
      <c r="G104" s="503">
        <f t="shared" si="27"/>
        <v>0</v>
      </c>
      <c r="H104" s="503">
        <f t="shared" si="27"/>
        <v>0</v>
      </c>
      <c r="I104" s="503">
        <f t="shared" si="27"/>
        <v>0</v>
      </c>
      <c r="J104" s="503">
        <f t="shared" si="27"/>
        <v>0</v>
      </c>
      <c r="K104" s="503">
        <f t="shared" si="27"/>
        <v>0</v>
      </c>
      <c r="L104" s="503">
        <f t="shared" si="27"/>
        <v>0</v>
      </c>
      <c r="M104" s="503">
        <f t="shared" si="27"/>
        <v>0</v>
      </c>
      <c r="N104" s="504">
        <f t="shared" si="26"/>
        <v>0</v>
      </c>
      <c r="O104" s="480"/>
    </row>
    <row r="105" spans="2:15" ht="14" thickBot="1" x14ac:dyDescent="0.2">
      <c r="B105" s="478"/>
      <c r="C105" s="520" t="s">
        <v>663</v>
      </c>
      <c r="D105" s="522">
        <f>IF(D91&gt;$H$10,0,PPMT($H$6,D91,$H$10,$B$96))</f>
        <v>0</v>
      </c>
      <c r="E105" s="522">
        <f t="shared" ref="E105:M105" si="28">IF(E91&gt;$H$10,0,PPMT($H$6,E91,$H$10,$B$96))</f>
        <v>0</v>
      </c>
      <c r="F105" s="522">
        <f t="shared" si="28"/>
        <v>0</v>
      </c>
      <c r="G105" s="522">
        <f t="shared" si="28"/>
        <v>0</v>
      </c>
      <c r="H105" s="522">
        <f t="shared" si="28"/>
        <v>0</v>
      </c>
      <c r="I105" s="522">
        <f t="shared" si="28"/>
        <v>0</v>
      </c>
      <c r="J105" s="522">
        <f t="shared" si="28"/>
        <v>0</v>
      </c>
      <c r="K105" s="522">
        <f t="shared" si="28"/>
        <v>0</v>
      </c>
      <c r="L105" s="522">
        <f t="shared" si="28"/>
        <v>0</v>
      </c>
      <c r="M105" s="522">
        <f t="shared" si="28"/>
        <v>0</v>
      </c>
      <c r="N105" s="504">
        <f t="shared" si="26"/>
        <v>0</v>
      </c>
      <c r="O105" s="482"/>
    </row>
    <row r="107" spans="2:15" ht="14" thickBot="1" x14ac:dyDescent="0.2"/>
    <row r="108" spans="2:15" ht="14" thickBot="1" x14ac:dyDescent="0.2">
      <c r="B108" s="495" t="s">
        <v>417</v>
      </c>
      <c r="C108" s="178"/>
      <c r="D108" s="483" t="s">
        <v>133</v>
      </c>
      <c r="E108" s="483" t="s">
        <v>133</v>
      </c>
      <c r="F108" s="483" t="s">
        <v>133</v>
      </c>
      <c r="G108" s="483" t="s">
        <v>133</v>
      </c>
      <c r="H108" s="483" t="s">
        <v>133</v>
      </c>
      <c r="I108" s="483" t="s">
        <v>133</v>
      </c>
      <c r="J108" s="483" t="s">
        <v>133</v>
      </c>
      <c r="K108" s="483" t="s">
        <v>133</v>
      </c>
      <c r="L108" s="483" t="s">
        <v>133</v>
      </c>
      <c r="M108" s="483" t="s">
        <v>133</v>
      </c>
      <c r="N108" s="178"/>
      <c r="O108" s="499" t="str">
        <f>B108</f>
        <v>Base Case</v>
      </c>
    </row>
    <row r="109" spans="2:15" x14ac:dyDescent="0.15">
      <c r="B109" s="426"/>
      <c r="C109" s="4" t="s">
        <v>660</v>
      </c>
      <c r="D109" s="4">
        <v>1</v>
      </c>
      <c r="E109" s="4">
        <f>D109+1</f>
        <v>2</v>
      </c>
      <c r="F109" s="4">
        <f>E109+1</f>
        <v>3</v>
      </c>
      <c r="G109" s="4">
        <f t="shared" ref="G109:M109" si="29">F109+1</f>
        <v>4</v>
      </c>
      <c r="H109" s="4">
        <f t="shared" si="29"/>
        <v>5</v>
      </c>
      <c r="I109" s="4">
        <f t="shared" si="29"/>
        <v>6</v>
      </c>
      <c r="J109" s="4">
        <f t="shared" si="29"/>
        <v>7</v>
      </c>
      <c r="K109" s="4">
        <f t="shared" si="29"/>
        <v>8</v>
      </c>
      <c r="L109" s="4">
        <f t="shared" si="29"/>
        <v>9</v>
      </c>
      <c r="M109" s="4">
        <f t="shared" si="29"/>
        <v>10</v>
      </c>
      <c r="N109" s="4" t="s">
        <v>285</v>
      </c>
      <c r="O109" s="480"/>
    </row>
    <row r="110" spans="2:15" x14ac:dyDescent="0.15">
      <c r="B110" s="202" t="s">
        <v>661</v>
      </c>
      <c r="C110" s="4">
        <v>1</v>
      </c>
      <c r="D110" s="2">
        <f>IF(ISNUMBER(IPMT($H$6/12,((D$19-1)*12)+$C110,$H$10*12,$C$4)),IPMT($H$6/12,((D$19-1)*12)+$C110,$H$10*12,$C$4),0)</f>
        <v>0</v>
      </c>
      <c r="E110" s="2">
        <f t="shared" ref="E110:M110" si="30">IF(ISNUMBER(IPMT($H$6/12,((E$19-1)*12)+$C110,$H$10*12,$C$4)),IPMT($H$6/12,((E$19-1)*12)+$C110,$H$10*12,$C$4),0)</f>
        <v>0</v>
      </c>
      <c r="F110" s="2">
        <f t="shared" si="30"/>
        <v>0</v>
      </c>
      <c r="G110" s="2">
        <f t="shared" si="30"/>
        <v>0</v>
      </c>
      <c r="H110" s="2">
        <f t="shared" si="30"/>
        <v>0</v>
      </c>
      <c r="I110" s="2">
        <f t="shared" si="30"/>
        <v>0</v>
      </c>
      <c r="J110" s="2">
        <f t="shared" si="30"/>
        <v>0</v>
      </c>
      <c r="K110" s="2">
        <f t="shared" si="30"/>
        <v>0</v>
      </c>
      <c r="L110" s="2">
        <f t="shared" si="30"/>
        <v>0</v>
      </c>
      <c r="M110" s="2">
        <f t="shared" si="30"/>
        <v>0</v>
      </c>
      <c r="N110" s="2">
        <f>SUM(C110:M110)</f>
        <v>1</v>
      </c>
      <c r="O110" s="480"/>
    </row>
    <row r="111" spans="2:15" x14ac:dyDescent="0.15">
      <c r="B111" s="511">
        <f>-PMT($H$6/12,$H$10*12,C4)</f>
        <v>0</v>
      </c>
      <c r="C111" s="4">
        <v>2</v>
      </c>
      <c r="D111" s="2">
        <f t="shared" ref="D111:M121" si="31">IF(ISNUMBER(IPMT($H$6/12,((D$19-1)*12)+$C111,$H$10*12,$C$4)),IPMT($H$6/12,((D$19-1)*12)+$C111,$H$10*12,$C$4),0)</f>
        <v>0</v>
      </c>
      <c r="E111" s="2">
        <f t="shared" si="31"/>
        <v>0</v>
      </c>
      <c r="F111" s="2">
        <f t="shared" si="31"/>
        <v>0</v>
      </c>
      <c r="G111" s="2">
        <f t="shared" si="31"/>
        <v>0</v>
      </c>
      <c r="H111" s="2">
        <f t="shared" si="31"/>
        <v>0</v>
      </c>
      <c r="I111" s="2">
        <f t="shared" si="31"/>
        <v>0</v>
      </c>
      <c r="J111" s="2">
        <f t="shared" si="31"/>
        <v>0</v>
      </c>
      <c r="K111" s="2">
        <f t="shared" si="31"/>
        <v>0</v>
      </c>
      <c r="L111" s="2">
        <f t="shared" si="31"/>
        <v>0</v>
      </c>
      <c r="M111" s="2">
        <f t="shared" si="31"/>
        <v>0</v>
      </c>
      <c r="N111" s="2">
        <f t="shared" ref="N111:N123" si="32">SUM(C111:M111)</f>
        <v>2</v>
      </c>
      <c r="O111" s="480"/>
    </row>
    <row r="112" spans="2:15" x14ac:dyDescent="0.15">
      <c r="B112" s="456">
        <f>B111*12</f>
        <v>0</v>
      </c>
      <c r="C112" s="4">
        <v>3</v>
      </c>
      <c r="D112" s="2">
        <f t="shared" si="31"/>
        <v>0</v>
      </c>
      <c r="E112" s="2">
        <f t="shared" si="31"/>
        <v>0</v>
      </c>
      <c r="F112" s="2">
        <f t="shared" si="31"/>
        <v>0</v>
      </c>
      <c r="G112" s="2">
        <f t="shared" si="31"/>
        <v>0</v>
      </c>
      <c r="H112" s="2">
        <f t="shared" si="31"/>
        <v>0</v>
      </c>
      <c r="I112" s="2">
        <f t="shared" si="31"/>
        <v>0</v>
      </c>
      <c r="J112" s="2">
        <f t="shared" si="31"/>
        <v>0</v>
      </c>
      <c r="K112" s="2">
        <f t="shared" si="31"/>
        <v>0</v>
      </c>
      <c r="L112" s="2">
        <f t="shared" si="31"/>
        <v>0</v>
      </c>
      <c r="M112" s="2">
        <f t="shared" si="31"/>
        <v>0</v>
      </c>
      <c r="N112" s="2">
        <f t="shared" si="32"/>
        <v>3</v>
      </c>
      <c r="O112" s="480"/>
    </row>
    <row r="113" spans="2:15" x14ac:dyDescent="0.15">
      <c r="B113" s="202" t="s">
        <v>665</v>
      </c>
      <c r="C113" s="4">
        <v>4</v>
      </c>
      <c r="D113" s="2">
        <f t="shared" si="31"/>
        <v>0</v>
      </c>
      <c r="E113" s="2">
        <f t="shared" si="31"/>
        <v>0</v>
      </c>
      <c r="F113" s="2">
        <f t="shared" si="31"/>
        <v>0</v>
      </c>
      <c r="G113" s="2">
        <f t="shared" si="31"/>
        <v>0</v>
      </c>
      <c r="H113" s="2">
        <f t="shared" si="31"/>
        <v>0</v>
      </c>
      <c r="I113" s="2">
        <f t="shared" si="31"/>
        <v>0</v>
      </c>
      <c r="J113" s="2">
        <f t="shared" si="31"/>
        <v>0</v>
      </c>
      <c r="K113" s="2">
        <f t="shared" si="31"/>
        <v>0</v>
      </c>
      <c r="L113" s="2">
        <f t="shared" si="31"/>
        <v>0</v>
      </c>
      <c r="M113" s="2">
        <f t="shared" si="31"/>
        <v>0</v>
      </c>
      <c r="N113" s="2">
        <f t="shared" si="32"/>
        <v>4</v>
      </c>
      <c r="O113" s="480"/>
    </row>
    <row r="114" spans="2:15" x14ac:dyDescent="0.15">
      <c r="B114" s="521">
        <f>C4</f>
        <v>0</v>
      </c>
      <c r="C114" s="4">
        <v>5</v>
      </c>
      <c r="D114" s="2">
        <f t="shared" si="31"/>
        <v>0</v>
      </c>
      <c r="E114" s="2">
        <f t="shared" si="31"/>
        <v>0</v>
      </c>
      <c r="F114" s="2">
        <f t="shared" si="31"/>
        <v>0</v>
      </c>
      <c r="G114" s="2">
        <f t="shared" si="31"/>
        <v>0</v>
      </c>
      <c r="H114" s="2">
        <f t="shared" si="31"/>
        <v>0</v>
      </c>
      <c r="I114" s="2">
        <f t="shared" si="31"/>
        <v>0</v>
      </c>
      <c r="J114" s="2">
        <f t="shared" si="31"/>
        <v>0</v>
      </c>
      <c r="K114" s="2">
        <f t="shared" si="31"/>
        <v>0</v>
      </c>
      <c r="L114" s="2">
        <f t="shared" si="31"/>
        <v>0</v>
      </c>
      <c r="M114" s="2">
        <f t="shared" si="31"/>
        <v>0</v>
      </c>
      <c r="N114" s="2">
        <f t="shared" si="32"/>
        <v>5</v>
      </c>
      <c r="O114" s="480"/>
    </row>
    <row r="115" spans="2:15" x14ac:dyDescent="0.15">
      <c r="B115" s="202"/>
      <c r="C115" s="4">
        <v>6</v>
      </c>
      <c r="D115" s="2">
        <f t="shared" si="31"/>
        <v>0</v>
      </c>
      <c r="E115" s="2">
        <f t="shared" si="31"/>
        <v>0</v>
      </c>
      <c r="F115" s="2">
        <f t="shared" si="31"/>
        <v>0</v>
      </c>
      <c r="G115" s="2">
        <f t="shared" si="31"/>
        <v>0</v>
      </c>
      <c r="H115" s="2">
        <f t="shared" si="31"/>
        <v>0</v>
      </c>
      <c r="I115" s="2">
        <f t="shared" si="31"/>
        <v>0</v>
      </c>
      <c r="J115" s="2">
        <f t="shared" si="31"/>
        <v>0</v>
      </c>
      <c r="K115" s="2">
        <f t="shared" si="31"/>
        <v>0</v>
      </c>
      <c r="L115" s="2">
        <f t="shared" si="31"/>
        <v>0</v>
      </c>
      <c r="M115" s="2">
        <f t="shared" si="31"/>
        <v>0</v>
      </c>
      <c r="N115" s="2">
        <f t="shared" si="32"/>
        <v>6</v>
      </c>
      <c r="O115" s="480"/>
    </row>
    <row r="116" spans="2:15" x14ac:dyDescent="0.15">
      <c r="B116" s="647">
        <f>H6</f>
        <v>0.08</v>
      </c>
      <c r="C116" s="4">
        <v>7</v>
      </c>
      <c r="D116" s="2">
        <f t="shared" si="31"/>
        <v>0</v>
      </c>
      <c r="E116" s="2">
        <f t="shared" si="31"/>
        <v>0</v>
      </c>
      <c r="F116" s="2">
        <f t="shared" si="31"/>
        <v>0</v>
      </c>
      <c r="G116" s="2">
        <f t="shared" si="31"/>
        <v>0</v>
      </c>
      <c r="H116" s="2">
        <f t="shared" si="31"/>
        <v>0</v>
      </c>
      <c r="I116" s="2">
        <f t="shared" si="31"/>
        <v>0</v>
      </c>
      <c r="J116" s="2">
        <f t="shared" si="31"/>
        <v>0</v>
      </c>
      <c r="K116" s="2">
        <f t="shared" si="31"/>
        <v>0</v>
      </c>
      <c r="L116" s="2">
        <f t="shared" si="31"/>
        <v>0</v>
      </c>
      <c r="M116" s="2">
        <f t="shared" si="31"/>
        <v>0</v>
      </c>
      <c r="N116" s="2">
        <f t="shared" si="32"/>
        <v>7</v>
      </c>
      <c r="O116" s="480"/>
    </row>
    <row r="117" spans="2:15" x14ac:dyDescent="0.15">
      <c r="B117" s="202"/>
      <c r="C117" s="4">
        <v>8</v>
      </c>
      <c r="D117" s="2">
        <f t="shared" si="31"/>
        <v>0</v>
      </c>
      <c r="E117" s="2">
        <f t="shared" si="31"/>
        <v>0</v>
      </c>
      <c r="F117" s="2">
        <f t="shared" si="31"/>
        <v>0</v>
      </c>
      <c r="G117" s="2">
        <f t="shared" si="31"/>
        <v>0</v>
      </c>
      <c r="H117" s="2">
        <f t="shared" si="31"/>
        <v>0</v>
      </c>
      <c r="I117" s="2">
        <f t="shared" si="31"/>
        <v>0</v>
      </c>
      <c r="J117" s="2">
        <f t="shared" si="31"/>
        <v>0</v>
      </c>
      <c r="K117" s="2">
        <f t="shared" si="31"/>
        <v>0</v>
      </c>
      <c r="L117" s="2">
        <f t="shared" si="31"/>
        <v>0</v>
      </c>
      <c r="M117" s="2">
        <f t="shared" si="31"/>
        <v>0</v>
      </c>
      <c r="N117" s="2">
        <f t="shared" si="32"/>
        <v>8</v>
      </c>
      <c r="O117" s="480"/>
    </row>
    <row r="118" spans="2:15" x14ac:dyDescent="0.15">
      <c r="B118" s="202"/>
      <c r="C118" s="4">
        <v>9</v>
      </c>
      <c r="D118" s="2">
        <f t="shared" si="31"/>
        <v>0</v>
      </c>
      <c r="E118" s="2">
        <f t="shared" si="31"/>
        <v>0</v>
      </c>
      <c r="F118" s="2">
        <f t="shared" si="31"/>
        <v>0</v>
      </c>
      <c r="G118" s="2">
        <f t="shared" si="31"/>
        <v>0</v>
      </c>
      <c r="H118" s="2">
        <f t="shared" si="31"/>
        <v>0</v>
      </c>
      <c r="I118" s="2">
        <f t="shared" si="31"/>
        <v>0</v>
      </c>
      <c r="J118" s="2">
        <f t="shared" si="31"/>
        <v>0</v>
      </c>
      <c r="K118" s="2">
        <f t="shared" si="31"/>
        <v>0</v>
      </c>
      <c r="L118" s="2">
        <f t="shared" si="31"/>
        <v>0</v>
      </c>
      <c r="M118" s="2">
        <f t="shared" si="31"/>
        <v>0</v>
      </c>
      <c r="N118" s="2">
        <f t="shared" si="32"/>
        <v>9</v>
      </c>
      <c r="O118" s="480"/>
    </row>
    <row r="119" spans="2:15" x14ac:dyDescent="0.15">
      <c r="B119" s="202"/>
      <c r="C119" s="4">
        <v>10</v>
      </c>
      <c r="D119" s="2">
        <f t="shared" si="31"/>
        <v>0</v>
      </c>
      <c r="E119" s="2">
        <f t="shared" si="31"/>
        <v>0</v>
      </c>
      <c r="F119" s="2">
        <f t="shared" si="31"/>
        <v>0</v>
      </c>
      <c r="G119" s="2">
        <f t="shared" si="31"/>
        <v>0</v>
      </c>
      <c r="H119" s="2">
        <f t="shared" si="31"/>
        <v>0</v>
      </c>
      <c r="I119" s="2">
        <f t="shared" si="31"/>
        <v>0</v>
      </c>
      <c r="J119" s="2">
        <f t="shared" si="31"/>
        <v>0</v>
      </c>
      <c r="K119" s="2">
        <f t="shared" si="31"/>
        <v>0</v>
      </c>
      <c r="L119" s="2">
        <f t="shared" si="31"/>
        <v>0</v>
      </c>
      <c r="M119" s="2">
        <f t="shared" si="31"/>
        <v>0</v>
      </c>
      <c r="N119" s="2">
        <f t="shared" si="32"/>
        <v>10</v>
      </c>
      <c r="O119" s="480"/>
    </row>
    <row r="120" spans="2:15" x14ac:dyDescent="0.15">
      <c r="B120" s="202"/>
      <c r="C120" s="4">
        <v>11</v>
      </c>
      <c r="D120" s="2">
        <f t="shared" si="31"/>
        <v>0</v>
      </c>
      <c r="E120" s="2">
        <f t="shared" si="31"/>
        <v>0</v>
      </c>
      <c r="F120" s="2">
        <f t="shared" si="31"/>
        <v>0</v>
      </c>
      <c r="G120" s="2">
        <f t="shared" si="31"/>
        <v>0</v>
      </c>
      <c r="H120" s="2">
        <f t="shared" si="31"/>
        <v>0</v>
      </c>
      <c r="I120" s="2">
        <f t="shared" si="31"/>
        <v>0</v>
      </c>
      <c r="J120" s="2">
        <f t="shared" si="31"/>
        <v>0</v>
      </c>
      <c r="K120" s="2">
        <f t="shared" si="31"/>
        <v>0</v>
      </c>
      <c r="L120" s="2">
        <f t="shared" si="31"/>
        <v>0</v>
      </c>
      <c r="M120" s="2">
        <f t="shared" si="31"/>
        <v>0</v>
      </c>
      <c r="N120" s="2">
        <f t="shared" si="32"/>
        <v>11</v>
      </c>
      <c r="O120" s="480"/>
    </row>
    <row r="121" spans="2:15" ht="14" thickBot="1" x14ac:dyDescent="0.2">
      <c r="B121" s="202"/>
      <c r="C121" s="4">
        <v>12</v>
      </c>
      <c r="D121" s="2">
        <f t="shared" si="31"/>
        <v>0</v>
      </c>
      <c r="E121" s="2">
        <f t="shared" si="31"/>
        <v>0</v>
      </c>
      <c r="F121" s="2">
        <f t="shared" si="31"/>
        <v>0</v>
      </c>
      <c r="G121" s="2">
        <f t="shared" si="31"/>
        <v>0</v>
      </c>
      <c r="H121" s="2">
        <f t="shared" si="31"/>
        <v>0</v>
      </c>
      <c r="I121" s="2">
        <f t="shared" si="31"/>
        <v>0</v>
      </c>
      <c r="J121" s="2">
        <f t="shared" si="31"/>
        <v>0</v>
      </c>
      <c r="K121" s="2">
        <f t="shared" si="31"/>
        <v>0</v>
      </c>
      <c r="L121" s="2">
        <f t="shared" si="31"/>
        <v>0</v>
      </c>
      <c r="M121" s="2">
        <f t="shared" si="31"/>
        <v>0</v>
      </c>
      <c r="N121" s="2">
        <f t="shared" si="32"/>
        <v>12</v>
      </c>
      <c r="O121" s="480"/>
    </row>
    <row r="122" spans="2:15" ht="14" thickBot="1" x14ac:dyDescent="0.2">
      <c r="B122" s="542" t="s">
        <v>45</v>
      </c>
      <c r="C122" s="502" t="s">
        <v>273</v>
      </c>
      <c r="D122" s="503">
        <f>IF(D109&gt;$H$10,0,IPMT($H$6,D109,$H$10,$B$114))</f>
        <v>0</v>
      </c>
      <c r="E122" s="503">
        <f t="shared" ref="E122:M122" si="33">IF(E109&gt;$H$10,0,IPMT($H$6,E109,$H$10,$B$114))</f>
        <v>0</v>
      </c>
      <c r="F122" s="503">
        <f t="shared" si="33"/>
        <v>0</v>
      </c>
      <c r="G122" s="503">
        <f t="shared" si="33"/>
        <v>0</v>
      </c>
      <c r="H122" s="503">
        <f t="shared" si="33"/>
        <v>0</v>
      </c>
      <c r="I122" s="503">
        <f t="shared" si="33"/>
        <v>0</v>
      </c>
      <c r="J122" s="503">
        <f t="shared" si="33"/>
        <v>0</v>
      </c>
      <c r="K122" s="503">
        <f t="shared" si="33"/>
        <v>0</v>
      </c>
      <c r="L122" s="503">
        <f t="shared" si="33"/>
        <v>0</v>
      </c>
      <c r="M122" s="503">
        <f t="shared" si="33"/>
        <v>0</v>
      </c>
      <c r="N122" s="504">
        <f t="shared" si="32"/>
        <v>0</v>
      </c>
      <c r="O122" s="480"/>
    </row>
    <row r="123" spans="2:15" ht="14" thickBot="1" x14ac:dyDescent="0.2">
      <c r="B123" s="478"/>
      <c r="C123" s="520" t="s">
        <v>663</v>
      </c>
      <c r="D123" s="522">
        <f>IF(D109&gt;$H$10,0,PPMT($H$6,D109,$H$10,$B$114))</f>
        <v>0</v>
      </c>
      <c r="E123" s="522">
        <f t="shared" ref="E123:M123" si="34">IF(E109&gt;$H$10,0,PPMT($H$6,E109,$H$10,$B$114))</f>
        <v>0</v>
      </c>
      <c r="F123" s="522">
        <f t="shared" si="34"/>
        <v>0</v>
      </c>
      <c r="G123" s="522">
        <f t="shared" si="34"/>
        <v>0</v>
      </c>
      <c r="H123" s="522">
        <f t="shared" si="34"/>
        <v>0</v>
      </c>
      <c r="I123" s="522">
        <f t="shared" si="34"/>
        <v>0</v>
      </c>
      <c r="J123" s="522">
        <f t="shared" si="34"/>
        <v>0</v>
      </c>
      <c r="K123" s="522">
        <f t="shared" si="34"/>
        <v>0</v>
      </c>
      <c r="L123" s="522">
        <f t="shared" si="34"/>
        <v>0</v>
      </c>
      <c r="M123" s="522">
        <f t="shared" si="34"/>
        <v>0</v>
      </c>
      <c r="N123" s="504">
        <f t="shared" si="32"/>
        <v>0</v>
      </c>
      <c r="O123" s="482"/>
    </row>
    <row r="125" spans="2:15" ht="14" thickBot="1" x14ac:dyDescent="0.2"/>
    <row r="126" spans="2:15" ht="14" thickBot="1" x14ac:dyDescent="0.2">
      <c r="B126" s="495" t="s">
        <v>418</v>
      </c>
      <c r="C126" s="178"/>
      <c r="D126" s="483" t="s">
        <v>133</v>
      </c>
      <c r="E126" s="483" t="s">
        <v>133</v>
      </c>
      <c r="F126" s="483" t="s">
        <v>133</v>
      </c>
      <c r="G126" s="483" t="s">
        <v>133</v>
      </c>
      <c r="H126" s="483" t="s">
        <v>133</v>
      </c>
      <c r="I126" s="483" t="s">
        <v>133</v>
      </c>
      <c r="J126" s="483" t="s">
        <v>133</v>
      </c>
      <c r="K126" s="483" t="s">
        <v>133</v>
      </c>
      <c r="L126" s="483" t="s">
        <v>133</v>
      </c>
      <c r="M126" s="483" t="s">
        <v>133</v>
      </c>
      <c r="N126" s="178"/>
      <c r="O126" s="499" t="str">
        <f>B126</f>
        <v>+5%</v>
      </c>
    </row>
    <row r="127" spans="2:15" x14ac:dyDescent="0.15">
      <c r="B127" s="426"/>
      <c r="C127" s="4" t="s">
        <v>660</v>
      </c>
      <c r="D127" s="4">
        <v>1</v>
      </c>
      <c r="E127" s="4">
        <f>D127+1</f>
        <v>2</v>
      </c>
      <c r="F127" s="4">
        <f>E127+1</f>
        <v>3</v>
      </c>
      <c r="G127" s="4">
        <f t="shared" ref="G127:M127" si="35">F127+1</f>
        <v>4</v>
      </c>
      <c r="H127" s="4">
        <f t="shared" si="35"/>
        <v>5</v>
      </c>
      <c r="I127" s="4">
        <f t="shared" si="35"/>
        <v>6</v>
      </c>
      <c r="J127" s="4">
        <f t="shared" si="35"/>
        <v>7</v>
      </c>
      <c r="K127" s="4">
        <f t="shared" si="35"/>
        <v>8</v>
      </c>
      <c r="L127" s="4">
        <f t="shared" si="35"/>
        <v>9</v>
      </c>
      <c r="M127" s="4">
        <f t="shared" si="35"/>
        <v>10</v>
      </c>
      <c r="N127" s="4" t="s">
        <v>285</v>
      </c>
      <c r="O127" s="480"/>
    </row>
    <row r="128" spans="2:15" x14ac:dyDescent="0.15">
      <c r="B128" s="202" t="s">
        <v>661</v>
      </c>
      <c r="C128" s="4">
        <v>1</v>
      </c>
      <c r="D128" s="2">
        <f t="shared" ref="D128:M139" si="36">IF(ISNUMBER(IPMT($H$6/12,((D$19-1)*12)+$C128,$H$10*12,$C$11)),IPMT($H$6/12,((D$19-1)*12)+$C128,$H$10*12,$C$11),0)</f>
        <v>0</v>
      </c>
      <c r="E128" s="2">
        <f t="shared" si="36"/>
        <v>0</v>
      </c>
      <c r="F128" s="2">
        <f t="shared" si="36"/>
        <v>0</v>
      </c>
      <c r="G128" s="2">
        <f t="shared" si="36"/>
        <v>0</v>
      </c>
      <c r="H128" s="2">
        <f t="shared" si="36"/>
        <v>0</v>
      </c>
      <c r="I128" s="2">
        <f t="shared" si="36"/>
        <v>0</v>
      </c>
      <c r="J128" s="2">
        <f t="shared" si="36"/>
        <v>0</v>
      </c>
      <c r="K128" s="2">
        <f t="shared" si="36"/>
        <v>0</v>
      </c>
      <c r="L128" s="2">
        <f t="shared" si="36"/>
        <v>0</v>
      </c>
      <c r="M128" s="2">
        <f t="shared" si="36"/>
        <v>0</v>
      </c>
      <c r="N128" s="2">
        <f>SUM(C128:M128)</f>
        <v>1</v>
      </c>
      <c r="O128" s="480"/>
    </row>
    <row r="129" spans="2:15" x14ac:dyDescent="0.15">
      <c r="B129" s="511">
        <f>-PMT($H$6/12,$H$10*12,C11)</f>
        <v>0</v>
      </c>
      <c r="C129" s="4">
        <v>2</v>
      </c>
      <c r="D129" s="2">
        <f t="shared" si="36"/>
        <v>0</v>
      </c>
      <c r="E129" s="2">
        <f t="shared" si="36"/>
        <v>0</v>
      </c>
      <c r="F129" s="2">
        <f t="shared" si="36"/>
        <v>0</v>
      </c>
      <c r="G129" s="2">
        <f t="shared" si="36"/>
        <v>0</v>
      </c>
      <c r="H129" s="2">
        <f t="shared" si="36"/>
        <v>0</v>
      </c>
      <c r="I129" s="2">
        <f t="shared" si="36"/>
        <v>0</v>
      </c>
      <c r="J129" s="2">
        <f t="shared" si="36"/>
        <v>0</v>
      </c>
      <c r="K129" s="2">
        <f t="shared" si="36"/>
        <v>0</v>
      </c>
      <c r="L129" s="2">
        <f t="shared" si="36"/>
        <v>0</v>
      </c>
      <c r="M129" s="2">
        <f t="shared" si="36"/>
        <v>0</v>
      </c>
      <c r="N129" s="2">
        <f t="shared" ref="N129:N141" si="37">SUM(C129:M129)</f>
        <v>2</v>
      </c>
      <c r="O129" s="480"/>
    </row>
    <row r="130" spans="2:15" x14ac:dyDescent="0.15">
      <c r="B130" s="540">
        <f>B129*12</f>
        <v>0</v>
      </c>
      <c r="C130" s="4">
        <v>3</v>
      </c>
      <c r="D130" s="2">
        <f t="shared" si="36"/>
        <v>0</v>
      </c>
      <c r="E130" s="2">
        <f t="shared" si="36"/>
        <v>0</v>
      </c>
      <c r="F130" s="2">
        <f t="shared" si="36"/>
        <v>0</v>
      </c>
      <c r="G130" s="2">
        <f t="shared" si="36"/>
        <v>0</v>
      </c>
      <c r="H130" s="2">
        <f t="shared" si="36"/>
        <v>0</v>
      </c>
      <c r="I130" s="2">
        <f t="shared" si="36"/>
        <v>0</v>
      </c>
      <c r="J130" s="2">
        <f t="shared" si="36"/>
        <v>0</v>
      </c>
      <c r="K130" s="2">
        <f t="shared" si="36"/>
        <v>0</v>
      </c>
      <c r="L130" s="2">
        <f t="shared" si="36"/>
        <v>0</v>
      </c>
      <c r="M130" s="2">
        <f t="shared" si="36"/>
        <v>0</v>
      </c>
      <c r="N130" s="2">
        <f t="shared" si="37"/>
        <v>3</v>
      </c>
      <c r="O130" s="480"/>
    </row>
    <row r="131" spans="2:15" x14ac:dyDescent="0.15">
      <c r="B131" s="202" t="s">
        <v>662</v>
      </c>
      <c r="C131" s="4">
        <v>4</v>
      </c>
      <c r="D131" s="2">
        <f t="shared" si="36"/>
        <v>0</v>
      </c>
      <c r="E131" s="2">
        <f t="shared" si="36"/>
        <v>0</v>
      </c>
      <c r="F131" s="2">
        <f t="shared" si="36"/>
        <v>0</v>
      </c>
      <c r="G131" s="2">
        <f t="shared" si="36"/>
        <v>0</v>
      </c>
      <c r="H131" s="2">
        <f t="shared" si="36"/>
        <v>0</v>
      </c>
      <c r="I131" s="2">
        <f t="shared" si="36"/>
        <v>0</v>
      </c>
      <c r="J131" s="2">
        <f t="shared" si="36"/>
        <v>0</v>
      </c>
      <c r="K131" s="2">
        <f t="shared" si="36"/>
        <v>0</v>
      </c>
      <c r="L131" s="2">
        <f t="shared" si="36"/>
        <v>0</v>
      </c>
      <c r="M131" s="2">
        <f t="shared" si="36"/>
        <v>0</v>
      </c>
      <c r="N131" s="2">
        <f t="shared" si="37"/>
        <v>4</v>
      </c>
      <c r="O131" s="480"/>
    </row>
    <row r="132" spans="2:15" x14ac:dyDescent="0.15">
      <c r="B132" s="521">
        <f>C11</f>
        <v>0</v>
      </c>
      <c r="C132" s="4">
        <v>5</v>
      </c>
      <c r="D132" s="2">
        <f t="shared" si="36"/>
        <v>0</v>
      </c>
      <c r="E132" s="2">
        <f t="shared" si="36"/>
        <v>0</v>
      </c>
      <c r="F132" s="2">
        <f t="shared" si="36"/>
        <v>0</v>
      </c>
      <c r="G132" s="2">
        <f t="shared" si="36"/>
        <v>0</v>
      </c>
      <c r="H132" s="2">
        <f t="shared" si="36"/>
        <v>0</v>
      </c>
      <c r="I132" s="2">
        <f t="shared" si="36"/>
        <v>0</v>
      </c>
      <c r="J132" s="2">
        <f t="shared" si="36"/>
        <v>0</v>
      </c>
      <c r="K132" s="2">
        <f t="shared" si="36"/>
        <v>0</v>
      </c>
      <c r="L132" s="2">
        <f t="shared" si="36"/>
        <v>0</v>
      </c>
      <c r="M132" s="2">
        <f t="shared" si="36"/>
        <v>0</v>
      </c>
      <c r="N132" s="2">
        <f t="shared" si="37"/>
        <v>5</v>
      </c>
      <c r="O132" s="480"/>
    </row>
    <row r="133" spans="2:15" x14ac:dyDescent="0.15">
      <c r="B133" s="202"/>
      <c r="C133" s="4">
        <v>6</v>
      </c>
      <c r="D133" s="2">
        <f t="shared" si="36"/>
        <v>0</v>
      </c>
      <c r="E133" s="2">
        <f t="shared" si="36"/>
        <v>0</v>
      </c>
      <c r="F133" s="2">
        <f t="shared" si="36"/>
        <v>0</v>
      </c>
      <c r="G133" s="2">
        <f t="shared" si="36"/>
        <v>0</v>
      </c>
      <c r="H133" s="2">
        <f t="shared" si="36"/>
        <v>0</v>
      </c>
      <c r="I133" s="2">
        <f t="shared" si="36"/>
        <v>0</v>
      </c>
      <c r="J133" s="2">
        <f t="shared" si="36"/>
        <v>0</v>
      </c>
      <c r="K133" s="2">
        <f t="shared" si="36"/>
        <v>0</v>
      </c>
      <c r="L133" s="2">
        <f t="shared" si="36"/>
        <v>0</v>
      </c>
      <c r="M133" s="2">
        <f t="shared" si="36"/>
        <v>0</v>
      </c>
      <c r="N133" s="2">
        <f t="shared" si="37"/>
        <v>6</v>
      </c>
      <c r="O133" s="480"/>
    </row>
    <row r="134" spans="2:15" x14ac:dyDescent="0.15">
      <c r="B134" s="202"/>
      <c r="C134" s="4">
        <v>7</v>
      </c>
      <c r="D134" s="2">
        <f t="shared" si="36"/>
        <v>0</v>
      </c>
      <c r="E134" s="2">
        <f t="shared" si="36"/>
        <v>0</v>
      </c>
      <c r="F134" s="2">
        <f t="shared" si="36"/>
        <v>0</v>
      </c>
      <c r="G134" s="2">
        <f t="shared" si="36"/>
        <v>0</v>
      </c>
      <c r="H134" s="2">
        <f t="shared" si="36"/>
        <v>0</v>
      </c>
      <c r="I134" s="2">
        <f t="shared" si="36"/>
        <v>0</v>
      </c>
      <c r="J134" s="2">
        <f t="shared" si="36"/>
        <v>0</v>
      </c>
      <c r="K134" s="2">
        <f t="shared" si="36"/>
        <v>0</v>
      </c>
      <c r="L134" s="2">
        <f t="shared" si="36"/>
        <v>0</v>
      </c>
      <c r="M134" s="2">
        <f t="shared" si="36"/>
        <v>0</v>
      </c>
      <c r="N134" s="2">
        <f t="shared" si="37"/>
        <v>7</v>
      </c>
      <c r="O134" s="480"/>
    </row>
    <row r="135" spans="2:15" x14ac:dyDescent="0.15">
      <c r="B135" s="202"/>
      <c r="C135" s="4">
        <v>8</v>
      </c>
      <c r="D135" s="2">
        <f t="shared" si="36"/>
        <v>0</v>
      </c>
      <c r="E135" s="2">
        <f t="shared" si="36"/>
        <v>0</v>
      </c>
      <c r="F135" s="2">
        <f t="shared" si="36"/>
        <v>0</v>
      </c>
      <c r="G135" s="2">
        <f t="shared" si="36"/>
        <v>0</v>
      </c>
      <c r="H135" s="2">
        <f t="shared" si="36"/>
        <v>0</v>
      </c>
      <c r="I135" s="2">
        <f t="shared" si="36"/>
        <v>0</v>
      </c>
      <c r="J135" s="2">
        <f t="shared" si="36"/>
        <v>0</v>
      </c>
      <c r="K135" s="2">
        <f t="shared" si="36"/>
        <v>0</v>
      </c>
      <c r="L135" s="2">
        <f t="shared" si="36"/>
        <v>0</v>
      </c>
      <c r="M135" s="2">
        <f t="shared" si="36"/>
        <v>0</v>
      </c>
      <c r="N135" s="2">
        <f t="shared" si="37"/>
        <v>8</v>
      </c>
      <c r="O135" s="480"/>
    </row>
    <row r="136" spans="2:15" x14ac:dyDescent="0.15">
      <c r="B136" s="202"/>
      <c r="C136" s="4">
        <v>9</v>
      </c>
      <c r="D136" s="2">
        <f t="shared" si="36"/>
        <v>0</v>
      </c>
      <c r="E136" s="2">
        <f t="shared" si="36"/>
        <v>0</v>
      </c>
      <c r="F136" s="2">
        <f t="shared" si="36"/>
        <v>0</v>
      </c>
      <c r="G136" s="2">
        <f t="shared" si="36"/>
        <v>0</v>
      </c>
      <c r="H136" s="2">
        <f t="shared" si="36"/>
        <v>0</v>
      </c>
      <c r="I136" s="2">
        <f t="shared" si="36"/>
        <v>0</v>
      </c>
      <c r="J136" s="2">
        <f t="shared" si="36"/>
        <v>0</v>
      </c>
      <c r="K136" s="2">
        <f t="shared" si="36"/>
        <v>0</v>
      </c>
      <c r="L136" s="2">
        <f t="shared" si="36"/>
        <v>0</v>
      </c>
      <c r="M136" s="2">
        <f t="shared" si="36"/>
        <v>0</v>
      </c>
      <c r="N136" s="2">
        <f t="shared" si="37"/>
        <v>9</v>
      </c>
      <c r="O136" s="480"/>
    </row>
    <row r="137" spans="2:15" x14ac:dyDescent="0.15">
      <c r="B137" s="202"/>
      <c r="C137" s="4">
        <v>10</v>
      </c>
      <c r="D137" s="2">
        <f t="shared" si="36"/>
        <v>0</v>
      </c>
      <c r="E137" s="2">
        <f t="shared" si="36"/>
        <v>0</v>
      </c>
      <c r="F137" s="2">
        <f t="shared" si="36"/>
        <v>0</v>
      </c>
      <c r="G137" s="2">
        <f t="shared" si="36"/>
        <v>0</v>
      </c>
      <c r="H137" s="2">
        <f t="shared" si="36"/>
        <v>0</v>
      </c>
      <c r="I137" s="2">
        <f t="shared" si="36"/>
        <v>0</v>
      </c>
      <c r="J137" s="2">
        <f t="shared" si="36"/>
        <v>0</v>
      </c>
      <c r="K137" s="2">
        <f t="shared" si="36"/>
        <v>0</v>
      </c>
      <c r="L137" s="2">
        <f t="shared" si="36"/>
        <v>0</v>
      </c>
      <c r="M137" s="2">
        <f t="shared" si="36"/>
        <v>0</v>
      </c>
      <c r="N137" s="2">
        <f t="shared" si="37"/>
        <v>10</v>
      </c>
      <c r="O137" s="480"/>
    </row>
    <row r="138" spans="2:15" x14ac:dyDescent="0.15">
      <c r="B138" s="202"/>
      <c r="C138" s="4">
        <v>11</v>
      </c>
      <c r="D138" s="2">
        <f t="shared" si="36"/>
        <v>0</v>
      </c>
      <c r="E138" s="2">
        <f t="shared" si="36"/>
        <v>0</v>
      </c>
      <c r="F138" s="2">
        <f t="shared" si="36"/>
        <v>0</v>
      </c>
      <c r="G138" s="2">
        <f t="shared" si="36"/>
        <v>0</v>
      </c>
      <c r="H138" s="2">
        <f t="shared" si="36"/>
        <v>0</v>
      </c>
      <c r="I138" s="2">
        <f t="shared" si="36"/>
        <v>0</v>
      </c>
      <c r="J138" s="2">
        <f t="shared" si="36"/>
        <v>0</v>
      </c>
      <c r="K138" s="2">
        <f t="shared" si="36"/>
        <v>0</v>
      </c>
      <c r="L138" s="2">
        <f t="shared" si="36"/>
        <v>0</v>
      </c>
      <c r="M138" s="2">
        <f t="shared" si="36"/>
        <v>0</v>
      </c>
      <c r="N138" s="2">
        <f t="shared" si="37"/>
        <v>11</v>
      </c>
      <c r="O138" s="480"/>
    </row>
    <row r="139" spans="2:15" ht="14" thickBot="1" x14ac:dyDescent="0.2">
      <c r="B139" s="202"/>
      <c r="C139" s="4">
        <v>12</v>
      </c>
      <c r="D139" s="2">
        <f t="shared" si="36"/>
        <v>0</v>
      </c>
      <c r="E139" s="2">
        <f t="shared" si="36"/>
        <v>0</v>
      </c>
      <c r="F139" s="2">
        <f t="shared" si="36"/>
        <v>0</v>
      </c>
      <c r="G139" s="2">
        <f t="shared" si="36"/>
        <v>0</v>
      </c>
      <c r="H139" s="2">
        <f t="shared" si="36"/>
        <v>0</v>
      </c>
      <c r="I139" s="2">
        <f t="shared" si="36"/>
        <v>0</v>
      </c>
      <c r="J139" s="2">
        <f t="shared" si="36"/>
        <v>0</v>
      </c>
      <c r="K139" s="2">
        <f t="shared" si="36"/>
        <v>0</v>
      </c>
      <c r="L139" s="2">
        <f t="shared" si="36"/>
        <v>0</v>
      </c>
      <c r="M139" s="2">
        <f t="shared" si="36"/>
        <v>0</v>
      </c>
      <c r="N139" s="2">
        <f t="shared" si="37"/>
        <v>12</v>
      </c>
      <c r="O139" s="480"/>
    </row>
    <row r="140" spans="2:15" ht="14" thickBot="1" x14ac:dyDescent="0.2">
      <c r="B140" s="541" t="s">
        <v>45</v>
      </c>
      <c r="C140" s="502" t="s">
        <v>273</v>
      </c>
      <c r="D140" s="503">
        <f>IF(D127&gt;$H$10,0,IPMT($H$6,D127,$H$10,$B$132))</f>
        <v>0</v>
      </c>
      <c r="E140" s="503">
        <f t="shared" ref="E140:M140" si="38">IF(E127&gt;$H$10,0,IPMT($H$6,E127,$H$10,$B$132))</f>
        <v>0</v>
      </c>
      <c r="F140" s="503">
        <f t="shared" si="38"/>
        <v>0</v>
      </c>
      <c r="G140" s="503">
        <f t="shared" si="38"/>
        <v>0</v>
      </c>
      <c r="H140" s="503">
        <f t="shared" si="38"/>
        <v>0</v>
      </c>
      <c r="I140" s="503">
        <f t="shared" si="38"/>
        <v>0</v>
      </c>
      <c r="J140" s="503">
        <f t="shared" si="38"/>
        <v>0</v>
      </c>
      <c r="K140" s="503">
        <f t="shared" si="38"/>
        <v>0</v>
      </c>
      <c r="L140" s="503">
        <f t="shared" si="38"/>
        <v>0</v>
      </c>
      <c r="M140" s="503">
        <f t="shared" si="38"/>
        <v>0</v>
      </c>
      <c r="N140" s="504">
        <f t="shared" si="37"/>
        <v>0</v>
      </c>
      <c r="O140" s="480"/>
    </row>
    <row r="141" spans="2:15" ht="14" thickBot="1" x14ac:dyDescent="0.2">
      <c r="B141" s="478"/>
      <c r="C141" s="520" t="s">
        <v>663</v>
      </c>
      <c r="D141" s="522">
        <f>IF(D127&gt;$H$10,0,PPMT($H$6,D127,$H$10,$B$132))</f>
        <v>0</v>
      </c>
      <c r="E141" s="522">
        <f t="shared" ref="E141:M141" si="39">IF(E127&gt;$H$10,0,PPMT($H$6,E127,$H$10,$B$132))</f>
        <v>0</v>
      </c>
      <c r="F141" s="522">
        <f t="shared" si="39"/>
        <v>0</v>
      </c>
      <c r="G141" s="522">
        <f t="shared" si="39"/>
        <v>0</v>
      </c>
      <c r="H141" s="522">
        <f t="shared" si="39"/>
        <v>0</v>
      </c>
      <c r="I141" s="522">
        <f t="shared" si="39"/>
        <v>0</v>
      </c>
      <c r="J141" s="522">
        <f t="shared" si="39"/>
        <v>0</v>
      </c>
      <c r="K141" s="522">
        <f t="shared" si="39"/>
        <v>0</v>
      </c>
      <c r="L141" s="522">
        <f t="shared" si="39"/>
        <v>0</v>
      </c>
      <c r="M141" s="522">
        <f t="shared" si="39"/>
        <v>0</v>
      </c>
      <c r="N141" s="504">
        <f t="shared" si="37"/>
        <v>0</v>
      </c>
      <c r="O141" s="482"/>
    </row>
    <row r="143" spans="2:15" ht="14" thickBot="1" x14ac:dyDescent="0.2"/>
    <row r="144" spans="2:15" ht="14" thickBot="1" x14ac:dyDescent="0.2">
      <c r="B144" s="495" t="s">
        <v>419</v>
      </c>
      <c r="C144" s="178"/>
      <c r="D144" s="483" t="s">
        <v>133</v>
      </c>
      <c r="E144" s="483" t="s">
        <v>133</v>
      </c>
      <c r="F144" s="483" t="s">
        <v>133</v>
      </c>
      <c r="G144" s="483" t="s">
        <v>133</v>
      </c>
      <c r="H144" s="483" t="s">
        <v>133</v>
      </c>
      <c r="I144" s="483" t="s">
        <v>133</v>
      </c>
      <c r="J144" s="483" t="s">
        <v>133</v>
      </c>
      <c r="K144" s="483" t="s">
        <v>133</v>
      </c>
      <c r="L144" s="483" t="s">
        <v>133</v>
      </c>
      <c r="M144" s="483" t="s">
        <v>133</v>
      </c>
      <c r="N144" s="178"/>
      <c r="O144" s="499" t="str">
        <f>B144</f>
        <v>+10%</v>
      </c>
    </row>
    <row r="145" spans="2:15" x14ac:dyDescent="0.15">
      <c r="B145" s="426"/>
      <c r="C145" s="4" t="s">
        <v>660</v>
      </c>
      <c r="D145" s="4">
        <v>1</v>
      </c>
      <c r="E145" s="4">
        <f>D145+1</f>
        <v>2</v>
      </c>
      <c r="F145" s="4">
        <f>E145+1</f>
        <v>3</v>
      </c>
      <c r="G145" s="4">
        <f t="shared" ref="G145:M145" si="40">F145+1</f>
        <v>4</v>
      </c>
      <c r="H145" s="4">
        <f t="shared" si="40"/>
        <v>5</v>
      </c>
      <c r="I145" s="4">
        <f t="shared" si="40"/>
        <v>6</v>
      </c>
      <c r="J145" s="4">
        <f t="shared" si="40"/>
        <v>7</v>
      </c>
      <c r="K145" s="4">
        <f t="shared" si="40"/>
        <v>8</v>
      </c>
      <c r="L145" s="4">
        <f t="shared" si="40"/>
        <v>9</v>
      </c>
      <c r="M145" s="4">
        <f t="shared" si="40"/>
        <v>10</v>
      </c>
      <c r="N145" s="4" t="s">
        <v>285</v>
      </c>
      <c r="O145" s="480"/>
    </row>
    <row r="146" spans="2:15" x14ac:dyDescent="0.15">
      <c r="B146" s="202" t="s">
        <v>661</v>
      </c>
      <c r="C146" s="4">
        <v>1</v>
      </c>
      <c r="D146" s="2">
        <f t="shared" ref="D146:M157" si="41">IF(ISNUMBER(IPMT($H$6/12,((D$19-1)*12)+$C146,$H$10*12,$C$12)),IPMT($H$6/12,((D$19-1)*12)+$C146,$H$10*12,$C$12),0)</f>
        <v>0</v>
      </c>
      <c r="E146" s="2">
        <f t="shared" si="41"/>
        <v>0</v>
      </c>
      <c r="F146" s="2">
        <f t="shared" si="41"/>
        <v>0</v>
      </c>
      <c r="G146" s="2">
        <f t="shared" si="41"/>
        <v>0</v>
      </c>
      <c r="H146" s="2">
        <f t="shared" si="41"/>
        <v>0</v>
      </c>
      <c r="I146" s="2">
        <f t="shared" si="41"/>
        <v>0</v>
      </c>
      <c r="J146" s="2">
        <f t="shared" si="41"/>
        <v>0</v>
      </c>
      <c r="K146" s="2">
        <f t="shared" si="41"/>
        <v>0</v>
      </c>
      <c r="L146" s="2">
        <f t="shared" si="41"/>
        <v>0</v>
      </c>
      <c r="M146" s="2">
        <f t="shared" si="41"/>
        <v>0</v>
      </c>
      <c r="N146" s="2">
        <f>SUM(C146:M146)</f>
        <v>1</v>
      </c>
      <c r="O146" s="480"/>
    </row>
    <row r="147" spans="2:15" x14ac:dyDescent="0.15">
      <c r="B147" s="511">
        <f>-PMT($H$6/12,$H$10*12,C12)</f>
        <v>0</v>
      </c>
      <c r="C147" s="4">
        <v>2</v>
      </c>
      <c r="D147" s="2">
        <f t="shared" si="41"/>
        <v>0</v>
      </c>
      <c r="E147" s="2">
        <f t="shared" si="41"/>
        <v>0</v>
      </c>
      <c r="F147" s="2">
        <f t="shared" si="41"/>
        <v>0</v>
      </c>
      <c r="G147" s="2">
        <f t="shared" si="41"/>
        <v>0</v>
      </c>
      <c r="H147" s="2">
        <f t="shared" si="41"/>
        <v>0</v>
      </c>
      <c r="I147" s="2">
        <f t="shared" si="41"/>
        <v>0</v>
      </c>
      <c r="J147" s="2">
        <f t="shared" si="41"/>
        <v>0</v>
      </c>
      <c r="K147" s="2">
        <f t="shared" si="41"/>
        <v>0</v>
      </c>
      <c r="L147" s="2">
        <f t="shared" si="41"/>
        <v>0</v>
      </c>
      <c r="M147" s="2">
        <f t="shared" si="41"/>
        <v>0</v>
      </c>
      <c r="N147" s="2">
        <f t="shared" ref="N147:N159" si="42">SUM(C147:M147)</f>
        <v>2</v>
      </c>
      <c r="O147" s="480"/>
    </row>
    <row r="148" spans="2:15" x14ac:dyDescent="0.15">
      <c r="B148" s="540">
        <f>B147*12</f>
        <v>0</v>
      </c>
      <c r="C148" s="4">
        <v>3</v>
      </c>
      <c r="D148" s="2">
        <f t="shared" si="41"/>
        <v>0</v>
      </c>
      <c r="E148" s="2">
        <f t="shared" si="41"/>
        <v>0</v>
      </c>
      <c r="F148" s="2">
        <f t="shared" si="41"/>
        <v>0</v>
      </c>
      <c r="G148" s="2">
        <f t="shared" si="41"/>
        <v>0</v>
      </c>
      <c r="H148" s="2">
        <f t="shared" si="41"/>
        <v>0</v>
      </c>
      <c r="I148" s="2">
        <f t="shared" si="41"/>
        <v>0</v>
      </c>
      <c r="J148" s="2">
        <f t="shared" si="41"/>
        <v>0</v>
      </c>
      <c r="K148" s="2">
        <f t="shared" si="41"/>
        <v>0</v>
      </c>
      <c r="L148" s="2">
        <f t="shared" si="41"/>
        <v>0</v>
      </c>
      <c r="M148" s="2">
        <f t="shared" si="41"/>
        <v>0</v>
      </c>
      <c r="N148" s="2">
        <f t="shared" si="42"/>
        <v>3</v>
      </c>
      <c r="O148" s="480"/>
    </row>
    <row r="149" spans="2:15" x14ac:dyDescent="0.15">
      <c r="B149" s="202" t="s">
        <v>662</v>
      </c>
      <c r="C149" s="4">
        <v>4</v>
      </c>
      <c r="D149" s="2">
        <f t="shared" si="41"/>
        <v>0</v>
      </c>
      <c r="E149" s="2">
        <f t="shared" si="41"/>
        <v>0</v>
      </c>
      <c r="F149" s="2">
        <f t="shared" si="41"/>
        <v>0</v>
      </c>
      <c r="G149" s="2">
        <f t="shared" si="41"/>
        <v>0</v>
      </c>
      <c r="H149" s="2">
        <f t="shared" si="41"/>
        <v>0</v>
      </c>
      <c r="I149" s="2">
        <f t="shared" si="41"/>
        <v>0</v>
      </c>
      <c r="J149" s="2">
        <f t="shared" si="41"/>
        <v>0</v>
      </c>
      <c r="K149" s="2">
        <f t="shared" si="41"/>
        <v>0</v>
      </c>
      <c r="L149" s="2">
        <f t="shared" si="41"/>
        <v>0</v>
      </c>
      <c r="M149" s="2">
        <f t="shared" si="41"/>
        <v>0</v>
      </c>
      <c r="N149" s="2">
        <f t="shared" si="42"/>
        <v>4</v>
      </c>
      <c r="O149" s="480"/>
    </row>
    <row r="150" spans="2:15" x14ac:dyDescent="0.15">
      <c r="B150" s="521">
        <f>C12</f>
        <v>0</v>
      </c>
      <c r="C150" s="4">
        <v>5</v>
      </c>
      <c r="D150" s="2">
        <f t="shared" si="41"/>
        <v>0</v>
      </c>
      <c r="E150" s="2">
        <f t="shared" si="41"/>
        <v>0</v>
      </c>
      <c r="F150" s="2">
        <f t="shared" si="41"/>
        <v>0</v>
      </c>
      <c r="G150" s="2">
        <f t="shared" si="41"/>
        <v>0</v>
      </c>
      <c r="H150" s="2">
        <f t="shared" si="41"/>
        <v>0</v>
      </c>
      <c r="I150" s="2">
        <f t="shared" si="41"/>
        <v>0</v>
      </c>
      <c r="J150" s="2">
        <f t="shared" si="41"/>
        <v>0</v>
      </c>
      <c r="K150" s="2">
        <f t="shared" si="41"/>
        <v>0</v>
      </c>
      <c r="L150" s="2">
        <f t="shared" si="41"/>
        <v>0</v>
      </c>
      <c r="M150" s="2">
        <f t="shared" si="41"/>
        <v>0</v>
      </c>
      <c r="N150" s="2">
        <f t="shared" si="42"/>
        <v>5</v>
      </c>
      <c r="O150" s="480"/>
    </row>
    <row r="151" spans="2:15" x14ac:dyDescent="0.15">
      <c r="B151" s="202"/>
      <c r="C151" s="4">
        <v>6</v>
      </c>
      <c r="D151" s="2">
        <f t="shared" si="41"/>
        <v>0</v>
      </c>
      <c r="E151" s="2">
        <f t="shared" si="41"/>
        <v>0</v>
      </c>
      <c r="F151" s="2">
        <f t="shared" si="41"/>
        <v>0</v>
      </c>
      <c r="G151" s="2">
        <f t="shared" si="41"/>
        <v>0</v>
      </c>
      <c r="H151" s="2">
        <f t="shared" si="41"/>
        <v>0</v>
      </c>
      <c r="I151" s="2">
        <f t="shared" si="41"/>
        <v>0</v>
      </c>
      <c r="J151" s="2">
        <f t="shared" si="41"/>
        <v>0</v>
      </c>
      <c r="K151" s="2">
        <f t="shared" si="41"/>
        <v>0</v>
      </c>
      <c r="L151" s="2">
        <f t="shared" si="41"/>
        <v>0</v>
      </c>
      <c r="M151" s="2">
        <f t="shared" si="41"/>
        <v>0</v>
      </c>
      <c r="N151" s="2">
        <f t="shared" si="42"/>
        <v>6</v>
      </c>
      <c r="O151" s="480"/>
    </row>
    <row r="152" spans="2:15" x14ac:dyDescent="0.15">
      <c r="B152" s="202"/>
      <c r="C152" s="4">
        <v>7</v>
      </c>
      <c r="D152" s="2">
        <f t="shared" si="41"/>
        <v>0</v>
      </c>
      <c r="E152" s="2">
        <f t="shared" si="41"/>
        <v>0</v>
      </c>
      <c r="F152" s="2">
        <f t="shared" si="41"/>
        <v>0</v>
      </c>
      <c r="G152" s="2">
        <f t="shared" si="41"/>
        <v>0</v>
      </c>
      <c r="H152" s="2">
        <f t="shared" si="41"/>
        <v>0</v>
      </c>
      <c r="I152" s="2">
        <f t="shared" si="41"/>
        <v>0</v>
      </c>
      <c r="J152" s="2">
        <f t="shared" si="41"/>
        <v>0</v>
      </c>
      <c r="K152" s="2">
        <f t="shared" si="41"/>
        <v>0</v>
      </c>
      <c r="L152" s="2">
        <f t="shared" si="41"/>
        <v>0</v>
      </c>
      <c r="M152" s="2">
        <f t="shared" si="41"/>
        <v>0</v>
      </c>
      <c r="N152" s="2">
        <f t="shared" si="42"/>
        <v>7</v>
      </c>
      <c r="O152" s="480"/>
    </row>
    <row r="153" spans="2:15" x14ac:dyDescent="0.15">
      <c r="B153" s="202"/>
      <c r="C153" s="4">
        <v>8</v>
      </c>
      <c r="D153" s="2">
        <f t="shared" si="41"/>
        <v>0</v>
      </c>
      <c r="E153" s="2">
        <f t="shared" si="41"/>
        <v>0</v>
      </c>
      <c r="F153" s="2">
        <f t="shared" si="41"/>
        <v>0</v>
      </c>
      <c r="G153" s="2">
        <f t="shared" si="41"/>
        <v>0</v>
      </c>
      <c r="H153" s="2">
        <f t="shared" si="41"/>
        <v>0</v>
      </c>
      <c r="I153" s="2">
        <f t="shared" si="41"/>
        <v>0</v>
      </c>
      <c r="J153" s="2">
        <f t="shared" si="41"/>
        <v>0</v>
      </c>
      <c r="K153" s="2">
        <f t="shared" si="41"/>
        <v>0</v>
      </c>
      <c r="L153" s="2">
        <f t="shared" si="41"/>
        <v>0</v>
      </c>
      <c r="M153" s="2">
        <f t="shared" si="41"/>
        <v>0</v>
      </c>
      <c r="N153" s="2">
        <f t="shared" si="42"/>
        <v>8</v>
      </c>
      <c r="O153" s="480"/>
    </row>
    <row r="154" spans="2:15" x14ac:dyDescent="0.15">
      <c r="B154" s="202"/>
      <c r="C154" s="4">
        <v>9</v>
      </c>
      <c r="D154" s="2">
        <f t="shared" si="41"/>
        <v>0</v>
      </c>
      <c r="E154" s="2">
        <f t="shared" si="41"/>
        <v>0</v>
      </c>
      <c r="F154" s="2">
        <f t="shared" si="41"/>
        <v>0</v>
      </c>
      <c r="G154" s="2">
        <f t="shared" si="41"/>
        <v>0</v>
      </c>
      <c r="H154" s="2">
        <f t="shared" si="41"/>
        <v>0</v>
      </c>
      <c r="I154" s="2">
        <f t="shared" si="41"/>
        <v>0</v>
      </c>
      <c r="J154" s="2">
        <f t="shared" si="41"/>
        <v>0</v>
      </c>
      <c r="K154" s="2">
        <f t="shared" si="41"/>
        <v>0</v>
      </c>
      <c r="L154" s="2">
        <f t="shared" si="41"/>
        <v>0</v>
      </c>
      <c r="M154" s="2">
        <f t="shared" si="41"/>
        <v>0</v>
      </c>
      <c r="N154" s="2">
        <f t="shared" si="42"/>
        <v>9</v>
      </c>
      <c r="O154" s="480"/>
    </row>
    <row r="155" spans="2:15" x14ac:dyDescent="0.15">
      <c r="B155" s="202"/>
      <c r="C155" s="4">
        <v>10</v>
      </c>
      <c r="D155" s="2">
        <f t="shared" si="41"/>
        <v>0</v>
      </c>
      <c r="E155" s="2">
        <f t="shared" si="41"/>
        <v>0</v>
      </c>
      <c r="F155" s="2">
        <f t="shared" si="41"/>
        <v>0</v>
      </c>
      <c r="G155" s="2">
        <f t="shared" si="41"/>
        <v>0</v>
      </c>
      <c r="H155" s="2">
        <f t="shared" si="41"/>
        <v>0</v>
      </c>
      <c r="I155" s="2">
        <f t="shared" si="41"/>
        <v>0</v>
      </c>
      <c r="J155" s="2">
        <f t="shared" si="41"/>
        <v>0</v>
      </c>
      <c r="K155" s="2">
        <f t="shared" si="41"/>
        <v>0</v>
      </c>
      <c r="L155" s="2">
        <f t="shared" si="41"/>
        <v>0</v>
      </c>
      <c r="M155" s="2">
        <f t="shared" si="41"/>
        <v>0</v>
      </c>
      <c r="N155" s="2">
        <f t="shared" si="42"/>
        <v>10</v>
      </c>
      <c r="O155" s="480"/>
    </row>
    <row r="156" spans="2:15" x14ac:dyDescent="0.15">
      <c r="B156" s="202"/>
      <c r="C156" s="4">
        <v>11</v>
      </c>
      <c r="D156" s="2">
        <f t="shared" si="41"/>
        <v>0</v>
      </c>
      <c r="E156" s="2">
        <f t="shared" si="41"/>
        <v>0</v>
      </c>
      <c r="F156" s="2">
        <f t="shared" si="41"/>
        <v>0</v>
      </c>
      <c r="G156" s="2">
        <f t="shared" si="41"/>
        <v>0</v>
      </c>
      <c r="H156" s="2">
        <f t="shared" si="41"/>
        <v>0</v>
      </c>
      <c r="I156" s="2">
        <f t="shared" si="41"/>
        <v>0</v>
      </c>
      <c r="J156" s="2">
        <f t="shared" si="41"/>
        <v>0</v>
      </c>
      <c r="K156" s="2">
        <f t="shared" si="41"/>
        <v>0</v>
      </c>
      <c r="L156" s="2">
        <f t="shared" si="41"/>
        <v>0</v>
      </c>
      <c r="M156" s="2">
        <f t="shared" si="41"/>
        <v>0</v>
      </c>
      <c r="N156" s="2">
        <f t="shared" si="42"/>
        <v>11</v>
      </c>
      <c r="O156" s="480"/>
    </row>
    <row r="157" spans="2:15" ht="14" thickBot="1" x14ac:dyDescent="0.2">
      <c r="B157" s="202"/>
      <c r="C157" s="4">
        <v>12</v>
      </c>
      <c r="D157" s="2">
        <f t="shared" si="41"/>
        <v>0</v>
      </c>
      <c r="E157" s="2">
        <f t="shared" si="41"/>
        <v>0</v>
      </c>
      <c r="F157" s="2">
        <f t="shared" si="41"/>
        <v>0</v>
      </c>
      <c r="G157" s="2">
        <f t="shared" si="41"/>
        <v>0</v>
      </c>
      <c r="H157" s="2">
        <f t="shared" si="41"/>
        <v>0</v>
      </c>
      <c r="I157" s="2">
        <f t="shared" si="41"/>
        <v>0</v>
      </c>
      <c r="J157" s="2">
        <f t="shared" si="41"/>
        <v>0</v>
      </c>
      <c r="K157" s="2">
        <f t="shared" si="41"/>
        <v>0</v>
      </c>
      <c r="L157" s="2">
        <f t="shared" si="41"/>
        <v>0</v>
      </c>
      <c r="M157" s="2">
        <f t="shared" si="41"/>
        <v>0</v>
      </c>
      <c r="N157" s="2">
        <f t="shared" si="42"/>
        <v>12</v>
      </c>
      <c r="O157" s="480"/>
    </row>
    <row r="158" spans="2:15" ht="14" thickBot="1" x14ac:dyDescent="0.2">
      <c r="B158" s="541" t="s">
        <v>45</v>
      </c>
      <c r="C158" s="502" t="s">
        <v>273</v>
      </c>
      <c r="D158" s="503">
        <f>IF(D145&gt;$H$10,0,IPMT($H$6,D145,$H$10,$B$150))</f>
        <v>0</v>
      </c>
      <c r="E158" s="503">
        <f t="shared" ref="E158:M158" si="43">IF(E145&gt;$H$10,0,IPMT($H$6,E145,$H$10,$B$150))</f>
        <v>0</v>
      </c>
      <c r="F158" s="503">
        <f t="shared" si="43"/>
        <v>0</v>
      </c>
      <c r="G158" s="503">
        <f t="shared" si="43"/>
        <v>0</v>
      </c>
      <c r="H158" s="503">
        <f t="shared" si="43"/>
        <v>0</v>
      </c>
      <c r="I158" s="503">
        <f t="shared" si="43"/>
        <v>0</v>
      </c>
      <c r="J158" s="503">
        <f t="shared" si="43"/>
        <v>0</v>
      </c>
      <c r="K158" s="503">
        <f t="shared" si="43"/>
        <v>0</v>
      </c>
      <c r="L158" s="503">
        <f t="shared" si="43"/>
        <v>0</v>
      </c>
      <c r="M158" s="503">
        <f t="shared" si="43"/>
        <v>0</v>
      </c>
      <c r="N158" s="504">
        <f t="shared" si="42"/>
        <v>0</v>
      </c>
      <c r="O158" s="480"/>
    </row>
    <row r="159" spans="2:15" ht="14" thickBot="1" x14ac:dyDescent="0.2">
      <c r="B159" s="478"/>
      <c r="C159" s="520" t="s">
        <v>663</v>
      </c>
      <c r="D159" s="522">
        <f>IF(D145&gt;$H$10,0,PPMT($H$6,D145,$H$10,$B$150))</f>
        <v>0</v>
      </c>
      <c r="E159" s="522">
        <f t="shared" ref="E159:M159" si="44">IF(E145&gt;$H$10,0,PPMT($H$6,E145,$H$10,$B$150))</f>
        <v>0</v>
      </c>
      <c r="F159" s="522">
        <f t="shared" si="44"/>
        <v>0</v>
      </c>
      <c r="G159" s="522">
        <f t="shared" si="44"/>
        <v>0</v>
      </c>
      <c r="H159" s="522">
        <f t="shared" si="44"/>
        <v>0</v>
      </c>
      <c r="I159" s="522">
        <f t="shared" si="44"/>
        <v>0</v>
      </c>
      <c r="J159" s="522">
        <f t="shared" si="44"/>
        <v>0</v>
      </c>
      <c r="K159" s="522">
        <f t="shared" si="44"/>
        <v>0</v>
      </c>
      <c r="L159" s="522">
        <f t="shared" si="44"/>
        <v>0</v>
      </c>
      <c r="M159" s="522">
        <f t="shared" si="44"/>
        <v>0</v>
      </c>
      <c r="N159" s="504">
        <f t="shared" si="42"/>
        <v>0</v>
      </c>
      <c r="O159" s="482"/>
    </row>
    <row r="161" spans="2:15" ht="14" thickBot="1" x14ac:dyDescent="0.2"/>
    <row r="162" spans="2:15" ht="14" thickBot="1" x14ac:dyDescent="0.2">
      <c r="B162" s="495" t="s">
        <v>420</v>
      </c>
      <c r="C162" s="178"/>
      <c r="D162" s="483" t="s">
        <v>133</v>
      </c>
      <c r="E162" s="483" t="s">
        <v>133</v>
      </c>
      <c r="F162" s="483" t="s">
        <v>133</v>
      </c>
      <c r="G162" s="483" t="s">
        <v>133</v>
      </c>
      <c r="H162" s="483" t="s">
        <v>133</v>
      </c>
      <c r="I162" s="483" t="s">
        <v>133</v>
      </c>
      <c r="J162" s="483" t="s">
        <v>133</v>
      </c>
      <c r="K162" s="483" t="s">
        <v>133</v>
      </c>
      <c r="L162" s="483" t="s">
        <v>133</v>
      </c>
      <c r="M162" s="483" t="s">
        <v>133</v>
      </c>
      <c r="N162" s="178"/>
      <c r="O162" s="499" t="str">
        <f>B162</f>
        <v>+15%</v>
      </c>
    </row>
    <row r="163" spans="2:15" x14ac:dyDescent="0.15">
      <c r="B163" s="426"/>
      <c r="C163" s="4" t="s">
        <v>660</v>
      </c>
      <c r="D163" s="4">
        <v>1</v>
      </c>
      <c r="E163" s="4">
        <f>D163+1</f>
        <v>2</v>
      </c>
      <c r="F163" s="4">
        <f>E163+1</f>
        <v>3</v>
      </c>
      <c r="G163" s="4">
        <f t="shared" ref="G163:M163" si="45">F163+1</f>
        <v>4</v>
      </c>
      <c r="H163" s="4">
        <f t="shared" si="45"/>
        <v>5</v>
      </c>
      <c r="I163" s="4">
        <f t="shared" si="45"/>
        <v>6</v>
      </c>
      <c r="J163" s="4">
        <f t="shared" si="45"/>
        <v>7</v>
      </c>
      <c r="K163" s="4">
        <f t="shared" si="45"/>
        <v>8</v>
      </c>
      <c r="L163" s="4">
        <f t="shared" si="45"/>
        <v>9</v>
      </c>
      <c r="M163" s="4">
        <f t="shared" si="45"/>
        <v>10</v>
      </c>
      <c r="N163" t="s">
        <v>285</v>
      </c>
      <c r="O163" s="479"/>
    </row>
    <row r="164" spans="2:15" x14ac:dyDescent="0.15">
      <c r="B164" s="202" t="s">
        <v>661</v>
      </c>
      <c r="C164" s="4">
        <v>1</v>
      </c>
      <c r="D164" s="2">
        <f t="shared" ref="D164:M175" si="46">IF(ISNUMBER(IPMT($H$6/12,((D$19-1)*12)+$C164,$H$10*12,$C$13)),IPMT($H$6/12,((D$19-1)*12)+$C164,$H$10*12,$C$13),0)</f>
        <v>0</v>
      </c>
      <c r="E164" s="2">
        <f t="shared" si="46"/>
        <v>0</v>
      </c>
      <c r="F164" s="2">
        <f t="shared" si="46"/>
        <v>0</v>
      </c>
      <c r="G164" s="2">
        <f t="shared" si="46"/>
        <v>0</v>
      </c>
      <c r="H164" s="2">
        <f t="shared" si="46"/>
        <v>0</v>
      </c>
      <c r="I164" s="2">
        <f t="shared" si="46"/>
        <v>0</v>
      </c>
      <c r="J164" s="2">
        <f t="shared" si="46"/>
        <v>0</v>
      </c>
      <c r="K164" s="2">
        <f t="shared" si="46"/>
        <v>0</v>
      </c>
      <c r="L164" s="2">
        <f t="shared" si="46"/>
        <v>0</v>
      </c>
      <c r="M164" s="2">
        <f t="shared" si="46"/>
        <v>0</v>
      </c>
      <c r="N164" s="2">
        <f>SUM(C164:M164)</f>
        <v>1</v>
      </c>
      <c r="O164" s="480"/>
    </row>
    <row r="165" spans="2:15" x14ac:dyDescent="0.15">
      <c r="B165" s="511">
        <f>-PMT($H$6/12,$H$10*12,C13)</f>
        <v>0</v>
      </c>
      <c r="C165" s="4">
        <v>2</v>
      </c>
      <c r="D165" s="2">
        <f t="shared" si="46"/>
        <v>0</v>
      </c>
      <c r="E165" s="2">
        <f t="shared" si="46"/>
        <v>0</v>
      </c>
      <c r="F165" s="2">
        <f t="shared" si="46"/>
        <v>0</v>
      </c>
      <c r="G165" s="2">
        <f t="shared" si="46"/>
        <v>0</v>
      </c>
      <c r="H165" s="2">
        <f t="shared" si="46"/>
        <v>0</v>
      </c>
      <c r="I165" s="2">
        <f t="shared" si="46"/>
        <v>0</v>
      </c>
      <c r="J165" s="2">
        <f t="shared" si="46"/>
        <v>0</v>
      </c>
      <c r="K165" s="2">
        <f t="shared" si="46"/>
        <v>0</v>
      </c>
      <c r="L165" s="2">
        <f t="shared" si="46"/>
        <v>0</v>
      </c>
      <c r="M165" s="2">
        <f t="shared" si="46"/>
        <v>0</v>
      </c>
      <c r="N165" s="2">
        <f t="shared" ref="N165:N177" si="47">SUM(C165:M165)</f>
        <v>2</v>
      </c>
      <c r="O165" s="480"/>
    </row>
    <row r="166" spans="2:15" x14ac:dyDescent="0.15">
      <c r="B166" s="540">
        <f>B165*12</f>
        <v>0</v>
      </c>
      <c r="C166" s="4">
        <v>3</v>
      </c>
      <c r="D166" s="2">
        <f t="shared" si="46"/>
        <v>0</v>
      </c>
      <c r="E166" s="2">
        <f t="shared" si="46"/>
        <v>0</v>
      </c>
      <c r="F166" s="2">
        <f t="shared" si="46"/>
        <v>0</v>
      </c>
      <c r="G166" s="2">
        <f t="shared" si="46"/>
        <v>0</v>
      </c>
      <c r="H166" s="2">
        <f t="shared" si="46"/>
        <v>0</v>
      </c>
      <c r="I166" s="2">
        <f t="shared" si="46"/>
        <v>0</v>
      </c>
      <c r="J166" s="2">
        <f t="shared" si="46"/>
        <v>0</v>
      </c>
      <c r="K166" s="2">
        <f t="shared" si="46"/>
        <v>0</v>
      </c>
      <c r="L166" s="2">
        <f t="shared" si="46"/>
        <v>0</v>
      </c>
      <c r="M166" s="2">
        <f t="shared" si="46"/>
        <v>0</v>
      </c>
      <c r="N166" s="2">
        <f t="shared" si="47"/>
        <v>3</v>
      </c>
      <c r="O166" s="480"/>
    </row>
    <row r="167" spans="2:15" x14ac:dyDescent="0.15">
      <c r="B167" s="202" t="s">
        <v>662</v>
      </c>
      <c r="C167" s="4">
        <v>4</v>
      </c>
      <c r="D167" s="2">
        <f t="shared" si="46"/>
        <v>0</v>
      </c>
      <c r="E167" s="2">
        <f t="shared" si="46"/>
        <v>0</v>
      </c>
      <c r="F167" s="2">
        <f t="shared" si="46"/>
        <v>0</v>
      </c>
      <c r="G167" s="2">
        <f t="shared" si="46"/>
        <v>0</v>
      </c>
      <c r="H167" s="2">
        <f t="shared" si="46"/>
        <v>0</v>
      </c>
      <c r="I167" s="2">
        <f t="shared" si="46"/>
        <v>0</v>
      </c>
      <c r="J167" s="2">
        <f t="shared" si="46"/>
        <v>0</v>
      </c>
      <c r="K167" s="2">
        <f t="shared" si="46"/>
        <v>0</v>
      </c>
      <c r="L167" s="2">
        <f t="shared" si="46"/>
        <v>0</v>
      </c>
      <c r="M167" s="2">
        <f t="shared" si="46"/>
        <v>0</v>
      </c>
      <c r="N167" s="2">
        <f t="shared" si="47"/>
        <v>4</v>
      </c>
      <c r="O167" s="480"/>
    </row>
    <row r="168" spans="2:15" x14ac:dyDescent="0.15">
      <c r="B168" s="521">
        <f>C13</f>
        <v>0</v>
      </c>
      <c r="C168" s="4">
        <v>5</v>
      </c>
      <c r="D168" s="2">
        <f t="shared" si="46"/>
        <v>0</v>
      </c>
      <c r="E168" s="2">
        <f t="shared" si="46"/>
        <v>0</v>
      </c>
      <c r="F168" s="2">
        <f t="shared" si="46"/>
        <v>0</v>
      </c>
      <c r="G168" s="2">
        <f t="shared" si="46"/>
        <v>0</v>
      </c>
      <c r="H168" s="2">
        <f t="shared" si="46"/>
        <v>0</v>
      </c>
      <c r="I168" s="2">
        <f t="shared" si="46"/>
        <v>0</v>
      </c>
      <c r="J168" s="2">
        <f t="shared" si="46"/>
        <v>0</v>
      </c>
      <c r="K168" s="2">
        <f t="shared" si="46"/>
        <v>0</v>
      </c>
      <c r="L168" s="2">
        <f t="shared" si="46"/>
        <v>0</v>
      </c>
      <c r="M168" s="2">
        <f t="shared" si="46"/>
        <v>0</v>
      </c>
      <c r="N168" s="2">
        <f t="shared" si="47"/>
        <v>5</v>
      </c>
      <c r="O168" s="480"/>
    </row>
    <row r="169" spans="2:15" x14ac:dyDescent="0.15">
      <c r="B169" s="202"/>
      <c r="C169" s="4">
        <v>6</v>
      </c>
      <c r="D169" s="2">
        <f t="shared" si="46"/>
        <v>0</v>
      </c>
      <c r="E169" s="2">
        <f t="shared" si="46"/>
        <v>0</v>
      </c>
      <c r="F169" s="2">
        <f t="shared" si="46"/>
        <v>0</v>
      </c>
      <c r="G169" s="2">
        <f t="shared" si="46"/>
        <v>0</v>
      </c>
      <c r="H169" s="2">
        <f t="shared" si="46"/>
        <v>0</v>
      </c>
      <c r="I169" s="2">
        <f t="shared" si="46"/>
        <v>0</v>
      </c>
      <c r="J169" s="2">
        <f t="shared" si="46"/>
        <v>0</v>
      </c>
      <c r="K169" s="2">
        <f t="shared" si="46"/>
        <v>0</v>
      </c>
      <c r="L169" s="2">
        <f t="shared" si="46"/>
        <v>0</v>
      </c>
      <c r="M169" s="2">
        <f t="shared" si="46"/>
        <v>0</v>
      </c>
      <c r="N169" s="2">
        <f t="shared" si="47"/>
        <v>6</v>
      </c>
      <c r="O169" s="480"/>
    </row>
    <row r="170" spans="2:15" x14ac:dyDescent="0.15">
      <c r="B170" s="202"/>
      <c r="C170" s="4">
        <v>7</v>
      </c>
      <c r="D170" s="2">
        <f t="shared" si="46"/>
        <v>0</v>
      </c>
      <c r="E170" s="2">
        <f t="shared" si="46"/>
        <v>0</v>
      </c>
      <c r="F170" s="2">
        <f t="shared" si="46"/>
        <v>0</v>
      </c>
      <c r="G170" s="2">
        <f t="shared" si="46"/>
        <v>0</v>
      </c>
      <c r="H170" s="2">
        <f t="shared" si="46"/>
        <v>0</v>
      </c>
      <c r="I170" s="2">
        <f t="shared" si="46"/>
        <v>0</v>
      </c>
      <c r="J170" s="2">
        <f t="shared" si="46"/>
        <v>0</v>
      </c>
      <c r="K170" s="2">
        <f t="shared" si="46"/>
        <v>0</v>
      </c>
      <c r="L170" s="2">
        <f t="shared" si="46"/>
        <v>0</v>
      </c>
      <c r="M170" s="2">
        <f t="shared" si="46"/>
        <v>0</v>
      </c>
      <c r="N170" s="2">
        <f t="shared" si="47"/>
        <v>7</v>
      </c>
      <c r="O170" s="480"/>
    </row>
    <row r="171" spans="2:15" x14ac:dyDescent="0.15">
      <c r="B171" s="202"/>
      <c r="C171" s="4">
        <v>8</v>
      </c>
      <c r="D171" s="2">
        <f t="shared" si="46"/>
        <v>0</v>
      </c>
      <c r="E171" s="2">
        <f t="shared" si="46"/>
        <v>0</v>
      </c>
      <c r="F171" s="2">
        <f t="shared" si="46"/>
        <v>0</v>
      </c>
      <c r="G171" s="2">
        <f t="shared" si="46"/>
        <v>0</v>
      </c>
      <c r="H171" s="2">
        <f t="shared" si="46"/>
        <v>0</v>
      </c>
      <c r="I171" s="2">
        <f t="shared" si="46"/>
        <v>0</v>
      </c>
      <c r="J171" s="2">
        <f t="shared" si="46"/>
        <v>0</v>
      </c>
      <c r="K171" s="2">
        <f t="shared" si="46"/>
        <v>0</v>
      </c>
      <c r="L171" s="2">
        <f t="shared" si="46"/>
        <v>0</v>
      </c>
      <c r="M171" s="2">
        <f t="shared" si="46"/>
        <v>0</v>
      </c>
      <c r="N171" s="2">
        <f t="shared" si="47"/>
        <v>8</v>
      </c>
      <c r="O171" s="480"/>
    </row>
    <row r="172" spans="2:15" x14ac:dyDescent="0.15">
      <c r="B172" s="202"/>
      <c r="C172" s="4">
        <v>9</v>
      </c>
      <c r="D172" s="2">
        <f t="shared" si="46"/>
        <v>0</v>
      </c>
      <c r="E172" s="2">
        <f t="shared" si="46"/>
        <v>0</v>
      </c>
      <c r="F172" s="2">
        <f t="shared" si="46"/>
        <v>0</v>
      </c>
      <c r="G172" s="2">
        <f t="shared" si="46"/>
        <v>0</v>
      </c>
      <c r="H172" s="2">
        <f t="shared" si="46"/>
        <v>0</v>
      </c>
      <c r="I172" s="2">
        <f t="shared" si="46"/>
        <v>0</v>
      </c>
      <c r="J172" s="2">
        <f t="shared" si="46"/>
        <v>0</v>
      </c>
      <c r="K172" s="2">
        <f t="shared" si="46"/>
        <v>0</v>
      </c>
      <c r="L172" s="2">
        <f t="shared" si="46"/>
        <v>0</v>
      </c>
      <c r="M172" s="2">
        <f t="shared" si="46"/>
        <v>0</v>
      </c>
      <c r="N172" s="2">
        <f t="shared" si="47"/>
        <v>9</v>
      </c>
      <c r="O172" s="480"/>
    </row>
    <row r="173" spans="2:15" x14ac:dyDescent="0.15">
      <c r="B173" s="202"/>
      <c r="C173" s="4">
        <v>10</v>
      </c>
      <c r="D173" s="2">
        <f t="shared" si="46"/>
        <v>0</v>
      </c>
      <c r="E173" s="2">
        <f t="shared" si="46"/>
        <v>0</v>
      </c>
      <c r="F173" s="2">
        <f t="shared" si="46"/>
        <v>0</v>
      </c>
      <c r="G173" s="2">
        <f t="shared" si="46"/>
        <v>0</v>
      </c>
      <c r="H173" s="2">
        <f t="shared" si="46"/>
        <v>0</v>
      </c>
      <c r="I173" s="2">
        <f t="shared" si="46"/>
        <v>0</v>
      </c>
      <c r="J173" s="2">
        <f t="shared" si="46"/>
        <v>0</v>
      </c>
      <c r="K173" s="2">
        <f t="shared" si="46"/>
        <v>0</v>
      </c>
      <c r="L173" s="2">
        <f t="shared" si="46"/>
        <v>0</v>
      </c>
      <c r="M173" s="2">
        <f t="shared" si="46"/>
        <v>0</v>
      </c>
      <c r="N173" s="2">
        <f t="shared" si="47"/>
        <v>10</v>
      </c>
      <c r="O173" s="480"/>
    </row>
    <row r="174" spans="2:15" x14ac:dyDescent="0.15">
      <c r="B174" s="202"/>
      <c r="C174" s="4">
        <v>11</v>
      </c>
      <c r="D174" s="2">
        <f t="shared" si="46"/>
        <v>0</v>
      </c>
      <c r="E174" s="2">
        <f t="shared" si="46"/>
        <v>0</v>
      </c>
      <c r="F174" s="2">
        <f t="shared" si="46"/>
        <v>0</v>
      </c>
      <c r="G174" s="2">
        <f t="shared" si="46"/>
        <v>0</v>
      </c>
      <c r="H174" s="2">
        <f t="shared" si="46"/>
        <v>0</v>
      </c>
      <c r="I174" s="2">
        <f t="shared" si="46"/>
        <v>0</v>
      </c>
      <c r="J174" s="2">
        <f t="shared" si="46"/>
        <v>0</v>
      </c>
      <c r="K174" s="2">
        <f t="shared" si="46"/>
        <v>0</v>
      </c>
      <c r="L174" s="2">
        <f t="shared" si="46"/>
        <v>0</v>
      </c>
      <c r="M174" s="2">
        <f t="shared" si="46"/>
        <v>0</v>
      </c>
      <c r="N174" s="2">
        <f t="shared" si="47"/>
        <v>11</v>
      </c>
      <c r="O174" s="480"/>
    </row>
    <row r="175" spans="2:15" ht="14" thickBot="1" x14ac:dyDescent="0.2">
      <c r="B175" s="202"/>
      <c r="C175" s="4">
        <v>12</v>
      </c>
      <c r="D175" s="2">
        <f t="shared" si="46"/>
        <v>0</v>
      </c>
      <c r="E175" s="2">
        <f t="shared" si="46"/>
        <v>0</v>
      </c>
      <c r="F175" s="2">
        <f t="shared" si="46"/>
        <v>0</v>
      </c>
      <c r="G175" s="2">
        <f t="shared" si="46"/>
        <v>0</v>
      </c>
      <c r="H175" s="2">
        <f t="shared" si="46"/>
        <v>0</v>
      </c>
      <c r="I175" s="2">
        <f t="shared" si="46"/>
        <v>0</v>
      </c>
      <c r="J175" s="2">
        <f t="shared" si="46"/>
        <v>0</v>
      </c>
      <c r="K175" s="2">
        <f t="shared" si="46"/>
        <v>0</v>
      </c>
      <c r="L175" s="2">
        <f t="shared" si="46"/>
        <v>0</v>
      </c>
      <c r="M175" s="2">
        <f t="shared" si="46"/>
        <v>0</v>
      </c>
      <c r="N175" s="2">
        <f t="shared" si="47"/>
        <v>12</v>
      </c>
      <c r="O175" s="480"/>
    </row>
    <row r="176" spans="2:15" ht="14" thickBot="1" x14ac:dyDescent="0.2">
      <c r="B176" s="541" t="s">
        <v>45</v>
      </c>
      <c r="C176" s="502" t="s">
        <v>273</v>
      </c>
      <c r="D176" s="503">
        <f>IF(D163&gt;$H$10,0,IPMT($H$6,D163,$H$10,$B$168))</f>
        <v>0</v>
      </c>
      <c r="E176" s="503">
        <f t="shared" ref="E176:M176" si="48">IF(E163&gt;$H$10,0,IPMT($H$6,E163,$H$10,$B$168))</f>
        <v>0</v>
      </c>
      <c r="F176" s="503">
        <f t="shared" si="48"/>
        <v>0</v>
      </c>
      <c r="G176" s="503">
        <f t="shared" si="48"/>
        <v>0</v>
      </c>
      <c r="H176" s="503">
        <f t="shared" si="48"/>
        <v>0</v>
      </c>
      <c r="I176" s="503">
        <f t="shared" si="48"/>
        <v>0</v>
      </c>
      <c r="J176" s="503">
        <f t="shared" si="48"/>
        <v>0</v>
      </c>
      <c r="K176" s="503">
        <f t="shared" si="48"/>
        <v>0</v>
      </c>
      <c r="L176" s="503">
        <f t="shared" si="48"/>
        <v>0</v>
      </c>
      <c r="M176" s="503">
        <f t="shared" si="48"/>
        <v>0</v>
      </c>
      <c r="N176" s="504">
        <f t="shared" si="47"/>
        <v>0</v>
      </c>
      <c r="O176" s="480"/>
    </row>
    <row r="177" spans="2:15" ht="14" thickBot="1" x14ac:dyDescent="0.2">
      <c r="B177" s="478"/>
      <c r="C177" s="520" t="s">
        <v>663</v>
      </c>
      <c r="D177" s="522">
        <f>IF(D163&gt;$H$10,0,PPMT($H$6,D163,$H$10,$B$168))</f>
        <v>0</v>
      </c>
      <c r="E177" s="522">
        <f t="shared" ref="E177:M177" si="49">IF(E163&gt;$H$10,0,PPMT($H$6,E163,$H$10,$B$168))</f>
        <v>0</v>
      </c>
      <c r="F177" s="522">
        <f t="shared" si="49"/>
        <v>0</v>
      </c>
      <c r="G177" s="522">
        <f t="shared" si="49"/>
        <v>0</v>
      </c>
      <c r="H177" s="522">
        <f t="shared" si="49"/>
        <v>0</v>
      </c>
      <c r="I177" s="522">
        <f t="shared" si="49"/>
        <v>0</v>
      </c>
      <c r="J177" s="522">
        <f t="shared" si="49"/>
        <v>0</v>
      </c>
      <c r="K177" s="522">
        <f t="shared" si="49"/>
        <v>0</v>
      </c>
      <c r="L177" s="522">
        <f t="shared" si="49"/>
        <v>0</v>
      </c>
      <c r="M177" s="522">
        <f t="shared" si="49"/>
        <v>0</v>
      </c>
      <c r="N177" s="504">
        <f t="shared" si="47"/>
        <v>0</v>
      </c>
      <c r="O177" s="482"/>
    </row>
    <row r="179" spans="2:15" ht="14" thickBot="1" x14ac:dyDescent="0.2"/>
    <row r="180" spans="2:15" ht="14" thickBot="1" x14ac:dyDescent="0.2">
      <c r="B180" s="481" t="s">
        <v>421</v>
      </c>
      <c r="C180" s="178"/>
      <c r="D180" s="483" t="s">
        <v>133</v>
      </c>
      <c r="E180" s="483" t="s">
        <v>133</v>
      </c>
      <c r="F180" s="483" t="s">
        <v>133</v>
      </c>
      <c r="G180" s="483" t="s">
        <v>133</v>
      </c>
      <c r="H180" s="483" t="s">
        <v>133</v>
      </c>
      <c r="I180" s="483" t="s">
        <v>133</v>
      </c>
      <c r="J180" s="483" t="s">
        <v>133</v>
      </c>
      <c r="K180" s="483" t="s">
        <v>133</v>
      </c>
      <c r="L180" s="483" t="s">
        <v>133</v>
      </c>
      <c r="M180" s="483" t="s">
        <v>133</v>
      </c>
      <c r="N180" s="178"/>
      <c r="O180" s="499" t="str">
        <f>B180</f>
        <v>+20%</v>
      </c>
    </row>
    <row r="181" spans="2:15" x14ac:dyDescent="0.15">
      <c r="B181" s="426"/>
      <c r="C181" s="4" t="s">
        <v>660</v>
      </c>
      <c r="D181" s="4">
        <v>1</v>
      </c>
      <c r="E181" s="4">
        <f>D181+1</f>
        <v>2</v>
      </c>
      <c r="F181" s="4">
        <f>E181+1</f>
        <v>3</v>
      </c>
      <c r="G181" s="4">
        <f t="shared" ref="G181:M181" si="50">F181+1</f>
        <v>4</v>
      </c>
      <c r="H181" s="4">
        <f t="shared" si="50"/>
        <v>5</v>
      </c>
      <c r="I181" s="4">
        <f t="shared" si="50"/>
        <v>6</v>
      </c>
      <c r="J181" s="4">
        <f t="shared" si="50"/>
        <v>7</v>
      </c>
      <c r="K181" s="4">
        <f t="shared" si="50"/>
        <v>8</v>
      </c>
      <c r="L181" s="4">
        <f t="shared" si="50"/>
        <v>9</v>
      </c>
      <c r="M181" s="4">
        <f t="shared" si="50"/>
        <v>10</v>
      </c>
      <c r="N181" t="s">
        <v>285</v>
      </c>
      <c r="O181" s="479"/>
    </row>
    <row r="182" spans="2:15" x14ac:dyDescent="0.15">
      <c r="B182" s="202" t="s">
        <v>661</v>
      </c>
      <c r="C182" s="4">
        <v>1</v>
      </c>
      <c r="D182" s="2">
        <f t="shared" ref="D182:M193" si="51">IF(ISNUMBER(IPMT($H$6/12,((D$19-1)*12)+$C182,$H$10*12,$C$14)),IPMT($H$6/12,((D$19-1)*12)+$C182,$H$10*12,$C$14),0)</f>
        <v>0</v>
      </c>
      <c r="E182" s="2">
        <f t="shared" si="51"/>
        <v>0</v>
      </c>
      <c r="F182" s="2">
        <f t="shared" si="51"/>
        <v>0</v>
      </c>
      <c r="G182" s="2">
        <f t="shared" si="51"/>
        <v>0</v>
      </c>
      <c r="H182" s="2">
        <f t="shared" si="51"/>
        <v>0</v>
      </c>
      <c r="I182" s="2">
        <f t="shared" si="51"/>
        <v>0</v>
      </c>
      <c r="J182" s="2">
        <f t="shared" si="51"/>
        <v>0</v>
      </c>
      <c r="K182" s="2">
        <f t="shared" si="51"/>
        <v>0</v>
      </c>
      <c r="L182" s="2">
        <f t="shared" si="51"/>
        <v>0</v>
      </c>
      <c r="M182" s="2">
        <f t="shared" si="51"/>
        <v>0</v>
      </c>
      <c r="N182" s="2">
        <f>SUM(C182:M182)</f>
        <v>1</v>
      </c>
      <c r="O182" s="480"/>
    </row>
    <row r="183" spans="2:15" x14ac:dyDescent="0.15">
      <c r="B183" s="511">
        <f>-PMT($H$6/12,$H$10*12,C14)</f>
        <v>0</v>
      </c>
      <c r="C183" s="4">
        <v>2</v>
      </c>
      <c r="D183" s="2">
        <f t="shared" si="51"/>
        <v>0</v>
      </c>
      <c r="E183" s="2">
        <f t="shared" si="51"/>
        <v>0</v>
      </c>
      <c r="F183" s="2">
        <f t="shared" si="51"/>
        <v>0</v>
      </c>
      <c r="G183" s="2">
        <f t="shared" si="51"/>
        <v>0</v>
      </c>
      <c r="H183" s="2">
        <f t="shared" si="51"/>
        <v>0</v>
      </c>
      <c r="I183" s="2">
        <f t="shared" si="51"/>
        <v>0</v>
      </c>
      <c r="J183" s="2">
        <f t="shared" si="51"/>
        <v>0</v>
      </c>
      <c r="K183" s="2">
        <f t="shared" si="51"/>
        <v>0</v>
      </c>
      <c r="L183" s="2">
        <f t="shared" si="51"/>
        <v>0</v>
      </c>
      <c r="M183" s="2">
        <f t="shared" si="51"/>
        <v>0</v>
      </c>
      <c r="N183" s="2">
        <f t="shared" ref="N183:N195" si="52">SUM(C183:M183)</f>
        <v>2</v>
      </c>
      <c r="O183" s="480"/>
    </row>
    <row r="184" spans="2:15" x14ac:dyDescent="0.15">
      <c r="B184" s="540">
        <f>B183*12</f>
        <v>0</v>
      </c>
      <c r="C184" s="4">
        <v>3</v>
      </c>
      <c r="D184" s="2">
        <f t="shared" si="51"/>
        <v>0</v>
      </c>
      <c r="E184" s="2">
        <f t="shared" si="51"/>
        <v>0</v>
      </c>
      <c r="F184" s="2">
        <f t="shared" si="51"/>
        <v>0</v>
      </c>
      <c r="G184" s="2">
        <f t="shared" si="51"/>
        <v>0</v>
      </c>
      <c r="H184" s="2">
        <f t="shared" si="51"/>
        <v>0</v>
      </c>
      <c r="I184" s="2">
        <f t="shared" si="51"/>
        <v>0</v>
      </c>
      <c r="J184" s="2">
        <f t="shared" si="51"/>
        <v>0</v>
      </c>
      <c r="K184" s="2">
        <f t="shared" si="51"/>
        <v>0</v>
      </c>
      <c r="L184" s="2">
        <f t="shared" si="51"/>
        <v>0</v>
      </c>
      <c r="M184" s="2">
        <f t="shared" si="51"/>
        <v>0</v>
      </c>
      <c r="N184" s="2">
        <f t="shared" si="52"/>
        <v>3</v>
      </c>
      <c r="O184" s="480"/>
    </row>
    <row r="185" spans="2:15" x14ac:dyDescent="0.15">
      <c r="B185" s="202" t="s">
        <v>662</v>
      </c>
      <c r="C185" s="4">
        <v>4</v>
      </c>
      <c r="D185" s="2">
        <f t="shared" si="51"/>
        <v>0</v>
      </c>
      <c r="E185" s="2">
        <f t="shared" si="51"/>
        <v>0</v>
      </c>
      <c r="F185" s="2">
        <f t="shared" si="51"/>
        <v>0</v>
      </c>
      <c r="G185" s="2">
        <f t="shared" si="51"/>
        <v>0</v>
      </c>
      <c r="H185" s="2">
        <f t="shared" si="51"/>
        <v>0</v>
      </c>
      <c r="I185" s="2">
        <f t="shared" si="51"/>
        <v>0</v>
      </c>
      <c r="J185" s="2">
        <f t="shared" si="51"/>
        <v>0</v>
      </c>
      <c r="K185" s="2">
        <f t="shared" si="51"/>
        <v>0</v>
      </c>
      <c r="L185" s="2">
        <f t="shared" si="51"/>
        <v>0</v>
      </c>
      <c r="M185" s="2">
        <f t="shared" si="51"/>
        <v>0</v>
      </c>
      <c r="N185" s="2">
        <f t="shared" si="52"/>
        <v>4</v>
      </c>
      <c r="O185" s="480"/>
    </row>
    <row r="186" spans="2:15" x14ac:dyDescent="0.15">
      <c r="B186" s="521">
        <f>C14</f>
        <v>0</v>
      </c>
      <c r="C186" s="4">
        <v>5</v>
      </c>
      <c r="D186" s="2">
        <f t="shared" si="51"/>
        <v>0</v>
      </c>
      <c r="E186" s="2">
        <f t="shared" si="51"/>
        <v>0</v>
      </c>
      <c r="F186" s="2">
        <f t="shared" si="51"/>
        <v>0</v>
      </c>
      <c r="G186" s="2">
        <f t="shared" si="51"/>
        <v>0</v>
      </c>
      <c r="H186" s="2">
        <f t="shared" si="51"/>
        <v>0</v>
      </c>
      <c r="I186" s="2">
        <f t="shared" si="51"/>
        <v>0</v>
      </c>
      <c r="J186" s="2">
        <f t="shared" si="51"/>
        <v>0</v>
      </c>
      <c r="K186" s="2">
        <f t="shared" si="51"/>
        <v>0</v>
      </c>
      <c r="L186" s="2">
        <f t="shared" si="51"/>
        <v>0</v>
      </c>
      <c r="M186" s="2">
        <f t="shared" si="51"/>
        <v>0</v>
      </c>
      <c r="N186" s="2">
        <f t="shared" si="52"/>
        <v>5</v>
      </c>
      <c r="O186" s="480"/>
    </row>
    <row r="187" spans="2:15" x14ac:dyDescent="0.15">
      <c r="B187" s="202"/>
      <c r="C187" s="4">
        <v>6</v>
      </c>
      <c r="D187" s="2">
        <f t="shared" si="51"/>
        <v>0</v>
      </c>
      <c r="E187" s="2">
        <f t="shared" si="51"/>
        <v>0</v>
      </c>
      <c r="F187" s="2">
        <f t="shared" si="51"/>
        <v>0</v>
      </c>
      <c r="G187" s="2">
        <f t="shared" si="51"/>
        <v>0</v>
      </c>
      <c r="H187" s="2">
        <f t="shared" si="51"/>
        <v>0</v>
      </c>
      <c r="I187" s="2">
        <f t="shared" si="51"/>
        <v>0</v>
      </c>
      <c r="J187" s="2">
        <f t="shared" si="51"/>
        <v>0</v>
      </c>
      <c r="K187" s="2">
        <f t="shared" si="51"/>
        <v>0</v>
      </c>
      <c r="L187" s="2">
        <f t="shared" si="51"/>
        <v>0</v>
      </c>
      <c r="M187" s="2">
        <f t="shared" si="51"/>
        <v>0</v>
      </c>
      <c r="N187" s="2">
        <f t="shared" si="52"/>
        <v>6</v>
      </c>
      <c r="O187" s="480"/>
    </row>
    <row r="188" spans="2:15" x14ac:dyDescent="0.15">
      <c r="B188" s="202"/>
      <c r="C188" s="4">
        <v>7</v>
      </c>
      <c r="D188" s="2">
        <f t="shared" si="51"/>
        <v>0</v>
      </c>
      <c r="E188" s="2">
        <f t="shared" si="51"/>
        <v>0</v>
      </c>
      <c r="F188" s="2">
        <f t="shared" si="51"/>
        <v>0</v>
      </c>
      <c r="G188" s="2">
        <f t="shared" si="51"/>
        <v>0</v>
      </c>
      <c r="H188" s="2">
        <f t="shared" si="51"/>
        <v>0</v>
      </c>
      <c r="I188" s="2">
        <f t="shared" si="51"/>
        <v>0</v>
      </c>
      <c r="J188" s="2">
        <f t="shared" si="51"/>
        <v>0</v>
      </c>
      <c r="K188" s="2">
        <f t="shared" si="51"/>
        <v>0</v>
      </c>
      <c r="L188" s="2">
        <f t="shared" si="51"/>
        <v>0</v>
      </c>
      <c r="M188" s="2">
        <f t="shared" si="51"/>
        <v>0</v>
      </c>
      <c r="N188" s="2">
        <f t="shared" si="52"/>
        <v>7</v>
      </c>
      <c r="O188" s="480"/>
    </row>
    <row r="189" spans="2:15" x14ac:dyDescent="0.15">
      <c r="B189" s="202"/>
      <c r="C189" s="4">
        <v>8</v>
      </c>
      <c r="D189" s="2">
        <f t="shared" si="51"/>
        <v>0</v>
      </c>
      <c r="E189" s="2">
        <f t="shared" si="51"/>
        <v>0</v>
      </c>
      <c r="F189" s="2">
        <f t="shared" si="51"/>
        <v>0</v>
      </c>
      <c r="G189" s="2">
        <f t="shared" si="51"/>
        <v>0</v>
      </c>
      <c r="H189" s="2">
        <f t="shared" si="51"/>
        <v>0</v>
      </c>
      <c r="I189" s="2">
        <f t="shared" si="51"/>
        <v>0</v>
      </c>
      <c r="J189" s="2">
        <f t="shared" si="51"/>
        <v>0</v>
      </c>
      <c r="K189" s="2">
        <f t="shared" si="51"/>
        <v>0</v>
      </c>
      <c r="L189" s="2">
        <f t="shared" si="51"/>
        <v>0</v>
      </c>
      <c r="M189" s="2">
        <f t="shared" si="51"/>
        <v>0</v>
      </c>
      <c r="N189" s="2">
        <f t="shared" si="52"/>
        <v>8</v>
      </c>
      <c r="O189" s="480"/>
    </row>
    <row r="190" spans="2:15" x14ac:dyDescent="0.15">
      <c r="B190" s="202"/>
      <c r="C190" s="4">
        <v>9</v>
      </c>
      <c r="D190" s="2">
        <f t="shared" si="51"/>
        <v>0</v>
      </c>
      <c r="E190" s="2">
        <f t="shared" si="51"/>
        <v>0</v>
      </c>
      <c r="F190" s="2">
        <f t="shared" si="51"/>
        <v>0</v>
      </c>
      <c r="G190" s="2">
        <f t="shared" si="51"/>
        <v>0</v>
      </c>
      <c r="H190" s="2">
        <f t="shared" si="51"/>
        <v>0</v>
      </c>
      <c r="I190" s="2">
        <f t="shared" si="51"/>
        <v>0</v>
      </c>
      <c r="J190" s="2">
        <f t="shared" si="51"/>
        <v>0</v>
      </c>
      <c r="K190" s="2">
        <f t="shared" si="51"/>
        <v>0</v>
      </c>
      <c r="L190" s="2">
        <f t="shared" si="51"/>
        <v>0</v>
      </c>
      <c r="M190" s="2">
        <f t="shared" si="51"/>
        <v>0</v>
      </c>
      <c r="N190" s="2">
        <f t="shared" si="52"/>
        <v>9</v>
      </c>
      <c r="O190" s="480"/>
    </row>
    <row r="191" spans="2:15" x14ac:dyDescent="0.15">
      <c r="B191" s="202"/>
      <c r="C191" s="4">
        <v>10</v>
      </c>
      <c r="D191" s="2">
        <f t="shared" si="51"/>
        <v>0</v>
      </c>
      <c r="E191" s="2">
        <f t="shared" si="51"/>
        <v>0</v>
      </c>
      <c r="F191" s="2">
        <f t="shared" si="51"/>
        <v>0</v>
      </c>
      <c r="G191" s="2">
        <f t="shared" si="51"/>
        <v>0</v>
      </c>
      <c r="H191" s="2">
        <f t="shared" si="51"/>
        <v>0</v>
      </c>
      <c r="I191" s="2">
        <f t="shared" si="51"/>
        <v>0</v>
      </c>
      <c r="J191" s="2">
        <f t="shared" si="51"/>
        <v>0</v>
      </c>
      <c r="K191" s="2">
        <f t="shared" si="51"/>
        <v>0</v>
      </c>
      <c r="L191" s="2">
        <f t="shared" si="51"/>
        <v>0</v>
      </c>
      <c r="M191" s="2">
        <f t="shared" si="51"/>
        <v>0</v>
      </c>
      <c r="N191" s="2">
        <f t="shared" si="52"/>
        <v>10</v>
      </c>
      <c r="O191" s="480"/>
    </row>
    <row r="192" spans="2:15" x14ac:dyDescent="0.15">
      <c r="B192" s="202"/>
      <c r="C192" s="4">
        <v>11</v>
      </c>
      <c r="D192" s="2">
        <f t="shared" si="51"/>
        <v>0</v>
      </c>
      <c r="E192" s="2">
        <f t="shared" si="51"/>
        <v>0</v>
      </c>
      <c r="F192" s="2">
        <f t="shared" si="51"/>
        <v>0</v>
      </c>
      <c r="G192" s="2">
        <f t="shared" si="51"/>
        <v>0</v>
      </c>
      <c r="H192" s="2">
        <f t="shared" si="51"/>
        <v>0</v>
      </c>
      <c r="I192" s="2">
        <f t="shared" si="51"/>
        <v>0</v>
      </c>
      <c r="J192" s="2">
        <f t="shared" si="51"/>
        <v>0</v>
      </c>
      <c r="K192" s="2">
        <f t="shared" si="51"/>
        <v>0</v>
      </c>
      <c r="L192" s="2">
        <f t="shared" si="51"/>
        <v>0</v>
      </c>
      <c r="M192" s="2">
        <f t="shared" si="51"/>
        <v>0</v>
      </c>
      <c r="N192" s="2">
        <f t="shared" si="52"/>
        <v>11</v>
      </c>
      <c r="O192" s="480"/>
    </row>
    <row r="193" spans="2:15" ht="14" thickBot="1" x14ac:dyDescent="0.2">
      <c r="B193" s="202"/>
      <c r="C193" s="4">
        <v>12</v>
      </c>
      <c r="D193" s="2">
        <f t="shared" si="51"/>
        <v>0</v>
      </c>
      <c r="E193" s="2">
        <f t="shared" si="51"/>
        <v>0</v>
      </c>
      <c r="F193" s="2">
        <f t="shared" si="51"/>
        <v>0</v>
      </c>
      <c r="G193" s="2">
        <f t="shared" si="51"/>
        <v>0</v>
      </c>
      <c r="H193" s="2">
        <f t="shared" si="51"/>
        <v>0</v>
      </c>
      <c r="I193" s="2">
        <f t="shared" si="51"/>
        <v>0</v>
      </c>
      <c r="J193" s="2">
        <f t="shared" si="51"/>
        <v>0</v>
      </c>
      <c r="K193" s="2">
        <f t="shared" si="51"/>
        <v>0</v>
      </c>
      <c r="L193" s="2">
        <f t="shared" si="51"/>
        <v>0</v>
      </c>
      <c r="M193" s="2">
        <f t="shared" si="51"/>
        <v>0</v>
      </c>
      <c r="N193" s="2">
        <f t="shared" si="52"/>
        <v>12</v>
      </c>
      <c r="O193" s="480"/>
    </row>
    <row r="194" spans="2:15" ht="14" thickBot="1" x14ac:dyDescent="0.2">
      <c r="B194" s="541" t="s">
        <v>45</v>
      </c>
      <c r="C194" s="502" t="s">
        <v>273</v>
      </c>
      <c r="D194" s="503">
        <f>IF(D181&gt;$H$10,0,IPMT($H$6,D181,$H$10,$B$186))</f>
        <v>0</v>
      </c>
      <c r="E194" s="503">
        <f t="shared" ref="E194:M194" si="53">IF(E181&gt;$H$10,0,IPMT($H$6,E181,$H$10,$B$186))</f>
        <v>0</v>
      </c>
      <c r="F194" s="503">
        <f t="shared" si="53"/>
        <v>0</v>
      </c>
      <c r="G194" s="503">
        <f t="shared" si="53"/>
        <v>0</v>
      </c>
      <c r="H194" s="503">
        <f t="shared" si="53"/>
        <v>0</v>
      </c>
      <c r="I194" s="503">
        <f t="shared" si="53"/>
        <v>0</v>
      </c>
      <c r="J194" s="503">
        <f t="shared" si="53"/>
        <v>0</v>
      </c>
      <c r="K194" s="503">
        <f t="shared" si="53"/>
        <v>0</v>
      </c>
      <c r="L194" s="503">
        <f t="shared" si="53"/>
        <v>0</v>
      </c>
      <c r="M194" s="503">
        <f t="shared" si="53"/>
        <v>0</v>
      </c>
      <c r="N194" s="504">
        <f t="shared" si="52"/>
        <v>0</v>
      </c>
      <c r="O194" s="480"/>
    </row>
    <row r="195" spans="2:15" ht="14" thickBot="1" x14ac:dyDescent="0.2">
      <c r="B195" s="478"/>
      <c r="C195" s="520" t="s">
        <v>663</v>
      </c>
      <c r="D195" s="522">
        <f>IF(D181&gt;$H$10,0,PPMT($H$6,D181,$H$10,$B$186))</f>
        <v>0</v>
      </c>
      <c r="E195" s="522">
        <f t="shared" ref="E195:M195" si="54">IF(E181&gt;$H$10,0,PPMT($H$6,E181,$H$10,$B$186))</f>
        <v>0</v>
      </c>
      <c r="F195" s="522">
        <f t="shared" si="54"/>
        <v>0</v>
      </c>
      <c r="G195" s="522">
        <f t="shared" si="54"/>
        <v>0</v>
      </c>
      <c r="H195" s="522">
        <f t="shared" si="54"/>
        <v>0</v>
      </c>
      <c r="I195" s="522">
        <f t="shared" si="54"/>
        <v>0</v>
      </c>
      <c r="J195" s="522">
        <f t="shared" si="54"/>
        <v>0</v>
      </c>
      <c r="K195" s="522">
        <f t="shared" si="54"/>
        <v>0</v>
      </c>
      <c r="L195" s="522">
        <f t="shared" si="54"/>
        <v>0</v>
      </c>
      <c r="M195" s="522">
        <f t="shared" si="54"/>
        <v>0</v>
      </c>
      <c r="N195" s="504">
        <f t="shared" si="52"/>
        <v>0</v>
      </c>
      <c r="O195" s="482"/>
    </row>
    <row r="197" spans="2:15" ht="14" thickBot="1" x14ac:dyDescent="0.2"/>
    <row r="198" spans="2:15" ht="14" thickBot="1" x14ac:dyDescent="0.2">
      <c r="B198" s="495" t="s">
        <v>422</v>
      </c>
      <c r="C198" s="178"/>
      <c r="D198" s="483" t="s">
        <v>133</v>
      </c>
      <c r="E198" s="483" t="s">
        <v>133</v>
      </c>
      <c r="F198" s="483" t="s">
        <v>133</v>
      </c>
      <c r="G198" s="483" t="s">
        <v>133</v>
      </c>
      <c r="H198" s="483" t="s">
        <v>133</v>
      </c>
      <c r="I198" s="483" t="s">
        <v>133</v>
      </c>
      <c r="J198" s="483" t="s">
        <v>133</v>
      </c>
      <c r="K198" s="483" t="s">
        <v>133</v>
      </c>
      <c r="L198" s="483" t="s">
        <v>133</v>
      </c>
      <c r="M198" s="483" t="s">
        <v>133</v>
      </c>
      <c r="N198" s="178"/>
      <c r="O198" s="499" t="str">
        <f>B198</f>
        <v>+25%</v>
      </c>
    </row>
    <row r="199" spans="2:15" x14ac:dyDescent="0.15">
      <c r="B199" s="426"/>
      <c r="C199" s="4" t="s">
        <v>660</v>
      </c>
      <c r="D199" s="4">
        <v>1</v>
      </c>
      <c r="E199" s="4">
        <f>D199+1</f>
        <v>2</v>
      </c>
      <c r="F199" s="4">
        <f>E199+1</f>
        <v>3</v>
      </c>
      <c r="G199" s="4">
        <f t="shared" ref="G199:M199" si="55">F199+1</f>
        <v>4</v>
      </c>
      <c r="H199" s="4">
        <f t="shared" si="55"/>
        <v>5</v>
      </c>
      <c r="I199" s="4">
        <f t="shared" si="55"/>
        <v>6</v>
      </c>
      <c r="J199" s="4">
        <f t="shared" si="55"/>
        <v>7</v>
      </c>
      <c r="K199" s="4">
        <f t="shared" si="55"/>
        <v>8</v>
      </c>
      <c r="L199" s="4">
        <f t="shared" si="55"/>
        <v>9</v>
      </c>
      <c r="M199" s="4">
        <f t="shared" si="55"/>
        <v>10</v>
      </c>
      <c r="N199" t="s">
        <v>285</v>
      </c>
      <c r="O199" s="479"/>
    </row>
    <row r="200" spans="2:15" x14ac:dyDescent="0.15">
      <c r="B200" s="202" t="s">
        <v>661</v>
      </c>
      <c r="C200" s="4">
        <v>1</v>
      </c>
      <c r="D200" s="2">
        <f t="shared" ref="D200:M211" si="56">IF(ISNUMBER(IPMT($H$6/12,((D$19-1)*12)+$C200,$H$10*12,$C$15)),IPMT($H$6/12,((D$19-1)*12)+$C200,$H$10*12,$C$15),0)</f>
        <v>0</v>
      </c>
      <c r="E200" s="2">
        <f t="shared" si="56"/>
        <v>0</v>
      </c>
      <c r="F200" s="2">
        <f t="shared" si="56"/>
        <v>0</v>
      </c>
      <c r="G200" s="2">
        <f t="shared" si="56"/>
        <v>0</v>
      </c>
      <c r="H200" s="2">
        <f t="shared" si="56"/>
        <v>0</v>
      </c>
      <c r="I200" s="2">
        <f t="shared" si="56"/>
        <v>0</v>
      </c>
      <c r="J200" s="2">
        <f t="shared" si="56"/>
        <v>0</v>
      </c>
      <c r="K200" s="2">
        <f t="shared" si="56"/>
        <v>0</v>
      </c>
      <c r="L200" s="2">
        <f t="shared" si="56"/>
        <v>0</v>
      </c>
      <c r="M200" s="2">
        <f t="shared" si="56"/>
        <v>0</v>
      </c>
      <c r="N200" s="2">
        <f>SUM(C200:M200)</f>
        <v>1</v>
      </c>
      <c r="O200" s="480"/>
    </row>
    <row r="201" spans="2:15" x14ac:dyDescent="0.15">
      <c r="B201" s="511">
        <f>-PMT($H$6/12,$H$10*12,C15)</f>
        <v>0</v>
      </c>
      <c r="C201" s="4">
        <v>2</v>
      </c>
      <c r="D201" s="2">
        <f t="shared" si="56"/>
        <v>0</v>
      </c>
      <c r="E201" s="2">
        <f t="shared" si="56"/>
        <v>0</v>
      </c>
      <c r="F201" s="2">
        <f t="shared" si="56"/>
        <v>0</v>
      </c>
      <c r="G201" s="2">
        <f t="shared" si="56"/>
        <v>0</v>
      </c>
      <c r="H201" s="2">
        <f t="shared" si="56"/>
        <v>0</v>
      </c>
      <c r="I201" s="2">
        <f t="shared" si="56"/>
        <v>0</v>
      </c>
      <c r="J201" s="2">
        <f t="shared" si="56"/>
        <v>0</v>
      </c>
      <c r="K201" s="2">
        <f t="shared" si="56"/>
        <v>0</v>
      </c>
      <c r="L201" s="2">
        <f t="shared" si="56"/>
        <v>0</v>
      </c>
      <c r="M201" s="2">
        <f t="shared" si="56"/>
        <v>0</v>
      </c>
      <c r="N201" s="2">
        <f t="shared" ref="N201:N213" si="57">SUM(C201:M201)</f>
        <v>2</v>
      </c>
      <c r="O201" s="480"/>
    </row>
    <row r="202" spans="2:15" x14ac:dyDescent="0.15">
      <c r="B202" s="540">
        <f>B201*12</f>
        <v>0</v>
      </c>
      <c r="C202" s="4">
        <v>3</v>
      </c>
      <c r="D202" s="2">
        <f t="shared" si="56"/>
        <v>0</v>
      </c>
      <c r="E202" s="2">
        <f t="shared" si="56"/>
        <v>0</v>
      </c>
      <c r="F202" s="2">
        <f t="shared" si="56"/>
        <v>0</v>
      </c>
      <c r="G202" s="2">
        <f t="shared" si="56"/>
        <v>0</v>
      </c>
      <c r="H202" s="2">
        <f t="shared" si="56"/>
        <v>0</v>
      </c>
      <c r="I202" s="2">
        <f t="shared" si="56"/>
        <v>0</v>
      </c>
      <c r="J202" s="2">
        <f t="shared" si="56"/>
        <v>0</v>
      </c>
      <c r="K202" s="2">
        <f t="shared" si="56"/>
        <v>0</v>
      </c>
      <c r="L202" s="2">
        <f t="shared" si="56"/>
        <v>0</v>
      </c>
      <c r="M202" s="2">
        <f t="shared" si="56"/>
        <v>0</v>
      </c>
      <c r="N202" s="2">
        <f t="shared" si="57"/>
        <v>3</v>
      </c>
      <c r="O202" s="480"/>
    </row>
    <row r="203" spans="2:15" x14ac:dyDescent="0.15">
      <c r="B203" s="202" t="s">
        <v>662</v>
      </c>
      <c r="C203" s="4">
        <v>4</v>
      </c>
      <c r="D203" s="2">
        <f t="shared" si="56"/>
        <v>0</v>
      </c>
      <c r="E203" s="2">
        <f t="shared" si="56"/>
        <v>0</v>
      </c>
      <c r="F203" s="2">
        <f t="shared" si="56"/>
        <v>0</v>
      </c>
      <c r="G203" s="2">
        <f t="shared" si="56"/>
        <v>0</v>
      </c>
      <c r="H203" s="2">
        <f t="shared" si="56"/>
        <v>0</v>
      </c>
      <c r="I203" s="2">
        <f t="shared" si="56"/>
        <v>0</v>
      </c>
      <c r="J203" s="2">
        <f t="shared" si="56"/>
        <v>0</v>
      </c>
      <c r="K203" s="2">
        <f t="shared" si="56"/>
        <v>0</v>
      </c>
      <c r="L203" s="2">
        <f t="shared" si="56"/>
        <v>0</v>
      </c>
      <c r="M203" s="2">
        <f t="shared" si="56"/>
        <v>0</v>
      </c>
      <c r="N203" s="2">
        <f t="shared" si="57"/>
        <v>4</v>
      </c>
      <c r="O203" s="480"/>
    </row>
    <row r="204" spans="2:15" x14ac:dyDescent="0.15">
      <c r="B204" s="521">
        <f>C15</f>
        <v>0</v>
      </c>
      <c r="C204" s="4">
        <v>5</v>
      </c>
      <c r="D204" s="2">
        <f t="shared" si="56"/>
        <v>0</v>
      </c>
      <c r="E204" s="2">
        <f t="shared" si="56"/>
        <v>0</v>
      </c>
      <c r="F204" s="2">
        <f t="shared" si="56"/>
        <v>0</v>
      </c>
      <c r="G204" s="2">
        <f t="shared" si="56"/>
        <v>0</v>
      </c>
      <c r="H204" s="2">
        <f t="shared" si="56"/>
        <v>0</v>
      </c>
      <c r="I204" s="2">
        <f t="shared" si="56"/>
        <v>0</v>
      </c>
      <c r="J204" s="2">
        <f t="shared" si="56"/>
        <v>0</v>
      </c>
      <c r="K204" s="2">
        <f t="shared" si="56"/>
        <v>0</v>
      </c>
      <c r="L204" s="2">
        <f t="shared" si="56"/>
        <v>0</v>
      </c>
      <c r="M204" s="2">
        <f t="shared" si="56"/>
        <v>0</v>
      </c>
      <c r="N204" s="2">
        <f t="shared" si="57"/>
        <v>5</v>
      </c>
      <c r="O204" s="480"/>
    </row>
    <row r="205" spans="2:15" x14ac:dyDescent="0.15">
      <c r="B205" s="202"/>
      <c r="C205" s="4">
        <v>6</v>
      </c>
      <c r="D205" s="2">
        <f t="shared" si="56"/>
        <v>0</v>
      </c>
      <c r="E205" s="2">
        <f t="shared" si="56"/>
        <v>0</v>
      </c>
      <c r="F205" s="2">
        <f t="shared" si="56"/>
        <v>0</v>
      </c>
      <c r="G205" s="2">
        <f t="shared" si="56"/>
        <v>0</v>
      </c>
      <c r="H205" s="2">
        <f t="shared" si="56"/>
        <v>0</v>
      </c>
      <c r="I205" s="2">
        <f t="shared" si="56"/>
        <v>0</v>
      </c>
      <c r="J205" s="2">
        <f t="shared" si="56"/>
        <v>0</v>
      </c>
      <c r="K205" s="2">
        <f t="shared" si="56"/>
        <v>0</v>
      </c>
      <c r="L205" s="2">
        <f t="shared" si="56"/>
        <v>0</v>
      </c>
      <c r="M205" s="2">
        <f t="shared" si="56"/>
        <v>0</v>
      </c>
      <c r="N205" s="2">
        <f t="shared" si="57"/>
        <v>6</v>
      </c>
      <c r="O205" s="480"/>
    </row>
    <row r="206" spans="2:15" x14ac:dyDescent="0.15">
      <c r="B206" s="202"/>
      <c r="C206" s="4">
        <v>7</v>
      </c>
      <c r="D206" s="2">
        <f t="shared" si="56"/>
        <v>0</v>
      </c>
      <c r="E206" s="2">
        <f t="shared" si="56"/>
        <v>0</v>
      </c>
      <c r="F206" s="2">
        <f t="shared" si="56"/>
        <v>0</v>
      </c>
      <c r="G206" s="2">
        <f t="shared" si="56"/>
        <v>0</v>
      </c>
      <c r="H206" s="2">
        <f t="shared" si="56"/>
        <v>0</v>
      </c>
      <c r="I206" s="2">
        <f t="shared" si="56"/>
        <v>0</v>
      </c>
      <c r="J206" s="2">
        <f t="shared" si="56"/>
        <v>0</v>
      </c>
      <c r="K206" s="2">
        <f t="shared" si="56"/>
        <v>0</v>
      </c>
      <c r="L206" s="2">
        <f t="shared" si="56"/>
        <v>0</v>
      </c>
      <c r="M206" s="2">
        <f t="shared" si="56"/>
        <v>0</v>
      </c>
      <c r="N206" s="2">
        <f t="shared" si="57"/>
        <v>7</v>
      </c>
      <c r="O206" s="480"/>
    </row>
    <row r="207" spans="2:15" x14ac:dyDescent="0.15">
      <c r="B207" s="202"/>
      <c r="C207" s="4">
        <v>8</v>
      </c>
      <c r="D207" s="2">
        <f t="shared" si="56"/>
        <v>0</v>
      </c>
      <c r="E207" s="2">
        <f t="shared" si="56"/>
        <v>0</v>
      </c>
      <c r="F207" s="2">
        <f t="shared" si="56"/>
        <v>0</v>
      </c>
      <c r="G207" s="2">
        <f t="shared" si="56"/>
        <v>0</v>
      </c>
      <c r="H207" s="2">
        <f t="shared" si="56"/>
        <v>0</v>
      </c>
      <c r="I207" s="2">
        <f t="shared" si="56"/>
        <v>0</v>
      </c>
      <c r="J207" s="2">
        <f t="shared" si="56"/>
        <v>0</v>
      </c>
      <c r="K207" s="2">
        <f t="shared" si="56"/>
        <v>0</v>
      </c>
      <c r="L207" s="2">
        <f t="shared" si="56"/>
        <v>0</v>
      </c>
      <c r="M207" s="2">
        <f t="shared" si="56"/>
        <v>0</v>
      </c>
      <c r="N207" s="2">
        <f t="shared" si="57"/>
        <v>8</v>
      </c>
      <c r="O207" s="480"/>
    </row>
    <row r="208" spans="2:15" x14ac:dyDescent="0.15">
      <c r="B208" s="202"/>
      <c r="C208" s="4">
        <v>9</v>
      </c>
      <c r="D208" s="2">
        <f t="shared" si="56"/>
        <v>0</v>
      </c>
      <c r="E208" s="2">
        <f t="shared" si="56"/>
        <v>0</v>
      </c>
      <c r="F208" s="2">
        <f t="shared" si="56"/>
        <v>0</v>
      </c>
      <c r="G208" s="2">
        <f t="shared" si="56"/>
        <v>0</v>
      </c>
      <c r="H208" s="2">
        <f t="shared" si="56"/>
        <v>0</v>
      </c>
      <c r="I208" s="2">
        <f t="shared" si="56"/>
        <v>0</v>
      </c>
      <c r="J208" s="2">
        <f t="shared" si="56"/>
        <v>0</v>
      </c>
      <c r="K208" s="2">
        <f t="shared" si="56"/>
        <v>0</v>
      </c>
      <c r="L208" s="2">
        <f t="shared" si="56"/>
        <v>0</v>
      </c>
      <c r="M208" s="2">
        <f t="shared" si="56"/>
        <v>0</v>
      </c>
      <c r="N208" s="2">
        <f t="shared" si="57"/>
        <v>9</v>
      </c>
      <c r="O208" s="480"/>
    </row>
    <row r="209" spans="2:15" x14ac:dyDescent="0.15">
      <c r="B209" s="202"/>
      <c r="C209" s="4">
        <v>10</v>
      </c>
      <c r="D209" s="2">
        <f t="shared" si="56"/>
        <v>0</v>
      </c>
      <c r="E209" s="2">
        <f t="shared" si="56"/>
        <v>0</v>
      </c>
      <c r="F209" s="2">
        <f t="shared" si="56"/>
        <v>0</v>
      </c>
      <c r="G209" s="2">
        <f t="shared" si="56"/>
        <v>0</v>
      </c>
      <c r="H209" s="2">
        <f t="shared" si="56"/>
        <v>0</v>
      </c>
      <c r="I209" s="2">
        <f t="shared" si="56"/>
        <v>0</v>
      </c>
      <c r="J209" s="2">
        <f t="shared" si="56"/>
        <v>0</v>
      </c>
      <c r="K209" s="2">
        <f t="shared" si="56"/>
        <v>0</v>
      </c>
      <c r="L209" s="2">
        <f t="shared" si="56"/>
        <v>0</v>
      </c>
      <c r="M209" s="2">
        <f t="shared" si="56"/>
        <v>0</v>
      </c>
      <c r="N209" s="2">
        <f t="shared" si="57"/>
        <v>10</v>
      </c>
      <c r="O209" s="480"/>
    </row>
    <row r="210" spans="2:15" x14ac:dyDescent="0.15">
      <c r="B210" s="202"/>
      <c r="C210" s="4">
        <v>11</v>
      </c>
      <c r="D210" s="2">
        <f t="shared" si="56"/>
        <v>0</v>
      </c>
      <c r="E210" s="2">
        <f t="shared" si="56"/>
        <v>0</v>
      </c>
      <c r="F210" s="2">
        <f t="shared" si="56"/>
        <v>0</v>
      </c>
      <c r="G210" s="2">
        <f t="shared" si="56"/>
        <v>0</v>
      </c>
      <c r="H210" s="2">
        <f t="shared" si="56"/>
        <v>0</v>
      </c>
      <c r="I210" s="2">
        <f t="shared" si="56"/>
        <v>0</v>
      </c>
      <c r="J210" s="2">
        <f t="shared" si="56"/>
        <v>0</v>
      </c>
      <c r="K210" s="2">
        <f t="shared" si="56"/>
        <v>0</v>
      </c>
      <c r="L210" s="2">
        <f t="shared" si="56"/>
        <v>0</v>
      </c>
      <c r="M210" s="2">
        <f t="shared" si="56"/>
        <v>0</v>
      </c>
      <c r="N210" s="2">
        <f t="shared" si="57"/>
        <v>11</v>
      </c>
      <c r="O210" s="480"/>
    </row>
    <row r="211" spans="2:15" ht="14" thickBot="1" x14ac:dyDescent="0.2">
      <c r="B211" s="202"/>
      <c r="C211" s="4">
        <v>12</v>
      </c>
      <c r="D211" s="2">
        <f t="shared" si="56"/>
        <v>0</v>
      </c>
      <c r="E211" s="2">
        <f t="shared" si="56"/>
        <v>0</v>
      </c>
      <c r="F211" s="2">
        <f t="shared" si="56"/>
        <v>0</v>
      </c>
      <c r="G211" s="2">
        <f t="shared" si="56"/>
        <v>0</v>
      </c>
      <c r="H211" s="2">
        <f t="shared" si="56"/>
        <v>0</v>
      </c>
      <c r="I211" s="2">
        <f t="shared" si="56"/>
        <v>0</v>
      </c>
      <c r="J211" s="2">
        <f t="shared" si="56"/>
        <v>0</v>
      </c>
      <c r="K211" s="2">
        <f t="shared" si="56"/>
        <v>0</v>
      </c>
      <c r="L211" s="2">
        <f t="shared" si="56"/>
        <v>0</v>
      </c>
      <c r="M211" s="2">
        <f t="shared" si="56"/>
        <v>0</v>
      </c>
      <c r="N211" s="2">
        <f t="shared" si="57"/>
        <v>12</v>
      </c>
      <c r="O211" s="480"/>
    </row>
    <row r="212" spans="2:15" ht="14" thickBot="1" x14ac:dyDescent="0.2">
      <c r="B212" s="541" t="s">
        <v>45</v>
      </c>
      <c r="C212" s="502" t="s">
        <v>273</v>
      </c>
      <c r="D212" s="503">
        <f>IF(D199&gt;$H$10,0,IPMT($H$6,D199,$H$10,$B$204))</f>
        <v>0</v>
      </c>
      <c r="E212" s="503">
        <f t="shared" ref="E212:M212" si="58">IF(E199&gt;$H$10,0,IPMT($H$6,E199,$H$10,$B$204))</f>
        <v>0</v>
      </c>
      <c r="F212" s="503">
        <f t="shared" si="58"/>
        <v>0</v>
      </c>
      <c r="G212" s="503">
        <f t="shared" si="58"/>
        <v>0</v>
      </c>
      <c r="H212" s="503">
        <f t="shared" si="58"/>
        <v>0</v>
      </c>
      <c r="I212" s="503">
        <f t="shared" si="58"/>
        <v>0</v>
      </c>
      <c r="J212" s="503">
        <f t="shared" si="58"/>
        <v>0</v>
      </c>
      <c r="K212" s="503">
        <f t="shared" si="58"/>
        <v>0</v>
      </c>
      <c r="L212" s="503">
        <f t="shared" si="58"/>
        <v>0</v>
      </c>
      <c r="M212" s="503">
        <f t="shared" si="58"/>
        <v>0</v>
      </c>
      <c r="N212" s="504">
        <f t="shared" si="57"/>
        <v>0</v>
      </c>
      <c r="O212" s="480"/>
    </row>
    <row r="213" spans="2:15" ht="14" thickBot="1" x14ac:dyDescent="0.2">
      <c r="B213" s="478"/>
      <c r="C213" s="520" t="s">
        <v>663</v>
      </c>
      <c r="D213" s="522">
        <f>IF(D199&gt;$H$10,0,PPMT($H$6,D199,$H$10,$B$204))</f>
        <v>0</v>
      </c>
      <c r="E213" s="522">
        <f t="shared" ref="E213:M213" si="59">IF(E199&gt;$H$10,0,PPMT($H$6,E199,$H$10,$B$204))</f>
        <v>0</v>
      </c>
      <c r="F213" s="522">
        <f t="shared" si="59"/>
        <v>0</v>
      </c>
      <c r="G213" s="522">
        <f t="shared" si="59"/>
        <v>0</v>
      </c>
      <c r="H213" s="522">
        <f t="shared" si="59"/>
        <v>0</v>
      </c>
      <c r="I213" s="522">
        <f t="shared" si="59"/>
        <v>0</v>
      </c>
      <c r="J213" s="522">
        <f t="shared" si="59"/>
        <v>0</v>
      </c>
      <c r="K213" s="522">
        <f t="shared" si="59"/>
        <v>0</v>
      </c>
      <c r="L213" s="522">
        <f t="shared" si="59"/>
        <v>0</v>
      </c>
      <c r="M213" s="522">
        <f t="shared" si="59"/>
        <v>0</v>
      </c>
      <c r="N213" s="504">
        <f t="shared" si="57"/>
        <v>0</v>
      </c>
      <c r="O213" s="482"/>
    </row>
    <row r="214" spans="2:15" x14ac:dyDescent="0.15">
      <c r="D214" s="2"/>
    </row>
  </sheetData>
  <sheetProtection password="AA36" sheet="1" objects="1" scenarios="1"/>
  <phoneticPr fontId="0" type="noConversion"/>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T325"/>
  <sheetViews>
    <sheetView zoomScale="70" workbookViewId="0"/>
  </sheetViews>
  <sheetFormatPr baseColWidth="10" defaultColWidth="8.83203125" defaultRowHeight="13" x14ac:dyDescent="0.15"/>
  <cols>
    <col min="1" max="1" width="13.6640625" customWidth="1"/>
    <col min="2" max="2" width="23.33203125" customWidth="1"/>
    <col min="3" max="3" width="40.6640625" customWidth="1"/>
    <col min="4" max="4" width="13.5" customWidth="1"/>
    <col min="5" max="8" width="15" customWidth="1"/>
    <col min="9" max="9" width="17.5" customWidth="1"/>
    <col min="10" max="10" width="15.6640625" customWidth="1"/>
    <col min="11" max="11" width="16.5" customWidth="1"/>
    <col min="12" max="14" width="15" customWidth="1"/>
    <col min="15" max="15" width="4.33203125" customWidth="1"/>
    <col min="16" max="16" width="15.83203125" customWidth="1"/>
    <col min="17" max="17" width="15" customWidth="1"/>
    <col min="18" max="18" width="11.6640625" customWidth="1"/>
    <col min="19" max="19" width="15.83203125" customWidth="1"/>
    <col min="20" max="20" width="11" bestFit="1" customWidth="1"/>
  </cols>
  <sheetData>
    <row r="1" spans="1:11" ht="19" thickBot="1" x14ac:dyDescent="0.25">
      <c r="A1" s="549" t="s">
        <v>683</v>
      </c>
    </row>
    <row r="2" spans="1:11" ht="14" thickBot="1" x14ac:dyDescent="0.2">
      <c r="F2" t="s">
        <v>684</v>
      </c>
      <c r="H2" s="175" t="s">
        <v>436</v>
      </c>
      <c r="I2" s="365" t="s">
        <v>685</v>
      </c>
      <c r="J2" s="364" t="s">
        <v>341</v>
      </c>
      <c r="K2" s="365" t="s">
        <v>685</v>
      </c>
    </row>
    <row r="3" spans="1:11" ht="18" thickBot="1" x14ac:dyDescent="0.25">
      <c r="C3" s="343" t="s">
        <v>279</v>
      </c>
      <c r="D3" s="344">
        <f>'Initial Inputs'!C43</f>
        <v>0.3</v>
      </c>
      <c r="G3" s="378" t="s">
        <v>412</v>
      </c>
      <c r="H3" s="379" t="str">
        <f>R42</f>
        <v>NMF</v>
      </c>
      <c r="I3" s="372" t="str">
        <f>IF(H3="NMF","NMF",(H3-$H$8)/$H$8)</f>
        <v>NMF</v>
      </c>
      <c r="J3" s="380">
        <f>NPV($D$7,E42:N42)+D42</f>
        <v>-125482839.76593356</v>
      </c>
      <c r="K3" s="372">
        <f>IF(J3="NMF","NMF",IF(ISNUMBER((J3-$J$8)/$J$8),(J3-$J$8)/$J$8,0))</f>
        <v>-3.0853383730232355</v>
      </c>
    </row>
    <row r="4" spans="1:11" ht="18" thickBot="1" x14ac:dyDescent="0.25">
      <c r="C4" s="345" t="s">
        <v>280</v>
      </c>
      <c r="D4" s="346">
        <f>'Initial Inputs'!C45</f>
        <v>0.18</v>
      </c>
      <c r="G4" s="381" t="s">
        <v>413</v>
      </c>
      <c r="H4" s="382">
        <f>R70</f>
        <v>-0.30211094768243363</v>
      </c>
      <c r="I4" s="373">
        <f t="shared" ref="I4:I13" si="0">IF(H4="NMF","NMF",(H4-$H$8)/$H$8)</f>
        <v>-1.7450509133377925</v>
      </c>
      <c r="J4" s="383">
        <f>NPV($D$7,E70:N70)+D70</f>
        <v>-88351501.687262237</v>
      </c>
      <c r="K4" s="372">
        <f t="shared" ref="K4:K13" si="1">IF(J4="NMF","NMF",IF(ISNUMBER((J4-$J$8)/$J$8),(J4-$J$8)/$J$8,0))</f>
        <v>-2.4682706984185883</v>
      </c>
    </row>
    <row r="5" spans="1:11" ht="18" thickBot="1" x14ac:dyDescent="0.25">
      <c r="C5" s="347" t="s">
        <v>281</v>
      </c>
      <c r="D5" s="350">
        <f>'Initial Inputs'!A47</f>
        <v>0</v>
      </c>
      <c r="G5" s="381" t="s">
        <v>414</v>
      </c>
      <c r="H5" s="382">
        <f>R98</f>
        <v>-8.4761570300653566E-2</v>
      </c>
      <c r="I5" s="373">
        <f t="shared" si="0"/>
        <v>-1.209034746515806</v>
      </c>
      <c r="J5" s="383">
        <f>NPV($D$7,E98:N98)+D98</f>
        <v>-51220163.608590938</v>
      </c>
      <c r="K5" s="372">
        <f t="shared" si="1"/>
        <v>-1.8512030238139414</v>
      </c>
    </row>
    <row r="6" spans="1:11" ht="17" thickBot="1" x14ac:dyDescent="0.25">
      <c r="C6" s="336"/>
      <c r="D6" s="349"/>
      <c r="G6" s="381" t="s">
        <v>415</v>
      </c>
      <c r="H6" s="382">
        <f>R126</f>
        <v>9.7095016114275623E-2</v>
      </c>
      <c r="I6" s="373">
        <f t="shared" si="0"/>
        <v>-0.76054912610273795</v>
      </c>
      <c r="J6" s="383">
        <f>NPV($D$7,E126:N126)+D126</f>
        <v>-14088825.52991958</v>
      </c>
      <c r="K6" s="372">
        <f t="shared" si="1"/>
        <v>-1.2341353492092939</v>
      </c>
    </row>
    <row r="7" spans="1:11" ht="18" thickBot="1" x14ac:dyDescent="0.25">
      <c r="C7" s="351" t="s">
        <v>686</v>
      </c>
      <c r="D7" s="352">
        <f>'Initial Inputs'!C5</f>
        <v>0.16</v>
      </c>
      <c r="G7" s="381" t="s">
        <v>416</v>
      </c>
      <c r="H7" s="382">
        <f>R154</f>
        <v>0.25777456380193042</v>
      </c>
      <c r="I7" s="373">
        <f t="shared" si="0"/>
        <v>-0.36428925972666276</v>
      </c>
      <c r="J7" s="383">
        <f>NPV($D$7,E154:N154)+D154</f>
        <v>23042512.548751727</v>
      </c>
      <c r="K7" s="372">
        <f t="shared" si="1"/>
        <v>-0.61706767460464707</v>
      </c>
    </row>
    <row r="8" spans="1:11" ht="17" thickBot="1" x14ac:dyDescent="0.25">
      <c r="C8" s="336"/>
      <c r="D8" s="349"/>
      <c r="G8" s="381" t="s">
        <v>653</v>
      </c>
      <c r="H8" s="382">
        <f>R182</f>
        <v>0.40549033935008683</v>
      </c>
      <c r="I8" s="373">
        <f t="shared" si="0"/>
        <v>0</v>
      </c>
      <c r="J8" s="383">
        <f>NPV($D$7,E182:N182)+D182</f>
        <v>60173850.627423048</v>
      </c>
      <c r="K8" s="372">
        <f t="shared" si="1"/>
        <v>0</v>
      </c>
    </row>
    <row r="9" spans="1:11" ht="17" thickBot="1" x14ac:dyDescent="0.25">
      <c r="C9" s="336"/>
      <c r="D9" s="349"/>
      <c r="G9" s="381" t="s">
        <v>418</v>
      </c>
      <c r="H9" s="382">
        <f>R213</f>
        <v>0.54477962297697968</v>
      </c>
      <c r="I9" s="373">
        <f t="shared" si="0"/>
        <v>0.34350826668310619</v>
      </c>
      <c r="J9" s="383">
        <f>NPV($D$7,E213:N213)+D213</f>
        <v>97305188.706094414</v>
      </c>
      <c r="K9" s="372">
        <f t="shared" si="1"/>
        <v>0.61706767460464773</v>
      </c>
    </row>
    <row r="10" spans="1:11" ht="17" thickBot="1" x14ac:dyDescent="0.25">
      <c r="C10" s="336"/>
      <c r="D10" s="349"/>
      <c r="G10" s="381" t="s">
        <v>419</v>
      </c>
      <c r="H10" s="382">
        <f>R241</f>
        <v>0.67830227306091695</v>
      </c>
      <c r="I10" s="373">
        <f t="shared" si="0"/>
        <v>0.67279515005977342</v>
      </c>
      <c r="J10" s="383">
        <f>NPV($D$7,E241:N241)+D241</f>
        <v>134436526.78476575</v>
      </c>
      <c r="K10" s="372">
        <f t="shared" si="1"/>
        <v>1.234135349209295</v>
      </c>
    </row>
    <row r="11" spans="1:11" ht="17" thickBot="1" x14ac:dyDescent="0.25">
      <c r="C11" s="336"/>
      <c r="D11" s="349"/>
      <c r="G11" s="381" t="s">
        <v>420</v>
      </c>
      <c r="H11" s="382">
        <f>R269</f>
        <v>0.80771549840865098</v>
      </c>
      <c r="I11" s="373">
        <f t="shared" si="0"/>
        <v>0.99194757562718749</v>
      </c>
      <c r="J11" s="383">
        <f>NPV($D$7,E269:N269)+D269</f>
        <v>171567864.86343697</v>
      </c>
      <c r="K11" s="372">
        <f t="shared" si="1"/>
        <v>1.8512030238139403</v>
      </c>
    </row>
    <row r="12" spans="1:11" ht="17" thickBot="1" x14ac:dyDescent="0.25">
      <c r="C12" s="336"/>
      <c r="D12" s="342"/>
      <c r="G12" s="381" t="s">
        <v>421</v>
      </c>
      <c r="H12" s="382">
        <f>R297</f>
        <v>0.93410525986521442</v>
      </c>
      <c r="I12" s="373">
        <f t="shared" si="0"/>
        <v>1.3036436857222857</v>
      </c>
      <c r="J12" s="383">
        <f>NPV($D$7,E297:N297)+D297</f>
        <v>208699202.94210833</v>
      </c>
      <c r="K12" s="372">
        <f t="shared" si="1"/>
        <v>2.4682706984185883</v>
      </c>
    </row>
    <row r="13" spans="1:11" ht="17" thickBot="1" x14ac:dyDescent="0.25">
      <c r="C13" s="336"/>
      <c r="D13" s="342"/>
      <c r="G13" s="384" t="s">
        <v>422</v>
      </c>
      <c r="H13" s="385">
        <f>R325</f>
        <v>1.0582126356580095</v>
      </c>
      <c r="I13" s="374">
        <f t="shared" si="0"/>
        <v>1.6097110904148668</v>
      </c>
      <c r="J13" s="386">
        <f>NPV($D$7,E325:N325)+D325</f>
        <v>245830541.02077961</v>
      </c>
      <c r="K13" s="372">
        <f t="shared" si="1"/>
        <v>3.0853383730232342</v>
      </c>
    </row>
    <row r="14" spans="1:11" ht="16" x14ac:dyDescent="0.2">
      <c r="C14" s="336"/>
      <c r="D14" s="342"/>
      <c r="G14" t="s">
        <v>424</v>
      </c>
    </row>
    <row r="15" spans="1:11" ht="16" x14ac:dyDescent="0.2">
      <c r="B15" s="48" t="s">
        <v>683</v>
      </c>
      <c r="G15" s="90"/>
    </row>
    <row r="16" spans="1:11" ht="14" thickBot="1" x14ac:dyDescent="0.2"/>
    <row r="17" spans="1:17" ht="14" thickBot="1" x14ac:dyDescent="0.2">
      <c r="B17" s="323" t="str">
        <f>'After Tax Analysis'!B7</f>
        <v>Line/Source</v>
      </c>
      <c r="C17" s="324" t="str">
        <f>'After Tax Analysis'!C7</f>
        <v>Description</v>
      </c>
      <c r="D17" s="324"/>
      <c r="E17" s="324">
        <f>'After Tax Analysis'!E7</f>
        <v>1</v>
      </c>
      <c r="F17" s="324">
        <f>'After Tax Analysis'!F7</f>
        <v>2</v>
      </c>
      <c r="G17" s="324">
        <f>'After Tax Analysis'!G7</f>
        <v>3</v>
      </c>
      <c r="H17" s="324">
        <f>'After Tax Analysis'!H7</f>
        <v>4</v>
      </c>
      <c r="I17" s="324">
        <f>'After Tax Analysis'!I7</f>
        <v>5</v>
      </c>
      <c r="J17" s="324">
        <f>'After Tax Analysis'!J7</f>
        <v>6</v>
      </c>
      <c r="K17" s="324">
        <f>'After Tax Analysis'!K7</f>
        <v>7</v>
      </c>
      <c r="L17" s="324">
        <f>'After Tax Analysis'!L7</f>
        <v>8</v>
      </c>
      <c r="M17" s="324">
        <f>'After Tax Analysis'!M7</f>
        <v>9</v>
      </c>
      <c r="N17" s="324">
        <f>'After Tax Analysis'!N7</f>
        <v>10</v>
      </c>
      <c r="O17" s="324" t="str">
        <f>'After Tax Analysis'!O7</f>
        <v>10A</v>
      </c>
      <c r="P17" s="320" t="str">
        <f>'After Tax Analysis'!P7</f>
        <v>TOTAL</v>
      </c>
      <c r="Q17" s="22"/>
    </row>
    <row r="18" spans="1:17" x14ac:dyDescent="0.15">
      <c r="B18" s="339" t="s">
        <v>687</v>
      </c>
      <c r="C18" s="302" t="str">
        <f>'After Tax Analysis'!C8</f>
        <v>Operating Revenue</v>
      </c>
      <c r="D18" s="322"/>
      <c r="E18" s="322">
        <v>0</v>
      </c>
      <c r="F18" s="322">
        <f t="shared" ref="F18:N18" si="2">F158</f>
        <v>313500000.00000006</v>
      </c>
      <c r="G18" s="322">
        <f t="shared" si="2"/>
        <v>327607500.00000006</v>
      </c>
      <c r="H18" s="322">
        <f t="shared" si="2"/>
        <v>342349837.50000012</v>
      </c>
      <c r="I18" s="322">
        <f t="shared" si="2"/>
        <v>357755580.18750012</v>
      </c>
      <c r="J18" s="322">
        <f t="shared" si="2"/>
        <v>0</v>
      </c>
      <c r="K18" s="322">
        <f t="shared" si="2"/>
        <v>0</v>
      </c>
      <c r="L18" s="322">
        <f t="shared" si="2"/>
        <v>0</v>
      </c>
      <c r="M18" s="322">
        <f t="shared" si="2"/>
        <v>0</v>
      </c>
      <c r="N18" s="322">
        <f t="shared" si="2"/>
        <v>0</v>
      </c>
      <c r="O18" s="322">
        <f>'After Tax Analysis'!O8</f>
        <v>0</v>
      </c>
      <c r="P18" s="325">
        <f>SUM(E18:N18)</f>
        <v>1341212917.6875005</v>
      </c>
      <c r="Q18" s="2"/>
    </row>
    <row r="19" spans="1:17" x14ac:dyDescent="0.15">
      <c r="A19" s="1" t="s">
        <v>688</v>
      </c>
      <c r="B19" s="355" t="s">
        <v>689</v>
      </c>
      <c r="C19" s="362" t="s">
        <v>689</v>
      </c>
      <c r="D19" s="331"/>
      <c r="E19" s="331">
        <f>E159*0.75</f>
        <v>225000000</v>
      </c>
      <c r="F19" s="331">
        <f t="shared" ref="F19:N19" si="3">F159*0.75</f>
        <v>235125000.00000006</v>
      </c>
      <c r="G19" s="331">
        <f t="shared" si="3"/>
        <v>245705625.00000006</v>
      </c>
      <c r="H19" s="331">
        <f t="shared" si="3"/>
        <v>256762378.12500009</v>
      </c>
      <c r="I19" s="331">
        <f t="shared" si="3"/>
        <v>268316685.14062509</v>
      </c>
      <c r="J19" s="331">
        <f t="shared" si="3"/>
        <v>0</v>
      </c>
      <c r="K19" s="331">
        <f t="shared" si="3"/>
        <v>0</v>
      </c>
      <c r="L19" s="331">
        <f t="shared" si="3"/>
        <v>0</v>
      </c>
      <c r="M19" s="331">
        <f t="shared" si="3"/>
        <v>0</v>
      </c>
      <c r="N19" s="331">
        <f t="shared" si="3"/>
        <v>0</v>
      </c>
      <c r="O19" s="331"/>
      <c r="P19" s="356">
        <f>SUM(E19:N19)</f>
        <v>1230909688.2656252</v>
      </c>
      <c r="Q19" s="460"/>
    </row>
    <row r="20" spans="1:17" x14ac:dyDescent="0.15">
      <c r="B20" s="340" t="s">
        <v>690</v>
      </c>
      <c r="C20" s="354" t="s">
        <v>690</v>
      </c>
      <c r="D20" s="67"/>
      <c r="E20" s="67">
        <f>E160</f>
        <v>0</v>
      </c>
      <c r="F20" s="67">
        <f t="shared" ref="F20:N20" si="4">F160</f>
        <v>0</v>
      </c>
      <c r="G20" s="67">
        <f t="shared" si="4"/>
        <v>0</v>
      </c>
      <c r="H20" s="67">
        <f t="shared" si="4"/>
        <v>0</v>
      </c>
      <c r="I20" s="67">
        <f t="shared" si="4"/>
        <v>0</v>
      </c>
      <c r="J20" s="67">
        <f t="shared" si="4"/>
        <v>0</v>
      </c>
      <c r="K20" s="67">
        <f t="shared" si="4"/>
        <v>0</v>
      </c>
      <c r="L20" s="67">
        <f t="shared" si="4"/>
        <v>0</v>
      </c>
      <c r="M20" s="67">
        <f t="shared" si="4"/>
        <v>0</v>
      </c>
      <c r="N20" s="67">
        <f t="shared" si="4"/>
        <v>0</v>
      </c>
      <c r="O20" s="67"/>
      <c r="P20" s="326">
        <f>SUM(E20:N20)</f>
        <v>0</v>
      </c>
      <c r="Q20" s="2"/>
    </row>
    <row r="21" spans="1:17" x14ac:dyDescent="0.15">
      <c r="B21" s="340" t="s">
        <v>691</v>
      </c>
      <c r="C21" s="354" t="s">
        <v>691</v>
      </c>
      <c r="D21" s="67"/>
      <c r="E21" s="67">
        <f t="shared" ref="E21:N21" si="5">E161</f>
        <v>0</v>
      </c>
      <c r="F21" s="67">
        <f t="shared" si="5"/>
        <v>0</v>
      </c>
      <c r="G21" s="67">
        <f t="shared" si="5"/>
        <v>0</v>
      </c>
      <c r="H21" s="67">
        <f t="shared" si="5"/>
        <v>0</v>
      </c>
      <c r="I21" s="67">
        <f t="shared" si="5"/>
        <v>0</v>
      </c>
      <c r="J21" s="67">
        <f t="shared" si="5"/>
        <v>0</v>
      </c>
      <c r="K21" s="67">
        <f t="shared" si="5"/>
        <v>0</v>
      </c>
      <c r="L21" s="67">
        <f t="shared" si="5"/>
        <v>0</v>
      </c>
      <c r="M21" s="67">
        <f t="shared" si="5"/>
        <v>0</v>
      </c>
      <c r="N21" s="67">
        <f t="shared" si="5"/>
        <v>0</v>
      </c>
      <c r="O21" s="67"/>
      <c r="P21" s="326">
        <f>SUM(E21:N21)</f>
        <v>0</v>
      </c>
      <c r="Q21" s="2"/>
    </row>
    <row r="22" spans="1:17" x14ac:dyDescent="0.15">
      <c r="B22" s="340" t="s">
        <v>692</v>
      </c>
      <c r="C22" s="354" t="s">
        <v>692</v>
      </c>
      <c r="D22" s="67"/>
      <c r="E22" s="67">
        <f>E21+E20+E19</f>
        <v>225000000</v>
      </c>
      <c r="F22" s="67">
        <f t="shared" ref="F22:N22" si="6">F21+F20+F19</f>
        <v>235125000.00000006</v>
      </c>
      <c r="G22" s="67">
        <f t="shared" si="6"/>
        <v>245705625.00000006</v>
      </c>
      <c r="H22" s="67">
        <f t="shared" si="6"/>
        <v>256762378.12500009</v>
      </c>
      <c r="I22" s="67">
        <f t="shared" si="6"/>
        <v>268316685.14062509</v>
      </c>
      <c r="J22" s="67">
        <f t="shared" si="6"/>
        <v>0</v>
      </c>
      <c r="K22" s="67">
        <f t="shared" si="6"/>
        <v>0</v>
      </c>
      <c r="L22" s="67">
        <f t="shared" si="6"/>
        <v>0</v>
      </c>
      <c r="M22" s="67">
        <f t="shared" si="6"/>
        <v>0</v>
      </c>
      <c r="N22" s="67">
        <f t="shared" si="6"/>
        <v>0</v>
      </c>
      <c r="O22" s="67"/>
      <c r="P22" s="326">
        <f t="shared" ref="P22:P42" si="7">SUM(E22:N22)</f>
        <v>1230909688.2656252</v>
      </c>
      <c r="Q22" s="2"/>
    </row>
    <row r="23" spans="1:17" x14ac:dyDescent="0.15">
      <c r="B23" s="340" t="str">
        <f>'After Tax Analysis'!B9</f>
        <v>2 / "Expenses"</v>
      </c>
      <c r="C23" s="12" t="str">
        <f>'After Tax Analysis'!C9</f>
        <v>Cash Expenses (Not including depreciation)</v>
      </c>
      <c r="D23" s="67">
        <f>'Price Sens Wksht Prod X'!D163</f>
        <v>0</v>
      </c>
      <c r="E23" s="67">
        <f>'Price Sens Wksht Prod X'!E163</f>
        <v>230170000</v>
      </c>
      <c r="F23" s="67">
        <f>'Price Sens Wksht Prod X'!F163</f>
        <v>253018375.00000003</v>
      </c>
      <c r="G23" s="67">
        <f>'Price Sens Wksht Prod X'!G163</f>
        <v>278725718.45125008</v>
      </c>
      <c r="H23" s="67">
        <f>'Price Sens Wksht Prod X'!H163</f>
        <v>307665975.06072807</v>
      </c>
      <c r="I23" s="67">
        <f>'Price Sens Wksht Prod X'!I163</f>
        <v>340262566.36057305</v>
      </c>
      <c r="J23" s="67">
        <f>'Price Sens Wksht Prod X'!J163</f>
        <v>0</v>
      </c>
      <c r="K23" s="67">
        <f>'Price Sens Wksht Prod X'!K163</f>
        <v>0</v>
      </c>
      <c r="L23" s="67">
        <f>'Price Sens Wksht Prod X'!L163</f>
        <v>0</v>
      </c>
      <c r="M23" s="67">
        <f>'Price Sens Wksht Prod X'!M163</f>
        <v>0</v>
      </c>
      <c r="N23" s="67">
        <f>'Price Sens Wksht Prod X'!N163</f>
        <v>0</v>
      </c>
      <c r="O23" s="67">
        <f>'After Tax Analysis'!O9</f>
        <v>0</v>
      </c>
      <c r="P23" s="326">
        <f t="shared" si="7"/>
        <v>1409842634.8725512</v>
      </c>
      <c r="Q23" s="2"/>
    </row>
    <row r="24" spans="1:17" x14ac:dyDescent="0.15">
      <c r="B24" s="340">
        <f>'After Tax Analysis'!B10</f>
        <v>3</v>
      </c>
      <c r="C24" s="12" t="str">
        <f>'After Tax Analysis'!C10</f>
        <v>Oper. Income (1-2)</v>
      </c>
      <c r="D24" s="67">
        <f>D22-D23</f>
        <v>0</v>
      </c>
      <c r="E24" s="67">
        <f t="shared" ref="E24:N24" si="8">E22-E23</f>
        <v>-5170000</v>
      </c>
      <c r="F24" s="67">
        <f t="shared" si="8"/>
        <v>-17893374.99999997</v>
      </c>
      <c r="G24" s="67">
        <f t="shared" si="8"/>
        <v>-33020093.451250017</v>
      </c>
      <c r="H24" s="67">
        <f t="shared" si="8"/>
        <v>-50903596.935727984</v>
      </c>
      <c r="I24" s="67">
        <f t="shared" si="8"/>
        <v>-71945881.219947964</v>
      </c>
      <c r="J24" s="67">
        <f t="shared" si="8"/>
        <v>0</v>
      </c>
      <c r="K24" s="67">
        <f t="shared" si="8"/>
        <v>0</v>
      </c>
      <c r="L24" s="67">
        <f t="shared" si="8"/>
        <v>0</v>
      </c>
      <c r="M24" s="67">
        <f t="shared" si="8"/>
        <v>0</v>
      </c>
      <c r="N24" s="67">
        <f t="shared" si="8"/>
        <v>0</v>
      </c>
      <c r="O24" s="67">
        <f>'After Tax Analysis'!O10</f>
        <v>0</v>
      </c>
      <c r="P24" s="326">
        <f t="shared" si="7"/>
        <v>-178932946.60692593</v>
      </c>
      <c r="Q24" s="2"/>
    </row>
    <row r="25" spans="1:17" x14ac:dyDescent="0.15">
      <c r="B25" s="340" t="str">
        <f>'After Tax Analysis'!B11</f>
        <v>4 / "Expenses"</v>
      </c>
      <c r="C25" s="12" t="str">
        <f>'After Tax Analysis'!C11</f>
        <v>Depreciation</v>
      </c>
      <c r="D25" s="67">
        <f>'Price Sens Wksht Prod X'!D165</f>
        <v>0</v>
      </c>
      <c r="E25" s="67">
        <f>'Price Sens Wksht Prod X'!E165</f>
        <v>3772500</v>
      </c>
      <c r="F25" s="67">
        <f>'Price Sens Wksht Prod X'!F165</f>
        <v>6218850</v>
      </c>
      <c r="G25" s="67">
        <f>'Price Sens Wksht Prod X'!G165</f>
        <v>4083150</v>
      </c>
      <c r="H25" s="67">
        <f>'Price Sens Wksht Prod X'!H165</f>
        <v>2775510</v>
      </c>
      <c r="I25" s="67">
        <f>'Price Sens Wksht Prod X'!I165</f>
        <v>1352955</v>
      </c>
      <c r="J25" s="67">
        <f>'Price Sens Wksht Prod X'!J165</f>
        <v>0</v>
      </c>
      <c r="K25" s="67">
        <f>'Price Sens Wksht Prod X'!K165</f>
        <v>0</v>
      </c>
      <c r="L25" s="67">
        <f>'Price Sens Wksht Prod X'!L165</f>
        <v>0</v>
      </c>
      <c r="M25" s="67">
        <f>'Price Sens Wksht Prod X'!M165</f>
        <v>0</v>
      </c>
      <c r="N25" s="67">
        <f>'Price Sens Wksht Prod X'!N165</f>
        <v>0</v>
      </c>
      <c r="O25" s="67">
        <f>'After Tax Analysis'!O11</f>
        <v>0</v>
      </c>
      <c r="P25" s="326">
        <f t="shared" si="7"/>
        <v>18202965</v>
      </c>
      <c r="Q25" s="2"/>
    </row>
    <row r="26" spans="1:17" x14ac:dyDescent="0.15">
      <c r="B26" s="340">
        <f>'After Tax Analysis'!B12</f>
        <v>5</v>
      </c>
      <c r="C26" s="12" t="str">
        <f>'After Tax Analysis'!C12</f>
        <v>Oper. Income (3-4)</v>
      </c>
      <c r="D26" s="67">
        <f>D24-D25</f>
        <v>0</v>
      </c>
      <c r="E26" s="67">
        <f t="shared" ref="E26:N26" si="9">E24-E25</f>
        <v>-8942500</v>
      </c>
      <c r="F26" s="67">
        <f t="shared" si="9"/>
        <v>-24112224.99999997</v>
      </c>
      <c r="G26" s="67">
        <f t="shared" si="9"/>
        <v>-37103243.451250017</v>
      </c>
      <c r="H26" s="67">
        <f t="shared" si="9"/>
        <v>-53679106.935727984</v>
      </c>
      <c r="I26" s="67">
        <f t="shared" si="9"/>
        <v>-73298836.219947964</v>
      </c>
      <c r="J26" s="67">
        <f t="shared" si="9"/>
        <v>0</v>
      </c>
      <c r="K26" s="67">
        <f t="shared" si="9"/>
        <v>0</v>
      </c>
      <c r="L26" s="67">
        <f t="shared" si="9"/>
        <v>0</v>
      </c>
      <c r="M26" s="67">
        <f t="shared" si="9"/>
        <v>0</v>
      </c>
      <c r="N26" s="67">
        <f t="shared" si="9"/>
        <v>0</v>
      </c>
      <c r="O26" s="67">
        <f>'After Tax Analysis'!O12</f>
        <v>0</v>
      </c>
      <c r="P26" s="326">
        <f t="shared" si="7"/>
        <v>-197135911.60692593</v>
      </c>
      <c r="Q26" s="2"/>
    </row>
    <row r="27" spans="1:17" x14ac:dyDescent="0.15">
      <c r="B27" s="340" t="str">
        <f>'After Tax Analysis'!B13</f>
        <v>6 / "Loan Amortization"</v>
      </c>
      <c r="C27" s="12" t="str">
        <f>'After Tax Analysis'!C13</f>
        <v>Interest expense</v>
      </c>
      <c r="D27" s="67">
        <f>'Price Sens Wksht Prod X'!D167</f>
        <v>0</v>
      </c>
      <c r="E27" s="67">
        <f>'Price Sens Wksht Prod X'!E167</f>
        <v>0</v>
      </c>
      <c r="F27" s="67">
        <f>'Price Sens Wksht Prod X'!F167</f>
        <v>0</v>
      </c>
      <c r="G27" s="67">
        <f>'Price Sens Wksht Prod X'!G167</f>
        <v>0</v>
      </c>
      <c r="H27" s="67">
        <f>'Price Sens Wksht Prod X'!H167</f>
        <v>0</v>
      </c>
      <c r="I27" s="67">
        <f>'Price Sens Wksht Prod X'!I167</f>
        <v>0</v>
      </c>
      <c r="J27" s="67">
        <f>'Price Sens Wksht Prod X'!J167</f>
        <v>0</v>
      </c>
      <c r="K27" s="67">
        <f>'Price Sens Wksht Prod X'!K167</f>
        <v>0</v>
      </c>
      <c r="L27" s="67">
        <f>'Price Sens Wksht Prod X'!L167</f>
        <v>0</v>
      </c>
      <c r="M27" s="67">
        <f>'Price Sens Wksht Prod X'!M167</f>
        <v>0</v>
      </c>
      <c r="N27" s="67">
        <f>'Price Sens Wksht Prod X'!N167</f>
        <v>0</v>
      </c>
      <c r="O27" s="67">
        <f>'After Tax Analysis'!O13</f>
        <v>0</v>
      </c>
      <c r="P27" s="326">
        <f t="shared" si="7"/>
        <v>0</v>
      </c>
      <c r="Q27" s="2"/>
    </row>
    <row r="28" spans="1:17" x14ac:dyDescent="0.15">
      <c r="B28" s="340">
        <f>'After Tax Analysis'!B14</f>
        <v>7</v>
      </c>
      <c r="C28" s="12" t="str">
        <f>'After Tax Analysis'!C14</f>
        <v>Pretax Net Income (5-6)</v>
      </c>
      <c r="D28" s="67">
        <f>D26-D27</f>
        <v>0</v>
      </c>
      <c r="E28" s="67">
        <f t="shared" ref="E28:N28" si="10">E26-E27</f>
        <v>-8942500</v>
      </c>
      <c r="F28" s="67">
        <f t="shared" si="10"/>
        <v>-24112224.99999997</v>
      </c>
      <c r="G28" s="67">
        <f t="shared" si="10"/>
        <v>-37103243.451250017</v>
      </c>
      <c r="H28" s="67">
        <f t="shared" si="10"/>
        <v>-53679106.935727984</v>
      </c>
      <c r="I28" s="67">
        <f t="shared" si="10"/>
        <v>-73298836.219947964</v>
      </c>
      <c r="J28" s="67">
        <f t="shared" si="10"/>
        <v>0</v>
      </c>
      <c r="K28" s="67">
        <f t="shared" si="10"/>
        <v>0</v>
      </c>
      <c r="L28" s="67">
        <f t="shared" si="10"/>
        <v>0</v>
      </c>
      <c r="M28" s="67">
        <f t="shared" si="10"/>
        <v>0</v>
      </c>
      <c r="N28" s="67">
        <f t="shared" si="10"/>
        <v>0</v>
      </c>
      <c r="O28" s="67">
        <f>'After Tax Analysis'!O14</f>
        <v>0</v>
      </c>
      <c r="P28" s="326">
        <f t="shared" si="7"/>
        <v>-197135911.60692593</v>
      </c>
      <c r="Q28" s="2"/>
    </row>
    <row r="29" spans="1:17" x14ac:dyDescent="0.15">
      <c r="B29" s="340">
        <f>'After Tax Analysis'!B15</f>
        <v>8</v>
      </c>
      <c r="C29" s="12" t="str">
        <f>'After Tax Analysis'!C15</f>
        <v>Income taxes (at rate above)</v>
      </c>
      <c r="D29" s="67">
        <f>-D28*$D$3</f>
        <v>0</v>
      </c>
      <c r="E29" s="67">
        <f>-E28*$D$3</f>
        <v>2682750</v>
      </c>
      <c r="F29" s="67">
        <f t="shared" ref="F29:N29" si="11">-F28*$D$3</f>
        <v>7233667.4999999907</v>
      </c>
      <c r="G29" s="67">
        <f t="shared" si="11"/>
        <v>11130973.035375005</v>
      </c>
      <c r="H29" s="67">
        <f t="shared" si="11"/>
        <v>16103732.080718394</v>
      </c>
      <c r="I29" s="67">
        <f t="shared" si="11"/>
        <v>21989650.865984388</v>
      </c>
      <c r="J29" s="67">
        <f t="shared" si="11"/>
        <v>0</v>
      </c>
      <c r="K29" s="67">
        <f t="shared" si="11"/>
        <v>0</v>
      </c>
      <c r="L29" s="67">
        <f t="shared" si="11"/>
        <v>0</v>
      </c>
      <c r="M29" s="67">
        <f t="shared" si="11"/>
        <v>0</v>
      </c>
      <c r="N29" s="67">
        <f t="shared" si="11"/>
        <v>0</v>
      </c>
      <c r="O29" s="67">
        <f>'After Tax Analysis'!O15</f>
        <v>0</v>
      </c>
      <c r="P29" s="326">
        <f t="shared" si="7"/>
        <v>59140773.482077777</v>
      </c>
      <c r="Q29" s="2"/>
    </row>
    <row r="30" spans="1:17" x14ac:dyDescent="0.15">
      <c r="B30" s="340">
        <f>'After Tax Analysis'!B16</f>
        <v>9</v>
      </c>
      <c r="C30" s="12" t="str">
        <f>'After Tax Analysis'!C16</f>
        <v>Investment Tax Credit For Year 1 (at rate above)</v>
      </c>
      <c r="D30" s="67">
        <f>'Price Sens Wksht Prod X'!D170</f>
        <v>0</v>
      </c>
      <c r="E30" s="67">
        <f>'Price Sens Wksht Prod X'!E170</f>
        <v>0</v>
      </c>
      <c r="F30" s="67">
        <f>'Price Sens Wksht Prod X'!F170</f>
        <v>0</v>
      </c>
      <c r="G30" s="67">
        <f>'Price Sens Wksht Prod X'!G170</f>
        <v>0</v>
      </c>
      <c r="H30" s="67">
        <f>'Price Sens Wksht Prod X'!H170</f>
        <v>0</v>
      </c>
      <c r="I30" s="67">
        <f>'Price Sens Wksht Prod X'!I170</f>
        <v>0</v>
      </c>
      <c r="J30" s="67">
        <f>'Price Sens Wksht Prod X'!J170</f>
        <v>0</v>
      </c>
      <c r="K30" s="67">
        <f>'Price Sens Wksht Prod X'!K170</f>
        <v>0</v>
      </c>
      <c r="L30" s="67">
        <f>'Price Sens Wksht Prod X'!L170</f>
        <v>0</v>
      </c>
      <c r="M30" s="67">
        <f>'Price Sens Wksht Prod X'!M170</f>
        <v>0</v>
      </c>
      <c r="N30" s="67">
        <f>'Price Sens Wksht Prod X'!N170</f>
        <v>0</v>
      </c>
      <c r="O30" s="67">
        <f>'After Tax Analysis'!O16</f>
        <v>0</v>
      </c>
      <c r="P30" s="326">
        <f t="shared" si="7"/>
        <v>0</v>
      </c>
      <c r="Q30" s="2"/>
    </row>
    <row r="31" spans="1:17" x14ac:dyDescent="0.15">
      <c r="B31" s="340">
        <f>'After Tax Analysis'!B17</f>
        <v>10</v>
      </c>
      <c r="C31" s="12" t="str">
        <f>'After Tax Analysis'!C17</f>
        <v>Net Income AT (7-8+9)</v>
      </c>
      <c r="D31" s="67">
        <f>'Price Sens Wksht Prod X'!D171</f>
        <v>0</v>
      </c>
      <c r="E31" s="67">
        <f>E28+E29+E30</f>
        <v>-6259750</v>
      </c>
      <c r="F31" s="67">
        <f t="shared" ref="F31:N31" si="12">F28+F29+F30</f>
        <v>-16878557.499999978</v>
      </c>
      <c r="G31" s="67">
        <f t="shared" si="12"/>
        <v>-25972270.41587501</v>
      </c>
      <c r="H31" s="67">
        <f t="shared" si="12"/>
        <v>-37575374.855009586</v>
      </c>
      <c r="I31" s="67">
        <f t="shared" si="12"/>
        <v>-51309185.353963576</v>
      </c>
      <c r="J31" s="67">
        <f t="shared" si="12"/>
        <v>0</v>
      </c>
      <c r="K31" s="67">
        <f t="shared" si="12"/>
        <v>0</v>
      </c>
      <c r="L31" s="67">
        <f t="shared" si="12"/>
        <v>0</v>
      </c>
      <c r="M31" s="67">
        <f t="shared" si="12"/>
        <v>0</v>
      </c>
      <c r="N31" s="67">
        <f t="shared" si="12"/>
        <v>0</v>
      </c>
      <c r="O31" s="67">
        <f>'After Tax Analysis'!O17</f>
        <v>0</v>
      </c>
      <c r="P31" s="326">
        <f t="shared" si="7"/>
        <v>-137995138.12484816</v>
      </c>
      <c r="Q31" s="2"/>
    </row>
    <row r="32" spans="1:17" x14ac:dyDescent="0.15">
      <c r="B32" s="340" t="str">
        <f>'After Tax Analysis'!B18</f>
        <v>11 / "Expenses"</v>
      </c>
      <c r="C32" s="12" t="str">
        <f>'After Tax Analysis'!C18</f>
        <v>Depreciation</v>
      </c>
      <c r="D32" s="67">
        <f>'Price Sens Wksht Prod X'!D172</f>
        <v>0</v>
      </c>
      <c r="E32" s="67">
        <f>'Price Sens Wksht Prod X'!E172</f>
        <v>3772500</v>
      </c>
      <c r="F32" s="67">
        <f>'Price Sens Wksht Prod X'!F172</f>
        <v>6218850</v>
      </c>
      <c r="G32" s="67">
        <f>'Price Sens Wksht Prod X'!G172</f>
        <v>4083150</v>
      </c>
      <c r="H32" s="67">
        <f>'Price Sens Wksht Prod X'!H172</f>
        <v>2775510</v>
      </c>
      <c r="I32" s="67">
        <f>'Price Sens Wksht Prod X'!I172</f>
        <v>1352955</v>
      </c>
      <c r="J32" s="67">
        <f>'Price Sens Wksht Prod X'!J172</f>
        <v>0</v>
      </c>
      <c r="K32" s="67">
        <f>'Price Sens Wksht Prod X'!K172</f>
        <v>0</v>
      </c>
      <c r="L32" s="67">
        <f>'Price Sens Wksht Prod X'!L172</f>
        <v>0</v>
      </c>
      <c r="M32" s="67">
        <f>'Price Sens Wksht Prod X'!M172</f>
        <v>0</v>
      </c>
      <c r="N32" s="67">
        <f>'Price Sens Wksht Prod X'!N172</f>
        <v>0</v>
      </c>
      <c r="O32" s="67">
        <f>'After Tax Analysis'!O18</f>
        <v>0</v>
      </c>
      <c r="P32" s="326">
        <f t="shared" si="7"/>
        <v>18202965</v>
      </c>
      <c r="Q32" s="2"/>
    </row>
    <row r="33" spans="1:20" x14ac:dyDescent="0.15">
      <c r="B33" s="340">
        <f>'After Tax Analysis'!B19</f>
        <v>12</v>
      </c>
      <c r="C33" s="12" t="str">
        <f>'After Tax Analysis'!C19</f>
        <v>Net C.F. from Oper.(10+11)</v>
      </c>
      <c r="D33" s="67">
        <f>'Price Sens Wksht Prod X'!D173</f>
        <v>0</v>
      </c>
      <c r="E33" s="67">
        <f>E31+E32</f>
        <v>-2487250</v>
      </c>
      <c r="F33" s="67">
        <f t="shared" ref="F33:N33" si="13">F31+F32</f>
        <v>-10659707.499999978</v>
      </c>
      <c r="G33" s="67">
        <f t="shared" si="13"/>
        <v>-21889120.41587501</v>
      </c>
      <c r="H33" s="67">
        <f t="shared" si="13"/>
        <v>-34799864.855009586</v>
      </c>
      <c r="I33" s="67">
        <f t="shared" si="13"/>
        <v>-49956230.353963576</v>
      </c>
      <c r="J33" s="67">
        <f t="shared" si="13"/>
        <v>0</v>
      </c>
      <c r="K33" s="67">
        <f t="shared" si="13"/>
        <v>0</v>
      </c>
      <c r="L33" s="67">
        <f t="shared" si="13"/>
        <v>0</v>
      </c>
      <c r="M33" s="67">
        <f t="shared" si="13"/>
        <v>0</v>
      </c>
      <c r="N33" s="67">
        <f t="shared" si="13"/>
        <v>0</v>
      </c>
      <c r="O33" s="67">
        <f>'After Tax Analysis'!O19</f>
        <v>0</v>
      </c>
      <c r="P33" s="326">
        <f t="shared" si="7"/>
        <v>-119792173.12484816</v>
      </c>
      <c r="Q33" s="2"/>
    </row>
    <row r="34" spans="1:20" x14ac:dyDescent="0.15">
      <c r="B34" s="340" t="str">
        <f>'After Tax Analysis'!B20</f>
        <v>13 / "Loan Amortization"</v>
      </c>
      <c r="C34" s="12" t="str">
        <f>'After Tax Analysis'!C20</f>
        <v>Principal Repayment</v>
      </c>
      <c r="D34" s="67">
        <f>'Price Sens Wksht Prod X'!D174</f>
        <v>0</v>
      </c>
      <c r="E34" s="67">
        <f>'Price Sens Wksht Prod X'!E174</f>
        <v>0</v>
      </c>
      <c r="F34" s="67">
        <f>'Price Sens Wksht Prod X'!F174</f>
        <v>0</v>
      </c>
      <c r="G34" s="67">
        <f>'Price Sens Wksht Prod X'!G174</f>
        <v>0</v>
      </c>
      <c r="H34" s="67">
        <f>'Price Sens Wksht Prod X'!H174</f>
        <v>0</v>
      </c>
      <c r="I34" s="67">
        <f>'Price Sens Wksht Prod X'!I174</f>
        <v>0</v>
      </c>
      <c r="J34" s="67">
        <f>'Price Sens Wksht Prod X'!J174</f>
        <v>0</v>
      </c>
      <c r="K34" s="67">
        <f>'Price Sens Wksht Prod X'!K174</f>
        <v>0</v>
      </c>
      <c r="L34" s="67">
        <f>'Price Sens Wksht Prod X'!L174</f>
        <v>0</v>
      </c>
      <c r="M34" s="67">
        <f>'Price Sens Wksht Prod X'!M174</f>
        <v>0</v>
      </c>
      <c r="N34" s="67">
        <f>'Price Sens Wksht Prod X'!N174</f>
        <v>0</v>
      </c>
      <c r="O34" s="67">
        <f>'After Tax Analysis'!O20</f>
        <v>0</v>
      </c>
      <c r="P34" s="326">
        <f t="shared" si="7"/>
        <v>0</v>
      </c>
      <c r="Q34" s="2"/>
    </row>
    <row r="35" spans="1:20" x14ac:dyDescent="0.15">
      <c r="B35" s="340">
        <f>'After Tax Analysis'!B21</f>
        <v>14</v>
      </c>
      <c r="C35" s="12" t="str">
        <f>'After Tax Analysis'!C21</f>
        <v>Equity Capital (14a+14b+14c)</v>
      </c>
      <c r="D35" s="67">
        <f>D36+D37+D38</f>
        <v>-32550000</v>
      </c>
      <c r="E35" s="67">
        <f t="shared" ref="E35:N35" si="14">E36+E37+E38</f>
        <v>0</v>
      </c>
      <c r="F35" s="67">
        <f t="shared" si="14"/>
        <v>0</v>
      </c>
      <c r="G35" s="67">
        <f t="shared" si="14"/>
        <v>0</v>
      </c>
      <c r="H35" s="67">
        <f t="shared" si="14"/>
        <v>0</v>
      </c>
      <c r="I35" s="67">
        <f t="shared" si="14"/>
        <v>14347035</v>
      </c>
      <c r="J35" s="67">
        <f t="shared" si="14"/>
        <v>0</v>
      </c>
      <c r="K35" s="67">
        <f t="shared" si="14"/>
        <v>0</v>
      </c>
      <c r="L35" s="67">
        <f t="shared" si="14"/>
        <v>0</v>
      </c>
      <c r="M35" s="67">
        <f t="shared" si="14"/>
        <v>0</v>
      </c>
      <c r="N35" s="67">
        <f t="shared" si="14"/>
        <v>0</v>
      </c>
      <c r="O35" s="67">
        <f>'After Tax Analysis'!O21</f>
        <v>0</v>
      </c>
      <c r="P35" s="326">
        <f t="shared" si="7"/>
        <v>14347035</v>
      </c>
      <c r="Q35" s="2"/>
    </row>
    <row r="36" spans="1:20" x14ac:dyDescent="0.15">
      <c r="B36" s="340" t="str">
        <f>'After Tax Analysis'!B22</f>
        <v>14a / "Capital &amp; Depr"</v>
      </c>
      <c r="C36" s="12" t="str">
        <f>'After Tax Analysis'!C22</f>
        <v>Depreciable Capital</v>
      </c>
      <c r="D36" s="67">
        <f>'Price Sens Wksht Prod X'!D176</f>
        <v>-31050000</v>
      </c>
      <c r="E36" s="67">
        <f>'Price Sens Wksht Prod X'!E176</f>
        <v>0</v>
      </c>
      <c r="F36" s="67">
        <f>'Price Sens Wksht Prod X'!F176</f>
        <v>0</v>
      </c>
      <c r="G36" s="67">
        <f>'Price Sens Wksht Prod X'!G176</f>
        <v>0</v>
      </c>
      <c r="H36" s="67">
        <f>'Price Sens Wksht Prod X'!H176</f>
        <v>0</v>
      </c>
      <c r="I36" s="67">
        <f>'Price Sens Wksht Prod X'!I176</f>
        <v>12847035</v>
      </c>
      <c r="J36" s="67">
        <f>'Price Sens Wksht Prod X'!J176</f>
        <v>0</v>
      </c>
      <c r="K36" s="67">
        <f>'Price Sens Wksht Prod X'!K176</f>
        <v>0</v>
      </c>
      <c r="L36" s="67">
        <f>'Price Sens Wksht Prod X'!L176</f>
        <v>0</v>
      </c>
      <c r="M36" s="67">
        <f>'Price Sens Wksht Prod X'!M176</f>
        <v>0</v>
      </c>
      <c r="N36" s="67">
        <f>'Price Sens Wksht Prod X'!N176</f>
        <v>0</v>
      </c>
      <c r="O36" s="67">
        <f>'After Tax Analysis'!O22</f>
        <v>0</v>
      </c>
      <c r="P36" s="326">
        <f t="shared" si="7"/>
        <v>12847035</v>
      </c>
      <c r="Q36" s="2"/>
    </row>
    <row r="37" spans="1:20" x14ac:dyDescent="0.15">
      <c r="B37" s="340" t="str">
        <f>'After Tax Analysis'!B23</f>
        <v>14b / "Capital &amp; Depr"</v>
      </c>
      <c r="C37" s="12" t="str">
        <f>'After Tax Analysis'!C23</f>
        <v>Non-depreciable capital</v>
      </c>
      <c r="D37" s="67">
        <f>'Price Sens Wksht Prod X'!D177</f>
        <v>-1500000</v>
      </c>
      <c r="E37" s="67">
        <f>'Price Sens Wksht Prod X'!E177</f>
        <v>0</v>
      </c>
      <c r="F37" s="67">
        <f>'Price Sens Wksht Prod X'!F177</f>
        <v>0</v>
      </c>
      <c r="G37" s="67">
        <f>'Price Sens Wksht Prod X'!G177</f>
        <v>0</v>
      </c>
      <c r="H37" s="67">
        <f>'Price Sens Wksht Prod X'!H177</f>
        <v>0</v>
      </c>
      <c r="I37" s="67">
        <f>'Price Sens Wksht Prod X'!I177</f>
        <v>1500000</v>
      </c>
      <c r="J37" s="67">
        <f>'Price Sens Wksht Prod X'!J177</f>
        <v>0</v>
      </c>
      <c r="K37" s="67">
        <f>'Price Sens Wksht Prod X'!K177</f>
        <v>0</v>
      </c>
      <c r="L37" s="67">
        <f>'Price Sens Wksht Prod X'!L177</f>
        <v>0</v>
      </c>
      <c r="M37" s="67">
        <f>'Price Sens Wksht Prod X'!M177</f>
        <v>0</v>
      </c>
      <c r="N37" s="67">
        <f>'Price Sens Wksht Prod X'!N177</f>
        <v>0</v>
      </c>
      <c r="O37" s="67">
        <f>'After Tax Analysis'!O23</f>
        <v>0</v>
      </c>
      <c r="P37" s="326">
        <f t="shared" si="7"/>
        <v>1500000</v>
      </c>
      <c r="Q37" s="2"/>
    </row>
    <row r="38" spans="1:20" x14ac:dyDescent="0.15">
      <c r="B38" s="340" t="str">
        <f>'After Tax Analysis'!B24</f>
        <v>14c / "Capital &amp; Depr"</v>
      </c>
      <c r="C38" s="12" t="str">
        <f>'After Tax Analysis'!C24</f>
        <v>Loan Proceeds</v>
      </c>
      <c r="D38" s="67">
        <f>'Price Sens Wksht Prod X'!D178</f>
        <v>0</v>
      </c>
      <c r="E38" s="67">
        <f>'Price Sens Wksht Prod X'!E178</f>
        <v>0</v>
      </c>
      <c r="F38" s="67">
        <f>'Price Sens Wksht Prod X'!F178</f>
        <v>0</v>
      </c>
      <c r="G38" s="67">
        <f>'Price Sens Wksht Prod X'!G178</f>
        <v>0</v>
      </c>
      <c r="H38" s="67">
        <f>'Price Sens Wksht Prod X'!H178</f>
        <v>0</v>
      </c>
      <c r="I38" s="67">
        <f>'Price Sens Wksht Prod X'!I178</f>
        <v>0</v>
      </c>
      <c r="J38" s="67">
        <f>'Price Sens Wksht Prod X'!J178</f>
        <v>0</v>
      </c>
      <c r="K38" s="67">
        <f>'Price Sens Wksht Prod X'!K178</f>
        <v>0</v>
      </c>
      <c r="L38" s="67">
        <f>'Price Sens Wksht Prod X'!L178</f>
        <v>0</v>
      </c>
      <c r="M38" s="67">
        <f>'Price Sens Wksht Prod X'!M178</f>
        <v>0</v>
      </c>
      <c r="N38" s="67">
        <f>'Price Sens Wksht Prod X'!N178</f>
        <v>0</v>
      </c>
      <c r="O38" s="67">
        <f>'After Tax Analysis'!O24</f>
        <v>0</v>
      </c>
      <c r="P38" s="326">
        <f t="shared" si="7"/>
        <v>0</v>
      </c>
      <c r="Q38" s="2"/>
    </row>
    <row r="39" spans="1:20" x14ac:dyDescent="0.15">
      <c r="B39" s="340" t="str">
        <f>'After Tax Analysis'!B25</f>
        <v>15 / "Capital Gains Wksht"</v>
      </c>
      <c r="C39" s="12" t="str">
        <f>'After Tax Analysis'!C25</f>
        <v>Capital Gains/Losses</v>
      </c>
      <c r="D39" s="67">
        <f>'Price Sens Wksht Prod X'!D179</f>
        <v>0</v>
      </c>
      <c r="E39" s="67">
        <f>'Price Sens Wksht Prod X'!E179</f>
        <v>0</v>
      </c>
      <c r="F39" s="67">
        <f>'Price Sens Wksht Prod X'!F179</f>
        <v>0</v>
      </c>
      <c r="G39" s="67">
        <f>'Price Sens Wksht Prod X'!G179</f>
        <v>0</v>
      </c>
      <c r="H39" s="67">
        <f>'Price Sens Wksht Prod X'!H179</f>
        <v>0</v>
      </c>
      <c r="I39" s="67">
        <f>'Price Sens Wksht Prod X'!I179</f>
        <v>-2596968.7000000002</v>
      </c>
      <c r="J39" s="67">
        <f>'Price Sens Wksht Prod X'!J179</f>
        <v>0</v>
      </c>
      <c r="K39" s="67">
        <f>'Price Sens Wksht Prod X'!K179</f>
        <v>0</v>
      </c>
      <c r="L39" s="67">
        <f>'Price Sens Wksht Prod X'!L179</f>
        <v>0</v>
      </c>
      <c r="M39" s="67">
        <f>'Price Sens Wksht Prod X'!M179</f>
        <v>0</v>
      </c>
      <c r="N39" s="67">
        <f>'Price Sens Wksht Prod X'!N179</f>
        <v>0</v>
      </c>
      <c r="O39" s="67">
        <f>'After Tax Analysis'!O25</f>
        <v>0</v>
      </c>
      <c r="P39" s="326">
        <f t="shared" si="7"/>
        <v>-2596968.7000000002</v>
      </c>
      <c r="Q39" s="2"/>
    </row>
    <row r="40" spans="1:20" ht="14" thickBot="1" x14ac:dyDescent="0.2">
      <c r="B40" s="340" t="str">
        <f>'After Tax Analysis'!B26</f>
        <v>16 / "Initial Inputs"</v>
      </c>
      <c r="C40" s="12" t="str">
        <f>'After Tax Analysis'!C26</f>
        <v>Working Capital</v>
      </c>
      <c r="D40" s="67">
        <f>'Price Sens Wksht Prod X'!D180</f>
        <v>-60000000</v>
      </c>
      <c r="E40" s="67">
        <f>'Price Sens Wksht Prod X'!E180</f>
        <v>0</v>
      </c>
      <c r="F40" s="67">
        <f>'Price Sens Wksht Prod X'!F180</f>
        <v>0</v>
      </c>
      <c r="G40" s="67">
        <f>'Price Sens Wksht Prod X'!G180</f>
        <v>0</v>
      </c>
      <c r="H40" s="67">
        <f>'Price Sens Wksht Prod X'!H180</f>
        <v>0</v>
      </c>
      <c r="I40" s="67">
        <f>'Price Sens Wksht Prod X'!I180</f>
        <v>60000000</v>
      </c>
      <c r="J40" s="67">
        <f>'Price Sens Wksht Prod X'!J180</f>
        <v>0</v>
      </c>
      <c r="K40" s="67">
        <f>'Price Sens Wksht Prod X'!K180</f>
        <v>0</v>
      </c>
      <c r="L40" s="67">
        <f>'Price Sens Wksht Prod X'!L180</f>
        <v>0</v>
      </c>
      <c r="M40" s="67">
        <f>'Price Sens Wksht Prod X'!M180</f>
        <v>0</v>
      </c>
      <c r="N40" s="67">
        <f>'Price Sens Wksht Prod X'!N180</f>
        <v>0</v>
      </c>
      <c r="O40" s="67">
        <f>'After Tax Analysis'!O26</f>
        <v>0</v>
      </c>
      <c r="P40" s="326">
        <f t="shared" si="7"/>
        <v>60000000</v>
      </c>
      <c r="Q40" s="2"/>
    </row>
    <row r="41" spans="1:20" ht="14" thickBot="1" x14ac:dyDescent="0.2">
      <c r="B41" s="340">
        <f>'After Tax Analysis'!B27</f>
        <v>17</v>
      </c>
      <c r="C41" s="12" t="str">
        <f>'After Tax Analysis'!C27</f>
        <v>Net Capital Cash Flow (13+14a+14b+14c+15+16)</v>
      </c>
      <c r="D41" s="67">
        <f>D34+D35+D39+D40</f>
        <v>-92550000</v>
      </c>
      <c r="E41" s="67">
        <f t="shared" ref="E41:N41" si="15">E34+E35+E39+E40</f>
        <v>0</v>
      </c>
      <c r="F41" s="67">
        <f t="shared" si="15"/>
        <v>0</v>
      </c>
      <c r="G41" s="67">
        <f t="shared" si="15"/>
        <v>0</v>
      </c>
      <c r="H41" s="67">
        <f t="shared" si="15"/>
        <v>0</v>
      </c>
      <c r="I41" s="67">
        <f t="shared" si="15"/>
        <v>71750066.299999997</v>
      </c>
      <c r="J41" s="67">
        <f t="shared" si="15"/>
        <v>0</v>
      </c>
      <c r="K41" s="67">
        <f t="shared" si="15"/>
        <v>0</v>
      </c>
      <c r="L41" s="67">
        <f t="shared" si="15"/>
        <v>0</v>
      </c>
      <c r="M41" s="67">
        <f t="shared" si="15"/>
        <v>0</v>
      </c>
      <c r="N41" s="67">
        <f t="shared" si="15"/>
        <v>0</v>
      </c>
      <c r="O41" s="67">
        <f>'After Tax Analysis'!O27</f>
        <v>0</v>
      </c>
      <c r="P41" s="326">
        <f t="shared" si="7"/>
        <v>71750066.299999997</v>
      </c>
      <c r="Q41" s="461"/>
      <c r="R41" s="357" t="s">
        <v>693</v>
      </c>
      <c r="T41" s="334"/>
    </row>
    <row r="42" spans="1:20" ht="14" thickBot="1" x14ac:dyDescent="0.2">
      <c r="A42" s="1" t="s">
        <v>688</v>
      </c>
      <c r="B42" s="355">
        <f>'After Tax Analysis'!B28</f>
        <v>18</v>
      </c>
      <c r="C42" s="335" t="str">
        <f>'After Tax Analysis'!C28</f>
        <v>Total Cash Flow (12+17)</v>
      </c>
      <c r="D42" s="67">
        <f>D33+D41</f>
        <v>-92550000</v>
      </c>
      <c r="E42" s="67">
        <f t="shared" ref="E42:N42" si="16">E33+E41</f>
        <v>-2487250</v>
      </c>
      <c r="F42" s="67">
        <f t="shared" si="16"/>
        <v>-10659707.499999978</v>
      </c>
      <c r="G42" s="67">
        <f t="shared" si="16"/>
        <v>-21889120.41587501</v>
      </c>
      <c r="H42" s="67">
        <f t="shared" si="16"/>
        <v>-34799864.855009586</v>
      </c>
      <c r="I42" s="67">
        <f t="shared" si="16"/>
        <v>21793835.946036421</v>
      </c>
      <c r="J42" s="67">
        <f t="shared" si="16"/>
        <v>0</v>
      </c>
      <c r="K42" s="67">
        <f t="shared" si="16"/>
        <v>0</v>
      </c>
      <c r="L42" s="67">
        <f t="shared" si="16"/>
        <v>0</v>
      </c>
      <c r="M42" s="67">
        <f t="shared" si="16"/>
        <v>0</v>
      </c>
      <c r="N42" s="67">
        <f t="shared" si="16"/>
        <v>0</v>
      </c>
      <c r="O42" s="331">
        <f>'After Tax Analysis'!O28</f>
        <v>0</v>
      </c>
      <c r="P42" s="326">
        <f t="shared" si="7"/>
        <v>-48042106.824848153</v>
      </c>
      <c r="Q42" s="462"/>
      <c r="R42" s="358" t="str">
        <f>IF(ISNUMBER(IRR(D42:N42)),IRR(D42:N42),"NMF")</f>
        <v>NMF</v>
      </c>
      <c r="S42" s="1" t="s">
        <v>688</v>
      </c>
    </row>
    <row r="43" spans="1:20" x14ac:dyDescent="0.15">
      <c r="D43" s="2">
        <f>'Price Sens Wksht Prod Y'!D42</f>
        <v>-92550000</v>
      </c>
      <c r="E43" s="2">
        <f>'Price Sens Wksht Prod Y'!E42</f>
        <v>50012750</v>
      </c>
      <c r="F43" s="2">
        <f>'Price Sens Wksht Prod Y'!F42</f>
        <v>44202792.500000022</v>
      </c>
      <c r="G43" s="2">
        <f>'Price Sens Wksht Prod Y'!G42</f>
        <v>35442192.08412499</v>
      </c>
      <c r="H43" s="2">
        <f>'Price Sens Wksht Prod Y'!H42</f>
        <v>25111356.707490433</v>
      </c>
      <c r="I43" s="2">
        <f>'Price Sens Wksht Prod Y'!I42</f>
        <v>84401062.478848949</v>
      </c>
      <c r="J43" s="2">
        <f>'Price Sens Wksht Prod Y'!J42</f>
        <v>0</v>
      </c>
      <c r="K43" s="2">
        <f>'Price Sens Wksht Prod Y'!K42</f>
        <v>0</v>
      </c>
      <c r="L43" s="2">
        <f>'Price Sens Wksht Prod Y'!L42</f>
        <v>0</v>
      </c>
      <c r="M43" s="2">
        <f>'Price Sens Wksht Prod Y'!M42</f>
        <v>0</v>
      </c>
      <c r="N43" s="2">
        <f>'Price Sens Wksht Prod Y'!N42</f>
        <v>0</v>
      </c>
      <c r="O43" s="2">
        <f>'Price Sens Wksht Prod Y'!O42</f>
        <v>0</v>
      </c>
      <c r="P43" s="2">
        <f>'Price Sens Wksht Prod Y'!P42</f>
        <v>239170153.77046442</v>
      </c>
      <c r="S43" s="2"/>
    </row>
    <row r="44" spans="1:20" ht="14" thickBot="1" x14ac:dyDescent="0.2">
      <c r="S44" s="2"/>
    </row>
    <row r="45" spans="1:20" ht="14" thickBot="1" x14ac:dyDescent="0.2">
      <c r="B45" s="359" t="s">
        <v>282</v>
      </c>
      <c r="C45" s="360" t="s">
        <v>283</v>
      </c>
      <c r="D45" s="360"/>
      <c r="E45" s="360">
        <v>1</v>
      </c>
      <c r="F45" s="360">
        <v>2</v>
      </c>
      <c r="G45" s="360">
        <v>3</v>
      </c>
      <c r="H45" s="360">
        <v>4</v>
      </c>
      <c r="I45" s="360">
        <v>5</v>
      </c>
      <c r="J45" s="360">
        <v>6</v>
      </c>
      <c r="K45" s="360">
        <v>7</v>
      </c>
      <c r="L45" s="360">
        <v>8</v>
      </c>
      <c r="M45" s="360">
        <v>9</v>
      </c>
      <c r="N45" s="360">
        <v>10</v>
      </c>
      <c r="O45" s="360" t="s">
        <v>284</v>
      </c>
      <c r="P45" s="361" t="s">
        <v>285</v>
      </c>
      <c r="S45" s="2"/>
    </row>
    <row r="46" spans="1:20" x14ac:dyDescent="0.15">
      <c r="B46" s="339" t="s">
        <v>687</v>
      </c>
      <c r="C46" s="302" t="s">
        <v>287</v>
      </c>
      <c r="D46" s="322">
        <f t="shared" ref="D46:D51" si="17">D158</f>
        <v>0</v>
      </c>
      <c r="E46" s="322">
        <f t="shared" ref="E46:N46" si="18">E158</f>
        <v>300000000</v>
      </c>
      <c r="F46" s="322">
        <f t="shared" si="18"/>
        <v>313500000.00000006</v>
      </c>
      <c r="G46" s="322">
        <f t="shared" si="18"/>
        <v>327607500.00000006</v>
      </c>
      <c r="H46" s="322">
        <f t="shared" si="18"/>
        <v>342349837.50000012</v>
      </c>
      <c r="I46" s="322">
        <f t="shared" si="18"/>
        <v>357755580.18750012</v>
      </c>
      <c r="J46" s="322">
        <f t="shared" si="18"/>
        <v>0</v>
      </c>
      <c r="K46" s="322">
        <f t="shared" si="18"/>
        <v>0</v>
      </c>
      <c r="L46" s="322">
        <f t="shared" si="18"/>
        <v>0</v>
      </c>
      <c r="M46" s="322">
        <f t="shared" si="18"/>
        <v>0</v>
      </c>
      <c r="N46" s="322">
        <f t="shared" si="18"/>
        <v>0</v>
      </c>
      <c r="O46" s="322">
        <v>0</v>
      </c>
      <c r="P46" s="325">
        <f>SUM(E46:N46)</f>
        <v>1641212917.6875</v>
      </c>
      <c r="Q46" s="2"/>
      <c r="S46" s="2"/>
    </row>
    <row r="47" spans="1:20" x14ac:dyDescent="0.15">
      <c r="A47" s="1" t="s">
        <v>694</v>
      </c>
      <c r="B47" s="355" t="s">
        <v>689</v>
      </c>
      <c r="C47" s="362" t="s">
        <v>689</v>
      </c>
      <c r="D47" s="331">
        <f t="shared" si="17"/>
        <v>0</v>
      </c>
      <c r="E47" s="331">
        <f>E159*0.8</f>
        <v>240000000</v>
      </c>
      <c r="F47" s="331">
        <f t="shared" ref="F47:N47" si="19">F159*0.8</f>
        <v>250800000.00000006</v>
      </c>
      <c r="G47" s="331">
        <f t="shared" si="19"/>
        <v>262086000.00000006</v>
      </c>
      <c r="H47" s="331">
        <f t="shared" si="19"/>
        <v>273879870.00000012</v>
      </c>
      <c r="I47" s="331">
        <f t="shared" si="19"/>
        <v>286204464.1500001</v>
      </c>
      <c r="J47" s="331">
        <f t="shared" si="19"/>
        <v>0</v>
      </c>
      <c r="K47" s="331">
        <f t="shared" si="19"/>
        <v>0</v>
      </c>
      <c r="L47" s="331">
        <f t="shared" si="19"/>
        <v>0</v>
      </c>
      <c r="M47" s="331">
        <f t="shared" si="19"/>
        <v>0</v>
      </c>
      <c r="N47" s="331">
        <f t="shared" si="19"/>
        <v>0</v>
      </c>
      <c r="O47" s="331"/>
      <c r="P47" s="356">
        <f>SUM(E47:N47)</f>
        <v>1312970334.1500003</v>
      </c>
      <c r="Q47" s="460"/>
      <c r="S47" s="2"/>
    </row>
    <row r="48" spans="1:20" x14ac:dyDescent="0.15">
      <c r="B48" s="340" t="s">
        <v>690</v>
      </c>
      <c r="C48" s="354" t="s">
        <v>690</v>
      </c>
      <c r="D48" s="67">
        <f t="shared" si="17"/>
        <v>0</v>
      </c>
      <c r="E48" s="67">
        <f t="shared" ref="E48:N48" si="20">E160</f>
        <v>0</v>
      </c>
      <c r="F48" s="67">
        <f t="shared" si="20"/>
        <v>0</v>
      </c>
      <c r="G48" s="67">
        <f t="shared" si="20"/>
        <v>0</v>
      </c>
      <c r="H48" s="67">
        <f t="shared" si="20"/>
        <v>0</v>
      </c>
      <c r="I48" s="67">
        <f t="shared" si="20"/>
        <v>0</v>
      </c>
      <c r="J48" s="67">
        <f t="shared" si="20"/>
        <v>0</v>
      </c>
      <c r="K48" s="67">
        <f t="shared" si="20"/>
        <v>0</v>
      </c>
      <c r="L48" s="67">
        <f t="shared" si="20"/>
        <v>0</v>
      </c>
      <c r="M48" s="67">
        <f t="shared" si="20"/>
        <v>0</v>
      </c>
      <c r="N48" s="67">
        <f t="shared" si="20"/>
        <v>0</v>
      </c>
      <c r="O48" s="289"/>
      <c r="P48" s="326">
        <f>SUM(E48:N48)</f>
        <v>0</v>
      </c>
      <c r="Q48" s="2"/>
      <c r="S48" s="2"/>
    </row>
    <row r="49" spans="2:19" x14ac:dyDescent="0.15">
      <c r="B49" s="340" t="s">
        <v>691</v>
      </c>
      <c r="C49" s="354" t="s">
        <v>691</v>
      </c>
      <c r="D49" s="67">
        <f t="shared" si="17"/>
        <v>0</v>
      </c>
      <c r="E49" s="67">
        <f t="shared" ref="E49:N49" si="21">E161</f>
        <v>0</v>
      </c>
      <c r="F49" s="67">
        <f t="shared" si="21"/>
        <v>0</v>
      </c>
      <c r="G49" s="67">
        <f t="shared" si="21"/>
        <v>0</v>
      </c>
      <c r="H49" s="67">
        <f t="shared" si="21"/>
        <v>0</v>
      </c>
      <c r="I49" s="67">
        <f t="shared" si="21"/>
        <v>0</v>
      </c>
      <c r="J49" s="67">
        <f t="shared" si="21"/>
        <v>0</v>
      </c>
      <c r="K49" s="67">
        <f t="shared" si="21"/>
        <v>0</v>
      </c>
      <c r="L49" s="67">
        <f t="shared" si="21"/>
        <v>0</v>
      </c>
      <c r="M49" s="67">
        <f t="shared" si="21"/>
        <v>0</v>
      </c>
      <c r="N49" s="67">
        <f t="shared" si="21"/>
        <v>0</v>
      </c>
      <c r="O49" s="67"/>
      <c r="P49" s="326">
        <f>SUM(E49:N49)</f>
        <v>0</v>
      </c>
      <c r="Q49" s="2"/>
      <c r="S49" s="2"/>
    </row>
    <row r="50" spans="2:19" x14ac:dyDescent="0.15">
      <c r="B50" s="340" t="s">
        <v>695</v>
      </c>
      <c r="C50" s="12"/>
      <c r="D50" s="67">
        <f t="shared" si="17"/>
        <v>0</v>
      </c>
      <c r="E50" s="67">
        <f>E49+E48+E47</f>
        <v>240000000</v>
      </c>
      <c r="F50" s="67">
        <f t="shared" ref="F50:N50" si="22">F49+F48+F47</f>
        <v>250800000.00000006</v>
      </c>
      <c r="G50" s="67">
        <f t="shared" si="22"/>
        <v>262086000.00000006</v>
      </c>
      <c r="H50" s="67">
        <f t="shared" si="22"/>
        <v>273879870.00000012</v>
      </c>
      <c r="I50" s="67">
        <f t="shared" si="22"/>
        <v>286204464.1500001</v>
      </c>
      <c r="J50" s="67">
        <f t="shared" si="22"/>
        <v>0</v>
      </c>
      <c r="K50" s="67">
        <f t="shared" si="22"/>
        <v>0</v>
      </c>
      <c r="L50" s="67">
        <f t="shared" si="22"/>
        <v>0</v>
      </c>
      <c r="M50" s="67">
        <f t="shared" si="22"/>
        <v>0</v>
      </c>
      <c r="N50" s="67">
        <f t="shared" si="22"/>
        <v>0</v>
      </c>
      <c r="O50" s="67"/>
      <c r="P50" s="326">
        <f t="shared" ref="P50:P69" si="23">SUM(E50:N50)</f>
        <v>1312970334.1500003</v>
      </c>
      <c r="Q50" s="2"/>
      <c r="S50" s="2"/>
    </row>
    <row r="51" spans="2:19" x14ac:dyDescent="0.15">
      <c r="B51" s="340" t="s">
        <v>696</v>
      </c>
      <c r="C51" s="12" t="s">
        <v>289</v>
      </c>
      <c r="D51" s="67">
        <f t="shared" si="17"/>
        <v>0</v>
      </c>
      <c r="E51" s="67">
        <f t="shared" ref="E51:N51" si="24">E163</f>
        <v>230170000</v>
      </c>
      <c r="F51" s="67">
        <f t="shared" si="24"/>
        <v>253018375.00000003</v>
      </c>
      <c r="G51" s="67">
        <f t="shared" si="24"/>
        <v>278725718.45125008</v>
      </c>
      <c r="H51" s="67">
        <f t="shared" si="24"/>
        <v>307665975.06072807</v>
      </c>
      <c r="I51" s="67">
        <f t="shared" si="24"/>
        <v>340262566.36057305</v>
      </c>
      <c r="J51" s="67">
        <f t="shared" si="24"/>
        <v>0</v>
      </c>
      <c r="K51" s="67">
        <f t="shared" si="24"/>
        <v>0</v>
      </c>
      <c r="L51" s="67">
        <f t="shared" si="24"/>
        <v>0</v>
      </c>
      <c r="M51" s="67">
        <f t="shared" si="24"/>
        <v>0</v>
      </c>
      <c r="N51" s="67">
        <f t="shared" si="24"/>
        <v>0</v>
      </c>
      <c r="O51" s="67">
        <v>0</v>
      </c>
      <c r="P51" s="326">
        <f t="shared" si="23"/>
        <v>1409842634.8725512</v>
      </c>
      <c r="Q51" s="2"/>
      <c r="S51" s="2"/>
    </row>
    <row r="52" spans="2:19" x14ac:dyDescent="0.15">
      <c r="B52" s="340">
        <v>3</v>
      </c>
      <c r="C52" s="12" t="s">
        <v>290</v>
      </c>
      <c r="D52" s="67">
        <f>D50-D51</f>
        <v>0</v>
      </c>
      <c r="E52" s="67">
        <f>E50-E51</f>
        <v>9830000</v>
      </c>
      <c r="F52" s="67">
        <f t="shared" ref="F52:N52" si="25">F50-F51</f>
        <v>-2218374.9999999702</v>
      </c>
      <c r="G52" s="67">
        <f t="shared" si="25"/>
        <v>-16639718.451250017</v>
      </c>
      <c r="H52" s="67">
        <f t="shared" si="25"/>
        <v>-33786105.060727954</v>
      </c>
      <c r="I52" s="67">
        <f t="shared" si="25"/>
        <v>-54058102.210572958</v>
      </c>
      <c r="J52" s="67">
        <f t="shared" si="25"/>
        <v>0</v>
      </c>
      <c r="K52" s="67">
        <f t="shared" si="25"/>
        <v>0</v>
      </c>
      <c r="L52" s="67">
        <f t="shared" si="25"/>
        <v>0</v>
      </c>
      <c r="M52" s="67">
        <f t="shared" si="25"/>
        <v>0</v>
      </c>
      <c r="N52" s="67">
        <f t="shared" si="25"/>
        <v>0</v>
      </c>
      <c r="O52" s="67">
        <v>0</v>
      </c>
      <c r="P52" s="326">
        <f t="shared" si="23"/>
        <v>-96872300.722550899</v>
      </c>
      <c r="Q52" s="2"/>
      <c r="S52" s="2"/>
    </row>
    <row r="53" spans="2:19" x14ac:dyDescent="0.15">
      <c r="B53" s="340" t="s">
        <v>697</v>
      </c>
      <c r="C53" s="12" t="s">
        <v>292</v>
      </c>
      <c r="D53" s="67">
        <f t="shared" ref="D53:N68" si="26">D165</f>
        <v>0</v>
      </c>
      <c r="E53" s="67">
        <f t="shared" si="26"/>
        <v>3772500</v>
      </c>
      <c r="F53" s="67">
        <f t="shared" si="26"/>
        <v>6218850</v>
      </c>
      <c r="G53" s="67">
        <f t="shared" si="26"/>
        <v>4083150</v>
      </c>
      <c r="H53" s="67">
        <f t="shared" si="26"/>
        <v>2775510</v>
      </c>
      <c r="I53" s="67">
        <f t="shared" si="26"/>
        <v>1352955</v>
      </c>
      <c r="J53" s="67">
        <f t="shared" si="26"/>
        <v>0</v>
      </c>
      <c r="K53" s="67">
        <f t="shared" si="26"/>
        <v>0</v>
      </c>
      <c r="L53" s="67">
        <f t="shared" si="26"/>
        <v>0</v>
      </c>
      <c r="M53" s="67">
        <f t="shared" si="26"/>
        <v>0</v>
      </c>
      <c r="N53" s="67">
        <f t="shared" si="26"/>
        <v>0</v>
      </c>
      <c r="O53" s="67">
        <v>0</v>
      </c>
      <c r="P53" s="326">
        <f t="shared" si="23"/>
        <v>18202965</v>
      </c>
      <c r="Q53" s="2"/>
      <c r="S53" s="2"/>
    </row>
    <row r="54" spans="2:19" x14ac:dyDescent="0.15">
      <c r="B54" s="340">
        <v>5</v>
      </c>
      <c r="C54" s="12" t="s">
        <v>293</v>
      </c>
      <c r="D54" s="67">
        <f>D52-D53</f>
        <v>0</v>
      </c>
      <c r="E54" s="67">
        <f t="shared" ref="E54:N54" si="27">E52-E53</f>
        <v>6057500</v>
      </c>
      <c r="F54" s="67">
        <f t="shared" si="27"/>
        <v>-8437224.9999999702</v>
      </c>
      <c r="G54" s="67">
        <f t="shared" si="27"/>
        <v>-20722868.451250017</v>
      </c>
      <c r="H54" s="67">
        <f t="shared" si="27"/>
        <v>-36561615.060727954</v>
      </c>
      <c r="I54" s="67">
        <f t="shared" si="27"/>
        <v>-55411057.210572958</v>
      </c>
      <c r="J54" s="67">
        <f t="shared" si="27"/>
        <v>0</v>
      </c>
      <c r="K54" s="67">
        <f t="shared" si="27"/>
        <v>0</v>
      </c>
      <c r="L54" s="67">
        <f t="shared" si="27"/>
        <v>0</v>
      </c>
      <c r="M54" s="67">
        <f t="shared" si="27"/>
        <v>0</v>
      </c>
      <c r="N54" s="67">
        <f t="shared" si="27"/>
        <v>0</v>
      </c>
      <c r="O54" s="67">
        <v>0</v>
      </c>
      <c r="P54" s="326">
        <f t="shared" si="23"/>
        <v>-115075265.7225509</v>
      </c>
      <c r="Q54" s="2"/>
      <c r="S54" s="2"/>
    </row>
    <row r="55" spans="2:19" x14ac:dyDescent="0.15">
      <c r="B55" s="340" t="s">
        <v>698</v>
      </c>
      <c r="C55" s="12" t="s">
        <v>295</v>
      </c>
      <c r="D55" s="67">
        <f t="shared" si="26"/>
        <v>0</v>
      </c>
      <c r="E55" s="67">
        <f t="shared" si="26"/>
        <v>0</v>
      </c>
      <c r="F55" s="67">
        <f t="shared" si="26"/>
        <v>0</v>
      </c>
      <c r="G55" s="67">
        <f t="shared" si="26"/>
        <v>0</v>
      </c>
      <c r="H55" s="67">
        <f t="shared" si="26"/>
        <v>0</v>
      </c>
      <c r="I55" s="67">
        <f t="shared" si="26"/>
        <v>0</v>
      </c>
      <c r="J55" s="67">
        <f t="shared" si="26"/>
        <v>0</v>
      </c>
      <c r="K55" s="67">
        <f t="shared" si="26"/>
        <v>0</v>
      </c>
      <c r="L55" s="67">
        <f t="shared" si="26"/>
        <v>0</v>
      </c>
      <c r="M55" s="67">
        <f t="shared" si="26"/>
        <v>0</v>
      </c>
      <c r="N55" s="67">
        <f t="shared" si="26"/>
        <v>0</v>
      </c>
      <c r="O55" s="67">
        <v>0</v>
      </c>
      <c r="P55" s="326">
        <f t="shared" si="23"/>
        <v>0</v>
      </c>
      <c r="Q55" s="2"/>
      <c r="S55" s="2"/>
    </row>
    <row r="56" spans="2:19" x14ac:dyDescent="0.15">
      <c r="B56" s="340">
        <v>7</v>
      </c>
      <c r="C56" s="12" t="s">
        <v>296</v>
      </c>
      <c r="D56" s="67">
        <f>D54-D55</f>
        <v>0</v>
      </c>
      <c r="E56" s="67">
        <f t="shared" ref="E56:N56" si="28">E54-E55</f>
        <v>6057500</v>
      </c>
      <c r="F56" s="67">
        <f t="shared" si="28"/>
        <v>-8437224.9999999702</v>
      </c>
      <c r="G56" s="67">
        <f t="shared" si="28"/>
        <v>-20722868.451250017</v>
      </c>
      <c r="H56" s="67">
        <f t="shared" si="28"/>
        <v>-36561615.060727954</v>
      </c>
      <c r="I56" s="67">
        <f t="shared" si="28"/>
        <v>-55411057.210572958</v>
      </c>
      <c r="J56" s="67">
        <f t="shared" si="28"/>
        <v>0</v>
      </c>
      <c r="K56" s="67">
        <f t="shared" si="28"/>
        <v>0</v>
      </c>
      <c r="L56" s="67">
        <f t="shared" si="28"/>
        <v>0</v>
      </c>
      <c r="M56" s="67">
        <f t="shared" si="28"/>
        <v>0</v>
      </c>
      <c r="N56" s="67">
        <f t="shared" si="28"/>
        <v>0</v>
      </c>
      <c r="O56" s="67">
        <v>0</v>
      </c>
      <c r="P56" s="326">
        <f t="shared" si="23"/>
        <v>-115075265.7225509</v>
      </c>
      <c r="Q56" s="2"/>
      <c r="S56" s="2"/>
    </row>
    <row r="57" spans="2:19" x14ac:dyDescent="0.15">
      <c r="B57" s="340">
        <v>8</v>
      </c>
      <c r="C57" s="12" t="s">
        <v>297</v>
      </c>
      <c r="D57" s="67">
        <f>-D56*$D$3</f>
        <v>0</v>
      </c>
      <c r="E57" s="67">
        <f>-E56*$D$3</f>
        <v>-1817250</v>
      </c>
      <c r="F57" s="67">
        <f t="shared" ref="F57:N57" si="29">-F56*$D$3</f>
        <v>2531167.4999999912</v>
      </c>
      <c r="G57" s="67">
        <f t="shared" si="29"/>
        <v>6216860.5353750046</v>
      </c>
      <c r="H57" s="67">
        <f t="shared" si="29"/>
        <v>10968484.518218385</v>
      </c>
      <c r="I57" s="67">
        <f t="shared" si="29"/>
        <v>16623317.163171887</v>
      </c>
      <c r="J57" s="67">
        <f t="shared" si="29"/>
        <v>0</v>
      </c>
      <c r="K57" s="67">
        <f t="shared" si="29"/>
        <v>0</v>
      </c>
      <c r="L57" s="67">
        <f t="shared" si="29"/>
        <v>0</v>
      </c>
      <c r="M57" s="67">
        <f t="shared" si="29"/>
        <v>0</v>
      </c>
      <c r="N57" s="67">
        <f t="shared" si="29"/>
        <v>0</v>
      </c>
      <c r="O57" s="67">
        <v>0</v>
      </c>
      <c r="P57" s="326">
        <f t="shared" si="23"/>
        <v>34522579.71676527</v>
      </c>
      <c r="Q57" s="2"/>
      <c r="S57" s="2"/>
    </row>
    <row r="58" spans="2:19" x14ac:dyDescent="0.15">
      <c r="B58" s="340">
        <v>9</v>
      </c>
      <c r="C58" s="12" t="s">
        <v>298</v>
      </c>
      <c r="D58" s="67">
        <f t="shared" si="26"/>
        <v>0</v>
      </c>
      <c r="E58" s="67">
        <f t="shared" si="26"/>
        <v>0</v>
      </c>
      <c r="F58" s="67">
        <f t="shared" si="26"/>
        <v>0</v>
      </c>
      <c r="G58" s="67">
        <f t="shared" si="26"/>
        <v>0</v>
      </c>
      <c r="H58" s="67">
        <f t="shared" si="26"/>
        <v>0</v>
      </c>
      <c r="I58" s="67">
        <f t="shared" si="26"/>
        <v>0</v>
      </c>
      <c r="J58" s="67">
        <f t="shared" si="26"/>
        <v>0</v>
      </c>
      <c r="K58" s="67">
        <f t="shared" si="26"/>
        <v>0</v>
      </c>
      <c r="L58" s="67">
        <f t="shared" si="26"/>
        <v>0</v>
      </c>
      <c r="M58" s="67">
        <f t="shared" si="26"/>
        <v>0</v>
      </c>
      <c r="N58" s="67">
        <f t="shared" si="26"/>
        <v>0</v>
      </c>
      <c r="O58" s="67">
        <v>0</v>
      </c>
      <c r="P58" s="326">
        <f t="shared" si="23"/>
        <v>0</v>
      </c>
      <c r="Q58" s="2"/>
      <c r="S58" s="2"/>
    </row>
    <row r="59" spans="2:19" x14ac:dyDescent="0.15">
      <c r="B59" s="340">
        <v>10</v>
      </c>
      <c r="C59" s="12" t="s">
        <v>299</v>
      </c>
      <c r="D59" s="67">
        <f>D56+D57+D58</f>
        <v>0</v>
      </c>
      <c r="E59" s="67">
        <f t="shared" ref="E59:N59" si="30">E56+E57+E58</f>
        <v>4240250</v>
      </c>
      <c r="F59" s="67">
        <f t="shared" si="30"/>
        <v>-5906057.4999999795</v>
      </c>
      <c r="G59" s="67">
        <f t="shared" si="30"/>
        <v>-14506007.915875012</v>
      </c>
      <c r="H59" s="67">
        <f t="shared" si="30"/>
        <v>-25593130.542509571</v>
      </c>
      <c r="I59" s="67">
        <f t="shared" si="30"/>
        <v>-38787740.047401071</v>
      </c>
      <c r="J59" s="67">
        <f t="shared" si="30"/>
        <v>0</v>
      </c>
      <c r="K59" s="67">
        <f t="shared" si="30"/>
        <v>0</v>
      </c>
      <c r="L59" s="67">
        <f t="shared" si="30"/>
        <v>0</v>
      </c>
      <c r="M59" s="67">
        <f t="shared" si="30"/>
        <v>0</v>
      </c>
      <c r="N59" s="67">
        <f t="shared" si="30"/>
        <v>0</v>
      </c>
      <c r="O59" s="67">
        <v>0</v>
      </c>
      <c r="P59" s="326">
        <f t="shared" si="23"/>
        <v>-80552686.005785629</v>
      </c>
      <c r="Q59" s="2"/>
      <c r="S59" s="2"/>
    </row>
    <row r="60" spans="2:19" x14ac:dyDescent="0.15">
      <c r="B60" s="340" t="s">
        <v>699</v>
      </c>
      <c r="C60" s="12" t="s">
        <v>292</v>
      </c>
      <c r="D60" s="67">
        <f t="shared" si="26"/>
        <v>0</v>
      </c>
      <c r="E60" s="67">
        <f t="shared" si="26"/>
        <v>3772500</v>
      </c>
      <c r="F60" s="67">
        <f t="shared" si="26"/>
        <v>6218850</v>
      </c>
      <c r="G60" s="67">
        <f t="shared" si="26"/>
        <v>4083150</v>
      </c>
      <c r="H60" s="67">
        <f t="shared" si="26"/>
        <v>2775510</v>
      </c>
      <c r="I60" s="67">
        <f t="shared" si="26"/>
        <v>1352955</v>
      </c>
      <c r="J60" s="67">
        <f t="shared" si="26"/>
        <v>0</v>
      </c>
      <c r="K60" s="67">
        <f t="shared" si="26"/>
        <v>0</v>
      </c>
      <c r="L60" s="67">
        <f t="shared" si="26"/>
        <v>0</v>
      </c>
      <c r="M60" s="67">
        <f t="shared" si="26"/>
        <v>0</v>
      </c>
      <c r="N60" s="67">
        <f t="shared" si="26"/>
        <v>0</v>
      </c>
      <c r="O60" s="67">
        <v>0</v>
      </c>
      <c r="P60" s="326">
        <f t="shared" si="23"/>
        <v>18202965</v>
      </c>
      <c r="Q60" s="2"/>
      <c r="S60" s="2"/>
    </row>
    <row r="61" spans="2:19" x14ac:dyDescent="0.15">
      <c r="B61" s="340">
        <v>12</v>
      </c>
      <c r="C61" s="12" t="s">
        <v>301</v>
      </c>
      <c r="D61" s="67">
        <f>D59+D60</f>
        <v>0</v>
      </c>
      <c r="E61" s="67">
        <f t="shared" ref="E61:N61" si="31">E59+E60</f>
        <v>8012750</v>
      </c>
      <c r="F61" s="67">
        <f t="shared" si="31"/>
        <v>312792.50000002049</v>
      </c>
      <c r="G61" s="67">
        <f t="shared" si="31"/>
        <v>-10422857.915875012</v>
      </c>
      <c r="H61" s="67">
        <f t="shared" si="31"/>
        <v>-22817620.542509571</v>
      </c>
      <c r="I61" s="67">
        <f t="shared" si="31"/>
        <v>-37434785.047401071</v>
      </c>
      <c r="J61" s="67">
        <f t="shared" si="31"/>
        <v>0</v>
      </c>
      <c r="K61" s="67">
        <f t="shared" si="31"/>
        <v>0</v>
      </c>
      <c r="L61" s="67">
        <f t="shared" si="31"/>
        <v>0</v>
      </c>
      <c r="M61" s="67">
        <f t="shared" si="31"/>
        <v>0</v>
      </c>
      <c r="N61" s="67">
        <f t="shared" si="31"/>
        <v>0</v>
      </c>
      <c r="O61" s="67">
        <v>0</v>
      </c>
      <c r="P61" s="326">
        <f t="shared" si="23"/>
        <v>-62349721.005785629</v>
      </c>
      <c r="Q61" s="2"/>
      <c r="S61" s="2"/>
    </row>
    <row r="62" spans="2:19" x14ac:dyDescent="0.15">
      <c r="B62" s="340" t="s">
        <v>700</v>
      </c>
      <c r="C62" s="12" t="s">
        <v>303</v>
      </c>
      <c r="D62" s="67">
        <f t="shared" si="26"/>
        <v>0</v>
      </c>
      <c r="E62" s="67">
        <f t="shared" si="26"/>
        <v>0</v>
      </c>
      <c r="F62" s="67">
        <f t="shared" si="26"/>
        <v>0</v>
      </c>
      <c r="G62" s="67">
        <f t="shared" si="26"/>
        <v>0</v>
      </c>
      <c r="H62" s="67">
        <f t="shared" si="26"/>
        <v>0</v>
      </c>
      <c r="I62" s="67">
        <f t="shared" si="26"/>
        <v>0</v>
      </c>
      <c r="J62" s="67">
        <f t="shared" si="26"/>
        <v>0</v>
      </c>
      <c r="K62" s="67">
        <f t="shared" si="26"/>
        <v>0</v>
      </c>
      <c r="L62" s="67">
        <f t="shared" si="26"/>
        <v>0</v>
      </c>
      <c r="M62" s="67">
        <f t="shared" si="26"/>
        <v>0</v>
      </c>
      <c r="N62" s="67">
        <f t="shared" si="26"/>
        <v>0</v>
      </c>
      <c r="O62" s="67">
        <v>0</v>
      </c>
      <c r="P62" s="326">
        <f t="shared" si="23"/>
        <v>0</v>
      </c>
      <c r="Q62" s="2"/>
      <c r="S62" s="2"/>
    </row>
    <row r="63" spans="2:19" x14ac:dyDescent="0.15">
      <c r="B63" s="340">
        <v>14</v>
      </c>
      <c r="C63" s="12" t="s">
        <v>304</v>
      </c>
      <c r="D63" s="67">
        <f>D64+D65+D66</f>
        <v>-32550000</v>
      </c>
      <c r="E63" s="67">
        <f t="shared" ref="E63:N63" si="32">E64+E65+E66</f>
        <v>0</v>
      </c>
      <c r="F63" s="67">
        <f t="shared" si="32"/>
        <v>0</v>
      </c>
      <c r="G63" s="67">
        <f t="shared" si="32"/>
        <v>0</v>
      </c>
      <c r="H63" s="67">
        <f t="shared" si="32"/>
        <v>0</v>
      </c>
      <c r="I63" s="67">
        <f t="shared" si="32"/>
        <v>14347035</v>
      </c>
      <c r="J63" s="67">
        <f t="shared" si="32"/>
        <v>0</v>
      </c>
      <c r="K63" s="67">
        <f t="shared" si="32"/>
        <v>0</v>
      </c>
      <c r="L63" s="67">
        <f t="shared" si="32"/>
        <v>0</v>
      </c>
      <c r="M63" s="67">
        <f t="shared" si="32"/>
        <v>0</v>
      </c>
      <c r="N63" s="67">
        <f t="shared" si="32"/>
        <v>0</v>
      </c>
      <c r="O63" s="67">
        <v>0</v>
      </c>
      <c r="P63" s="326">
        <f t="shared" si="23"/>
        <v>14347035</v>
      </c>
      <c r="Q63" s="2"/>
      <c r="S63" s="2"/>
    </row>
    <row r="64" spans="2:19" x14ac:dyDescent="0.15">
      <c r="B64" s="340" t="s">
        <v>701</v>
      </c>
      <c r="C64" s="12" t="s">
        <v>207</v>
      </c>
      <c r="D64" s="67">
        <f t="shared" si="26"/>
        <v>-31050000</v>
      </c>
      <c r="E64" s="67">
        <f t="shared" si="26"/>
        <v>0</v>
      </c>
      <c r="F64" s="67">
        <f t="shared" si="26"/>
        <v>0</v>
      </c>
      <c r="G64" s="67">
        <f t="shared" si="26"/>
        <v>0</v>
      </c>
      <c r="H64" s="67">
        <f t="shared" si="26"/>
        <v>0</v>
      </c>
      <c r="I64" s="67">
        <f t="shared" si="26"/>
        <v>12847035</v>
      </c>
      <c r="J64" s="67">
        <f t="shared" si="26"/>
        <v>0</v>
      </c>
      <c r="K64" s="67">
        <f t="shared" si="26"/>
        <v>0</v>
      </c>
      <c r="L64" s="67">
        <f t="shared" si="26"/>
        <v>0</v>
      </c>
      <c r="M64" s="67">
        <f t="shared" si="26"/>
        <v>0</v>
      </c>
      <c r="N64" s="67">
        <f t="shared" si="26"/>
        <v>0</v>
      </c>
      <c r="O64" s="67">
        <v>0</v>
      </c>
      <c r="P64" s="326">
        <f t="shared" si="23"/>
        <v>12847035</v>
      </c>
      <c r="Q64" s="2"/>
      <c r="S64" s="2"/>
    </row>
    <row r="65" spans="1:19" x14ac:dyDescent="0.15">
      <c r="B65" s="340" t="s">
        <v>702</v>
      </c>
      <c r="C65" s="12" t="s">
        <v>307</v>
      </c>
      <c r="D65" s="67">
        <f t="shared" si="26"/>
        <v>-1500000</v>
      </c>
      <c r="E65" s="67">
        <f t="shared" si="26"/>
        <v>0</v>
      </c>
      <c r="F65" s="67">
        <f t="shared" si="26"/>
        <v>0</v>
      </c>
      <c r="G65" s="67">
        <f t="shared" si="26"/>
        <v>0</v>
      </c>
      <c r="H65" s="67">
        <f t="shared" si="26"/>
        <v>0</v>
      </c>
      <c r="I65" s="67">
        <f t="shared" si="26"/>
        <v>1500000</v>
      </c>
      <c r="J65" s="67">
        <f t="shared" si="26"/>
        <v>0</v>
      </c>
      <c r="K65" s="67">
        <f t="shared" si="26"/>
        <v>0</v>
      </c>
      <c r="L65" s="67">
        <f t="shared" si="26"/>
        <v>0</v>
      </c>
      <c r="M65" s="67">
        <f t="shared" si="26"/>
        <v>0</v>
      </c>
      <c r="N65" s="67">
        <f t="shared" si="26"/>
        <v>0</v>
      </c>
      <c r="O65" s="67">
        <v>0</v>
      </c>
      <c r="P65" s="326">
        <f t="shared" si="23"/>
        <v>1500000</v>
      </c>
      <c r="Q65" s="2"/>
      <c r="S65" s="2"/>
    </row>
    <row r="66" spans="1:19" x14ac:dyDescent="0.15">
      <c r="B66" s="340" t="s">
        <v>703</v>
      </c>
      <c r="C66" s="12" t="s">
        <v>309</v>
      </c>
      <c r="D66" s="67">
        <f t="shared" si="26"/>
        <v>0</v>
      </c>
      <c r="E66" s="67">
        <f t="shared" si="26"/>
        <v>0</v>
      </c>
      <c r="F66" s="67">
        <f t="shared" si="26"/>
        <v>0</v>
      </c>
      <c r="G66" s="67">
        <f t="shared" si="26"/>
        <v>0</v>
      </c>
      <c r="H66" s="67">
        <f t="shared" si="26"/>
        <v>0</v>
      </c>
      <c r="I66" s="67">
        <f t="shared" si="26"/>
        <v>0</v>
      </c>
      <c r="J66" s="67">
        <f t="shared" si="26"/>
        <v>0</v>
      </c>
      <c r="K66" s="67">
        <f t="shared" si="26"/>
        <v>0</v>
      </c>
      <c r="L66" s="67">
        <f t="shared" si="26"/>
        <v>0</v>
      </c>
      <c r="M66" s="67">
        <f t="shared" si="26"/>
        <v>0</v>
      </c>
      <c r="N66" s="67">
        <f t="shared" si="26"/>
        <v>0</v>
      </c>
      <c r="O66" s="67">
        <v>0</v>
      </c>
      <c r="P66" s="326">
        <f t="shared" si="23"/>
        <v>0</v>
      </c>
      <c r="Q66" s="2"/>
      <c r="S66" s="2"/>
    </row>
    <row r="67" spans="1:19" x14ac:dyDescent="0.15">
      <c r="B67" s="340" t="s">
        <v>704</v>
      </c>
      <c r="C67" s="12" t="s">
        <v>311</v>
      </c>
      <c r="D67" s="67">
        <f t="shared" si="26"/>
        <v>0</v>
      </c>
      <c r="E67" s="67">
        <f t="shared" si="26"/>
        <v>0</v>
      </c>
      <c r="F67" s="67">
        <f t="shared" si="26"/>
        <v>0</v>
      </c>
      <c r="G67" s="67">
        <f t="shared" si="26"/>
        <v>0</v>
      </c>
      <c r="H67" s="67">
        <f t="shared" si="26"/>
        <v>0</v>
      </c>
      <c r="I67" s="67">
        <f t="shared" si="26"/>
        <v>-2596968.7000000002</v>
      </c>
      <c r="J67" s="67">
        <f t="shared" si="26"/>
        <v>0</v>
      </c>
      <c r="K67" s="67">
        <f t="shared" si="26"/>
        <v>0</v>
      </c>
      <c r="L67" s="67">
        <f t="shared" si="26"/>
        <v>0</v>
      </c>
      <c r="M67" s="67">
        <f t="shared" si="26"/>
        <v>0</v>
      </c>
      <c r="N67" s="67">
        <f t="shared" si="26"/>
        <v>0</v>
      </c>
      <c r="O67" s="67">
        <v>0</v>
      </c>
      <c r="P67" s="326">
        <f t="shared" si="23"/>
        <v>-2596968.7000000002</v>
      </c>
      <c r="Q67" s="2"/>
      <c r="S67" s="2"/>
    </row>
    <row r="68" spans="1:19" ht="14" thickBot="1" x14ac:dyDescent="0.2">
      <c r="B68" s="340" t="s">
        <v>705</v>
      </c>
      <c r="C68" s="12" t="s">
        <v>115</v>
      </c>
      <c r="D68" s="67">
        <f t="shared" si="26"/>
        <v>-60000000</v>
      </c>
      <c r="E68" s="67">
        <f t="shared" si="26"/>
        <v>0</v>
      </c>
      <c r="F68" s="67">
        <f t="shared" si="26"/>
        <v>0</v>
      </c>
      <c r="G68" s="67">
        <f t="shared" si="26"/>
        <v>0</v>
      </c>
      <c r="H68" s="67">
        <f t="shared" si="26"/>
        <v>0</v>
      </c>
      <c r="I68" s="67">
        <f t="shared" si="26"/>
        <v>60000000</v>
      </c>
      <c r="J68" s="67">
        <f t="shared" si="26"/>
        <v>0</v>
      </c>
      <c r="K68" s="67">
        <f t="shared" si="26"/>
        <v>0</v>
      </c>
      <c r="L68" s="67">
        <f t="shared" si="26"/>
        <v>0</v>
      </c>
      <c r="M68" s="67">
        <f t="shared" si="26"/>
        <v>0</v>
      </c>
      <c r="N68" s="67">
        <f t="shared" si="26"/>
        <v>0</v>
      </c>
      <c r="O68" s="67">
        <v>0</v>
      </c>
      <c r="P68" s="326">
        <f t="shared" si="23"/>
        <v>60000000</v>
      </c>
      <c r="Q68" s="2"/>
      <c r="S68" s="2"/>
    </row>
    <row r="69" spans="1:19" x14ac:dyDescent="0.15">
      <c r="B69" s="340">
        <v>17</v>
      </c>
      <c r="C69" s="12" t="s">
        <v>313</v>
      </c>
      <c r="D69" s="67">
        <f>D62+D63+D67+D68</f>
        <v>-92550000</v>
      </c>
      <c r="E69" s="67">
        <f t="shared" ref="E69:N69" si="33">E62+E63+E67+E68</f>
        <v>0</v>
      </c>
      <c r="F69" s="67">
        <f t="shared" si="33"/>
        <v>0</v>
      </c>
      <c r="G69" s="67">
        <f t="shared" si="33"/>
        <v>0</v>
      </c>
      <c r="H69" s="67">
        <f t="shared" si="33"/>
        <v>0</v>
      </c>
      <c r="I69" s="67">
        <f t="shared" si="33"/>
        <v>71750066.299999997</v>
      </c>
      <c r="J69" s="67">
        <f t="shared" si="33"/>
        <v>0</v>
      </c>
      <c r="K69" s="67">
        <f t="shared" si="33"/>
        <v>0</v>
      </c>
      <c r="L69" s="67">
        <f t="shared" si="33"/>
        <v>0</v>
      </c>
      <c r="M69" s="67">
        <f t="shared" si="33"/>
        <v>0</v>
      </c>
      <c r="N69" s="67">
        <f t="shared" si="33"/>
        <v>0</v>
      </c>
      <c r="O69" s="67">
        <v>0</v>
      </c>
      <c r="P69" s="326">
        <f t="shared" si="23"/>
        <v>71750066.299999997</v>
      </c>
      <c r="Q69" s="461"/>
      <c r="R69" s="357" t="s">
        <v>693</v>
      </c>
      <c r="S69" s="2"/>
    </row>
    <row r="70" spans="1:19" ht="14" thickBot="1" x14ac:dyDescent="0.2">
      <c r="A70" s="1" t="s">
        <v>694</v>
      </c>
      <c r="B70" s="355">
        <v>18</v>
      </c>
      <c r="C70" s="335" t="s">
        <v>314</v>
      </c>
      <c r="D70" s="67">
        <f>D61+D69</f>
        <v>-92550000</v>
      </c>
      <c r="E70" s="67">
        <f t="shared" ref="E70:N70" si="34">E61+E69</f>
        <v>8012750</v>
      </c>
      <c r="F70" s="67">
        <f t="shared" si="34"/>
        <v>312792.50000002049</v>
      </c>
      <c r="G70" s="67">
        <f t="shared" si="34"/>
        <v>-10422857.915875012</v>
      </c>
      <c r="H70" s="67">
        <f t="shared" si="34"/>
        <v>-22817620.542509571</v>
      </c>
      <c r="I70" s="67">
        <f t="shared" si="34"/>
        <v>34315281.252598926</v>
      </c>
      <c r="J70" s="67">
        <f t="shared" si="34"/>
        <v>0</v>
      </c>
      <c r="K70" s="67">
        <f t="shared" si="34"/>
        <v>0</v>
      </c>
      <c r="L70" s="67">
        <f t="shared" si="34"/>
        <v>0</v>
      </c>
      <c r="M70" s="67">
        <f t="shared" si="34"/>
        <v>0</v>
      </c>
      <c r="N70" s="67">
        <f t="shared" si="34"/>
        <v>0</v>
      </c>
      <c r="O70" s="331">
        <f>O69+O61</f>
        <v>0</v>
      </c>
      <c r="P70" s="331">
        <f>P69+P61</f>
        <v>9400345.2942143679</v>
      </c>
      <c r="Q70" s="464"/>
      <c r="R70" s="358">
        <f>IF(ISNUMBER(IRR(D70:N70)),IRR(D70:N70),"NMF")</f>
        <v>-0.30211094768243363</v>
      </c>
      <c r="S70" s="1" t="s">
        <v>694</v>
      </c>
    </row>
    <row r="71" spans="1:19" x14ac:dyDescent="0.15">
      <c r="B71" s="145"/>
      <c r="S71" s="2"/>
    </row>
    <row r="72" spans="1:19" ht="14" thickBot="1" x14ac:dyDescent="0.2">
      <c r="B72" s="145"/>
      <c r="S72" s="2"/>
    </row>
    <row r="73" spans="1:19" ht="14" thickBot="1" x14ac:dyDescent="0.2">
      <c r="B73" s="359" t="s">
        <v>282</v>
      </c>
      <c r="C73" s="360" t="s">
        <v>283</v>
      </c>
      <c r="D73" s="360"/>
      <c r="E73" s="360">
        <v>1</v>
      </c>
      <c r="F73" s="360">
        <v>2</v>
      </c>
      <c r="G73" s="360">
        <v>3</v>
      </c>
      <c r="H73" s="360">
        <v>4</v>
      </c>
      <c r="I73" s="360">
        <v>5</v>
      </c>
      <c r="J73" s="360">
        <v>6</v>
      </c>
      <c r="K73" s="360">
        <v>7</v>
      </c>
      <c r="L73" s="360">
        <v>8</v>
      </c>
      <c r="M73" s="360">
        <v>9</v>
      </c>
      <c r="N73" s="360">
        <v>10</v>
      </c>
      <c r="O73" s="360" t="s">
        <v>284</v>
      </c>
      <c r="P73" s="361" t="s">
        <v>285</v>
      </c>
      <c r="S73" s="2"/>
    </row>
    <row r="74" spans="1:19" x14ac:dyDescent="0.15">
      <c r="B74" s="339" t="s">
        <v>687</v>
      </c>
      <c r="C74" s="302" t="s">
        <v>287</v>
      </c>
      <c r="D74" s="322">
        <f t="shared" ref="D74:D79" si="35">D158</f>
        <v>0</v>
      </c>
      <c r="E74" s="322">
        <f t="shared" ref="E74:N74" si="36">E158</f>
        <v>300000000</v>
      </c>
      <c r="F74" s="322">
        <f t="shared" si="36"/>
        <v>313500000.00000006</v>
      </c>
      <c r="G74" s="322">
        <f t="shared" si="36"/>
        <v>327607500.00000006</v>
      </c>
      <c r="H74" s="322">
        <f t="shared" si="36"/>
        <v>342349837.50000012</v>
      </c>
      <c r="I74" s="322">
        <f t="shared" si="36"/>
        <v>357755580.18750012</v>
      </c>
      <c r="J74" s="322">
        <f t="shared" si="36"/>
        <v>0</v>
      </c>
      <c r="K74" s="322">
        <f t="shared" si="36"/>
        <v>0</v>
      </c>
      <c r="L74" s="322">
        <f t="shared" si="36"/>
        <v>0</v>
      </c>
      <c r="M74" s="322">
        <f t="shared" si="36"/>
        <v>0</v>
      </c>
      <c r="N74" s="322">
        <f t="shared" si="36"/>
        <v>0</v>
      </c>
      <c r="O74" s="322">
        <v>0</v>
      </c>
      <c r="P74" s="325">
        <f>SUM(E74:N74)</f>
        <v>1641212917.6875</v>
      </c>
      <c r="Q74" s="2"/>
      <c r="S74" s="2"/>
    </row>
    <row r="75" spans="1:19" x14ac:dyDescent="0.15">
      <c r="A75" s="1" t="s">
        <v>706</v>
      </c>
      <c r="B75" s="355" t="s">
        <v>689</v>
      </c>
      <c r="C75" s="362" t="s">
        <v>689</v>
      </c>
      <c r="D75" s="331">
        <f t="shared" si="35"/>
        <v>0</v>
      </c>
      <c r="E75" s="331">
        <f>E159*0.85</f>
        <v>255000000</v>
      </c>
      <c r="F75" s="331">
        <f t="shared" ref="F75:N75" si="37">F159*0.85</f>
        <v>266475000.00000003</v>
      </c>
      <c r="G75" s="331">
        <f t="shared" si="37"/>
        <v>278466375.00000006</v>
      </c>
      <c r="H75" s="331">
        <f t="shared" si="37"/>
        <v>290997361.87500012</v>
      </c>
      <c r="I75" s="331">
        <f t="shared" si="37"/>
        <v>304092243.15937507</v>
      </c>
      <c r="J75" s="331">
        <f t="shared" si="37"/>
        <v>0</v>
      </c>
      <c r="K75" s="331">
        <f t="shared" si="37"/>
        <v>0</v>
      </c>
      <c r="L75" s="331">
        <f t="shared" si="37"/>
        <v>0</v>
      </c>
      <c r="M75" s="331">
        <f t="shared" si="37"/>
        <v>0</v>
      </c>
      <c r="N75" s="331">
        <f t="shared" si="37"/>
        <v>0</v>
      </c>
      <c r="O75" s="331"/>
      <c r="P75" s="356">
        <f>SUM(E75:N75)</f>
        <v>1395030980.0343752</v>
      </c>
      <c r="Q75" s="460"/>
      <c r="S75" s="2"/>
    </row>
    <row r="76" spans="1:19" x14ac:dyDescent="0.15">
      <c r="B76" s="340" t="s">
        <v>690</v>
      </c>
      <c r="C76" s="354" t="s">
        <v>690</v>
      </c>
      <c r="D76" s="67">
        <f t="shared" si="35"/>
        <v>0</v>
      </c>
      <c r="E76" s="67">
        <f t="shared" ref="E76:N76" si="38">E160</f>
        <v>0</v>
      </c>
      <c r="F76" s="67">
        <f t="shared" si="38"/>
        <v>0</v>
      </c>
      <c r="G76" s="67">
        <f t="shared" si="38"/>
        <v>0</v>
      </c>
      <c r="H76" s="67">
        <f t="shared" si="38"/>
        <v>0</v>
      </c>
      <c r="I76" s="67">
        <f t="shared" si="38"/>
        <v>0</v>
      </c>
      <c r="J76" s="67">
        <f t="shared" si="38"/>
        <v>0</v>
      </c>
      <c r="K76" s="67">
        <f t="shared" si="38"/>
        <v>0</v>
      </c>
      <c r="L76" s="67">
        <f t="shared" si="38"/>
        <v>0</v>
      </c>
      <c r="M76" s="67">
        <f t="shared" si="38"/>
        <v>0</v>
      </c>
      <c r="N76" s="67">
        <f t="shared" si="38"/>
        <v>0</v>
      </c>
      <c r="O76" s="289"/>
      <c r="P76" s="326">
        <f>SUM(E76:N76)</f>
        <v>0</v>
      </c>
      <c r="Q76" s="2"/>
      <c r="S76" s="2"/>
    </row>
    <row r="77" spans="1:19" x14ac:dyDescent="0.15">
      <c r="B77" s="340" t="s">
        <v>691</v>
      </c>
      <c r="C77" s="354" t="s">
        <v>691</v>
      </c>
      <c r="D77" s="67">
        <f t="shared" si="35"/>
        <v>0</v>
      </c>
      <c r="E77" s="67">
        <f t="shared" ref="E77:N77" si="39">E161</f>
        <v>0</v>
      </c>
      <c r="F77" s="67">
        <f t="shared" si="39"/>
        <v>0</v>
      </c>
      <c r="G77" s="67">
        <f t="shared" si="39"/>
        <v>0</v>
      </c>
      <c r="H77" s="67">
        <f t="shared" si="39"/>
        <v>0</v>
      </c>
      <c r="I77" s="67">
        <f t="shared" si="39"/>
        <v>0</v>
      </c>
      <c r="J77" s="67">
        <f t="shared" si="39"/>
        <v>0</v>
      </c>
      <c r="K77" s="67">
        <f t="shared" si="39"/>
        <v>0</v>
      </c>
      <c r="L77" s="67">
        <f t="shared" si="39"/>
        <v>0</v>
      </c>
      <c r="M77" s="67">
        <f t="shared" si="39"/>
        <v>0</v>
      </c>
      <c r="N77" s="67">
        <f t="shared" si="39"/>
        <v>0</v>
      </c>
      <c r="O77" s="67"/>
      <c r="P77" s="326">
        <f>SUM(E77:N77)</f>
        <v>0</v>
      </c>
      <c r="Q77" s="2"/>
      <c r="S77" s="2"/>
    </row>
    <row r="78" spans="1:19" x14ac:dyDescent="0.15">
      <c r="B78" s="340" t="s">
        <v>695</v>
      </c>
      <c r="C78" s="12"/>
      <c r="D78" s="67">
        <f t="shared" si="35"/>
        <v>0</v>
      </c>
      <c r="E78" s="67">
        <f>E77+E76+E75</f>
        <v>255000000</v>
      </c>
      <c r="F78" s="67">
        <f t="shared" ref="F78:N78" si="40">F77+F76+F75</f>
        <v>266475000.00000003</v>
      </c>
      <c r="G78" s="67">
        <f t="shared" si="40"/>
        <v>278466375.00000006</v>
      </c>
      <c r="H78" s="67">
        <f t="shared" si="40"/>
        <v>290997361.87500012</v>
      </c>
      <c r="I78" s="67">
        <f t="shared" si="40"/>
        <v>304092243.15937507</v>
      </c>
      <c r="J78" s="67">
        <f t="shared" si="40"/>
        <v>0</v>
      </c>
      <c r="K78" s="67">
        <f t="shared" si="40"/>
        <v>0</v>
      </c>
      <c r="L78" s="67">
        <f t="shared" si="40"/>
        <v>0</v>
      </c>
      <c r="M78" s="67">
        <f t="shared" si="40"/>
        <v>0</v>
      </c>
      <c r="N78" s="67">
        <f t="shared" si="40"/>
        <v>0</v>
      </c>
      <c r="O78" s="67"/>
      <c r="P78" s="326">
        <f t="shared" ref="P78:P98" si="41">SUM(E78:N78)</f>
        <v>1395030980.0343752</v>
      </c>
      <c r="Q78" s="2"/>
      <c r="S78" s="2"/>
    </row>
    <row r="79" spans="1:19" x14ac:dyDescent="0.15">
      <c r="B79" s="340" t="s">
        <v>696</v>
      </c>
      <c r="C79" s="12" t="s">
        <v>289</v>
      </c>
      <c r="D79" s="67">
        <f t="shared" si="35"/>
        <v>0</v>
      </c>
      <c r="E79" s="67">
        <f t="shared" ref="E79:N79" si="42">E163</f>
        <v>230170000</v>
      </c>
      <c r="F79" s="67">
        <f t="shared" si="42"/>
        <v>253018375.00000003</v>
      </c>
      <c r="G79" s="67">
        <f t="shared" si="42"/>
        <v>278725718.45125008</v>
      </c>
      <c r="H79" s="67">
        <f t="shared" si="42"/>
        <v>307665975.06072807</v>
      </c>
      <c r="I79" s="67">
        <f t="shared" si="42"/>
        <v>340262566.36057305</v>
      </c>
      <c r="J79" s="67">
        <f t="shared" si="42"/>
        <v>0</v>
      </c>
      <c r="K79" s="67">
        <f t="shared" si="42"/>
        <v>0</v>
      </c>
      <c r="L79" s="67">
        <f t="shared" si="42"/>
        <v>0</v>
      </c>
      <c r="M79" s="67">
        <f t="shared" si="42"/>
        <v>0</v>
      </c>
      <c r="N79" s="67">
        <f t="shared" si="42"/>
        <v>0</v>
      </c>
      <c r="O79" s="67">
        <v>0</v>
      </c>
      <c r="P79" s="326">
        <f t="shared" si="41"/>
        <v>1409842634.8725512</v>
      </c>
      <c r="Q79" s="2"/>
      <c r="S79" s="2"/>
    </row>
    <row r="80" spans="1:19" x14ac:dyDescent="0.15">
      <c r="B80" s="340">
        <v>3</v>
      </c>
      <c r="C80" s="12" t="s">
        <v>290</v>
      </c>
      <c r="D80" s="67">
        <f>D78-D79</f>
        <v>0</v>
      </c>
      <c r="E80" s="67">
        <f t="shared" ref="E80:N80" si="43">E78-E79</f>
        <v>24830000</v>
      </c>
      <c r="F80" s="67">
        <f t="shared" si="43"/>
        <v>13456625</v>
      </c>
      <c r="G80" s="67">
        <f t="shared" si="43"/>
        <v>-259343.45125001669</v>
      </c>
      <c r="H80" s="67">
        <f t="shared" si="43"/>
        <v>-16668613.185727954</v>
      </c>
      <c r="I80" s="67">
        <f t="shared" si="43"/>
        <v>-36170323.201197982</v>
      </c>
      <c r="J80" s="67">
        <f t="shared" si="43"/>
        <v>0</v>
      </c>
      <c r="K80" s="67">
        <f t="shared" si="43"/>
        <v>0</v>
      </c>
      <c r="L80" s="67">
        <f t="shared" si="43"/>
        <v>0</v>
      </c>
      <c r="M80" s="67">
        <f t="shared" si="43"/>
        <v>0</v>
      </c>
      <c r="N80" s="67">
        <f t="shared" si="43"/>
        <v>0</v>
      </c>
      <c r="O80" s="67">
        <v>0</v>
      </c>
      <c r="P80" s="326">
        <f t="shared" si="41"/>
        <v>-14811654.838175952</v>
      </c>
      <c r="Q80" s="2"/>
      <c r="S80" s="2"/>
    </row>
    <row r="81" spans="2:19" x14ac:dyDescent="0.15">
      <c r="B81" s="340" t="s">
        <v>697</v>
      </c>
      <c r="C81" s="12" t="s">
        <v>292</v>
      </c>
      <c r="D81" s="67">
        <f t="shared" ref="D81:N96" si="44">D165</f>
        <v>0</v>
      </c>
      <c r="E81" s="67">
        <f t="shared" si="44"/>
        <v>3772500</v>
      </c>
      <c r="F81" s="67">
        <f t="shared" si="44"/>
        <v>6218850</v>
      </c>
      <c r="G81" s="67">
        <f t="shared" si="44"/>
        <v>4083150</v>
      </c>
      <c r="H81" s="67">
        <f t="shared" si="44"/>
        <v>2775510</v>
      </c>
      <c r="I81" s="67">
        <f t="shared" si="44"/>
        <v>1352955</v>
      </c>
      <c r="J81" s="67">
        <f t="shared" si="44"/>
        <v>0</v>
      </c>
      <c r="K81" s="67">
        <f t="shared" si="44"/>
        <v>0</v>
      </c>
      <c r="L81" s="67">
        <f t="shared" si="44"/>
        <v>0</v>
      </c>
      <c r="M81" s="67">
        <f t="shared" si="44"/>
        <v>0</v>
      </c>
      <c r="N81" s="67">
        <f t="shared" si="44"/>
        <v>0</v>
      </c>
      <c r="O81" s="67">
        <v>0</v>
      </c>
      <c r="P81" s="326">
        <f t="shared" si="41"/>
        <v>18202965</v>
      </c>
      <c r="Q81" s="2"/>
      <c r="S81" s="2"/>
    </row>
    <row r="82" spans="2:19" x14ac:dyDescent="0.15">
      <c r="B82" s="340">
        <v>5</v>
      </c>
      <c r="C82" s="12" t="s">
        <v>293</v>
      </c>
      <c r="D82" s="67">
        <f>D80-D81</f>
        <v>0</v>
      </c>
      <c r="E82" s="67">
        <f t="shared" ref="E82:N82" si="45">E80-E81</f>
        <v>21057500</v>
      </c>
      <c r="F82" s="67">
        <f t="shared" si="45"/>
        <v>7237775</v>
      </c>
      <c r="G82" s="67">
        <f t="shared" si="45"/>
        <v>-4342493.4512500167</v>
      </c>
      <c r="H82" s="67">
        <f t="shared" si="45"/>
        <v>-19444123.185727954</v>
      </c>
      <c r="I82" s="67">
        <f t="shared" si="45"/>
        <v>-37523278.201197982</v>
      </c>
      <c r="J82" s="67">
        <f t="shared" si="45"/>
        <v>0</v>
      </c>
      <c r="K82" s="67">
        <f t="shared" si="45"/>
        <v>0</v>
      </c>
      <c r="L82" s="67">
        <f t="shared" si="45"/>
        <v>0</v>
      </c>
      <c r="M82" s="67">
        <f t="shared" si="45"/>
        <v>0</v>
      </c>
      <c r="N82" s="67">
        <f t="shared" si="45"/>
        <v>0</v>
      </c>
      <c r="O82" s="67">
        <v>0</v>
      </c>
      <c r="P82" s="326">
        <f t="shared" si="41"/>
        <v>-33014619.838175952</v>
      </c>
      <c r="Q82" s="2"/>
      <c r="S82" s="2"/>
    </row>
    <row r="83" spans="2:19" x14ac:dyDescent="0.15">
      <c r="B83" s="340" t="s">
        <v>698</v>
      </c>
      <c r="C83" s="12" t="s">
        <v>295</v>
      </c>
      <c r="D83" s="67">
        <f t="shared" si="44"/>
        <v>0</v>
      </c>
      <c r="E83" s="67">
        <f t="shared" si="44"/>
        <v>0</v>
      </c>
      <c r="F83" s="67">
        <f t="shared" si="44"/>
        <v>0</v>
      </c>
      <c r="G83" s="67">
        <f t="shared" si="44"/>
        <v>0</v>
      </c>
      <c r="H83" s="67">
        <f t="shared" si="44"/>
        <v>0</v>
      </c>
      <c r="I83" s="67">
        <f t="shared" si="44"/>
        <v>0</v>
      </c>
      <c r="J83" s="67">
        <f t="shared" si="44"/>
        <v>0</v>
      </c>
      <c r="K83" s="67">
        <f t="shared" si="44"/>
        <v>0</v>
      </c>
      <c r="L83" s="67">
        <f t="shared" si="44"/>
        <v>0</v>
      </c>
      <c r="M83" s="67">
        <f t="shared" si="44"/>
        <v>0</v>
      </c>
      <c r="N83" s="67">
        <f t="shared" si="44"/>
        <v>0</v>
      </c>
      <c r="O83" s="67">
        <v>0</v>
      </c>
      <c r="P83" s="326">
        <f t="shared" si="41"/>
        <v>0</v>
      </c>
      <c r="Q83" s="2"/>
      <c r="S83" s="2"/>
    </row>
    <row r="84" spans="2:19" x14ac:dyDescent="0.15">
      <c r="B84" s="340">
        <v>7</v>
      </c>
      <c r="C84" s="12" t="s">
        <v>296</v>
      </c>
      <c r="D84" s="67">
        <f>D82-D83</f>
        <v>0</v>
      </c>
      <c r="E84" s="67">
        <f t="shared" ref="E84:N84" si="46">E82-E83</f>
        <v>21057500</v>
      </c>
      <c r="F84" s="67">
        <f t="shared" si="46"/>
        <v>7237775</v>
      </c>
      <c r="G84" s="67">
        <f t="shared" si="46"/>
        <v>-4342493.4512500167</v>
      </c>
      <c r="H84" s="67">
        <f t="shared" si="46"/>
        <v>-19444123.185727954</v>
      </c>
      <c r="I84" s="67">
        <f t="shared" si="46"/>
        <v>-37523278.201197982</v>
      </c>
      <c r="J84" s="67">
        <f t="shared" si="46"/>
        <v>0</v>
      </c>
      <c r="K84" s="67">
        <f t="shared" si="46"/>
        <v>0</v>
      </c>
      <c r="L84" s="67">
        <f t="shared" si="46"/>
        <v>0</v>
      </c>
      <c r="M84" s="67">
        <f t="shared" si="46"/>
        <v>0</v>
      </c>
      <c r="N84" s="67">
        <f t="shared" si="46"/>
        <v>0</v>
      </c>
      <c r="O84" s="67">
        <v>0</v>
      </c>
      <c r="P84" s="326">
        <f t="shared" si="41"/>
        <v>-33014619.838175952</v>
      </c>
      <c r="Q84" s="2"/>
      <c r="S84" s="2"/>
    </row>
    <row r="85" spans="2:19" x14ac:dyDescent="0.15">
      <c r="B85" s="340">
        <v>8</v>
      </c>
      <c r="C85" s="12" t="s">
        <v>297</v>
      </c>
      <c r="D85" s="67">
        <f>-D84*$D$3</f>
        <v>0</v>
      </c>
      <c r="E85" s="67">
        <f t="shared" ref="E85:N85" si="47">-E84*$D$3</f>
        <v>-6317250</v>
      </c>
      <c r="F85" s="67">
        <f t="shared" si="47"/>
        <v>-2171332.5</v>
      </c>
      <c r="G85" s="67">
        <f t="shared" si="47"/>
        <v>1302748.0353750049</v>
      </c>
      <c r="H85" s="67">
        <f t="shared" si="47"/>
        <v>5833236.955718386</v>
      </c>
      <c r="I85" s="67">
        <f t="shared" si="47"/>
        <v>11256983.460359395</v>
      </c>
      <c r="J85" s="67">
        <f t="shared" si="47"/>
        <v>0</v>
      </c>
      <c r="K85" s="67">
        <f t="shared" si="47"/>
        <v>0</v>
      </c>
      <c r="L85" s="67">
        <f t="shared" si="47"/>
        <v>0</v>
      </c>
      <c r="M85" s="67">
        <f t="shared" si="47"/>
        <v>0</v>
      </c>
      <c r="N85" s="67">
        <f t="shared" si="47"/>
        <v>0</v>
      </c>
      <c r="O85" s="67">
        <v>0</v>
      </c>
      <c r="P85" s="326">
        <f t="shared" si="41"/>
        <v>9904385.9514527842</v>
      </c>
      <c r="Q85" s="2"/>
      <c r="S85" s="2"/>
    </row>
    <row r="86" spans="2:19" x14ac:dyDescent="0.15">
      <c r="B86" s="340">
        <v>9</v>
      </c>
      <c r="C86" s="12" t="s">
        <v>298</v>
      </c>
      <c r="D86" s="67">
        <f t="shared" si="44"/>
        <v>0</v>
      </c>
      <c r="E86" s="67">
        <f t="shared" si="44"/>
        <v>0</v>
      </c>
      <c r="F86" s="67">
        <f t="shared" si="44"/>
        <v>0</v>
      </c>
      <c r="G86" s="67">
        <f t="shared" si="44"/>
        <v>0</v>
      </c>
      <c r="H86" s="67">
        <f t="shared" si="44"/>
        <v>0</v>
      </c>
      <c r="I86" s="67">
        <f t="shared" si="44"/>
        <v>0</v>
      </c>
      <c r="J86" s="67">
        <f t="shared" si="44"/>
        <v>0</v>
      </c>
      <c r="K86" s="67">
        <f t="shared" si="44"/>
        <v>0</v>
      </c>
      <c r="L86" s="67">
        <f t="shared" si="44"/>
        <v>0</v>
      </c>
      <c r="M86" s="67">
        <f t="shared" si="44"/>
        <v>0</v>
      </c>
      <c r="N86" s="67">
        <f t="shared" si="44"/>
        <v>0</v>
      </c>
      <c r="O86" s="67">
        <v>0</v>
      </c>
      <c r="P86" s="326">
        <f t="shared" si="41"/>
        <v>0</v>
      </c>
      <c r="Q86" s="2"/>
      <c r="S86" s="2"/>
    </row>
    <row r="87" spans="2:19" x14ac:dyDescent="0.15">
      <c r="B87" s="340">
        <v>10</v>
      </c>
      <c r="C87" s="12" t="s">
        <v>299</v>
      </c>
      <c r="D87" s="67">
        <f>D84+D85+D86</f>
        <v>0</v>
      </c>
      <c r="E87" s="67">
        <f t="shared" ref="E87:N87" si="48">E84+E85+E86</f>
        <v>14740250</v>
      </c>
      <c r="F87" s="67">
        <f t="shared" si="48"/>
        <v>5066442.5</v>
      </c>
      <c r="G87" s="67">
        <f t="shared" si="48"/>
        <v>-3039745.4158750121</v>
      </c>
      <c r="H87" s="67">
        <f t="shared" si="48"/>
        <v>-13610886.230009567</v>
      </c>
      <c r="I87" s="67">
        <f t="shared" si="48"/>
        <v>-26266294.740838587</v>
      </c>
      <c r="J87" s="67">
        <f t="shared" si="48"/>
        <v>0</v>
      </c>
      <c r="K87" s="67">
        <f t="shared" si="48"/>
        <v>0</v>
      </c>
      <c r="L87" s="67">
        <f t="shared" si="48"/>
        <v>0</v>
      </c>
      <c r="M87" s="67">
        <f t="shared" si="48"/>
        <v>0</v>
      </c>
      <c r="N87" s="67">
        <f t="shared" si="48"/>
        <v>0</v>
      </c>
      <c r="O87" s="67">
        <v>0</v>
      </c>
      <c r="P87" s="326">
        <f t="shared" si="41"/>
        <v>-23110233.886723168</v>
      </c>
      <c r="Q87" s="2"/>
      <c r="S87" s="2"/>
    </row>
    <row r="88" spans="2:19" x14ac:dyDescent="0.15">
      <c r="B88" s="340" t="s">
        <v>699</v>
      </c>
      <c r="C88" s="12" t="s">
        <v>292</v>
      </c>
      <c r="D88" s="67">
        <f t="shared" si="44"/>
        <v>0</v>
      </c>
      <c r="E88" s="67">
        <f t="shared" si="44"/>
        <v>3772500</v>
      </c>
      <c r="F88" s="67">
        <f t="shared" si="44"/>
        <v>6218850</v>
      </c>
      <c r="G88" s="67">
        <f t="shared" si="44"/>
        <v>4083150</v>
      </c>
      <c r="H88" s="67">
        <f t="shared" si="44"/>
        <v>2775510</v>
      </c>
      <c r="I88" s="67">
        <f t="shared" si="44"/>
        <v>1352955</v>
      </c>
      <c r="J88" s="67">
        <f t="shared" si="44"/>
        <v>0</v>
      </c>
      <c r="K88" s="67">
        <f t="shared" si="44"/>
        <v>0</v>
      </c>
      <c r="L88" s="67">
        <f t="shared" si="44"/>
        <v>0</v>
      </c>
      <c r="M88" s="67">
        <f t="shared" si="44"/>
        <v>0</v>
      </c>
      <c r="N88" s="67">
        <f t="shared" si="44"/>
        <v>0</v>
      </c>
      <c r="O88" s="67">
        <v>0</v>
      </c>
      <c r="P88" s="326">
        <f t="shared" si="41"/>
        <v>18202965</v>
      </c>
      <c r="Q88" s="2"/>
      <c r="S88" s="2"/>
    </row>
    <row r="89" spans="2:19" x14ac:dyDescent="0.15">
      <c r="B89" s="340">
        <v>12</v>
      </c>
      <c r="C89" s="12" t="s">
        <v>301</v>
      </c>
      <c r="D89" s="67">
        <f>D87+D88</f>
        <v>0</v>
      </c>
      <c r="E89" s="67">
        <f t="shared" ref="E89:N89" si="49">E87+E88</f>
        <v>18512750</v>
      </c>
      <c r="F89" s="67">
        <f t="shared" si="49"/>
        <v>11285292.5</v>
      </c>
      <c r="G89" s="67">
        <f t="shared" si="49"/>
        <v>1043404.5841249879</v>
      </c>
      <c r="H89" s="67">
        <f t="shared" si="49"/>
        <v>-10835376.230009567</v>
      </c>
      <c r="I89" s="67">
        <f t="shared" si="49"/>
        <v>-24913339.740838587</v>
      </c>
      <c r="J89" s="67">
        <f t="shared" si="49"/>
        <v>0</v>
      </c>
      <c r="K89" s="67">
        <f t="shared" si="49"/>
        <v>0</v>
      </c>
      <c r="L89" s="67">
        <f t="shared" si="49"/>
        <v>0</v>
      </c>
      <c r="M89" s="67">
        <f t="shared" si="49"/>
        <v>0</v>
      </c>
      <c r="N89" s="67">
        <f t="shared" si="49"/>
        <v>0</v>
      </c>
      <c r="O89" s="67">
        <v>0</v>
      </c>
      <c r="P89" s="326">
        <f t="shared" si="41"/>
        <v>-4907268.8867231645</v>
      </c>
      <c r="Q89" s="2"/>
      <c r="S89" s="2"/>
    </row>
    <row r="90" spans="2:19" x14ac:dyDescent="0.15">
      <c r="B90" s="340" t="s">
        <v>700</v>
      </c>
      <c r="C90" s="12" t="s">
        <v>303</v>
      </c>
      <c r="D90" s="67">
        <f t="shared" si="44"/>
        <v>0</v>
      </c>
      <c r="E90" s="67">
        <f t="shared" si="44"/>
        <v>0</v>
      </c>
      <c r="F90" s="67">
        <f t="shared" si="44"/>
        <v>0</v>
      </c>
      <c r="G90" s="67">
        <f t="shared" si="44"/>
        <v>0</v>
      </c>
      <c r="H90" s="67">
        <f t="shared" si="44"/>
        <v>0</v>
      </c>
      <c r="I90" s="67">
        <f t="shared" si="44"/>
        <v>0</v>
      </c>
      <c r="J90" s="67">
        <f t="shared" si="44"/>
        <v>0</v>
      </c>
      <c r="K90" s="67">
        <f t="shared" si="44"/>
        <v>0</v>
      </c>
      <c r="L90" s="67">
        <f t="shared" si="44"/>
        <v>0</v>
      </c>
      <c r="M90" s="67">
        <f t="shared" si="44"/>
        <v>0</v>
      </c>
      <c r="N90" s="67">
        <f t="shared" si="44"/>
        <v>0</v>
      </c>
      <c r="O90" s="67">
        <v>0</v>
      </c>
      <c r="P90" s="326">
        <f t="shared" si="41"/>
        <v>0</v>
      </c>
      <c r="Q90" s="2"/>
      <c r="S90" s="2"/>
    </row>
    <row r="91" spans="2:19" x14ac:dyDescent="0.15">
      <c r="B91" s="340">
        <v>14</v>
      </c>
      <c r="C91" s="12" t="s">
        <v>304</v>
      </c>
      <c r="D91" s="67">
        <f>D92+D93+D94</f>
        <v>-32550000</v>
      </c>
      <c r="E91" s="67">
        <f t="shared" ref="E91:N91" si="50">E92+E93+E94</f>
        <v>0</v>
      </c>
      <c r="F91" s="67">
        <f t="shared" si="50"/>
        <v>0</v>
      </c>
      <c r="G91" s="67">
        <f t="shared" si="50"/>
        <v>0</v>
      </c>
      <c r="H91" s="67">
        <f t="shared" si="50"/>
        <v>0</v>
      </c>
      <c r="I91" s="67">
        <f t="shared" si="50"/>
        <v>14347035</v>
      </c>
      <c r="J91" s="67">
        <f t="shared" si="50"/>
        <v>0</v>
      </c>
      <c r="K91" s="67">
        <f t="shared" si="50"/>
        <v>0</v>
      </c>
      <c r="L91" s="67">
        <f t="shared" si="50"/>
        <v>0</v>
      </c>
      <c r="M91" s="67">
        <f t="shared" si="50"/>
        <v>0</v>
      </c>
      <c r="N91" s="67">
        <f t="shared" si="50"/>
        <v>0</v>
      </c>
      <c r="O91" s="67">
        <v>0</v>
      </c>
      <c r="P91" s="326">
        <f t="shared" si="41"/>
        <v>14347035</v>
      </c>
      <c r="Q91" s="2"/>
      <c r="S91" s="2"/>
    </row>
    <row r="92" spans="2:19" x14ac:dyDescent="0.15">
      <c r="B92" s="340" t="s">
        <v>701</v>
      </c>
      <c r="C92" s="12" t="s">
        <v>207</v>
      </c>
      <c r="D92" s="67">
        <f t="shared" si="44"/>
        <v>-31050000</v>
      </c>
      <c r="E92" s="67">
        <f t="shared" si="44"/>
        <v>0</v>
      </c>
      <c r="F92" s="67">
        <f t="shared" si="44"/>
        <v>0</v>
      </c>
      <c r="G92" s="67">
        <f t="shared" si="44"/>
        <v>0</v>
      </c>
      <c r="H92" s="67">
        <f t="shared" si="44"/>
        <v>0</v>
      </c>
      <c r="I92" s="67">
        <f t="shared" si="44"/>
        <v>12847035</v>
      </c>
      <c r="J92" s="67">
        <f t="shared" si="44"/>
        <v>0</v>
      </c>
      <c r="K92" s="67">
        <f t="shared" si="44"/>
        <v>0</v>
      </c>
      <c r="L92" s="67">
        <f t="shared" si="44"/>
        <v>0</v>
      </c>
      <c r="M92" s="67">
        <f t="shared" si="44"/>
        <v>0</v>
      </c>
      <c r="N92" s="67">
        <f t="shared" si="44"/>
        <v>0</v>
      </c>
      <c r="O92" s="67">
        <v>0</v>
      </c>
      <c r="P92" s="326">
        <f t="shared" si="41"/>
        <v>12847035</v>
      </c>
      <c r="Q92" s="2"/>
      <c r="S92" s="2"/>
    </row>
    <row r="93" spans="2:19" x14ac:dyDescent="0.15">
      <c r="B93" s="340" t="s">
        <v>702</v>
      </c>
      <c r="C93" s="12" t="s">
        <v>307</v>
      </c>
      <c r="D93" s="67">
        <f t="shared" si="44"/>
        <v>-1500000</v>
      </c>
      <c r="E93" s="67">
        <f t="shared" si="44"/>
        <v>0</v>
      </c>
      <c r="F93" s="67">
        <f t="shared" si="44"/>
        <v>0</v>
      </c>
      <c r="G93" s="67">
        <f t="shared" si="44"/>
        <v>0</v>
      </c>
      <c r="H93" s="67">
        <f t="shared" si="44"/>
        <v>0</v>
      </c>
      <c r="I93" s="67">
        <f t="shared" si="44"/>
        <v>1500000</v>
      </c>
      <c r="J93" s="67">
        <f t="shared" si="44"/>
        <v>0</v>
      </c>
      <c r="K93" s="67">
        <f t="shared" si="44"/>
        <v>0</v>
      </c>
      <c r="L93" s="67">
        <f t="shared" si="44"/>
        <v>0</v>
      </c>
      <c r="M93" s="67">
        <f t="shared" si="44"/>
        <v>0</v>
      </c>
      <c r="N93" s="67">
        <f t="shared" si="44"/>
        <v>0</v>
      </c>
      <c r="O93" s="67">
        <v>0</v>
      </c>
      <c r="P93" s="326">
        <f t="shared" si="41"/>
        <v>1500000</v>
      </c>
      <c r="Q93" s="2"/>
      <c r="S93" s="2"/>
    </row>
    <row r="94" spans="2:19" x14ac:dyDescent="0.15">
      <c r="B94" s="340" t="s">
        <v>703</v>
      </c>
      <c r="C94" s="12" t="s">
        <v>309</v>
      </c>
      <c r="D94" s="67">
        <f t="shared" si="44"/>
        <v>0</v>
      </c>
      <c r="E94" s="67">
        <f t="shared" si="44"/>
        <v>0</v>
      </c>
      <c r="F94" s="67">
        <f t="shared" si="44"/>
        <v>0</v>
      </c>
      <c r="G94" s="67">
        <f t="shared" si="44"/>
        <v>0</v>
      </c>
      <c r="H94" s="67">
        <f t="shared" si="44"/>
        <v>0</v>
      </c>
      <c r="I94" s="67">
        <f t="shared" si="44"/>
        <v>0</v>
      </c>
      <c r="J94" s="67">
        <f t="shared" si="44"/>
        <v>0</v>
      </c>
      <c r="K94" s="67">
        <f t="shared" si="44"/>
        <v>0</v>
      </c>
      <c r="L94" s="67">
        <f t="shared" si="44"/>
        <v>0</v>
      </c>
      <c r="M94" s="67">
        <f t="shared" si="44"/>
        <v>0</v>
      </c>
      <c r="N94" s="67">
        <f t="shared" si="44"/>
        <v>0</v>
      </c>
      <c r="O94" s="67">
        <v>0</v>
      </c>
      <c r="P94" s="326">
        <f t="shared" si="41"/>
        <v>0</v>
      </c>
      <c r="Q94" s="2"/>
      <c r="S94" s="2"/>
    </row>
    <row r="95" spans="2:19" x14ac:dyDescent="0.15">
      <c r="B95" s="340" t="s">
        <v>704</v>
      </c>
      <c r="C95" s="12" t="s">
        <v>311</v>
      </c>
      <c r="D95" s="67">
        <f t="shared" si="44"/>
        <v>0</v>
      </c>
      <c r="E95" s="67">
        <f t="shared" si="44"/>
        <v>0</v>
      </c>
      <c r="F95" s="67">
        <f t="shared" si="44"/>
        <v>0</v>
      </c>
      <c r="G95" s="67">
        <f t="shared" si="44"/>
        <v>0</v>
      </c>
      <c r="H95" s="67">
        <f t="shared" si="44"/>
        <v>0</v>
      </c>
      <c r="I95" s="67">
        <f t="shared" si="44"/>
        <v>-2596968.7000000002</v>
      </c>
      <c r="J95" s="67">
        <f t="shared" si="44"/>
        <v>0</v>
      </c>
      <c r="K95" s="67">
        <f t="shared" si="44"/>
        <v>0</v>
      </c>
      <c r="L95" s="67">
        <f t="shared" si="44"/>
        <v>0</v>
      </c>
      <c r="M95" s="67">
        <f t="shared" si="44"/>
        <v>0</v>
      </c>
      <c r="N95" s="67">
        <f t="shared" si="44"/>
        <v>0</v>
      </c>
      <c r="O95" s="67">
        <v>0</v>
      </c>
      <c r="P95" s="326">
        <f t="shared" si="41"/>
        <v>-2596968.7000000002</v>
      </c>
      <c r="Q95" s="2"/>
      <c r="S95" s="2"/>
    </row>
    <row r="96" spans="2:19" ht="14" thickBot="1" x14ac:dyDescent="0.2">
      <c r="B96" s="340" t="s">
        <v>705</v>
      </c>
      <c r="C96" s="12" t="s">
        <v>115</v>
      </c>
      <c r="D96" s="67">
        <f t="shared" si="44"/>
        <v>-60000000</v>
      </c>
      <c r="E96" s="67">
        <f t="shared" si="44"/>
        <v>0</v>
      </c>
      <c r="F96" s="67">
        <f t="shared" si="44"/>
        <v>0</v>
      </c>
      <c r="G96" s="67">
        <f t="shared" si="44"/>
        <v>0</v>
      </c>
      <c r="H96" s="67">
        <f t="shared" si="44"/>
        <v>0</v>
      </c>
      <c r="I96" s="67">
        <f t="shared" si="44"/>
        <v>60000000</v>
      </c>
      <c r="J96" s="67">
        <f t="shared" si="44"/>
        <v>0</v>
      </c>
      <c r="K96" s="67">
        <f t="shared" si="44"/>
        <v>0</v>
      </c>
      <c r="L96" s="67">
        <f t="shared" si="44"/>
        <v>0</v>
      </c>
      <c r="M96" s="67">
        <f t="shared" si="44"/>
        <v>0</v>
      </c>
      <c r="N96" s="67">
        <f t="shared" si="44"/>
        <v>0</v>
      </c>
      <c r="O96" s="67">
        <v>0</v>
      </c>
      <c r="P96" s="326">
        <f t="shared" si="41"/>
        <v>60000000</v>
      </c>
      <c r="Q96" s="2"/>
      <c r="S96" s="2"/>
    </row>
    <row r="97" spans="1:19" x14ac:dyDescent="0.15">
      <c r="B97" s="340">
        <v>17</v>
      </c>
      <c r="C97" s="12" t="s">
        <v>313</v>
      </c>
      <c r="D97" s="67">
        <f>D90+D91+D95+D96</f>
        <v>-92550000</v>
      </c>
      <c r="E97" s="67">
        <f t="shared" ref="E97:N97" si="51">E90+E91+E95+E96</f>
        <v>0</v>
      </c>
      <c r="F97" s="67">
        <f t="shared" si="51"/>
        <v>0</v>
      </c>
      <c r="G97" s="67">
        <f t="shared" si="51"/>
        <v>0</v>
      </c>
      <c r="H97" s="67">
        <f t="shared" si="51"/>
        <v>0</v>
      </c>
      <c r="I97" s="67">
        <f t="shared" si="51"/>
        <v>71750066.299999997</v>
      </c>
      <c r="J97" s="67">
        <f t="shared" si="51"/>
        <v>0</v>
      </c>
      <c r="K97" s="67">
        <f t="shared" si="51"/>
        <v>0</v>
      </c>
      <c r="L97" s="67">
        <f t="shared" si="51"/>
        <v>0</v>
      </c>
      <c r="M97" s="67">
        <f t="shared" si="51"/>
        <v>0</v>
      </c>
      <c r="N97" s="67">
        <f t="shared" si="51"/>
        <v>0</v>
      </c>
      <c r="O97" s="67">
        <v>0</v>
      </c>
      <c r="P97" s="326">
        <f t="shared" si="41"/>
        <v>71750066.299999997</v>
      </c>
      <c r="Q97" s="461"/>
      <c r="R97" s="357" t="s">
        <v>693</v>
      </c>
      <c r="S97" s="2"/>
    </row>
    <row r="98" spans="1:19" ht="14" thickBot="1" x14ac:dyDescent="0.2">
      <c r="A98" s="1" t="s">
        <v>706</v>
      </c>
      <c r="B98" s="355">
        <v>18</v>
      </c>
      <c r="C98" s="335" t="s">
        <v>314</v>
      </c>
      <c r="D98" s="67">
        <f>D89+D97</f>
        <v>-92550000</v>
      </c>
      <c r="E98" s="67">
        <f t="shared" ref="E98:N98" si="52">E89+E97</f>
        <v>18512750</v>
      </c>
      <c r="F98" s="67">
        <f t="shared" si="52"/>
        <v>11285292.5</v>
      </c>
      <c r="G98" s="67">
        <f t="shared" si="52"/>
        <v>1043404.5841249879</v>
      </c>
      <c r="H98" s="67">
        <f t="shared" si="52"/>
        <v>-10835376.230009567</v>
      </c>
      <c r="I98" s="67">
        <f t="shared" si="52"/>
        <v>46836726.55916141</v>
      </c>
      <c r="J98" s="67">
        <f t="shared" si="52"/>
        <v>0</v>
      </c>
      <c r="K98" s="67">
        <f t="shared" si="52"/>
        <v>0</v>
      </c>
      <c r="L98" s="67">
        <f t="shared" si="52"/>
        <v>0</v>
      </c>
      <c r="M98" s="67">
        <f t="shared" si="52"/>
        <v>0</v>
      </c>
      <c r="N98" s="67">
        <f t="shared" si="52"/>
        <v>0</v>
      </c>
      <c r="O98" s="331">
        <v>0</v>
      </c>
      <c r="P98" s="356">
        <f t="shared" si="41"/>
        <v>66842797.413276836</v>
      </c>
      <c r="Q98" s="463"/>
      <c r="R98" s="358">
        <f>IF(ISNUMBER(IRR(D98:N98)),IRR(D98:N98),"NMF")</f>
        <v>-8.4761570300653566E-2</v>
      </c>
      <c r="S98" s="1" t="s">
        <v>706</v>
      </c>
    </row>
    <row r="99" spans="1:19" x14ac:dyDescent="0.15">
      <c r="B99" s="145"/>
      <c r="S99" s="2"/>
    </row>
    <row r="100" spans="1:19" ht="14" thickBot="1" x14ac:dyDescent="0.2">
      <c r="B100" s="145"/>
      <c r="S100" s="2"/>
    </row>
    <row r="101" spans="1:19" ht="14" thickBot="1" x14ac:dyDescent="0.2">
      <c r="B101" s="359" t="s">
        <v>282</v>
      </c>
      <c r="C101" s="360" t="s">
        <v>283</v>
      </c>
      <c r="D101" s="360"/>
      <c r="E101" s="360">
        <v>1</v>
      </c>
      <c r="F101" s="360">
        <v>2</v>
      </c>
      <c r="G101" s="360">
        <v>3</v>
      </c>
      <c r="H101" s="360">
        <v>4</v>
      </c>
      <c r="I101" s="360">
        <v>5</v>
      </c>
      <c r="J101" s="360">
        <v>6</v>
      </c>
      <c r="K101" s="360">
        <v>7</v>
      </c>
      <c r="L101" s="360">
        <v>8</v>
      </c>
      <c r="M101" s="360">
        <v>9</v>
      </c>
      <c r="N101" s="360">
        <v>10</v>
      </c>
      <c r="O101" s="360" t="s">
        <v>284</v>
      </c>
      <c r="P101" s="361" t="s">
        <v>285</v>
      </c>
      <c r="S101" s="2"/>
    </row>
    <row r="102" spans="1:19" x14ac:dyDescent="0.15">
      <c r="B102" s="339" t="s">
        <v>687</v>
      </c>
      <c r="C102" s="302" t="s">
        <v>287</v>
      </c>
      <c r="D102" s="322">
        <f t="shared" ref="D102:D107" si="53">D158</f>
        <v>0</v>
      </c>
      <c r="E102" s="322">
        <f t="shared" ref="E102:N102" si="54">E158</f>
        <v>300000000</v>
      </c>
      <c r="F102" s="322">
        <f t="shared" si="54"/>
        <v>313500000.00000006</v>
      </c>
      <c r="G102" s="322">
        <f t="shared" si="54"/>
        <v>327607500.00000006</v>
      </c>
      <c r="H102" s="322">
        <f t="shared" si="54"/>
        <v>342349837.50000012</v>
      </c>
      <c r="I102" s="322">
        <f t="shared" si="54"/>
        <v>357755580.18750012</v>
      </c>
      <c r="J102" s="322">
        <f t="shared" si="54"/>
        <v>0</v>
      </c>
      <c r="K102" s="322">
        <f t="shared" si="54"/>
        <v>0</v>
      </c>
      <c r="L102" s="322">
        <f t="shared" si="54"/>
        <v>0</v>
      </c>
      <c r="M102" s="322">
        <f t="shared" si="54"/>
        <v>0</v>
      </c>
      <c r="N102" s="322">
        <f t="shared" si="54"/>
        <v>0</v>
      </c>
      <c r="O102" s="322">
        <v>0</v>
      </c>
      <c r="P102" s="325">
        <f>SUM(E102:N102)</f>
        <v>1641212917.6875</v>
      </c>
      <c r="Q102" s="2"/>
      <c r="S102" s="2"/>
    </row>
    <row r="103" spans="1:19" x14ac:dyDescent="0.15">
      <c r="A103" s="1" t="s">
        <v>707</v>
      </c>
      <c r="B103" s="355" t="s">
        <v>689</v>
      </c>
      <c r="C103" s="362" t="s">
        <v>689</v>
      </c>
      <c r="D103" s="331">
        <f t="shared" si="53"/>
        <v>0</v>
      </c>
      <c r="E103" s="331">
        <f>E159*0.9</f>
        <v>270000000</v>
      </c>
      <c r="F103" s="331">
        <f t="shared" ref="F103:N103" si="55">F159*0.9</f>
        <v>282150000.00000006</v>
      </c>
      <c r="G103" s="331">
        <f t="shared" si="55"/>
        <v>294846750.00000006</v>
      </c>
      <c r="H103" s="331">
        <f t="shared" si="55"/>
        <v>308114853.75000012</v>
      </c>
      <c r="I103" s="331">
        <f t="shared" si="55"/>
        <v>321980022.16875011</v>
      </c>
      <c r="J103" s="331">
        <f t="shared" si="55"/>
        <v>0</v>
      </c>
      <c r="K103" s="331">
        <f t="shared" si="55"/>
        <v>0</v>
      </c>
      <c r="L103" s="331">
        <f t="shared" si="55"/>
        <v>0</v>
      </c>
      <c r="M103" s="331">
        <f t="shared" si="55"/>
        <v>0</v>
      </c>
      <c r="N103" s="331">
        <f t="shared" si="55"/>
        <v>0</v>
      </c>
      <c r="O103" s="331"/>
      <c r="P103" s="356">
        <f>SUM(E103:N103)</f>
        <v>1477091625.91875</v>
      </c>
      <c r="Q103" s="460"/>
      <c r="S103" s="2"/>
    </row>
    <row r="104" spans="1:19" x14ac:dyDescent="0.15">
      <c r="B104" s="340" t="s">
        <v>690</v>
      </c>
      <c r="C104" s="354" t="s">
        <v>690</v>
      </c>
      <c r="D104" s="67">
        <f t="shared" si="53"/>
        <v>0</v>
      </c>
      <c r="E104" s="67">
        <f>E160</f>
        <v>0</v>
      </c>
      <c r="F104" s="67">
        <f t="shared" ref="F104:N104" si="56">F160</f>
        <v>0</v>
      </c>
      <c r="G104" s="67">
        <f t="shared" si="56"/>
        <v>0</v>
      </c>
      <c r="H104" s="67">
        <f t="shared" si="56"/>
        <v>0</v>
      </c>
      <c r="I104" s="67">
        <f t="shared" si="56"/>
        <v>0</v>
      </c>
      <c r="J104" s="67">
        <f t="shared" si="56"/>
        <v>0</v>
      </c>
      <c r="K104" s="67">
        <f t="shared" si="56"/>
        <v>0</v>
      </c>
      <c r="L104" s="67">
        <f t="shared" si="56"/>
        <v>0</v>
      </c>
      <c r="M104" s="67">
        <f t="shared" si="56"/>
        <v>0</v>
      </c>
      <c r="N104" s="67">
        <f t="shared" si="56"/>
        <v>0</v>
      </c>
      <c r="O104" s="289"/>
      <c r="P104" s="326">
        <f>SUM(E104:N104)</f>
        <v>0</v>
      </c>
      <c r="Q104" s="2"/>
      <c r="S104" s="2"/>
    </row>
    <row r="105" spans="1:19" x14ac:dyDescent="0.15">
      <c r="B105" s="340" t="s">
        <v>691</v>
      </c>
      <c r="C105" s="354" t="s">
        <v>691</v>
      </c>
      <c r="D105" s="67">
        <f t="shared" si="53"/>
        <v>0</v>
      </c>
      <c r="E105" s="67">
        <f>E161</f>
        <v>0</v>
      </c>
      <c r="F105" s="67">
        <f t="shared" ref="F105:N105" si="57">F161</f>
        <v>0</v>
      </c>
      <c r="G105" s="67">
        <f t="shared" si="57"/>
        <v>0</v>
      </c>
      <c r="H105" s="67">
        <f t="shared" si="57"/>
        <v>0</v>
      </c>
      <c r="I105" s="67">
        <f t="shared" si="57"/>
        <v>0</v>
      </c>
      <c r="J105" s="67">
        <f t="shared" si="57"/>
        <v>0</v>
      </c>
      <c r="K105" s="67">
        <f t="shared" si="57"/>
        <v>0</v>
      </c>
      <c r="L105" s="67">
        <f t="shared" si="57"/>
        <v>0</v>
      </c>
      <c r="M105" s="67">
        <f t="shared" si="57"/>
        <v>0</v>
      </c>
      <c r="N105" s="67">
        <f t="shared" si="57"/>
        <v>0</v>
      </c>
      <c r="O105" s="67"/>
      <c r="P105" s="326">
        <f>SUM(E105:N105)</f>
        <v>0</v>
      </c>
      <c r="Q105" s="2"/>
      <c r="S105" s="2"/>
    </row>
    <row r="106" spans="1:19" x14ac:dyDescent="0.15">
      <c r="B106" s="340" t="s">
        <v>695</v>
      </c>
      <c r="C106" s="12"/>
      <c r="D106" s="67">
        <f t="shared" si="53"/>
        <v>0</v>
      </c>
      <c r="E106" s="67">
        <f>E105+E104+E103</f>
        <v>270000000</v>
      </c>
      <c r="F106" s="67">
        <f t="shared" ref="F106:N106" si="58">F105+F104+F103</f>
        <v>282150000.00000006</v>
      </c>
      <c r="G106" s="67">
        <f t="shared" si="58"/>
        <v>294846750.00000006</v>
      </c>
      <c r="H106" s="67">
        <f t="shared" si="58"/>
        <v>308114853.75000012</v>
      </c>
      <c r="I106" s="67">
        <f t="shared" si="58"/>
        <v>321980022.16875011</v>
      </c>
      <c r="J106" s="67">
        <f t="shared" si="58"/>
        <v>0</v>
      </c>
      <c r="K106" s="67">
        <f t="shared" si="58"/>
        <v>0</v>
      </c>
      <c r="L106" s="67">
        <f t="shared" si="58"/>
        <v>0</v>
      </c>
      <c r="M106" s="67">
        <f t="shared" si="58"/>
        <v>0</v>
      </c>
      <c r="N106" s="67">
        <f t="shared" si="58"/>
        <v>0</v>
      </c>
      <c r="O106" s="67"/>
      <c r="P106" s="326">
        <f t="shared" ref="P106:P126" si="59">SUM(E106:N106)</f>
        <v>1477091625.91875</v>
      </c>
      <c r="Q106" s="2"/>
      <c r="S106" s="2"/>
    </row>
    <row r="107" spans="1:19" x14ac:dyDescent="0.15">
      <c r="B107" s="340" t="s">
        <v>696</v>
      </c>
      <c r="C107" s="12" t="s">
        <v>289</v>
      </c>
      <c r="D107" s="67">
        <f t="shared" si="53"/>
        <v>0</v>
      </c>
      <c r="E107" s="67">
        <f t="shared" ref="E107:N107" si="60">E163</f>
        <v>230170000</v>
      </c>
      <c r="F107" s="67">
        <f t="shared" si="60"/>
        <v>253018375.00000003</v>
      </c>
      <c r="G107" s="67">
        <f t="shared" si="60"/>
        <v>278725718.45125008</v>
      </c>
      <c r="H107" s="67">
        <f t="shared" si="60"/>
        <v>307665975.06072807</v>
      </c>
      <c r="I107" s="67">
        <f t="shared" si="60"/>
        <v>340262566.36057305</v>
      </c>
      <c r="J107" s="67">
        <f t="shared" si="60"/>
        <v>0</v>
      </c>
      <c r="K107" s="67">
        <f t="shared" si="60"/>
        <v>0</v>
      </c>
      <c r="L107" s="67">
        <f t="shared" si="60"/>
        <v>0</v>
      </c>
      <c r="M107" s="67">
        <f t="shared" si="60"/>
        <v>0</v>
      </c>
      <c r="N107" s="67">
        <f t="shared" si="60"/>
        <v>0</v>
      </c>
      <c r="O107" s="67">
        <v>0</v>
      </c>
      <c r="P107" s="326">
        <f t="shared" si="59"/>
        <v>1409842634.8725512</v>
      </c>
      <c r="Q107" s="2"/>
      <c r="S107" s="2"/>
    </row>
    <row r="108" spans="1:19" x14ac:dyDescent="0.15">
      <c r="B108" s="340">
        <v>3</v>
      </c>
      <c r="C108" s="12" t="s">
        <v>290</v>
      </c>
      <c r="D108" s="67">
        <f>D106-D107</f>
        <v>0</v>
      </c>
      <c r="E108" s="67">
        <f t="shared" ref="E108:N108" si="61">E106-E107</f>
        <v>39830000</v>
      </c>
      <c r="F108" s="67">
        <f t="shared" si="61"/>
        <v>29131625.00000003</v>
      </c>
      <c r="G108" s="67">
        <f t="shared" si="61"/>
        <v>16121031.548749983</v>
      </c>
      <c r="H108" s="67">
        <f t="shared" si="61"/>
        <v>448878.68927204609</v>
      </c>
      <c r="I108" s="67">
        <f t="shared" si="61"/>
        <v>-18282544.191822946</v>
      </c>
      <c r="J108" s="67">
        <f t="shared" si="61"/>
        <v>0</v>
      </c>
      <c r="K108" s="67">
        <f t="shared" si="61"/>
        <v>0</v>
      </c>
      <c r="L108" s="67">
        <f t="shared" si="61"/>
        <v>0</v>
      </c>
      <c r="M108" s="67">
        <f t="shared" si="61"/>
        <v>0</v>
      </c>
      <c r="N108" s="67">
        <f t="shared" si="61"/>
        <v>0</v>
      </c>
      <c r="O108" s="67">
        <v>0</v>
      </c>
      <c r="P108" s="326">
        <f t="shared" si="59"/>
        <v>67248991.046199113</v>
      </c>
      <c r="Q108" s="2"/>
      <c r="S108" s="2"/>
    </row>
    <row r="109" spans="1:19" x14ac:dyDescent="0.15">
      <c r="B109" s="340" t="s">
        <v>697</v>
      </c>
      <c r="C109" s="12" t="s">
        <v>292</v>
      </c>
      <c r="D109" s="67">
        <f t="shared" ref="D109:N124" si="62">D165</f>
        <v>0</v>
      </c>
      <c r="E109" s="67">
        <f t="shared" si="62"/>
        <v>3772500</v>
      </c>
      <c r="F109" s="67">
        <f t="shared" si="62"/>
        <v>6218850</v>
      </c>
      <c r="G109" s="67">
        <f t="shared" si="62"/>
        <v>4083150</v>
      </c>
      <c r="H109" s="67">
        <f t="shared" si="62"/>
        <v>2775510</v>
      </c>
      <c r="I109" s="67">
        <f t="shared" si="62"/>
        <v>1352955</v>
      </c>
      <c r="J109" s="67">
        <f t="shared" si="62"/>
        <v>0</v>
      </c>
      <c r="K109" s="67">
        <f t="shared" si="62"/>
        <v>0</v>
      </c>
      <c r="L109" s="67">
        <f t="shared" si="62"/>
        <v>0</v>
      </c>
      <c r="M109" s="67">
        <f t="shared" si="62"/>
        <v>0</v>
      </c>
      <c r="N109" s="67">
        <f t="shared" si="62"/>
        <v>0</v>
      </c>
      <c r="O109" s="67">
        <v>0</v>
      </c>
      <c r="P109" s="326">
        <f t="shared" si="59"/>
        <v>18202965</v>
      </c>
      <c r="Q109" s="2"/>
      <c r="S109" s="2"/>
    </row>
    <row r="110" spans="1:19" x14ac:dyDescent="0.15">
      <c r="B110" s="340">
        <v>5</v>
      </c>
      <c r="C110" s="12" t="s">
        <v>293</v>
      </c>
      <c r="D110" s="67">
        <f>D108-D109</f>
        <v>0</v>
      </c>
      <c r="E110" s="67">
        <f t="shared" ref="E110:N110" si="63">E108-E109</f>
        <v>36057500</v>
      </c>
      <c r="F110" s="67">
        <f t="shared" si="63"/>
        <v>22912775.00000003</v>
      </c>
      <c r="G110" s="67">
        <f t="shared" si="63"/>
        <v>12037881.548749983</v>
      </c>
      <c r="H110" s="67">
        <f t="shared" si="63"/>
        <v>-2326631.3107279539</v>
      </c>
      <c r="I110" s="67">
        <f t="shared" si="63"/>
        <v>-19635499.191822946</v>
      </c>
      <c r="J110" s="67">
        <f t="shared" si="63"/>
        <v>0</v>
      </c>
      <c r="K110" s="67">
        <f t="shared" si="63"/>
        <v>0</v>
      </c>
      <c r="L110" s="67">
        <f t="shared" si="63"/>
        <v>0</v>
      </c>
      <c r="M110" s="67">
        <f t="shared" si="63"/>
        <v>0</v>
      </c>
      <c r="N110" s="67">
        <f t="shared" si="63"/>
        <v>0</v>
      </c>
      <c r="O110" s="67">
        <v>0</v>
      </c>
      <c r="P110" s="326">
        <f t="shared" si="59"/>
        <v>49046026.046199113</v>
      </c>
      <c r="Q110" s="2"/>
      <c r="S110" s="2"/>
    </row>
    <row r="111" spans="1:19" x14ac:dyDescent="0.15">
      <c r="B111" s="340" t="s">
        <v>698</v>
      </c>
      <c r="C111" s="12" t="s">
        <v>295</v>
      </c>
      <c r="D111" s="67">
        <f t="shared" si="62"/>
        <v>0</v>
      </c>
      <c r="E111" s="67">
        <f t="shared" si="62"/>
        <v>0</v>
      </c>
      <c r="F111" s="67">
        <f t="shared" si="62"/>
        <v>0</v>
      </c>
      <c r="G111" s="67">
        <f t="shared" si="62"/>
        <v>0</v>
      </c>
      <c r="H111" s="67">
        <f t="shared" si="62"/>
        <v>0</v>
      </c>
      <c r="I111" s="67">
        <f t="shared" si="62"/>
        <v>0</v>
      </c>
      <c r="J111" s="67">
        <f t="shared" si="62"/>
        <v>0</v>
      </c>
      <c r="K111" s="67">
        <f t="shared" si="62"/>
        <v>0</v>
      </c>
      <c r="L111" s="67">
        <f t="shared" si="62"/>
        <v>0</v>
      </c>
      <c r="M111" s="67">
        <f t="shared" si="62"/>
        <v>0</v>
      </c>
      <c r="N111" s="67">
        <f t="shared" si="62"/>
        <v>0</v>
      </c>
      <c r="O111" s="67">
        <v>0</v>
      </c>
      <c r="P111" s="326">
        <f t="shared" si="59"/>
        <v>0</v>
      </c>
      <c r="Q111" s="2"/>
      <c r="S111" s="2"/>
    </row>
    <row r="112" spans="1:19" x14ac:dyDescent="0.15">
      <c r="B112" s="340">
        <v>7</v>
      </c>
      <c r="C112" s="12" t="s">
        <v>296</v>
      </c>
      <c r="D112" s="67">
        <f>D110-D111</f>
        <v>0</v>
      </c>
      <c r="E112" s="67">
        <f t="shared" ref="E112:N112" si="64">E110-E111</f>
        <v>36057500</v>
      </c>
      <c r="F112" s="67">
        <f t="shared" si="64"/>
        <v>22912775.00000003</v>
      </c>
      <c r="G112" s="67">
        <f t="shared" si="64"/>
        <v>12037881.548749983</v>
      </c>
      <c r="H112" s="67">
        <f t="shared" si="64"/>
        <v>-2326631.3107279539</v>
      </c>
      <c r="I112" s="67">
        <f t="shared" si="64"/>
        <v>-19635499.191822946</v>
      </c>
      <c r="J112" s="67">
        <f t="shared" si="64"/>
        <v>0</v>
      </c>
      <c r="K112" s="67">
        <f t="shared" si="64"/>
        <v>0</v>
      </c>
      <c r="L112" s="67">
        <f t="shared" si="64"/>
        <v>0</v>
      </c>
      <c r="M112" s="67">
        <f t="shared" si="64"/>
        <v>0</v>
      </c>
      <c r="N112" s="67">
        <f t="shared" si="64"/>
        <v>0</v>
      </c>
      <c r="O112" s="67">
        <v>0</v>
      </c>
      <c r="P112" s="326">
        <f t="shared" si="59"/>
        <v>49046026.046199113</v>
      </c>
      <c r="Q112" s="2"/>
      <c r="S112" s="2"/>
    </row>
    <row r="113" spans="1:19" x14ac:dyDescent="0.15">
      <c r="B113" s="340">
        <v>8</v>
      </c>
      <c r="C113" s="12" t="s">
        <v>297</v>
      </c>
      <c r="D113" s="67">
        <f>-D112*$D$3</f>
        <v>0</v>
      </c>
      <c r="E113" s="67">
        <f t="shared" ref="E113:N113" si="65">-E112*$D$3</f>
        <v>-10817250</v>
      </c>
      <c r="F113" s="67">
        <f t="shared" si="65"/>
        <v>-6873832.5000000084</v>
      </c>
      <c r="G113" s="67">
        <f t="shared" si="65"/>
        <v>-3611364.4646249949</v>
      </c>
      <c r="H113" s="67">
        <f t="shared" si="65"/>
        <v>697989.3932183861</v>
      </c>
      <c r="I113" s="67">
        <f t="shared" si="65"/>
        <v>5890649.757546884</v>
      </c>
      <c r="J113" s="67">
        <f t="shared" si="65"/>
        <v>0</v>
      </c>
      <c r="K113" s="67">
        <f t="shared" si="65"/>
        <v>0</v>
      </c>
      <c r="L113" s="67">
        <f t="shared" si="65"/>
        <v>0</v>
      </c>
      <c r="M113" s="67">
        <f t="shared" si="65"/>
        <v>0</v>
      </c>
      <c r="N113" s="67">
        <f t="shared" si="65"/>
        <v>0</v>
      </c>
      <c r="O113" s="67">
        <v>0</v>
      </c>
      <c r="P113" s="326">
        <f t="shared" si="59"/>
        <v>-14713807.813859731</v>
      </c>
      <c r="Q113" s="2"/>
      <c r="S113" s="2"/>
    </row>
    <row r="114" spans="1:19" x14ac:dyDescent="0.15">
      <c r="B114" s="340">
        <v>9</v>
      </c>
      <c r="C114" s="12" t="s">
        <v>298</v>
      </c>
      <c r="D114" s="67">
        <f t="shared" si="62"/>
        <v>0</v>
      </c>
      <c r="E114" s="67">
        <f t="shared" si="62"/>
        <v>0</v>
      </c>
      <c r="F114" s="67">
        <f t="shared" si="62"/>
        <v>0</v>
      </c>
      <c r="G114" s="67">
        <f t="shared" si="62"/>
        <v>0</v>
      </c>
      <c r="H114" s="67">
        <f t="shared" si="62"/>
        <v>0</v>
      </c>
      <c r="I114" s="67">
        <f t="shared" si="62"/>
        <v>0</v>
      </c>
      <c r="J114" s="67">
        <f t="shared" si="62"/>
        <v>0</v>
      </c>
      <c r="K114" s="67">
        <f t="shared" si="62"/>
        <v>0</v>
      </c>
      <c r="L114" s="67">
        <f t="shared" si="62"/>
        <v>0</v>
      </c>
      <c r="M114" s="67">
        <f t="shared" si="62"/>
        <v>0</v>
      </c>
      <c r="N114" s="67">
        <f t="shared" si="62"/>
        <v>0</v>
      </c>
      <c r="O114" s="67">
        <v>0</v>
      </c>
      <c r="P114" s="326">
        <f t="shared" si="59"/>
        <v>0</v>
      </c>
      <c r="Q114" s="2"/>
      <c r="S114" s="2"/>
    </row>
    <row r="115" spans="1:19" x14ac:dyDescent="0.15">
      <c r="B115" s="340">
        <v>10</v>
      </c>
      <c r="C115" s="12" t="s">
        <v>299</v>
      </c>
      <c r="D115" s="67">
        <f>D112+D113+D114</f>
        <v>0</v>
      </c>
      <c r="E115" s="67">
        <f t="shared" ref="E115:N115" si="66">E112+E113+E114</f>
        <v>25240250</v>
      </c>
      <c r="F115" s="67">
        <f t="shared" si="66"/>
        <v>16038942.500000022</v>
      </c>
      <c r="G115" s="67">
        <f t="shared" si="66"/>
        <v>8426517.0841249879</v>
      </c>
      <c r="H115" s="67">
        <f t="shared" si="66"/>
        <v>-1628641.9175095679</v>
      </c>
      <c r="I115" s="67">
        <f t="shared" si="66"/>
        <v>-13744849.434276063</v>
      </c>
      <c r="J115" s="67">
        <f t="shared" si="66"/>
        <v>0</v>
      </c>
      <c r="K115" s="67">
        <f t="shared" si="66"/>
        <v>0</v>
      </c>
      <c r="L115" s="67">
        <f t="shared" si="66"/>
        <v>0</v>
      </c>
      <c r="M115" s="67">
        <f t="shared" si="66"/>
        <v>0</v>
      </c>
      <c r="N115" s="67">
        <f t="shared" si="66"/>
        <v>0</v>
      </c>
      <c r="O115" s="67">
        <v>0</v>
      </c>
      <c r="P115" s="326">
        <f t="shared" si="59"/>
        <v>34332218.232339382</v>
      </c>
      <c r="Q115" s="2"/>
      <c r="S115" s="2"/>
    </row>
    <row r="116" spans="1:19" x14ac:dyDescent="0.15">
      <c r="B116" s="340" t="s">
        <v>699</v>
      </c>
      <c r="C116" s="12" t="s">
        <v>292</v>
      </c>
      <c r="D116" s="67">
        <f t="shared" si="62"/>
        <v>0</v>
      </c>
      <c r="E116" s="67">
        <f t="shared" si="62"/>
        <v>3772500</v>
      </c>
      <c r="F116" s="67">
        <f t="shared" si="62"/>
        <v>6218850</v>
      </c>
      <c r="G116" s="67">
        <f t="shared" si="62"/>
        <v>4083150</v>
      </c>
      <c r="H116" s="67">
        <f t="shared" si="62"/>
        <v>2775510</v>
      </c>
      <c r="I116" s="67">
        <f t="shared" si="62"/>
        <v>1352955</v>
      </c>
      <c r="J116" s="67">
        <f t="shared" si="62"/>
        <v>0</v>
      </c>
      <c r="K116" s="67">
        <f t="shared" si="62"/>
        <v>0</v>
      </c>
      <c r="L116" s="67">
        <f t="shared" si="62"/>
        <v>0</v>
      </c>
      <c r="M116" s="67">
        <f t="shared" si="62"/>
        <v>0</v>
      </c>
      <c r="N116" s="67">
        <f t="shared" si="62"/>
        <v>0</v>
      </c>
      <c r="O116" s="67">
        <v>0</v>
      </c>
      <c r="P116" s="326">
        <f t="shared" si="59"/>
        <v>18202965</v>
      </c>
      <c r="Q116" s="2"/>
      <c r="S116" s="2"/>
    </row>
    <row r="117" spans="1:19" x14ac:dyDescent="0.15">
      <c r="B117" s="340">
        <v>12</v>
      </c>
      <c r="C117" s="12" t="s">
        <v>301</v>
      </c>
      <c r="D117" s="67">
        <f>D115+D116</f>
        <v>0</v>
      </c>
      <c r="E117" s="67">
        <f t="shared" ref="E117:N117" si="67">E115+E116</f>
        <v>29012750</v>
      </c>
      <c r="F117" s="67">
        <f t="shared" si="67"/>
        <v>22257792.500000022</v>
      </c>
      <c r="G117" s="67">
        <f t="shared" si="67"/>
        <v>12509667.084124988</v>
      </c>
      <c r="H117" s="67">
        <f t="shared" si="67"/>
        <v>1146868.0824904321</v>
      </c>
      <c r="I117" s="67">
        <f t="shared" si="67"/>
        <v>-12391894.434276063</v>
      </c>
      <c r="J117" s="67">
        <f t="shared" si="67"/>
        <v>0</v>
      </c>
      <c r="K117" s="67">
        <f t="shared" si="67"/>
        <v>0</v>
      </c>
      <c r="L117" s="67">
        <f t="shared" si="67"/>
        <v>0</v>
      </c>
      <c r="M117" s="67">
        <f t="shared" si="67"/>
        <v>0</v>
      </c>
      <c r="N117" s="67">
        <f t="shared" si="67"/>
        <v>0</v>
      </c>
      <c r="O117" s="67">
        <v>0</v>
      </c>
      <c r="P117" s="326">
        <f t="shared" si="59"/>
        <v>52535183.232339382</v>
      </c>
      <c r="Q117" s="2"/>
      <c r="S117" s="2"/>
    </row>
    <row r="118" spans="1:19" x14ac:dyDescent="0.15">
      <c r="B118" s="340" t="s">
        <v>700</v>
      </c>
      <c r="C118" s="12" t="s">
        <v>303</v>
      </c>
      <c r="D118" s="67">
        <f t="shared" si="62"/>
        <v>0</v>
      </c>
      <c r="E118" s="67">
        <f t="shared" si="62"/>
        <v>0</v>
      </c>
      <c r="F118" s="67">
        <f t="shared" si="62"/>
        <v>0</v>
      </c>
      <c r="G118" s="67">
        <f t="shared" si="62"/>
        <v>0</v>
      </c>
      <c r="H118" s="67">
        <f t="shared" si="62"/>
        <v>0</v>
      </c>
      <c r="I118" s="67">
        <f t="shared" si="62"/>
        <v>0</v>
      </c>
      <c r="J118" s="67">
        <f t="shared" si="62"/>
        <v>0</v>
      </c>
      <c r="K118" s="67">
        <f t="shared" si="62"/>
        <v>0</v>
      </c>
      <c r="L118" s="67">
        <f t="shared" si="62"/>
        <v>0</v>
      </c>
      <c r="M118" s="67">
        <f t="shared" si="62"/>
        <v>0</v>
      </c>
      <c r="N118" s="67">
        <f t="shared" si="62"/>
        <v>0</v>
      </c>
      <c r="O118" s="67">
        <v>0</v>
      </c>
      <c r="P118" s="326">
        <f t="shared" si="59"/>
        <v>0</v>
      </c>
      <c r="Q118" s="2"/>
      <c r="S118" s="2"/>
    </row>
    <row r="119" spans="1:19" x14ac:dyDescent="0.15">
      <c r="B119" s="340">
        <v>14</v>
      </c>
      <c r="C119" s="12" t="s">
        <v>304</v>
      </c>
      <c r="D119" s="67">
        <f>D120+D121+D122</f>
        <v>-32550000</v>
      </c>
      <c r="E119" s="67">
        <f t="shared" ref="E119:N119" si="68">E120+E121+E122</f>
        <v>0</v>
      </c>
      <c r="F119" s="67">
        <f t="shared" si="68"/>
        <v>0</v>
      </c>
      <c r="G119" s="67">
        <f t="shared" si="68"/>
        <v>0</v>
      </c>
      <c r="H119" s="67">
        <f t="shared" si="68"/>
        <v>0</v>
      </c>
      <c r="I119" s="67">
        <f t="shared" si="68"/>
        <v>14347035</v>
      </c>
      <c r="J119" s="67">
        <f t="shared" si="68"/>
        <v>0</v>
      </c>
      <c r="K119" s="67">
        <f t="shared" si="68"/>
        <v>0</v>
      </c>
      <c r="L119" s="67">
        <f t="shared" si="68"/>
        <v>0</v>
      </c>
      <c r="M119" s="67">
        <f t="shared" si="68"/>
        <v>0</v>
      </c>
      <c r="N119" s="67">
        <f t="shared" si="68"/>
        <v>0</v>
      </c>
      <c r="O119" s="67">
        <v>0</v>
      </c>
      <c r="P119" s="326">
        <f t="shared" si="59"/>
        <v>14347035</v>
      </c>
      <c r="Q119" s="2"/>
      <c r="S119" s="2"/>
    </row>
    <row r="120" spans="1:19" x14ac:dyDescent="0.15">
      <c r="B120" s="340" t="s">
        <v>701</v>
      </c>
      <c r="C120" s="12" t="s">
        <v>207</v>
      </c>
      <c r="D120" s="67">
        <f t="shared" si="62"/>
        <v>-31050000</v>
      </c>
      <c r="E120" s="67">
        <f t="shared" si="62"/>
        <v>0</v>
      </c>
      <c r="F120" s="67">
        <f t="shared" si="62"/>
        <v>0</v>
      </c>
      <c r="G120" s="67">
        <f t="shared" si="62"/>
        <v>0</v>
      </c>
      <c r="H120" s="67">
        <f t="shared" si="62"/>
        <v>0</v>
      </c>
      <c r="I120" s="67">
        <f t="shared" si="62"/>
        <v>12847035</v>
      </c>
      <c r="J120" s="67">
        <f t="shared" si="62"/>
        <v>0</v>
      </c>
      <c r="K120" s="67">
        <f t="shared" si="62"/>
        <v>0</v>
      </c>
      <c r="L120" s="67">
        <f t="shared" si="62"/>
        <v>0</v>
      </c>
      <c r="M120" s="67">
        <f t="shared" si="62"/>
        <v>0</v>
      </c>
      <c r="N120" s="67">
        <f t="shared" si="62"/>
        <v>0</v>
      </c>
      <c r="O120" s="67">
        <v>0</v>
      </c>
      <c r="P120" s="326">
        <f t="shared" si="59"/>
        <v>12847035</v>
      </c>
      <c r="Q120" s="2"/>
      <c r="S120" s="2"/>
    </row>
    <row r="121" spans="1:19" x14ac:dyDescent="0.15">
      <c r="B121" s="340" t="s">
        <v>702</v>
      </c>
      <c r="C121" s="12" t="s">
        <v>307</v>
      </c>
      <c r="D121" s="67">
        <f t="shared" si="62"/>
        <v>-1500000</v>
      </c>
      <c r="E121" s="67">
        <f t="shared" si="62"/>
        <v>0</v>
      </c>
      <c r="F121" s="67">
        <f t="shared" si="62"/>
        <v>0</v>
      </c>
      <c r="G121" s="67">
        <f t="shared" si="62"/>
        <v>0</v>
      </c>
      <c r="H121" s="67">
        <f t="shared" si="62"/>
        <v>0</v>
      </c>
      <c r="I121" s="67">
        <f t="shared" si="62"/>
        <v>1500000</v>
      </c>
      <c r="J121" s="67">
        <f t="shared" si="62"/>
        <v>0</v>
      </c>
      <c r="K121" s="67">
        <f t="shared" si="62"/>
        <v>0</v>
      </c>
      <c r="L121" s="67">
        <f t="shared" si="62"/>
        <v>0</v>
      </c>
      <c r="M121" s="67">
        <f t="shared" si="62"/>
        <v>0</v>
      </c>
      <c r="N121" s="67">
        <f t="shared" si="62"/>
        <v>0</v>
      </c>
      <c r="O121" s="67">
        <v>0</v>
      </c>
      <c r="P121" s="326">
        <f t="shared" si="59"/>
        <v>1500000</v>
      </c>
      <c r="Q121" s="2"/>
      <c r="S121" s="2"/>
    </row>
    <row r="122" spans="1:19" x14ac:dyDescent="0.15">
      <c r="B122" s="340" t="s">
        <v>703</v>
      </c>
      <c r="C122" s="12" t="s">
        <v>309</v>
      </c>
      <c r="D122" s="67">
        <f t="shared" si="62"/>
        <v>0</v>
      </c>
      <c r="E122" s="67">
        <f t="shared" si="62"/>
        <v>0</v>
      </c>
      <c r="F122" s="67">
        <f t="shared" si="62"/>
        <v>0</v>
      </c>
      <c r="G122" s="67">
        <f t="shared" si="62"/>
        <v>0</v>
      </c>
      <c r="H122" s="67">
        <f t="shared" si="62"/>
        <v>0</v>
      </c>
      <c r="I122" s="67">
        <f t="shared" si="62"/>
        <v>0</v>
      </c>
      <c r="J122" s="67">
        <f t="shared" si="62"/>
        <v>0</v>
      </c>
      <c r="K122" s="67">
        <f t="shared" si="62"/>
        <v>0</v>
      </c>
      <c r="L122" s="67">
        <f t="shared" si="62"/>
        <v>0</v>
      </c>
      <c r="M122" s="67">
        <f t="shared" si="62"/>
        <v>0</v>
      </c>
      <c r="N122" s="67">
        <f t="shared" si="62"/>
        <v>0</v>
      </c>
      <c r="O122" s="67">
        <v>0</v>
      </c>
      <c r="P122" s="326">
        <f t="shared" si="59"/>
        <v>0</v>
      </c>
      <c r="Q122" s="2"/>
      <c r="S122" s="2"/>
    </row>
    <row r="123" spans="1:19" x14ac:dyDescent="0.15">
      <c r="B123" s="340" t="s">
        <v>704</v>
      </c>
      <c r="C123" s="12" t="s">
        <v>311</v>
      </c>
      <c r="D123" s="67">
        <f t="shared" si="62"/>
        <v>0</v>
      </c>
      <c r="E123" s="67">
        <f t="shared" si="62"/>
        <v>0</v>
      </c>
      <c r="F123" s="67">
        <f t="shared" si="62"/>
        <v>0</v>
      </c>
      <c r="G123" s="67">
        <f t="shared" si="62"/>
        <v>0</v>
      </c>
      <c r="H123" s="67">
        <f t="shared" si="62"/>
        <v>0</v>
      </c>
      <c r="I123" s="67">
        <f t="shared" si="62"/>
        <v>-2596968.7000000002</v>
      </c>
      <c r="J123" s="67">
        <f t="shared" si="62"/>
        <v>0</v>
      </c>
      <c r="K123" s="67">
        <f t="shared" si="62"/>
        <v>0</v>
      </c>
      <c r="L123" s="67">
        <f t="shared" si="62"/>
        <v>0</v>
      </c>
      <c r="M123" s="67">
        <f t="shared" si="62"/>
        <v>0</v>
      </c>
      <c r="N123" s="67">
        <f t="shared" si="62"/>
        <v>0</v>
      </c>
      <c r="O123" s="67">
        <v>0</v>
      </c>
      <c r="P123" s="326">
        <f t="shared" si="59"/>
        <v>-2596968.7000000002</v>
      </c>
      <c r="Q123" s="2"/>
      <c r="S123" s="2"/>
    </row>
    <row r="124" spans="1:19" ht="14" thickBot="1" x14ac:dyDescent="0.2">
      <c r="B124" s="340" t="s">
        <v>705</v>
      </c>
      <c r="C124" s="12" t="s">
        <v>115</v>
      </c>
      <c r="D124" s="67">
        <f t="shared" si="62"/>
        <v>-60000000</v>
      </c>
      <c r="E124" s="67">
        <f t="shared" si="62"/>
        <v>0</v>
      </c>
      <c r="F124" s="67">
        <f t="shared" si="62"/>
        <v>0</v>
      </c>
      <c r="G124" s="67">
        <f t="shared" si="62"/>
        <v>0</v>
      </c>
      <c r="H124" s="67">
        <f t="shared" si="62"/>
        <v>0</v>
      </c>
      <c r="I124" s="67">
        <f t="shared" si="62"/>
        <v>60000000</v>
      </c>
      <c r="J124" s="67">
        <f t="shared" si="62"/>
        <v>0</v>
      </c>
      <c r="K124" s="67">
        <f t="shared" si="62"/>
        <v>0</v>
      </c>
      <c r="L124" s="67">
        <f t="shared" si="62"/>
        <v>0</v>
      </c>
      <c r="M124" s="67">
        <f t="shared" si="62"/>
        <v>0</v>
      </c>
      <c r="N124" s="67">
        <f t="shared" si="62"/>
        <v>0</v>
      </c>
      <c r="O124" s="67">
        <v>0</v>
      </c>
      <c r="P124" s="326">
        <f t="shared" si="59"/>
        <v>60000000</v>
      </c>
      <c r="Q124" s="2"/>
      <c r="S124" s="2"/>
    </row>
    <row r="125" spans="1:19" x14ac:dyDescent="0.15">
      <c r="B125" s="340">
        <v>17</v>
      </c>
      <c r="C125" s="12" t="s">
        <v>313</v>
      </c>
      <c r="D125" s="67">
        <f>D118+D119+D123+D124</f>
        <v>-92550000</v>
      </c>
      <c r="E125" s="67">
        <f t="shared" ref="E125:N125" si="69">E118+E119+E123+E124</f>
        <v>0</v>
      </c>
      <c r="F125" s="67">
        <f t="shared" si="69"/>
        <v>0</v>
      </c>
      <c r="G125" s="67">
        <f t="shared" si="69"/>
        <v>0</v>
      </c>
      <c r="H125" s="67">
        <f t="shared" si="69"/>
        <v>0</v>
      </c>
      <c r="I125" s="67">
        <f t="shared" si="69"/>
        <v>71750066.299999997</v>
      </c>
      <c r="J125" s="67">
        <f t="shared" si="69"/>
        <v>0</v>
      </c>
      <c r="K125" s="67">
        <f t="shared" si="69"/>
        <v>0</v>
      </c>
      <c r="L125" s="67">
        <f t="shared" si="69"/>
        <v>0</v>
      </c>
      <c r="M125" s="67">
        <f t="shared" si="69"/>
        <v>0</v>
      </c>
      <c r="N125" s="67">
        <f t="shared" si="69"/>
        <v>0</v>
      </c>
      <c r="O125" s="67">
        <v>0</v>
      </c>
      <c r="P125" s="326">
        <f t="shared" si="59"/>
        <v>71750066.299999997</v>
      </c>
      <c r="Q125" s="461"/>
      <c r="R125" s="357" t="s">
        <v>693</v>
      </c>
      <c r="S125" s="2"/>
    </row>
    <row r="126" spans="1:19" ht="14" thickBot="1" x14ac:dyDescent="0.2">
      <c r="A126" s="1" t="s">
        <v>707</v>
      </c>
      <c r="B126" s="355">
        <v>18</v>
      </c>
      <c r="C126" s="335" t="s">
        <v>314</v>
      </c>
      <c r="D126" s="67">
        <f>D117+D125</f>
        <v>-92550000</v>
      </c>
      <c r="E126" s="67">
        <f t="shared" ref="E126:N126" si="70">E117+E125</f>
        <v>29012750</v>
      </c>
      <c r="F126" s="67">
        <f t="shared" si="70"/>
        <v>22257792.500000022</v>
      </c>
      <c r="G126" s="67">
        <f t="shared" si="70"/>
        <v>12509667.084124988</v>
      </c>
      <c r="H126" s="67">
        <f t="shared" si="70"/>
        <v>1146868.0824904321</v>
      </c>
      <c r="I126" s="67">
        <f t="shared" si="70"/>
        <v>59358171.865723938</v>
      </c>
      <c r="J126" s="67">
        <f t="shared" si="70"/>
        <v>0</v>
      </c>
      <c r="K126" s="67">
        <f t="shared" si="70"/>
        <v>0</v>
      </c>
      <c r="L126" s="67">
        <f t="shared" si="70"/>
        <v>0</v>
      </c>
      <c r="M126" s="67">
        <f t="shared" si="70"/>
        <v>0</v>
      </c>
      <c r="N126" s="67">
        <f t="shared" si="70"/>
        <v>0</v>
      </c>
      <c r="O126" s="331">
        <v>0</v>
      </c>
      <c r="P126" s="356">
        <f t="shared" si="59"/>
        <v>124285249.53233938</v>
      </c>
      <c r="Q126" s="463"/>
      <c r="R126" s="358">
        <f>IF(ISNUMBER(IRR(D126:N126)),IRR(D126:N126),"NMF")</f>
        <v>9.7095016114275623E-2</v>
      </c>
      <c r="S126" s="1" t="s">
        <v>707</v>
      </c>
    </row>
    <row r="127" spans="1:19" x14ac:dyDescent="0.15">
      <c r="S127" s="2"/>
    </row>
    <row r="128" spans="1:19" ht="14" thickBot="1" x14ac:dyDescent="0.2">
      <c r="S128" s="2"/>
    </row>
    <row r="129" spans="1:19" ht="14" thickBot="1" x14ac:dyDescent="0.2">
      <c r="B129" s="359" t="s">
        <v>282</v>
      </c>
      <c r="C129" s="360" t="s">
        <v>283</v>
      </c>
      <c r="D129" s="360"/>
      <c r="E129" s="360">
        <v>1</v>
      </c>
      <c r="F129" s="360">
        <v>2</v>
      </c>
      <c r="G129" s="360">
        <v>3</v>
      </c>
      <c r="H129" s="360">
        <v>4</v>
      </c>
      <c r="I129" s="360">
        <v>5</v>
      </c>
      <c r="J129" s="360">
        <v>6</v>
      </c>
      <c r="K129" s="360">
        <v>7</v>
      </c>
      <c r="L129" s="360">
        <v>8</v>
      </c>
      <c r="M129" s="360">
        <v>9</v>
      </c>
      <c r="N129" s="360">
        <v>10</v>
      </c>
      <c r="O129" s="360" t="s">
        <v>284</v>
      </c>
      <c r="P129" s="361" t="s">
        <v>285</v>
      </c>
      <c r="S129" s="2"/>
    </row>
    <row r="130" spans="1:19" x14ac:dyDescent="0.15">
      <c r="B130" s="339" t="s">
        <v>687</v>
      </c>
      <c r="C130" s="302" t="s">
        <v>287</v>
      </c>
      <c r="D130" s="322">
        <f t="shared" ref="D130:D135" si="71">D158</f>
        <v>0</v>
      </c>
      <c r="E130" s="322">
        <f t="shared" ref="E130:N130" si="72">E158</f>
        <v>300000000</v>
      </c>
      <c r="F130" s="322">
        <f t="shared" si="72"/>
        <v>313500000.00000006</v>
      </c>
      <c r="G130" s="322">
        <f t="shared" si="72"/>
        <v>327607500.00000006</v>
      </c>
      <c r="H130" s="322">
        <f t="shared" si="72"/>
        <v>342349837.50000012</v>
      </c>
      <c r="I130" s="322">
        <f t="shared" si="72"/>
        <v>357755580.18750012</v>
      </c>
      <c r="J130" s="322">
        <f t="shared" si="72"/>
        <v>0</v>
      </c>
      <c r="K130" s="322">
        <f t="shared" si="72"/>
        <v>0</v>
      </c>
      <c r="L130" s="322">
        <f t="shared" si="72"/>
        <v>0</v>
      </c>
      <c r="M130" s="322">
        <f t="shared" si="72"/>
        <v>0</v>
      </c>
      <c r="N130" s="322">
        <f t="shared" si="72"/>
        <v>0</v>
      </c>
      <c r="O130" s="322">
        <v>0</v>
      </c>
      <c r="P130" s="325">
        <f>SUM(E130:N130)</f>
        <v>1641212917.6875</v>
      </c>
      <c r="Q130" s="2"/>
      <c r="S130" s="2"/>
    </row>
    <row r="131" spans="1:19" x14ac:dyDescent="0.15">
      <c r="A131" s="1" t="s">
        <v>708</v>
      </c>
      <c r="B131" s="355" t="s">
        <v>689</v>
      </c>
      <c r="C131" s="362" t="s">
        <v>689</v>
      </c>
      <c r="D131" s="331">
        <f t="shared" si="71"/>
        <v>0</v>
      </c>
      <c r="E131" s="331">
        <f>E159*0.95</f>
        <v>285000000</v>
      </c>
      <c r="F131" s="331">
        <f t="shared" ref="F131:N131" si="73">F159*0.95</f>
        <v>297825000.00000006</v>
      </c>
      <c r="G131" s="331">
        <f t="shared" si="73"/>
        <v>311227125.00000006</v>
      </c>
      <c r="H131" s="331">
        <f t="shared" si="73"/>
        <v>325232345.62500012</v>
      </c>
      <c r="I131" s="331">
        <f t="shared" si="73"/>
        <v>339867801.17812508</v>
      </c>
      <c r="J131" s="331">
        <f t="shared" si="73"/>
        <v>0</v>
      </c>
      <c r="K131" s="331">
        <f t="shared" si="73"/>
        <v>0</v>
      </c>
      <c r="L131" s="331">
        <f t="shared" si="73"/>
        <v>0</v>
      </c>
      <c r="M131" s="331">
        <f t="shared" si="73"/>
        <v>0</v>
      </c>
      <c r="N131" s="331">
        <f t="shared" si="73"/>
        <v>0</v>
      </c>
      <c r="O131" s="331"/>
      <c r="P131" s="356">
        <f>SUM(E131:N131)</f>
        <v>1559152271.8031251</v>
      </c>
      <c r="Q131" s="460"/>
      <c r="S131" s="2"/>
    </row>
    <row r="132" spans="1:19" x14ac:dyDescent="0.15">
      <c r="B132" s="340" t="s">
        <v>690</v>
      </c>
      <c r="C132" s="354" t="s">
        <v>690</v>
      </c>
      <c r="D132" s="67">
        <f t="shared" si="71"/>
        <v>0</v>
      </c>
      <c r="E132" s="67">
        <f t="shared" ref="E132:N132" si="74">E160</f>
        <v>0</v>
      </c>
      <c r="F132" s="67">
        <f t="shared" si="74"/>
        <v>0</v>
      </c>
      <c r="G132" s="67">
        <f t="shared" si="74"/>
        <v>0</v>
      </c>
      <c r="H132" s="67">
        <f t="shared" si="74"/>
        <v>0</v>
      </c>
      <c r="I132" s="67">
        <f t="shared" si="74"/>
        <v>0</v>
      </c>
      <c r="J132" s="67">
        <f t="shared" si="74"/>
        <v>0</v>
      </c>
      <c r="K132" s="67">
        <f t="shared" si="74"/>
        <v>0</v>
      </c>
      <c r="L132" s="67">
        <f t="shared" si="74"/>
        <v>0</v>
      </c>
      <c r="M132" s="67">
        <f t="shared" si="74"/>
        <v>0</v>
      </c>
      <c r="N132" s="67">
        <f t="shared" si="74"/>
        <v>0</v>
      </c>
      <c r="O132" s="289"/>
      <c r="P132" s="326">
        <f>SUM(E132:N132)</f>
        <v>0</v>
      </c>
      <c r="Q132" s="2"/>
      <c r="S132" s="2"/>
    </row>
    <row r="133" spans="1:19" x14ac:dyDescent="0.15">
      <c r="B133" s="340" t="s">
        <v>691</v>
      </c>
      <c r="C133" s="354" t="s">
        <v>691</v>
      </c>
      <c r="D133" s="67">
        <f t="shared" si="71"/>
        <v>0</v>
      </c>
      <c r="E133" s="67">
        <f t="shared" ref="E133:N133" si="75">E161</f>
        <v>0</v>
      </c>
      <c r="F133" s="67">
        <f t="shared" si="75"/>
        <v>0</v>
      </c>
      <c r="G133" s="67">
        <f t="shared" si="75"/>
        <v>0</v>
      </c>
      <c r="H133" s="67">
        <f t="shared" si="75"/>
        <v>0</v>
      </c>
      <c r="I133" s="67">
        <f t="shared" si="75"/>
        <v>0</v>
      </c>
      <c r="J133" s="67">
        <f t="shared" si="75"/>
        <v>0</v>
      </c>
      <c r="K133" s="67">
        <f t="shared" si="75"/>
        <v>0</v>
      </c>
      <c r="L133" s="67">
        <f t="shared" si="75"/>
        <v>0</v>
      </c>
      <c r="M133" s="67">
        <f t="shared" si="75"/>
        <v>0</v>
      </c>
      <c r="N133" s="67">
        <f t="shared" si="75"/>
        <v>0</v>
      </c>
      <c r="O133" s="67"/>
      <c r="P133" s="326">
        <f>SUM(E133:N133)</f>
        <v>0</v>
      </c>
      <c r="Q133" s="2"/>
      <c r="S133" s="2"/>
    </row>
    <row r="134" spans="1:19" x14ac:dyDescent="0.15">
      <c r="B134" s="340" t="s">
        <v>695</v>
      </c>
      <c r="C134" s="12"/>
      <c r="D134" s="67">
        <f t="shared" si="71"/>
        <v>0</v>
      </c>
      <c r="E134" s="67">
        <f>E133+E132+E131</f>
        <v>285000000</v>
      </c>
      <c r="F134" s="67">
        <f t="shared" ref="F134:N134" si="76">F133+F132+F131</f>
        <v>297825000.00000006</v>
      </c>
      <c r="G134" s="67">
        <f t="shared" si="76"/>
        <v>311227125.00000006</v>
      </c>
      <c r="H134" s="67">
        <f t="shared" si="76"/>
        <v>325232345.62500012</v>
      </c>
      <c r="I134" s="67">
        <f t="shared" si="76"/>
        <v>339867801.17812508</v>
      </c>
      <c r="J134" s="67">
        <f t="shared" si="76"/>
        <v>0</v>
      </c>
      <c r="K134" s="67">
        <f t="shared" si="76"/>
        <v>0</v>
      </c>
      <c r="L134" s="67">
        <f t="shared" si="76"/>
        <v>0</v>
      </c>
      <c r="M134" s="67">
        <f t="shared" si="76"/>
        <v>0</v>
      </c>
      <c r="N134" s="67">
        <f t="shared" si="76"/>
        <v>0</v>
      </c>
      <c r="O134" s="67"/>
      <c r="P134" s="326">
        <f t="shared" ref="P134:P154" si="77">SUM(E134:N134)</f>
        <v>1559152271.8031251</v>
      </c>
      <c r="Q134" s="2"/>
      <c r="S134" s="2"/>
    </row>
    <row r="135" spans="1:19" x14ac:dyDescent="0.15">
      <c r="B135" s="340" t="s">
        <v>696</v>
      </c>
      <c r="C135" s="12" t="s">
        <v>289</v>
      </c>
      <c r="D135" s="67">
        <f t="shared" si="71"/>
        <v>0</v>
      </c>
      <c r="E135" s="67">
        <f t="shared" ref="E135:N135" si="78">E163</f>
        <v>230170000</v>
      </c>
      <c r="F135" s="67">
        <f t="shared" si="78"/>
        <v>253018375.00000003</v>
      </c>
      <c r="G135" s="67">
        <f t="shared" si="78"/>
        <v>278725718.45125008</v>
      </c>
      <c r="H135" s="67">
        <f t="shared" si="78"/>
        <v>307665975.06072807</v>
      </c>
      <c r="I135" s="67">
        <f t="shared" si="78"/>
        <v>340262566.36057305</v>
      </c>
      <c r="J135" s="67">
        <f t="shared" si="78"/>
        <v>0</v>
      </c>
      <c r="K135" s="67">
        <f t="shared" si="78"/>
        <v>0</v>
      </c>
      <c r="L135" s="67">
        <f t="shared" si="78"/>
        <v>0</v>
      </c>
      <c r="M135" s="67">
        <f t="shared" si="78"/>
        <v>0</v>
      </c>
      <c r="N135" s="67">
        <f t="shared" si="78"/>
        <v>0</v>
      </c>
      <c r="O135" s="67">
        <v>0</v>
      </c>
      <c r="P135" s="326">
        <f t="shared" si="77"/>
        <v>1409842634.8725512</v>
      </c>
      <c r="Q135" s="2"/>
      <c r="S135" s="2"/>
    </row>
    <row r="136" spans="1:19" x14ac:dyDescent="0.15">
      <c r="B136" s="340">
        <v>3</v>
      </c>
      <c r="C136" s="12" t="s">
        <v>290</v>
      </c>
      <c r="D136" s="67">
        <f>D134-D135</f>
        <v>0</v>
      </c>
      <c r="E136" s="67">
        <f t="shared" ref="E136:N136" si="79">E134-E135</f>
        <v>54830000</v>
      </c>
      <c r="F136" s="67">
        <f t="shared" si="79"/>
        <v>44806625.00000003</v>
      </c>
      <c r="G136" s="67">
        <f t="shared" si="79"/>
        <v>32501406.548749983</v>
      </c>
      <c r="H136" s="67">
        <f t="shared" si="79"/>
        <v>17566370.564272046</v>
      </c>
      <c r="I136" s="67">
        <f t="shared" si="79"/>
        <v>-394765.18244796991</v>
      </c>
      <c r="J136" s="67">
        <f t="shared" si="79"/>
        <v>0</v>
      </c>
      <c r="K136" s="67">
        <f t="shared" si="79"/>
        <v>0</v>
      </c>
      <c r="L136" s="67">
        <f t="shared" si="79"/>
        <v>0</v>
      </c>
      <c r="M136" s="67">
        <f t="shared" si="79"/>
        <v>0</v>
      </c>
      <c r="N136" s="67">
        <f t="shared" si="79"/>
        <v>0</v>
      </c>
      <c r="O136" s="67">
        <v>0</v>
      </c>
      <c r="P136" s="326">
        <f t="shared" si="77"/>
        <v>149309636.93057409</v>
      </c>
      <c r="Q136" s="2"/>
      <c r="S136" s="2"/>
    </row>
    <row r="137" spans="1:19" x14ac:dyDescent="0.15">
      <c r="B137" s="340" t="s">
        <v>697</v>
      </c>
      <c r="C137" s="12" t="s">
        <v>292</v>
      </c>
      <c r="D137" s="67">
        <f t="shared" ref="D137:N152" si="80">D165</f>
        <v>0</v>
      </c>
      <c r="E137" s="67">
        <f t="shared" si="80"/>
        <v>3772500</v>
      </c>
      <c r="F137" s="67">
        <f t="shared" si="80"/>
        <v>6218850</v>
      </c>
      <c r="G137" s="67">
        <f t="shared" si="80"/>
        <v>4083150</v>
      </c>
      <c r="H137" s="67">
        <f t="shared" si="80"/>
        <v>2775510</v>
      </c>
      <c r="I137" s="67">
        <f t="shared" si="80"/>
        <v>1352955</v>
      </c>
      <c r="J137" s="67">
        <f t="shared" si="80"/>
        <v>0</v>
      </c>
      <c r="K137" s="67">
        <f t="shared" si="80"/>
        <v>0</v>
      </c>
      <c r="L137" s="67">
        <f t="shared" si="80"/>
        <v>0</v>
      </c>
      <c r="M137" s="67">
        <f t="shared" si="80"/>
        <v>0</v>
      </c>
      <c r="N137" s="67">
        <f t="shared" si="80"/>
        <v>0</v>
      </c>
      <c r="O137" s="67">
        <v>0</v>
      </c>
      <c r="P137" s="326">
        <f t="shared" si="77"/>
        <v>18202965</v>
      </c>
      <c r="Q137" s="2"/>
      <c r="S137" s="2"/>
    </row>
    <row r="138" spans="1:19" x14ac:dyDescent="0.15">
      <c r="B138" s="340">
        <v>5</v>
      </c>
      <c r="C138" s="12" t="s">
        <v>293</v>
      </c>
      <c r="D138" s="67">
        <f>D136-D137</f>
        <v>0</v>
      </c>
      <c r="E138" s="67">
        <f t="shared" ref="E138:N138" si="81">E136-E137</f>
        <v>51057500</v>
      </c>
      <c r="F138" s="67">
        <f t="shared" si="81"/>
        <v>38587775.00000003</v>
      </c>
      <c r="G138" s="67">
        <f t="shared" si="81"/>
        <v>28418256.548749983</v>
      </c>
      <c r="H138" s="67">
        <f t="shared" si="81"/>
        <v>14790860.564272046</v>
      </c>
      <c r="I138" s="67">
        <f t="shared" si="81"/>
        <v>-1747720.1824479699</v>
      </c>
      <c r="J138" s="67">
        <f t="shared" si="81"/>
        <v>0</v>
      </c>
      <c r="K138" s="67">
        <f t="shared" si="81"/>
        <v>0</v>
      </c>
      <c r="L138" s="67">
        <f t="shared" si="81"/>
        <v>0</v>
      </c>
      <c r="M138" s="67">
        <f t="shared" si="81"/>
        <v>0</v>
      </c>
      <c r="N138" s="67">
        <f t="shared" si="81"/>
        <v>0</v>
      </c>
      <c r="O138" s="67">
        <v>0</v>
      </c>
      <c r="P138" s="326">
        <f t="shared" si="77"/>
        <v>131106671.93057409</v>
      </c>
      <c r="Q138" s="2"/>
      <c r="S138" s="2"/>
    </row>
    <row r="139" spans="1:19" x14ac:dyDescent="0.15">
      <c r="B139" s="340" t="s">
        <v>698</v>
      </c>
      <c r="C139" s="12" t="s">
        <v>295</v>
      </c>
      <c r="D139" s="67">
        <f t="shared" si="80"/>
        <v>0</v>
      </c>
      <c r="E139" s="67">
        <f t="shared" si="80"/>
        <v>0</v>
      </c>
      <c r="F139" s="67">
        <f t="shared" si="80"/>
        <v>0</v>
      </c>
      <c r="G139" s="67">
        <f t="shared" si="80"/>
        <v>0</v>
      </c>
      <c r="H139" s="67">
        <f t="shared" si="80"/>
        <v>0</v>
      </c>
      <c r="I139" s="67">
        <f t="shared" si="80"/>
        <v>0</v>
      </c>
      <c r="J139" s="67">
        <f t="shared" si="80"/>
        <v>0</v>
      </c>
      <c r="K139" s="67">
        <f t="shared" si="80"/>
        <v>0</v>
      </c>
      <c r="L139" s="67">
        <f t="shared" si="80"/>
        <v>0</v>
      </c>
      <c r="M139" s="67">
        <f t="shared" si="80"/>
        <v>0</v>
      </c>
      <c r="N139" s="67">
        <f t="shared" si="80"/>
        <v>0</v>
      </c>
      <c r="O139" s="67">
        <v>0</v>
      </c>
      <c r="P139" s="326">
        <f t="shared" si="77"/>
        <v>0</v>
      </c>
      <c r="Q139" s="2"/>
      <c r="S139" s="2"/>
    </row>
    <row r="140" spans="1:19" x14ac:dyDescent="0.15">
      <c r="B140" s="340">
        <v>7</v>
      </c>
      <c r="C140" s="12" t="s">
        <v>296</v>
      </c>
      <c r="D140" s="67">
        <f>D138-D139</f>
        <v>0</v>
      </c>
      <c r="E140" s="67">
        <f t="shared" ref="E140:N140" si="82">E138-E139</f>
        <v>51057500</v>
      </c>
      <c r="F140" s="67">
        <f t="shared" si="82"/>
        <v>38587775.00000003</v>
      </c>
      <c r="G140" s="67">
        <f t="shared" si="82"/>
        <v>28418256.548749983</v>
      </c>
      <c r="H140" s="67">
        <f t="shared" si="82"/>
        <v>14790860.564272046</v>
      </c>
      <c r="I140" s="67">
        <f t="shared" si="82"/>
        <v>-1747720.1824479699</v>
      </c>
      <c r="J140" s="67">
        <f t="shared" si="82"/>
        <v>0</v>
      </c>
      <c r="K140" s="67">
        <f t="shared" si="82"/>
        <v>0</v>
      </c>
      <c r="L140" s="67">
        <f t="shared" si="82"/>
        <v>0</v>
      </c>
      <c r="M140" s="67">
        <f t="shared" si="82"/>
        <v>0</v>
      </c>
      <c r="N140" s="67">
        <f t="shared" si="82"/>
        <v>0</v>
      </c>
      <c r="O140" s="67">
        <v>0</v>
      </c>
      <c r="P140" s="326">
        <f t="shared" si="77"/>
        <v>131106671.93057409</v>
      </c>
      <c r="Q140" s="2"/>
      <c r="S140" s="2"/>
    </row>
    <row r="141" spans="1:19" x14ac:dyDescent="0.15">
      <c r="B141" s="340">
        <v>8</v>
      </c>
      <c r="C141" s="12" t="s">
        <v>297</v>
      </c>
      <c r="D141" s="67">
        <f>-D140*$D$3</f>
        <v>0</v>
      </c>
      <c r="E141" s="67">
        <f t="shared" ref="E141:N141" si="83">-E140*$D$3</f>
        <v>-15317250</v>
      </c>
      <c r="F141" s="67">
        <f t="shared" si="83"/>
        <v>-11576332.500000009</v>
      </c>
      <c r="G141" s="67">
        <f t="shared" si="83"/>
        <v>-8525476.9646249954</v>
      </c>
      <c r="H141" s="67">
        <f t="shared" si="83"/>
        <v>-4437258.169281614</v>
      </c>
      <c r="I141" s="67">
        <f t="shared" si="83"/>
        <v>524316.05473439093</v>
      </c>
      <c r="J141" s="67">
        <f t="shared" si="83"/>
        <v>0</v>
      </c>
      <c r="K141" s="67">
        <f t="shared" si="83"/>
        <v>0</v>
      </c>
      <c r="L141" s="67">
        <f t="shared" si="83"/>
        <v>0</v>
      </c>
      <c r="M141" s="67">
        <f t="shared" si="83"/>
        <v>0</v>
      </c>
      <c r="N141" s="67">
        <f t="shared" si="83"/>
        <v>0</v>
      </c>
      <c r="O141" s="67">
        <v>0</v>
      </c>
      <c r="P141" s="326">
        <f t="shared" si="77"/>
        <v>-39332001.579172224</v>
      </c>
      <c r="Q141" s="2"/>
      <c r="S141" s="2"/>
    </row>
    <row r="142" spans="1:19" x14ac:dyDescent="0.15">
      <c r="B142" s="340">
        <v>9</v>
      </c>
      <c r="C142" s="12" t="s">
        <v>298</v>
      </c>
      <c r="D142" s="67">
        <f t="shared" si="80"/>
        <v>0</v>
      </c>
      <c r="E142" s="67">
        <f t="shared" si="80"/>
        <v>0</v>
      </c>
      <c r="F142" s="67">
        <f t="shared" si="80"/>
        <v>0</v>
      </c>
      <c r="G142" s="67">
        <f t="shared" si="80"/>
        <v>0</v>
      </c>
      <c r="H142" s="67">
        <f t="shared" si="80"/>
        <v>0</v>
      </c>
      <c r="I142" s="67">
        <f t="shared" si="80"/>
        <v>0</v>
      </c>
      <c r="J142" s="67">
        <f t="shared" si="80"/>
        <v>0</v>
      </c>
      <c r="K142" s="67">
        <f t="shared" si="80"/>
        <v>0</v>
      </c>
      <c r="L142" s="67">
        <f t="shared" si="80"/>
        <v>0</v>
      </c>
      <c r="M142" s="67">
        <f t="shared" si="80"/>
        <v>0</v>
      </c>
      <c r="N142" s="67">
        <f t="shared" si="80"/>
        <v>0</v>
      </c>
      <c r="O142" s="67">
        <v>0</v>
      </c>
      <c r="P142" s="326">
        <f t="shared" si="77"/>
        <v>0</v>
      </c>
      <c r="Q142" s="2"/>
      <c r="S142" s="2"/>
    </row>
    <row r="143" spans="1:19" x14ac:dyDescent="0.15">
      <c r="B143" s="340">
        <v>10</v>
      </c>
      <c r="C143" s="12" t="s">
        <v>299</v>
      </c>
      <c r="D143" s="67">
        <f>D140+D141+D142</f>
        <v>0</v>
      </c>
      <c r="E143" s="67">
        <f t="shared" ref="E143:N143" si="84">E140+E141+E142</f>
        <v>35740250</v>
      </c>
      <c r="F143" s="67">
        <f t="shared" si="84"/>
        <v>27011442.500000022</v>
      </c>
      <c r="G143" s="67">
        <f t="shared" si="84"/>
        <v>19892779.58412499</v>
      </c>
      <c r="H143" s="67">
        <f t="shared" si="84"/>
        <v>10353602.394990433</v>
      </c>
      <c r="I143" s="67">
        <f t="shared" si="84"/>
        <v>-1223404.127713579</v>
      </c>
      <c r="J143" s="67">
        <f t="shared" si="84"/>
        <v>0</v>
      </c>
      <c r="K143" s="67">
        <f t="shared" si="84"/>
        <v>0</v>
      </c>
      <c r="L143" s="67">
        <f t="shared" si="84"/>
        <v>0</v>
      </c>
      <c r="M143" s="67">
        <f t="shared" si="84"/>
        <v>0</v>
      </c>
      <c r="N143" s="67">
        <f t="shared" si="84"/>
        <v>0</v>
      </c>
      <c r="O143" s="67">
        <v>0</v>
      </c>
      <c r="P143" s="326">
        <f t="shared" si="77"/>
        <v>91774670.351401865</v>
      </c>
      <c r="Q143" s="2"/>
      <c r="S143" s="2"/>
    </row>
    <row r="144" spans="1:19" x14ac:dyDescent="0.15">
      <c r="B144" s="340" t="s">
        <v>699</v>
      </c>
      <c r="C144" s="12" t="s">
        <v>292</v>
      </c>
      <c r="D144" s="67">
        <f t="shared" si="80"/>
        <v>0</v>
      </c>
      <c r="E144" s="67">
        <f t="shared" si="80"/>
        <v>3772500</v>
      </c>
      <c r="F144" s="67">
        <f t="shared" si="80"/>
        <v>6218850</v>
      </c>
      <c r="G144" s="67">
        <f t="shared" si="80"/>
        <v>4083150</v>
      </c>
      <c r="H144" s="67">
        <f t="shared" si="80"/>
        <v>2775510</v>
      </c>
      <c r="I144" s="67">
        <f t="shared" si="80"/>
        <v>1352955</v>
      </c>
      <c r="J144" s="67">
        <f t="shared" si="80"/>
        <v>0</v>
      </c>
      <c r="K144" s="67">
        <f t="shared" si="80"/>
        <v>0</v>
      </c>
      <c r="L144" s="67">
        <f t="shared" si="80"/>
        <v>0</v>
      </c>
      <c r="M144" s="67">
        <f t="shared" si="80"/>
        <v>0</v>
      </c>
      <c r="N144" s="67">
        <f t="shared" si="80"/>
        <v>0</v>
      </c>
      <c r="O144" s="67">
        <v>0</v>
      </c>
      <c r="P144" s="326">
        <f t="shared" si="77"/>
        <v>18202965</v>
      </c>
      <c r="Q144" s="2"/>
      <c r="S144" s="2"/>
    </row>
    <row r="145" spans="1:19" x14ac:dyDescent="0.15">
      <c r="B145" s="340">
        <v>12</v>
      </c>
      <c r="C145" s="12" t="s">
        <v>301</v>
      </c>
      <c r="D145" s="67">
        <f>D143+D144</f>
        <v>0</v>
      </c>
      <c r="E145" s="67">
        <f t="shared" ref="E145:N145" si="85">E143+E144</f>
        <v>39512750</v>
      </c>
      <c r="F145" s="67">
        <f t="shared" si="85"/>
        <v>33230292.500000022</v>
      </c>
      <c r="G145" s="67">
        <f t="shared" si="85"/>
        <v>23975929.58412499</v>
      </c>
      <c r="H145" s="67">
        <f t="shared" si="85"/>
        <v>13129112.394990433</v>
      </c>
      <c r="I145" s="67">
        <f t="shared" si="85"/>
        <v>129550.87228642101</v>
      </c>
      <c r="J145" s="67">
        <f t="shared" si="85"/>
        <v>0</v>
      </c>
      <c r="K145" s="67">
        <f t="shared" si="85"/>
        <v>0</v>
      </c>
      <c r="L145" s="67">
        <f t="shared" si="85"/>
        <v>0</v>
      </c>
      <c r="M145" s="67">
        <f t="shared" si="85"/>
        <v>0</v>
      </c>
      <c r="N145" s="67">
        <f t="shared" si="85"/>
        <v>0</v>
      </c>
      <c r="O145" s="67">
        <v>0</v>
      </c>
      <c r="P145" s="326">
        <f t="shared" si="77"/>
        <v>109977635.35140187</v>
      </c>
      <c r="Q145" s="2"/>
      <c r="S145" s="2"/>
    </row>
    <row r="146" spans="1:19" x14ac:dyDescent="0.15">
      <c r="B146" s="340" t="s">
        <v>700</v>
      </c>
      <c r="C146" s="12" t="s">
        <v>303</v>
      </c>
      <c r="D146" s="67">
        <f t="shared" si="80"/>
        <v>0</v>
      </c>
      <c r="E146" s="67">
        <f t="shared" si="80"/>
        <v>0</v>
      </c>
      <c r="F146" s="67">
        <f t="shared" si="80"/>
        <v>0</v>
      </c>
      <c r="G146" s="67">
        <f t="shared" si="80"/>
        <v>0</v>
      </c>
      <c r="H146" s="67">
        <f t="shared" si="80"/>
        <v>0</v>
      </c>
      <c r="I146" s="67">
        <f t="shared" si="80"/>
        <v>0</v>
      </c>
      <c r="J146" s="67">
        <f t="shared" si="80"/>
        <v>0</v>
      </c>
      <c r="K146" s="67">
        <f t="shared" si="80"/>
        <v>0</v>
      </c>
      <c r="L146" s="67">
        <f t="shared" si="80"/>
        <v>0</v>
      </c>
      <c r="M146" s="67">
        <f t="shared" si="80"/>
        <v>0</v>
      </c>
      <c r="N146" s="67">
        <f t="shared" si="80"/>
        <v>0</v>
      </c>
      <c r="O146" s="67">
        <v>0</v>
      </c>
      <c r="P146" s="326">
        <f t="shared" si="77"/>
        <v>0</v>
      </c>
      <c r="Q146" s="2"/>
      <c r="S146" s="2"/>
    </row>
    <row r="147" spans="1:19" x14ac:dyDescent="0.15">
      <c r="B147" s="340">
        <v>14</v>
      </c>
      <c r="C147" s="12" t="s">
        <v>304</v>
      </c>
      <c r="D147" s="67">
        <f>D148+D149+D150</f>
        <v>-32550000</v>
      </c>
      <c r="E147" s="67">
        <f t="shared" ref="E147:N147" si="86">E148+E149+E150</f>
        <v>0</v>
      </c>
      <c r="F147" s="67">
        <f t="shared" si="86"/>
        <v>0</v>
      </c>
      <c r="G147" s="67">
        <f t="shared" si="86"/>
        <v>0</v>
      </c>
      <c r="H147" s="67">
        <f t="shared" si="86"/>
        <v>0</v>
      </c>
      <c r="I147" s="67">
        <f t="shared" si="86"/>
        <v>14347035</v>
      </c>
      <c r="J147" s="67">
        <f t="shared" si="86"/>
        <v>0</v>
      </c>
      <c r="K147" s="67">
        <f t="shared" si="86"/>
        <v>0</v>
      </c>
      <c r="L147" s="67">
        <f t="shared" si="86"/>
        <v>0</v>
      </c>
      <c r="M147" s="67">
        <f t="shared" si="86"/>
        <v>0</v>
      </c>
      <c r="N147" s="67">
        <f t="shared" si="86"/>
        <v>0</v>
      </c>
      <c r="O147" s="67">
        <v>0</v>
      </c>
      <c r="P147" s="326">
        <f t="shared" si="77"/>
        <v>14347035</v>
      </c>
      <c r="Q147" s="2"/>
      <c r="S147" s="2"/>
    </row>
    <row r="148" spans="1:19" x14ac:dyDescent="0.15">
      <c r="B148" s="340" t="s">
        <v>701</v>
      </c>
      <c r="C148" s="12" t="s">
        <v>207</v>
      </c>
      <c r="D148" s="67">
        <f t="shared" si="80"/>
        <v>-31050000</v>
      </c>
      <c r="E148" s="67">
        <f t="shared" si="80"/>
        <v>0</v>
      </c>
      <c r="F148" s="67">
        <f t="shared" si="80"/>
        <v>0</v>
      </c>
      <c r="G148" s="67">
        <f t="shared" si="80"/>
        <v>0</v>
      </c>
      <c r="H148" s="67">
        <f t="shared" si="80"/>
        <v>0</v>
      </c>
      <c r="I148" s="67">
        <f t="shared" si="80"/>
        <v>12847035</v>
      </c>
      <c r="J148" s="67">
        <f t="shared" si="80"/>
        <v>0</v>
      </c>
      <c r="K148" s="67">
        <f t="shared" si="80"/>
        <v>0</v>
      </c>
      <c r="L148" s="67">
        <f t="shared" si="80"/>
        <v>0</v>
      </c>
      <c r="M148" s="67">
        <f t="shared" si="80"/>
        <v>0</v>
      </c>
      <c r="N148" s="67">
        <f t="shared" si="80"/>
        <v>0</v>
      </c>
      <c r="O148" s="67">
        <v>0</v>
      </c>
      <c r="P148" s="326">
        <f t="shared" si="77"/>
        <v>12847035</v>
      </c>
      <c r="Q148" s="2"/>
      <c r="S148" s="2"/>
    </row>
    <row r="149" spans="1:19" x14ac:dyDescent="0.15">
      <c r="B149" s="340" t="s">
        <v>702</v>
      </c>
      <c r="C149" s="12" t="s">
        <v>307</v>
      </c>
      <c r="D149" s="67">
        <f t="shared" si="80"/>
        <v>-1500000</v>
      </c>
      <c r="E149" s="67">
        <f t="shared" si="80"/>
        <v>0</v>
      </c>
      <c r="F149" s="67">
        <f t="shared" si="80"/>
        <v>0</v>
      </c>
      <c r="G149" s="67">
        <f t="shared" si="80"/>
        <v>0</v>
      </c>
      <c r="H149" s="67">
        <f t="shared" si="80"/>
        <v>0</v>
      </c>
      <c r="I149" s="67">
        <f t="shared" si="80"/>
        <v>1500000</v>
      </c>
      <c r="J149" s="67">
        <f t="shared" si="80"/>
        <v>0</v>
      </c>
      <c r="K149" s="67">
        <f t="shared" si="80"/>
        <v>0</v>
      </c>
      <c r="L149" s="67">
        <f t="shared" si="80"/>
        <v>0</v>
      </c>
      <c r="M149" s="67">
        <f t="shared" si="80"/>
        <v>0</v>
      </c>
      <c r="N149" s="67">
        <f t="shared" si="80"/>
        <v>0</v>
      </c>
      <c r="O149" s="67">
        <v>0</v>
      </c>
      <c r="P149" s="326">
        <f t="shared" si="77"/>
        <v>1500000</v>
      </c>
      <c r="Q149" s="2"/>
      <c r="S149" s="2"/>
    </row>
    <row r="150" spans="1:19" x14ac:dyDescent="0.15">
      <c r="B150" s="340" t="s">
        <v>703</v>
      </c>
      <c r="C150" s="12" t="s">
        <v>309</v>
      </c>
      <c r="D150" s="67">
        <f t="shared" si="80"/>
        <v>0</v>
      </c>
      <c r="E150" s="67">
        <f t="shared" si="80"/>
        <v>0</v>
      </c>
      <c r="F150" s="67">
        <f t="shared" si="80"/>
        <v>0</v>
      </c>
      <c r="G150" s="67">
        <f t="shared" si="80"/>
        <v>0</v>
      </c>
      <c r="H150" s="67">
        <f t="shared" si="80"/>
        <v>0</v>
      </c>
      <c r="I150" s="67">
        <f t="shared" si="80"/>
        <v>0</v>
      </c>
      <c r="J150" s="67">
        <f t="shared" si="80"/>
        <v>0</v>
      </c>
      <c r="K150" s="67">
        <f t="shared" si="80"/>
        <v>0</v>
      </c>
      <c r="L150" s="67">
        <f t="shared" si="80"/>
        <v>0</v>
      </c>
      <c r="M150" s="67">
        <f t="shared" si="80"/>
        <v>0</v>
      </c>
      <c r="N150" s="67">
        <f t="shared" si="80"/>
        <v>0</v>
      </c>
      <c r="O150" s="67">
        <v>0</v>
      </c>
      <c r="P150" s="326">
        <f t="shared" si="77"/>
        <v>0</v>
      </c>
      <c r="Q150" s="2"/>
      <c r="S150" s="2"/>
    </row>
    <row r="151" spans="1:19" x14ac:dyDescent="0.15">
      <c r="B151" s="340" t="s">
        <v>704</v>
      </c>
      <c r="C151" s="12" t="s">
        <v>311</v>
      </c>
      <c r="D151" s="67">
        <f t="shared" si="80"/>
        <v>0</v>
      </c>
      <c r="E151" s="67">
        <f t="shared" si="80"/>
        <v>0</v>
      </c>
      <c r="F151" s="67">
        <f t="shared" si="80"/>
        <v>0</v>
      </c>
      <c r="G151" s="67">
        <f t="shared" si="80"/>
        <v>0</v>
      </c>
      <c r="H151" s="67">
        <f t="shared" si="80"/>
        <v>0</v>
      </c>
      <c r="I151" s="67">
        <f t="shared" si="80"/>
        <v>-2596968.7000000002</v>
      </c>
      <c r="J151" s="67">
        <f t="shared" si="80"/>
        <v>0</v>
      </c>
      <c r="K151" s="67">
        <f t="shared" si="80"/>
        <v>0</v>
      </c>
      <c r="L151" s="67">
        <f t="shared" si="80"/>
        <v>0</v>
      </c>
      <c r="M151" s="67">
        <f t="shared" si="80"/>
        <v>0</v>
      </c>
      <c r="N151" s="67">
        <f t="shared" si="80"/>
        <v>0</v>
      </c>
      <c r="O151" s="67">
        <v>0</v>
      </c>
      <c r="P151" s="326">
        <f t="shared" si="77"/>
        <v>-2596968.7000000002</v>
      </c>
      <c r="Q151" s="2"/>
      <c r="S151" s="2"/>
    </row>
    <row r="152" spans="1:19" ht="14" thickBot="1" x14ac:dyDescent="0.2">
      <c r="B152" s="340" t="s">
        <v>705</v>
      </c>
      <c r="C152" s="12" t="s">
        <v>115</v>
      </c>
      <c r="D152" s="67">
        <f t="shared" si="80"/>
        <v>-60000000</v>
      </c>
      <c r="E152" s="67">
        <f t="shared" si="80"/>
        <v>0</v>
      </c>
      <c r="F152" s="67">
        <f t="shared" si="80"/>
        <v>0</v>
      </c>
      <c r="G152" s="67">
        <f t="shared" si="80"/>
        <v>0</v>
      </c>
      <c r="H152" s="67">
        <f t="shared" si="80"/>
        <v>0</v>
      </c>
      <c r="I152" s="67">
        <f t="shared" si="80"/>
        <v>60000000</v>
      </c>
      <c r="J152" s="67">
        <f t="shared" si="80"/>
        <v>0</v>
      </c>
      <c r="K152" s="67">
        <f t="shared" si="80"/>
        <v>0</v>
      </c>
      <c r="L152" s="67">
        <f t="shared" si="80"/>
        <v>0</v>
      </c>
      <c r="M152" s="67">
        <f t="shared" si="80"/>
        <v>0</v>
      </c>
      <c r="N152" s="67">
        <f t="shared" si="80"/>
        <v>0</v>
      </c>
      <c r="O152" s="67">
        <v>0</v>
      </c>
      <c r="P152" s="326">
        <f t="shared" si="77"/>
        <v>60000000</v>
      </c>
      <c r="Q152" s="2"/>
      <c r="S152" s="2"/>
    </row>
    <row r="153" spans="1:19" x14ac:dyDescent="0.15">
      <c r="B153" s="340">
        <v>17</v>
      </c>
      <c r="C153" s="12" t="s">
        <v>313</v>
      </c>
      <c r="D153" s="67">
        <f>D146+D147+D151+D152</f>
        <v>-92550000</v>
      </c>
      <c r="E153" s="67">
        <f t="shared" ref="E153:N153" si="87">E146+E147+E151+E152</f>
        <v>0</v>
      </c>
      <c r="F153" s="67">
        <f t="shared" si="87"/>
        <v>0</v>
      </c>
      <c r="G153" s="67">
        <f t="shared" si="87"/>
        <v>0</v>
      </c>
      <c r="H153" s="67">
        <f t="shared" si="87"/>
        <v>0</v>
      </c>
      <c r="I153" s="67">
        <f t="shared" si="87"/>
        <v>71750066.299999997</v>
      </c>
      <c r="J153" s="67">
        <f t="shared" si="87"/>
        <v>0</v>
      </c>
      <c r="K153" s="67">
        <f t="shared" si="87"/>
        <v>0</v>
      </c>
      <c r="L153" s="67">
        <f t="shared" si="87"/>
        <v>0</v>
      </c>
      <c r="M153" s="67">
        <f t="shared" si="87"/>
        <v>0</v>
      </c>
      <c r="N153" s="67">
        <f t="shared" si="87"/>
        <v>0</v>
      </c>
      <c r="O153" s="67">
        <v>0</v>
      </c>
      <c r="P153" s="326">
        <f t="shared" si="77"/>
        <v>71750066.299999997</v>
      </c>
      <c r="Q153" s="461"/>
      <c r="R153" s="357" t="s">
        <v>693</v>
      </c>
      <c r="S153" s="2"/>
    </row>
    <row r="154" spans="1:19" ht="14" thickBot="1" x14ac:dyDescent="0.2">
      <c r="A154" s="1" t="s">
        <v>708</v>
      </c>
      <c r="B154" s="355">
        <v>18</v>
      </c>
      <c r="C154" s="335" t="s">
        <v>314</v>
      </c>
      <c r="D154" s="67">
        <f>D145+D153</f>
        <v>-92550000</v>
      </c>
      <c r="E154" s="67">
        <f t="shared" ref="E154:N154" si="88">E145+E153</f>
        <v>39512750</v>
      </c>
      <c r="F154" s="67">
        <f t="shared" si="88"/>
        <v>33230292.500000022</v>
      </c>
      <c r="G154" s="67">
        <f t="shared" si="88"/>
        <v>23975929.58412499</v>
      </c>
      <c r="H154" s="67">
        <f t="shared" si="88"/>
        <v>13129112.394990433</v>
      </c>
      <c r="I154" s="67">
        <f t="shared" si="88"/>
        <v>71879617.172286421</v>
      </c>
      <c r="J154" s="67">
        <f t="shared" si="88"/>
        <v>0</v>
      </c>
      <c r="K154" s="67">
        <f t="shared" si="88"/>
        <v>0</v>
      </c>
      <c r="L154" s="67">
        <f t="shared" si="88"/>
        <v>0</v>
      </c>
      <c r="M154" s="67">
        <f t="shared" si="88"/>
        <v>0</v>
      </c>
      <c r="N154" s="67">
        <f t="shared" si="88"/>
        <v>0</v>
      </c>
      <c r="O154" s="331">
        <v>0</v>
      </c>
      <c r="P154" s="356">
        <f t="shared" si="77"/>
        <v>181727701.65140188</v>
      </c>
      <c r="Q154" s="463"/>
      <c r="R154" s="358">
        <f>IF(ISNUMBER(IRR(D154:N154)),IRR(D154:N154),"NMF")</f>
        <v>0.25777456380193042</v>
      </c>
      <c r="S154" s="1" t="s">
        <v>708</v>
      </c>
    </row>
    <row r="155" spans="1:19" x14ac:dyDescent="0.15">
      <c r="S155" s="2"/>
    </row>
    <row r="156" spans="1:19" ht="14" thickBot="1" x14ac:dyDescent="0.2">
      <c r="S156" s="2"/>
    </row>
    <row r="157" spans="1:19" ht="14" thickBot="1" x14ac:dyDescent="0.2">
      <c r="B157" s="339" t="s">
        <v>282</v>
      </c>
      <c r="C157" s="302" t="s">
        <v>283</v>
      </c>
      <c r="D157" s="302">
        <v>0</v>
      </c>
      <c r="E157" s="302">
        <v>1</v>
      </c>
      <c r="F157" s="302">
        <v>2</v>
      </c>
      <c r="G157" s="302">
        <v>3</v>
      </c>
      <c r="H157" s="302">
        <v>4</v>
      </c>
      <c r="I157" s="302">
        <v>5</v>
      </c>
      <c r="J157" s="302">
        <v>6</v>
      </c>
      <c r="K157" s="302">
        <v>7</v>
      </c>
      <c r="L157" s="302">
        <v>8</v>
      </c>
      <c r="M157" s="302">
        <v>9</v>
      </c>
      <c r="N157" s="302">
        <v>10</v>
      </c>
      <c r="O157" s="302" t="s">
        <v>284</v>
      </c>
      <c r="P157" s="290" t="s">
        <v>285</v>
      </c>
      <c r="S157" s="2"/>
    </row>
    <row r="158" spans="1:19" x14ac:dyDescent="0.15">
      <c r="B158" s="340" t="s">
        <v>687</v>
      </c>
      <c r="C158" s="12" t="s">
        <v>287</v>
      </c>
      <c r="D158" s="321">
        <f>'After Tax Analysis'!D8</f>
        <v>0</v>
      </c>
      <c r="E158" s="321">
        <f>'After Tax Analysis'!E8</f>
        <v>300000000</v>
      </c>
      <c r="F158" s="321">
        <f>'After Tax Analysis'!F8</f>
        <v>313500000.00000006</v>
      </c>
      <c r="G158" s="321">
        <f>'After Tax Analysis'!G8</f>
        <v>327607500.00000006</v>
      </c>
      <c r="H158" s="321">
        <f>'After Tax Analysis'!H8</f>
        <v>342349837.50000012</v>
      </c>
      <c r="I158" s="321">
        <f>'After Tax Analysis'!I8</f>
        <v>357755580.18750012</v>
      </c>
      <c r="J158" s="321">
        <f>'After Tax Analysis'!J8</f>
        <v>0</v>
      </c>
      <c r="K158" s="321">
        <f>'After Tax Analysis'!K8</f>
        <v>0</v>
      </c>
      <c r="L158" s="321">
        <f>'After Tax Analysis'!L8</f>
        <v>0</v>
      </c>
      <c r="M158" s="321">
        <f>'After Tax Analysis'!M8</f>
        <v>0</v>
      </c>
      <c r="N158" s="321">
        <f>'After Tax Analysis'!N8</f>
        <v>0</v>
      </c>
      <c r="O158" s="67">
        <v>0</v>
      </c>
      <c r="P158" s="326">
        <f>SUM(D158:N158)</f>
        <v>1641212917.6875</v>
      </c>
      <c r="S158" s="2"/>
    </row>
    <row r="159" spans="1:19" x14ac:dyDescent="0.15">
      <c r="A159" s="1" t="s">
        <v>417</v>
      </c>
      <c r="B159" s="355" t="s">
        <v>689</v>
      </c>
      <c r="C159" s="355" t="s">
        <v>689</v>
      </c>
      <c r="D159" s="337"/>
      <c r="E159" s="337">
        <f>Revenues!D9</f>
        <v>300000000</v>
      </c>
      <c r="F159" s="337">
        <f>Revenues!E9</f>
        <v>313500000.00000006</v>
      </c>
      <c r="G159" s="337">
        <f>Revenues!F9</f>
        <v>327607500.00000006</v>
      </c>
      <c r="H159" s="337">
        <f>Revenues!G9</f>
        <v>342349837.50000012</v>
      </c>
      <c r="I159" s="337">
        <f>Revenues!H9</f>
        <v>357755580.18750012</v>
      </c>
      <c r="J159" s="337">
        <f>Revenues!I9</f>
        <v>0</v>
      </c>
      <c r="K159" s="337">
        <f>Revenues!J9</f>
        <v>0</v>
      </c>
      <c r="L159" s="337">
        <f>Revenues!K9</f>
        <v>0</v>
      </c>
      <c r="M159" s="337">
        <f>Revenues!L9</f>
        <v>0</v>
      </c>
      <c r="N159" s="337">
        <f>Revenues!M9</f>
        <v>0</v>
      </c>
      <c r="O159" s="331"/>
      <c r="P159" s="326">
        <f t="shared" ref="P159:P185" si="89">SUM(D159:N159)</f>
        <v>1641212917.6875</v>
      </c>
      <c r="Q159" s="460"/>
      <c r="S159" s="2"/>
    </row>
    <row r="160" spans="1:19" x14ac:dyDescent="0.15">
      <c r="B160" s="340" t="s">
        <v>690</v>
      </c>
      <c r="C160" s="340" t="s">
        <v>690</v>
      </c>
      <c r="D160" s="329"/>
      <c r="E160" s="329">
        <f>Revenues!D16</f>
        <v>0</v>
      </c>
      <c r="F160" s="329">
        <f>Revenues!E16</f>
        <v>0</v>
      </c>
      <c r="G160" s="329">
        <f>Revenues!F16</f>
        <v>0</v>
      </c>
      <c r="H160" s="329">
        <f>Revenues!G16</f>
        <v>0</v>
      </c>
      <c r="I160" s="329">
        <f>Revenues!H16</f>
        <v>0</v>
      </c>
      <c r="J160" s="329">
        <f>Revenues!I16</f>
        <v>0</v>
      </c>
      <c r="K160" s="329">
        <f>Revenues!J16</f>
        <v>0</v>
      </c>
      <c r="L160" s="329">
        <f>Revenues!K16</f>
        <v>0</v>
      </c>
      <c r="M160" s="329">
        <f>Revenues!L16</f>
        <v>0</v>
      </c>
      <c r="N160" s="329">
        <f>Revenues!M16</f>
        <v>0</v>
      </c>
      <c r="O160" s="67"/>
      <c r="P160" s="326">
        <f t="shared" si="89"/>
        <v>0</v>
      </c>
      <c r="Q160" s="2"/>
      <c r="S160" s="2"/>
    </row>
    <row r="161" spans="2:19" x14ac:dyDescent="0.15">
      <c r="B161" s="340" t="s">
        <v>691</v>
      </c>
      <c r="C161" s="340" t="s">
        <v>691</v>
      </c>
      <c r="D161" s="329"/>
      <c r="E161" s="329">
        <f>Revenues!D23</f>
        <v>0</v>
      </c>
      <c r="F161" s="329">
        <f>Revenues!E23</f>
        <v>0</v>
      </c>
      <c r="G161" s="329">
        <f>Revenues!F23</f>
        <v>0</v>
      </c>
      <c r="H161" s="329">
        <f>Revenues!G23</f>
        <v>0</v>
      </c>
      <c r="I161" s="329">
        <f>Revenues!H23</f>
        <v>0</v>
      </c>
      <c r="J161" s="329">
        <f>Revenues!I23</f>
        <v>0</v>
      </c>
      <c r="K161" s="329">
        <f>Revenues!J23</f>
        <v>0</v>
      </c>
      <c r="L161" s="329">
        <f>Revenues!K23</f>
        <v>0</v>
      </c>
      <c r="M161" s="329">
        <f>Revenues!L23</f>
        <v>0</v>
      </c>
      <c r="N161" s="329">
        <f>Revenues!M23</f>
        <v>0</v>
      </c>
      <c r="O161" s="67"/>
      <c r="P161" s="326">
        <f t="shared" si="89"/>
        <v>0</v>
      </c>
      <c r="Q161" s="2"/>
      <c r="S161" s="2"/>
    </row>
    <row r="162" spans="2:19" x14ac:dyDescent="0.15">
      <c r="B162" s="340" t="s">
        <v>695</v>
      </c>
      <c r="C162" s="12"/>
      <c r="D162" s="329"/>
      <c r="E162" s="67">
        <f>SUM(E159:E161)</f>
        <v>300000000</v>
      </c>
      <c r="F162" s="67">
        <f t="shared" ref="F162:N162" si="90">SUM(F159:F161)</f>
        <v>313500000.00000006</v>
      </c>
      <c r="G162" s="67">
        <f t="shared" si="90"/>
        <v>327607500.00000006</v>
      </c>
      <c r="H162" s="67">
        <f t="shared" si="90"/>
        <v>342349837.50000012</v>
      </c>
      <c r="I162" s="67">
        <f t="shared" si="90"/>
        <v>357755580.18750012</v>
      </c>
      <c r="J162" s="67">
        <f t="shared" si="90"/>
        <v>0</v>
      </c>
      <c r="K162" s="67">
        <f t="shared" si="90"/>
        <v>0</v>
      </c>
      <c r="L162" s="67">
        <f t="shared" si="90"/>
        <v>0</v>
      </c>
      <c r="M162" s="67">
        <f t="shared" si="90"/>
        <v>0</v>
      </c>
      <c r="N162" s="67">
        <f t="shared" si="90"/>
        <v>0</v>
      </c>
      <c r="O162" s="67"/>
      <c r="P162" s="326">
        <f t="shared" si="89"/>
        <v>1641212917.6875</v>
      </c>
      <c r="Q162" s="2">
        <f>'After Tax Analysis'!P8</f>
        <v>1641212917.6875</v>
      </c>
      <c r="S162" s="2"/>
    </row>
    <row r="163" spans="2:19" x14ac:dyDescent="0.15">
      <c r="B163" s="340" t="s">
        <v>696</v>
      </c>
      <c r="C163" s="12" t="s">
        <v>289</v>
      </c>
      <c r="D163" s="388">
        <f>'After Tax Analysis'!D9</f>
        <v>0</v>
      </c>
      <c r="E163" s="388">
        <f>'After Tax Analysis'!E9</f>
        <v>230170000</v>
      </c>
      <c r="F163" s="388">
        <f>'After Tax Analysis'!F9</f>
        <v>253018375.00000003</v>
      </c>
      <c r="G163" s="388">
        <f>'After Tax Analysis'!G9</f>
        <v>278725718.45125008</v>
      </c>
      <c r="H163" s="388">
        <f>'After Tax Analysis'!H9</f>
        <v>307665975.06072807</v>
      </c>
      <c r="I163" s="388">
        <f>'After Tax Analysis'!I9</f>
        <v>340262566.36057305</v>
      </c>
      <c r="J163" s="388">
        <f>'After Tax Analysis'!J9</f>
        <v>0</v>
      </c>
      <c r="K163" s="388">
        <f>'After Tax Analysis'!K9</f>
        <v>0</v>
      </c>
      <c r="L163" s="388">
        <f>'After Tax Analysis'!L9</f>
        <v>0</v>
      </c>
      <c r="M163" s="388">
        <f>'After Tax Analysis'!M9</f>
        <v>0</v>
      </c>
      <c r="N163" s="388">
        <f>'After Tax Analysis'!N9</f>
        <v>0</v>
      </c>
      <c r="O163" s="67">
        <v>0</v>
      </c>
      <c r="P163" s="326">
        <f t="shared" si="89"/>
        <v>1409842634.8725512</v>
      </c>
      <c r="Q163" s="2">
        <f>'After Tax Analysis'!P9</f>
        <v>1409842634.8725512</v>
      </c>
      <c r="S163" s="2"/>
    </row>
    <row r="164" spans="2:19" x14ac:dyDescent="0.15">
      <c r="B164" s="340">
        <v>3</v>
      </c>
      <c r="C164" s="12" t="s">
        <v>290</v>
      </c>
      <c r="D164" s="387">
        <v>0</v>
      </c>
      <c r="E164" s="67">
        <f t="shared" ref="E164:N164" si="91">E162-E163</f>
        <v>69830000</v>
      </c>
      <c r="F164" s="67">
        <f t="shared" si="91"/>
        <v>60481625.00000003</v>
      </c>
      <c r="G164" s="67">
        <f t="shared" si="91"/>
        <v>48881781.548749983</v>
      </c>
      <c r="H164" s="67">
        <f t="shared" si="91"/>
        <v>34683862.439272046</v>
      </c>
      <c r="I164" s="67">
        <f t="shared" si="91"/>
        <v>17493013.826927066</v>
      </c>
      <c r="J164" s="67">
        <f t="shared" si="91"/>
        <v>0</v>
      </c>
      <c r="K164" s="67">
        <f t="shared" si="91"/>
        <v>0</v>
      </c>
      <c r="L164" s="67">
        <f t="shared" si="91"/>
        <v>0</v>
      </c>
      <c r="M164" s="67">
        <f t="shared" si="91"/>
        <v>0</v>
      </c>
      <c r="N164" s="67">
        <f t="shared" si="91"/>
        <v>0</v>
      </c>
      <c r="O164" s="67">
        <v>0</v>
      </c>
      <c r="P164" s="326">
        <f t="shared" si="89"/>
        <v>231370282.81494913</v>
      </c>
      <c r="Q164" s="2">
        <f>'After Tax Analysis'!P10</f>
        <v>231370282.81494913</v>
      </c>
      <c r="S164" s="2"/>
    </row>
    <row r="165" spans="2:19" x14ac:dyDescent="0.15">
      <c r="B165" s="340" t="s">
        <v>697</v>
      </c>
      <c r="C165" s="12" t="s">
        <v>292</v>
      </c>
      <c r="D165" s="388">
        <f>'After Tax Analysis'!D11</f>
        <v>0</v>
      </c>
      <c r="E165" s="388">
        <f>'After Tax Analysis'!E11</f>
        <v>3772500</v>
      </c>
      <c r="F165" s="388">
        <f>'After Tax Analysis'!F11</f>
        <v>6218850</v>
      </c>
      <c r="G165" s="388">
        <f>'After Tax Analysis'!G11</f>
        <v>4083150</v>
      </c>
      <c r="H165" s="388">
        <f>'After Tax Analysis'!H11</f>
        <v>2775510</v>
      </c>
      <c r="I165" s="388">
        <f>'After Tax Analysis'!I11</f>
        <v>1352955</v>
      </c>
      <c r="J165" s="388">
        <f>'After Tax Analysis'!J11</f>
        <v>0</v>
      </c>
      <c r="K165" s="388">
        <f>'After Tax Analysis'!K11</f>
        <v>0</v>
      </c>
      <c r="L165" s="388">
        <f>'After Tax Analysis'!L11</f>
        <v>0</v>
      </c>
      <c r="M165" s="388">
        <f>'After Tax Analysis'!M11</f>
        <v>0</v>
      </c>
      <c r="N165" s="388">
        <f>'After Tax Analysis'!N11</f>
        <v>0</v>
      </c>
      <c r="O165" s="67">
        <v>0</v>
      </c>
      <c r="P165" s="326">
        <f t="shared" si="89"/>
        <v>18202965</v>
      </c>
      <c r="Q165" s="2">
        <f>'After Tax Analysis'!P11</f>
        <v>18202965</v>
      </c>
      <c r="S165" s="2"/>
    </row>
    <row r="166" spans="2:19" x14ac:dyDescent="0.15">
      <c r="B166" s="340">
        <v>5</v>
      </c>
      <c r="C166" s="12" t="s">
        <v>293</v>
      </c>
      <c r="D166" s="387">
        <v>0</v>
      </c>
      <c r="E166" s="67">
        <f t="shared" ref="E166:N166" si="92">E164-E165</f>
        <v>66057500</v>
      </c>
      <c r="F166" s="67">
        <f t="shared" si="92"/>
        <v>54262775.00000003</v>
      </c>
      <c r="G166" s="67">
        <f t="shared" si="92"/>
        <v>44798631.548749983</v>
      </c>
      <c r="H166" s="67">
        <f t="shared" si="92"/>
        <v>31908352.439272046</v>
      </c>
      <c r="I166" s="67">
        <f t="shared" si="92"/>
        <v>16140058.826927066</v>
      </c>
      <c r="J166" s="67">
        <f t="shared" si="92"/>
        <v>0</v>
      </c>
      <c r="K166" s="67">
        <f t="shared" si="92"/>
        <v>0</v>
      </c>
      <c r="L166" s="67">
        <f t="shared" si="92"/>
        <v>0</v>
      </c>
      <c r="M166" s="67">
        <f t="shared" si="92"/>
        <v>0</v>
      </c>
      <c r="N166" s="67">
        <f t="shared" si="92"/>
        <v>0</v>
      </c>
      <c r="O166" s="67">
        <v>0</v>
      </c>
      <c r="P166" s="326">
        <f t="shared" si="89"/>
        <v>213167317.81494913</v>
      </c>
      <c r="Q166" s="2">
        <f>'After Tax Analysis'!P12</f>
        <v>213167317.81494913</v>
      </c>
      <c r="S166" s="2"/>
    </row>
    <row r="167" spans="2:19" x14ac:dyDescent="0.15">
      <c r="B167" s="340" t="s">
        <v>698</v>
      </c>
      <c r="C167" s="12" t="s">
        <v>295</v>
      </c>
      <c r="D167" s="388">
        <f>'After Tax Analysis'!D13</f>
        <v>0</v>
      </c>
      <c r="E167" s="388">
        <f>'After Tax Analysis'!E13</f>
        <v>0</v>
      </c>
      <c r="F167" s="388">
        <f>'After Tax Analysis'!F13</f>
        <v>0</v>
      </c>
      <c r="G167" s="388">
        <f>'After Tax Analysis'!G13</f>
        <v>0</v>
      </c>
      <c r="H167" s="388">
        <f>'After Tax Analysis'!H13</f>
        <v>0</v>
      </c>
      <c r="I167" s="388">
        <f>'After Tax Analysis'!I13</f>
        <v>0</v>
      </c>
      <c r="J167" s="388">
        <f>'After Tax Analysis'!J13</f>
        <v>0</v>
      </c>
      <c r="K167" s="388">
        <f>'After Tax Analysis'!K13</f>
        <v>0</v>
      </c>
      <c r="L167" s="388">
        <f>'After Tax Analysis'!L13</f>
        <v>0</v>
      </c>
      <c r="M167" s="388">
        <f>'After Tax Analysis'!M13</f>
        <v>0</v>
      </c>
      <c r="N167" s="388">
        <f>'After Tax Analysis'!N13</f>
        <v>0</v>
      </c>
      <c r="O167" s="388">
        <f>'After Tax Analysis'!O13</f>
        <v>0</v>
      </c>
      <c r="P167" s="326">
        <f t="shared" si="89"/>
        <v>0</v>
      </c>
      <c r="Q167" s="2">
        <f>'After Tax Analysis'!P13</f>
        <v>0</v>
      </c>
      <c r="S167" s="2"/>
    </row>
    <row r="168" spans="2:19" x14ac:dyDescent="0.15">
      <c r="B168" s="340">
        <v>7</v>
      </c>
      <c r="C168" s="12" t="s">
        <v>296</v>
      </c>
      <c r="D168" s="387">
        <f>D166-D167</f>
        <v>0</v>
      </c>
      <c r="E168" s="387">
        <f t="shared" ref="E168:N168" si="93">E166-E167</f>
        <v>66057500</v>
      </c>
      <c r="F168" s="387">
        <f t="shared" si="93"/>
        <v>54262775.00000003</v>
      </c>
      <c r="G168" s="387">
        <f t="shared" si="93"/>
        <v>44798631.548749983</v>
      </c>
      <c r="H168" s="387">
        <f t="shared" si="93"/>
        <v>31908352.439272046</v>
      </c>
      <c r="I168" s="387">
        <f t="shared" si="93"/>
        <v>16140058.826927066</v>
      </c>
      <c r="J168" s="387">
        <f t="shared" si="93"/>
        <v>0</v>
      </c>
      <c r="K168" s="387">
        <f t="shared" si="93"/>
        <v>0</v>
      </c>
      <c r="L168" s="387">
        <f t="shared" si="93"/>
        <v>0</v>
      </c>
      <c r="M168" s="387">
        <f t="shared" si="93"/>
        <v>0</v>
      </c>
      <c r="N168" s="387">
        <f t="shared" si="93"/>
        <v>0</v>
      </c>
      <c r="O168" s="67">
        <v>0</v>
      </c>
      <c r="P168" s="326">
        <f t="shared" si="89"/>
        <v>213167317.81494913</v>
      </c>
      <c r="Q168" s="2">
        <f>'After Tax Analysis'!P14</f>
        <v>213167317.81494913</v>
      </c>
      <c r="S168" s="2"/>
    </row>
    <row r="169" spans="2:19" x14ac:dyDescent="0.15">
      <c r="B169" s="340">
        <v>8</v>
      </c>
      <c r="C169" s="12" t="s">
        <v>297</v>
      </c>
      <c r="D169" s="387">
        <v>0</v>
      </c>
      <c r="E169" s="67">
        <f t="shared" ref="E169:N169" si="94">E168*$D$3</f>
        <v>19817250</v>
      </c>
      <c r="F169" s="67">
        <f t="shared" si="94"/>
        <v>16278832.500000007</v>
      </c>
      <c r="G169" s="67">
        <f t="shared" si="94"/>
        <v>13439589.464624995</v>
      </c>
      <c r="H169" s="67">
        <f t="shared" si="94"/>
        <v>9572505.7317816131</v>
      </c>
      <c r="I169" s="67">
        <f t="shared" si="94"/>
        <v>4842017.6480781194</v>
      </c>
      <c r="J169" s="67">
        <f t="shared" si="94"/>
        <v>0</v>
      </c>
      <c r="K169" s="67">
        <f t="shared" si="94"/>
        <v>0</v>
      </c>
      <c r="L169" s="67">
        <f t="shared" si="94"/>
        <v>0</v>
      </c>
      <c r="M169" s="67">
        <f t="shared" si="94"/>
        <v>0</v>
      </c>
      <c r="N169" s="67">
        <f t="shared" si="94"/>
        <v>0</v>
      </c>
      <c r="O169" s="67">
        <v>0</v>
      </c>
      <c r="P169" s="326">
        <f t="shared" si="89"/>
        <v>63950195.344484739</v>
      </c>
      <c r="Q169" s="2">
        <f>'After Tax Analysis'!P15</f>
        <v>63950195.344484739</v>
      </c>
      <c r="S169" s="2"/>
    </row>
    <row r="170" spans="2:19" x14ac:dyDescent="0.15">
      <c r="B170" s="340">
        <v>9</v>
      </c>
      <c r="C170" s="12" t="s">
        <v>298</v>
      </c>
      <c r="D170" s="388">
        <f>'After Tax Analysis'!E16</f>
        <v>0</v>
      </c>
      <c r="E170" s="388">
        <f>'After Tax Analysis'!F16</f>
        <v>0</v>
      </c>
      <c r="F170" s="388">
        <f>'After Tax Analysis'!G16</f>
        <v>0</v>
      </c>
      <c r="G170" s="388">
        <f>'After Tax Analysis'!H16</f>
        <v>0</v>
      </c>
      <c r="H170" s="388">
        <f>'After Tax Analysis'!I16</f>
        <v>0</v>
      </c>
      <c r="I170" s="388">
        <f>'After Tax Analysis'!J16</f>
        <v>0</v>
      </c>
      <c r="J170" s="388">
        <f>'After Tax Analysis'!K16</f>
        <v>0</v>
      </c>
      <c r="K170" s="388">
        <f>'After Tax Analysis'!L16</f>
        <v>0</v>
      </c>
      <c r="L170" s="388">
        <f>'After Tax Analysis'!M16</f>
        <v>0</v>
      </c>
      <c r="M170" s="388">
        <f>'After Tax Analysis'!N16</f>
        <v>0</v>
      </c>
      <c r="N170" s="388">
        <f>'After Tax Analysis'!O16</f>
        <v>0</v>
      </c>
      <c r="O170" s="388">
        <f>'After Tax Analysis'!P16</f>
        <v>0</v>
      </c>
      <c r="P170" s="326">
        <f t="shared" si="89"/>
        <v>0</v>
      </c>
      <c r="Q170" s="2">
        <f>'After Tax Analysis'!P16</f>
        <v>0</v>
      </c>
      <c r="S170" s="2"/>
    </row>
    <row r="171" spans="2:19" x14ac:dyDescent="0.15">
      <c r="B171" s="340">
        <v>10</v>
      </c>
      <c r="C171" s="12" t="s">
        <v>299</v>
      </c>
      <c r="D171" s="387">
        <v>0</v>
      </c>
      <c r="E171" s="67">
        <f t="shared" ref="E171:N171" si="95">E168-E169+E170</f>
        <v>46240250</v>
      </c>
      <c r="F171" s="67">
        <f t="shared" si="95"/>
        <v>37983942.500000022</v>
      </c>
      <c r="G171" s="67">
        <f t="shared" si="95"/>
        <v>31359042.08412499</v>
      </c>
      <c r="H171" s="67">
        <f t="shared" si="95"/>
        <v>22335846.707490433</v>
      </c>
      <c r="I171" s="67">
        <f t="shared" si="95"/>
        <v>11298041.178848946</v>
      </c>
      <c r="J171" s="67">
        <f t="shared" si="95"/>
        <v>0</v>
      </c>
      <c r="K171" s="67">
        <f t="shared" si="95"/>
        <v>0</v>
      </c>
      <c r="L171" s="67">
        <f t="shared" si="95"/>
        <v>0</v>
      </c>
      <c r="M171" s="67">
        <f t="shared" si="95"/>
        <v>0</v>
      </c>
      <c r="N171" s="67">
        <f t="shared" si="95"/>
        <v>0</v>
      </c>
      <c r="O171" s="67">
        <v>0</v>
      </c>
      <c r="P171" s="326">
        <f t="shared" si="89"/>
        <v>149217122.47046441</v>
      </c>
      <c r="Q171" s="2">
        <f>'After Tax Analysis'!P17</f>
        <v>149217122.47046441</v>
      </c>
      <c r="S171" s="2"/>
    </row>
    <row r="172" spans="2:19" x14ac:dyDescent="0.15">
      <c r="B172" s="340" t="s">
        <v>699</v>
      </c>
      <c r="C172" s="12" t="s">
        <v>292</v>
      </c>
      <c r="D172" s="388">
        <f>D165</f>
        <v>0</v>
      </c>
      <c r="E172" s="388">
        <f t="shared" ref="E172:N172" si="96">E165</f>
        <v>3772500</v>
      </c>
      <c r="F172" s="388">
        <f t="shared" si="96"/>
        <v>6218850</v>
      </c>
      <c r="G172" s="388">
        <f t="shared" si="96"/>
        <v>4083150</v>
      </c>
      <c r="H172" s="388">
        <f t="shared" si="96"/>
        <v>2775510</v>
      </c>
      <c r="I172" s="388">
        <f t="shared" si="96"/>
        <v>1352955</v>
      </c>
      <c r="J172" s="388">
        <f t="shared" si="96"/>
        <v>0</v>
      </c>
      <c r="K172" s="388">
        <f t="shared" si="96"/>
        <v>0</v>
      </c>
      <c r="L172" s="388">
        <f t="shared" si="96"/>
        <v>0</v>
      </c>
      <c r="M172" s="388">
        <f t="shared" si="96"/>
        <v>0</v>
      </c>
      <c r="N172" s="388">
        <f t="shared" si="96"/>
        <v>0</v>
      </c>
      <c r="O172" s="67">
        <v>0</v>
      </c>
      <c r="P172" s="326">
        <f t="shared" si="89"/>
        <v>18202965</v>
      </c>
      <c r="Q172" s="2">
        <f>'After Tax Analysis'!P18</f>
        <v>18202965</v>
      </c>
      <c r="S172" s="2"/>
    </row>
    <row r="173" spans="2:19" ht="14" thickBot="1" x14ac:dyDescent="0.2">
      <c r="B173" s="340">
        <v>12</v>
      </c>
      <c r="C173" s="12" t="s">
        <v>301</v>
      </c>
      <c r="D173" s="387">
        <v>0</v>
      </c>
      <c r="E173" s="67">
        <f t="shared" ref="E173:N173" si="97">E171+E172</f>
        <v>50012750</v>
      </c>
      <c r="F173" s="67">
        <f t="shared" si="97"/>
        <v>44202792.500000022</v>
      </c>
      <c r="G173" s="67">
        <f t="shared" si="97"/>
        <v>35442192.08412499</v>
      </c>
      <c r="H173" s="67">
        <f t="shared" si="97"/>
        <v>25111356.707490433</v>
      </c>
      <c r="I173" s="67">
        <f t="shared" si="97"/>
        <v>12650996.178848946</v>
      </c>
      <c r="J173" s="468">
        <f t="shared" si="97"/>
        <v>0</v>
      </c>
      <c r="K173" s="67">
        <f t="shared" si="97"/>
        <v>0</v>
      </c>
      <c r="L173" s="67">
        <f t="shared" si="97"/>
        <v>0</v>
      </c>
      <c r="M173" s="67">
        <f t="shared" si="97"/>
        <v>0</v>
      </c>
      <c r="N173" s="67">
        <f t="shared" si="97"/>
        <v>0</v>
      </c>
      <c r="O173" s="67">
        <v>0</v>
      </c>
      <c r="P173" s="326">
        <f t="shared" si="89"/>
        <v>167420087.47046441</v>
      </c>
      <c r="Q173" s="2">
        <f>'After Tax Analysis'!P19</f>
        <v>167420087.47046441</v>
      </c>
      <c r="S173" s="2"/>
    </row>
    <row r="174" spans="2:19" ht="14" thickBot="1" x14ac:dyDescent="0.2">
      <c r="B174" s="340" t="s">
        <v>700</v>
      </c>
      <c r="C174" s="12" t="s">
        <v>303</v>
      </c>
      <c r="D174" s="396">
        <v>0</v>
      </c>
      <c r="E174" s="396">
        <f>'After Tax Analysis'!E20</f>
        <v>0</v>
      </c>
      <c r="F174" s="396">
        <f>'After Tax Analysis'!F20</f>
        <v>0</v>
      </c>
      <c r="G174" s="396">
        <f>'After Tax Analysis'!G20</f>
        <v>0</v>
      </c>
      <c r="H174" s="396">
        <f>'After Tax Analysis'!H20</f>
        <v>0</v>
      </c>
      <c r="I174" s="466">
        <f>'After Tax Analysis'!I20</f>
        <v>0</v>
      </c>
      <c r="J174" s="469">
        <f>'After Tax Analysis'!J20</f>
        <v>0</v>
      </c>
      <c r="K174" s="467">
        <f>'After Tax Analysis'!K20</f>
        <v>0</v>
      </c>
      <c r="L174" s="396">
        <f>'After Tax Analysis'!L20</f>
        <v>0</v>
      </c>
      <c r="M174" s="396">
        <f>'After Tax Analysis'!M20</f>
        <v>0</v>
      </c>
      <c r="N174" s="396">
        <f>'After Tax Analysis'!N20</f>
        <v>0</v>
      </c>
      <c r="O174" s="396">
        <f>'After Tax Analysis'!O20</f>
        <v>0</v>
      </c>
      <c r="P174" s="326">
        <f t="shared" si="89"/>
        <v>0</v>
      </c>
      <c r="Q174" s="2">
        <f>'After Tax Analysis'!P20</f>
        <v>0</v>
      </c>
      <c r="S174" s="2"/>
    </row>
    <row r="175" spans="2:19" ht="14" thickBot="1" x14ac:dyDescent="0.2">
      <c r="B175" s="340">
        <v>14</v>
      </c>
      <c r="C175" s="12" t="s">
        <v>304</v>
      </c>
      <c r="D175" s="67">
        <f>D176+D177+D178</f>
        <v>-32550000</v>
      </c>
      <c r="E175" s="67">
        <f t="shared" ref="E175:O175" si="98">E176+E177+E178</f>
        <v>0</v>
      </c>
      <c r="F175" s="67">
        <f t="shared" si="98"/>
        <v>0</v>
      </c>
      <c r="G175" s="67">
        <f t="shared" si="98"/>
        <v>0</v>
      </c>
      <c r="H175" s="67">
        <f t="shared" si="98"/>
        <v>0</v>
      </c>
      <c r="I175" s="93">
        <f t="shared" si="98"/>
        <v>14347035</v>
      </c>
      <c r="J175" s="459">
        <f t="shared" si="98"/>
        <v>0</v>
      </c>
      <c r="K175" s="470">
        <f t="shared" si="98"/>
        <v>0</v>
      </c>
      <c r="L175" s="67">
        <f t="shared" si="98"/>
        <v>0</v>
      </c>
      <c r="M175" s="67">
        <f t="shared" si="98"/>
        <v>0</v>
      </c>
      <c r="N175" s="67">
        <f t="shared" si="98"/>
        <v>0</v>
      </c>
      <c r="O175" s="67">
        <f t="shared" si="98"/>
        <v>0</v>
      </c>
      <c r="P175" s="326">
        <f t="shared" si="89"/>
        <v>-18202965</v>
      </c>
      <c r="Q175" s="2">
        <f>'After Tax Analysis'!P21</f>
        <v>-18202965</v>
      </c>
      <c r="S175" s="2"/>
    </row>
    <row r="176" spans="2:19" x14ac:dyDescent="0.15">
      <c r="B176" s="340" t="s">
        <v>701</v>
      </c>
      <c r="C176" s="12" t="s">
        <v>207</v>
      </c>
      <c r="D176" s="396">
        <f>'After Tax Analysis'!D22</f>
        <v>-31050000</v>
      </c>
      <c r="E176" s="396">
        <f>'After Tax Analysis'!E22</f>
        <v>0</v>
      </c>
      <c r="F176" s="396">
        <f>'After Tax Analysis'!F22</f>
        <v>0</v>
      </c>
      <c r="G176" s="396">
        <f>'After Tax Analysis'!G22</f>
        <v>0</v>
      </c>
      <c r="H176" s="396">
        <f>'After Tax Analysis'!H22</f>
        <v>0</v>
      </c>
      <c r="I176" s="396">
        <f>'After Tax Analysis'!I22</f>
        <v>12847035</v>
      </c>
      <c r="J176" s="471">
        <f>'After Tax Analysis'!J22</f>
        <v>0</v>
      </c>
      <c r="K176" s="396">
        <f>'After Tax Analysis'!K22</f>
        <v>0</v>
      </c>
      <c r="L176" s="396">
        <f>'After Tax Analysis'!L22</f>
        <v>0</v>
      </c>
      <c r="M176" s="396">
        <f>'After Tax Analysis'!M22</f>
        <v>0</v>
      </c>
      <c r="N176" s="396">
        <f>'After Tax Analysis'!N22</f>
        <v>0</v>
      </c>
      <c r="O176" s="396">
        <v>0</v>
      </c>
      <c r="P176" s="326">
        <f t="shared" si="89"/>
        <v>-18202965</v>
      </c>
      <c r="Q176" s="2">
        <f>'After Tax Analysis'!P22</f>
        <v>-18202965</v>
      </c>
      <c r="S176" s="2"/>
    </row>
    <row r="177" spans="1:19" x14ac:dyDescent="0.15">
      <c r="B177" s="340" t="s">
        <v>702</v>
      </c>
      <c r="C177" s="12" t="s">
        <v>307</v>
      </c>
      <c r="D177" s="396">
        <f>'After Tax Analysis'!D23</f>
        <v>-1500000</v>
      </c>
      <c r="E177" s="396">
        <f>'After Tax Analysis'!E23</f>
        <v>0</v>
      </c>
      <c r="F177" s="396">
        <f>'After Tax Analysis'!F23</f>
        <v>0</v>
      </c>
      <c r="G177" s="396">
        <f>'After Tax Analysis'!G23</f>
        <v>0</v>
      </c>
      <c r="H177" s="396">
        <f>'After Tax Analysis'!H23</f>
        <v>0</v>
      </c>
      <c r="I177" s="396">
        <f>'After Tax Analysis'!I23</f>
        <v>1500000</v>
      </c>
      <c r="J177" s="396">
        <f>'After Tax Analysis'!J23</f>
        <v>0</v>
      </c>
      <c r="K177" s="396">
        <f>'After Tax Analysis'!K23</f>
        <v>0</v>
      </c>
      <c r="L177" s="396">
        <f>'After Tax Analysis'!L23</f>
        <v>0</v>
      </c>
      <c r="M177" s="396">
        <f>'After Tax Analysis'!M23</f>
        <v>0</v>
      </c>
      <c r="N177" s="396">
        <f>'After Tax Analysis'!N23</f>
        <v>0</v>
      </c>
      <c r="O177" s="396">
        <v>0</v>
      </c>
      <c r="P177" s="326">
        <f t="shared" si="89"/>
        <v>0</v>
      </c>
      <c r="Q177" s="2">
        <f>'After Tax Analysis'!P23</f>
        <v>0</v>
      </c>
      <c r="S177" s="2"/>
    </row>
    <row r="178" spans="1:19" ht="14" thickBot="1" x14ac:dyDescent="0.2">
      <c r="B178" s="340" t="s">
        <v>703</v>
      </c>
      <c r="C178" s="12" t="s">
        <v>309</v>
      </c>
      <c r="D178" s="396">
        <f>'After Tax Analysis'!D24</f>
        <v>0</v>
      </c>
      <c r="E178" s="396">
        <f>'After Tax Analysis'!E24</f>
        <v>0</v>
      </c>
      <c r="F178" s="396">
        <f>'After Tax Analysis'!F24</f>
        <v>0</v>
      </c>
      <c r="G178" s="396">
        <f>'After Tax Analysis'!G24</f>
        <v>0</v>
      </c>
      <c r="H178" s="396">
        <f>'After Tax Analysis'!H24</f>
        <v>0</v>
      </c>
      <c r="I178" s="396">
        <f>'After Tax Analysis'!I24</f>
        <v>0</v>
      </c>
      <c r="J178" s="472">
        <f>'After Tax Analysis'!J24</f>
        <v>0</v>
      </c>
      <c r="K178" s="396">
        <f>'After Tax Analysis'!K24</f>
        <v>0</v>
      </c>
      <c r="L178" s="396">
        <f>'After Tax Analysis'!L24</f>
        <v>0</v>
      </c>
      <c r="M178" s="396">
        <f>'After Tax Analysis'!M24</f>
        <v>0</v>
      </c>
      <c r="N178" s="396">
        <f>'After Tax Analysis'!N24</f>
        <v>0</v>
      </c>
      <c r="O178" s="396">
        <v>0</v>
      </c>
      <c r="P178" s="326">
        <f t="shared" si="89"/>
        <v>0</v>
      </c>
      <c r="Q178" s="2">
        <f>'After Tax Analysis'!P24</f>
        <v>0</v>
      </c>
      <c r="S178" s="2"/>
    </row>
    <row r="179" spans="1:19" ht="14" thickBot="1" x14ac:dyDescent="0.2">
      <c r="B179" s="340" t="s">
        <v>704</v>
      </c>
      <c r="C179" s="12" t="s">
        <v>311</v>
      </c>
      <c r="D179" s="396">
        <f>'After Tax Analysis'!D25</f>
        <v>0</v>
      </c>
      <c r="E179" s="396">
        <f>'After Tax Analysis'!E25</f>
        <v>0</v>
      </c>
      <c r="F179" s="396">
        <f>'After Tax Analysis'!F25</f>
        <v>0</v>
      </c>
      <c r="G179" s="396">
        <f>'After Tax Analysis'!G25</f>
        <v>0</v>
      </c>
      <c r="H179" s="396">
        <f>'After Tax Analysis'!H25</f>
        <v>0</v>
      </c>
      <c r="I179" s="466">
        <f>'After Tax Analysis'!I25</f>
        <v>-2596968.7000000002</v>
      </c>
      <c r="J179" s="469">
        <f>'After Tax Analysis'!J25</f>
        <v>0</v>
      </c>
      <c r="K179" s="467">
        <f>'After Tax Analysis'!K25</f>
        <v>0</v>
      </c>
      <c r="L179" s="396">
        <f>'After Tax Analysis'!L25</f>
        <v>0</v>
      </c>
      <c r="M179" s="396">
        <f>'After Tax Analysis'!M25</f>
        <v>0</v>
      </c>
      <c r="N179" s="396">
        <f>'After Tax Analysis'!N25</f>
        <v>0</v>
      </c>
      <c r="O179" s="396">
        <f>'Capital Gains Wksht'!P22</f>
        <v>0</v>
      </c>
      <c r="P179" s="326">
        <f t="shared" si="89"/>
        <v>-2596968.7000000002</v>
      </c>
      <c r="Q179" s="2">
        <f>'After Tax Analysis'!P25</f>
        <v>-2596968.7000000002</v>
      </c>
      <c r="S179" s="2"/>
    </row>
    <row r="180" spans="1:19" ht="14" thickBot="1" x14ac:dyDescent="0.2">
      <c r="B180" s="340" t="s">
        <v>705</v>
      </c>
      <c r="C180" s="12" t="s">
        <v>115</v>
      </c>
      <c r="D180" s="396">
        <f>'After Tax Analysis'!D26</f>
        <v>-60000000</v>
      </c>
      <c r="E180" s="396">
        <f>'After Tax Analysis'!E26</f>
        <v>0</v>
      </c>
      <c r="F180" s="396">
        <f>'After Tax Analysis'!F26</f>
        <v>0</v>
      </c>
      <c r="G180" s="396">
        <f>'After Tax Analysis'!G26</f>
        <v>0</v>
      </c>
      <c r="H180" s="396">
        <f>'After Tax Analysis'!H26</f>
        <v>0</v>
      </c>
      <c r="I180" s="466">
        <f>'After Tax Analysis'!I26</f>
        <v>60000000</v>
      </c>
      <c r="J180" s="469">
        <f>'After Tax Analysis'!J26</f>
        <v>0</v>
      </c>
      <c r="K180" s="467">
        <f>'After Tax Analysis'!K26</f>
        <v>0</v>
      </c>
      <c r="L180" s="396">
        <f>'After Tax Analysis'!L26</f>
        <v>0</v>
      </c>
      <c r="M180" s="396">
        <f>'After Tax Analysis'!M26</f>
        <v>0</v>
      </c>
      <c r="N180" s="396">
        <f>'After Tax Analysis'!N26</f>
        <v>0</v>
      </c>
      <c r="O180" s="67">
        <f>'After Tax Analysis'!O26</f>
        <v>0</v>
      </c>
      <c r="P180" s="326">
        <f t="shared" si="89"/>
        <v>0</v>
      </c>
      <c r="Q180" s="2">
        <f>'After Tax Analysis'!P26</f>
        <v>0</v>
      </c>
      <c r="S180" s="2"/>
    </row>
    <row r="181" spans="1:19" x14ac:dyDescent="0.15">
      <c r="B181" s="340">
        <v>17</v>
      </c>
      <c r="C181" s="12" t="s">
        <v>313</v>
      </c>
      <c r="D181" s="67">
        <f>'After Tax Analysis'!D27</f>
        <v>-92550000</v>
      </c>
      <c r="E181" s="67">
        <f>'After Tax Analysis'!E27</f>
        <v>0</v>
      </c>
      <c r="F181" s="67">
        <f>'After Tax Analysis'!F27</f>
        <v>0</v>
      </c>
      <c r="G181" s="67">
        <f>'After Tax Analysis'!G27</f>
        <v>0</v>
      </c>
      <c r="H181" s="67">
        <f>'After Tax Analysis'!H27</f>
        <v>0</v>
      </c>
      <c r="I181" s="67">
        <f>'After Tax Analysis'!I27</f>
        <v>71750066.299999997</v>
      </c>
      <c r="J181" s="67">
        <f>'After Tax Analysis'!J27</f>
        <v>0</v>
      </c>
      <c r="K181" s="67">
        <f>'After Tax Analysis'!K27</f>
        <v>0</v>
      </c>
      <c r="L181" s="67">
        <f>'After Tax Analysis'!L27</f>
        <v>0</v>
      </c>
      <c r="M181" s="67">
        <f>'After Tax Analysis'!M27</f>
        <v>0</v>
      </c>
      <c r="N181" s="67">
        <f>'After Tax Analysis'!N27</f>
        <v>0</v>
      </c>
      <c r="O181" s="67">
        <v>0</v>
      </c>
      <c r="P181" s="326">
        <f t="shared" si="89"/>
        <v>-20799933.700000003</v>
      </c>
      <c r="Q181" s="2">
        <f>'After Tax Analysis'!P27</f>
        <v>-20799933.700000003</v>
      </c>
      <c r="R181" s="333" t="s">
        <v>693</v>
      </c>
      <c r="S181" s="2"/>
    </row>
    <row r="182" spans="1:19" ht="14" thickBot="1" x14ac:dyDescent="0.2">
      <c r="A182" s="1" t="s">
        <v>417</v>
      </c>
      <c r="B182" s="355">
        <v>18</v>
      </c>
      <c r="C182" s="335" t="s">
        <v>314</v>
      </c>
      <c r="D182" s="331">
        <f>D173+D181</f>
        <v>-92550000</v>
      </c>
      <c r="E182" s="331">
        <f t="shared" ref="E182:N182" si="99">E173+E181</f>
        <v>50012750</v>
      </c>
      <c r="F182" s="331">
        <f t="shared" si="99"/>
        <v>44202792.500000022</v>
      </c>
      <c r="G182" s="331">
        <f t="shared" si="99"/>
        <v>35442192.08412499</v>
      </c>
      <c r="H182" s="331">
        <f t="shared" si="99"/>
        <v>25111356.707490433</v>
      </c>
      <c r="I182" s="331">
        <f t="shared" si="99"/>
        <v>84401062.478848949</v>
      </c>
      <c r="J182" s="331">
        <f t="shared" si="99"/>
        <v>0</v>
      </c>
      <c r="K182" s="331">
        <f t="shared" si="99"/>
        <v>0</v>
      </c>
      <c r="L182" s="331">
        <f t="shared" si="99"/>
        <v>0</v>
      </c>
      <c r="M182" s="331">
        <f t="shared" si="99"/>
        <v>0</v>
      </c>
      <c r="N182" s="331">
        <f t="shared" si="99"/>
        <v>0</v>
      </c>
      <c r="O182" s="331">
        <v>0</v>
      </c>
      <c r="P182" s="326">
        <f t="shared" si="89"/>
        <v>146620153.77046439</v>
      </c>
      <c r="Q182" s="2">
        <f>'After Tax Analysis'!P28</f>
        <v>146620153.77046439</v>
      </c>
      <c r="R182" s="338">
        <f>IF(ISNUMBER(IRR(D182:N182)),IRR(D182:N182),"NMF")</f>
        <v>0.40549033935008683</v>
      </c>
      <c r="S182" s="353" t="str">
        <f>A159</f>
        <v>Base Case</v>
      </c>
    </row>
    <row r="183" spans="1:19" x14ac:dyDescent="0.15">
      <c r="B183" s="340">
        <v>19</v>
      </c>
      <c r="C183" s="12" t="s">
        <v>315</v>
      </c>
      <c r="D183" s="53">
        <v>1</v>
      </c>
      <c r="E183" s="53">
        <v>0.86956521739130443</v>
      </c>
      <c r="F183" s="53">
        <v>0.7561436672967865</v>
      </c>
      <c r="G183" s="53">
        <v>0.65751623243198831</v>
      </c>
      <c r="H183" s="53">
        <v>0.57175324559303342</v>
      </c>
      <c r="I183" s="53">
        <v>0.49717673529828987</v>
      </c>
      <c r="J183" s="53">
        <v>0.43232759591155645</v>
      </c>
      <c r="K183" s="53">
        <v>0.37593703992309269</v>
      </c>
      <c r="L183" s="53">
        <v>0.32690177384616753</v>
      </c>
      <c r="M183" s="53">
        <v>0.28426241204014574</v>
      </c>
      <c r="N183" s="53">
        <v>0.24718470612186585</v>
      </c>
      <c r="O183" s="67">
        <v>0</v>
      </c>
      <c r="P183" s="326">
        <f t="shared" si="89"/>
        <v>6.0187686258542321</v>
      </c>
      <c r="Q183" s="2">
        <f>'After Tax Analysis'!P30</f>
        <v>5.8332274784574745</v>
      </c>
      <c r="S183" s="2"/>
    </row>
    <row r="184" spans="1:19" x14ac:dyDescent="0.15">
      <c r="B184" s="340">
        <v>20</v>
      </c>
      <c r="C184" s="12" t="s">
        <v>316</v>
      </c>
      <c r="D184" s="67">
        <f>D183*D182</f>
        <v>-92550000</v>
      </c>
      <c r="E184" s="62">
        <f>E183+E182</f>
        <v>50012750.869565219</v>
      </c>
      <c r="F184" s="62">
        <f t="shared" ref="F184:N184" si="100">F183+F182</f>
        <v>44202793.256143689</v>
      </c>
      <c r="G184" s="62">
        <f t="shared" si="100"/>
        <v>35442192.741641223</v>
      </c>
      <c r="H184" s="62">
        <f t="shared" si="100"/>
        <v>25111357.279243678</v>
      </c>
      <c r="I184" s="62">
        <f t="shared" si="100"/>
        <v>84401062.976025686</v>
      </c>
      <c r="J184" s="62">
        <f t="shared" si="100"/>
        <v>0.43232759591155645</v>
      </c>
      <c r="K184" s="62">
        <f t="shared" si="100"/>
        <v>0.37593703992309269</v>
      </c>
      <c r="L184" s="62">
        <f t="shared" si="100"/>
        <v>0.32690177384616753</v>
      </c>
      <c r="M184" s="62">
        <f t="shared" si="100"/>
        <v>0.28426241204014574</v>
      </c>
      <c r="N184" s="62">
        <f t="shared" si="100"/>
        <v>0.24718470612186585</v>
      </c>
      <c r="O184" s="67">
        <v>0</v>
      </c>
      <c r="P184" s="326">
        <f t="shared" si="89"/>
        <v>146620158.78923303</v>
      </c>
      <c r="Q184" s="2">
        <f>'After Tax Analysis'!P31</f>
        <v>60173850.627423033</v>
      </c>
      <c r="S184" s="2"/>
    </row>
    <row r="185" spans="1:19" ht="14" thickBot="1" x14ac:dyDescent="0.2">
      <c r="B185" s="341">
        <v>21</v>
      </c>
      <c r="C185" s="201" t="s">
        <v>317</v>
      </c>
      <c r="D185" s="327">
        <f>D184</f>
        <v>-92550000</v>
      </c>
      <c r="E185" s="465">
        <f>E184+D185</f>
        <v>-42537249.130434781</v>
      </c>
      <c r="F185" s="465">
        <f t="shared" ref="F185:N185" si="101">F184+E185</f>
        <v>1665544.1257089078</v>
      </c>
      <c r="G185" s="465">
        <f t="shared" si="101"/>
        <v>37107736.867350131</v>
      </c>
      <c r="H185" s="465">
        <f t="shared" si="101"/>
        <v>62219094.146593809</v>
      </c>
      <c r="I185" s="465">
        <f t="shared" si="101"/>
        <v>146620157.12261951</v>
      </c>
      <c r="J185" s="465">
        <f t="shared" si="101"/>
        <v>146620157.55494711</v>
      </c>
      <c r="K185" s="465">
        <f t="shared" si="101"/>
        <v>146620157.93088415</v>
      </c>
      <c r="L185" s="465">
        <f t="shared" si="101"/>
        <v>146620158.25778592</v>
      </c>
      <c r="M185" s="465">
        <f t="shared" si="101"/>
        <v>146620158.54204834</v>
      </c>
      <c r="N185" s="465">
        <f t="shared" si="101"/>
        <v>146620158.78923303</v>
      </c>
      <c r="O185" s="327">
        <v>0</v>
      </c>
      <c r="P185" s="326">
        <f t="shared" si="89"/>
        <v>845626074.20673609</v>
      </c>
      <c r="Q185" s="2">
        <f>'After Tax Analysis'!P32</f>
        <v>0</v>
      </c>
      <c r="S185" s="2"/>
    </row>
    <row r="186" spans="1:19" x14ac:dyDescent="0.15">
      <c r="D186" s="2">
        <f>'After Tax Analysis'!D28</f>
        <v>-92550000</v>
      </c>
      <c r="E186" s="2">
        <f>'After Tax Analysis'!E28</f>
        <v>50012750</v>
      </c>
      <c r="F186" s="2">
        <f>'After Tax Analysis'!F28</f>
        <v>44202792.500000022</v>
      </c>
      <c r="G186" s="2">
        <f>'After Tax Analysis'!G28</f>
        <v>35442192.08412499</v>
      </c>
      <c r="H186" s="2">
        <f>'After Tax Analysis'!H28</f>
        <v>25111356.707490433</v>
      </c>
      <c r="I186" s="2">
        <f>'After Tax Analysis'!I28</f>
        <v>84401062.478848949</v>
      </c>
      <c r="J186" s="2">
        <f>'After Tax Analysis'!J28</f>
        <v>0</v>
      </c>
      <c r="K186" s="2">
        <f>'After Tax Analysis'!K28</f>
        <v>0</v>
      </c>
      <c r="L186" s="2">
        <f>'After Tax Analysis'!L28</f>
        <v>0</v>
      </c>
      <c r="M186" s="2">
        <f>'After Tax Analysis'!M28</f>
        <v>0</v>
      </c>
      <c r="N186" s="2">
        <f>'After Tax Analysis'!N28</f>
        <v>0</v>
      </c>
      <c r="O186" s="2">
        <f>'After Tax Analysis'!O28</f>
        <v>0</v>
      </c>
      <c r="P186" s="2">
        <f>'After Tax Analysis'!P28</f>
        <v>146620153.77046439</v>
      </c>
      <c r="S186" s="2"/>
    </row>
    <row r="187" spans="1:19" ht="14" thickBot="1" x14ac:dyDescent="0.2">
      <c r="S187" s="2"/>
    </row>
    <row r="188" spans="1:19" ht="14" thickBot="1" x14ac:dyDescent="0.2">
      <c r="B188" s="359" t="s">
        <v>282</v>
      </c>
      <c r="C188" s="360" t="s">
        <v>283</v>
      </c>
      <c r="D188" s="360"/>
      <c r="E188" s="360">
        <v>1</v>
      </c>
      <c r="F188" s="360">
        <v>2</v>
      </c>
      <c r="G188" s="360">
        <v>3</v>
      </c>
      <c r="H188" s="360">
        <v>4</v>
      </c>
      <c r="I188" s="360">
        <v>5</v>
      </c>
      <c r="J188" s="360">
        <v>6</v>
      </c>
      <c r="K188" s="360">
        <v>7</v>
      </c>
      <c r="L188" s="360">
        <v>8</v>
      </c>
      <c r="M188" s="360">
        <v>9</v>
      </c>
      <c r="N188" s="360">
        <v>10</v>
      </c>
      <c r="O188" s="360" t="s">
        <v>284</v>
      </c>
      <c r="P188" s="361" t="s">
        <v>285</v>
      </c>
      <c r="S188" s="2"/>
    </row>
    <row r="189" spans="1:19" x14ac:dyDescent="0.15">
      <c r="B189" s="339" t="s">
        <v>687</v>
      </c>
      <c r="C189" s="302" t="s">
        <v>287</v>
      </c>
      <c r="D189" s="322">
        <f t="shared" ref="D189:D194" si="102">D158</f>
        <v>0</v>
      </c>
      <c r="E189" s="322">
        <f t="shared" ref="E189:N189" si="103">E158</f>
        <v>300000000</v>
      </c>
      <c r="F189" s="322">
        <f t="shared" si="103"/>
        <v>313500000.00000006</v>
      </c>
      <c r="G189" s="322">
        <f t="shared" si="103"/>
        <v>327607500.00000006</v>
      </c>
      <c r="H189" s="322">
        <f t="shared" si="103"/>
        <v>342349837.50000012</v>
      </c>
      <c r="I189" s="322">
        <f t="shared" si="103"/>
        <v>357755580.18750012</v>
      </c>
      <c r="J189" s="322">
        <f t="shared" si="103"/>
        <v>0</v>
      </c>
      <c r="K189" s="322">
        <f t="shared" si="103"/>
        <v>0</v>
      </c>
      <c r="L189" s="322">
        <f t="shared" si="103"/>
        <v>0</v>
      </c>
      <c r="M189" s="322">
        <f t="shared" si="103"/>
        <v>0</v>
      </c>
      <c r="N189" s="322">
        <f t="shared" si="103"/>
        <v>0</v>
      </c>
      <c r="O189" s="322">
        <v>0</v>
      </c>
      <c r="P189" s="325">
        <f>SUM(E189:N189)</f>
        <v>1641212917.6875</v>
      </c>
      <c r="Q189" s="2"/>
      <c r="S189" s="2"/>
    </row>
    <row r="190" spans="1:19" x14ac:dyDescent="0.15">
      <c r="A190" s="1" t="s">
        <v>709</v>
      </c>
      <c r="B190" s="355" t="s">
        <v>689</v>
      </c>
      <c r="C190" s="362" t="s">
        <v>689</v>
      </c>
      <c r="D190" s="331">
        <f t="shared" si="102"/>
        <v>0</v>
      </c>
      <c r="E190" s="331">
        <f>E159*1.05</f>
        <v>315000000</v>
      </c>
      <c r="F190" s="331">
        <f t="shared" ref="F190:N190" si="104">F159*1.05</f>
        <v>329175000.00000006</v>
      </c>
      <c r="G190" s="331">
        <f t="shared" si="104"/>
        <v>343987875.00000006</v>
      </c>
      <c r="H190" s="331">
        <f t="shared" si="104"/>
        <v>359467329.37500012</v>
      </c>
      <c r="I190" s="331">
        <f t="shared" si="104"/>
        <v>375643359.19687515</v>
      </c>
      <c r="J190" s="331">
        <f t="shared" si="104"/>
        <v>0</v>
      </c>
      <c r="K190" s="331">
        <f t="shared" si="104"/>
        <v>0</v>
      </c>
      <c r="L190" s="331">
        <f t="shared" si="104"/>
        <v>0</v>
      </c>
      <c r="M190" s="331">
        <f t="shared" si="104"/>
        <v>0</v>
      </c>
      <c r="N190" s="331">
        <f t="shared" si="104"/>
        <v>0</v>
      </c>
      <c r="O190" s="331"/>
      <c r="P190" s="356">
        <f>SUM(E190:N190)</f>
        <v>1723273563.5718751</v>
      </c>
      <c r="Q190" s="460"/>
      <c r="S190" s="2"/>
    </row>
    <row r="191" spans="1:19" x14ac:dyDescent="0.15">
      <c r="B191" s="340" t="s">
        <v>690</v>
      </c>
      <c r="C191" s="354" t="s">
        <v>690</v>
      </c>
      <c r="D191" s="67">
        <f t="shared" si="102"/>
        <v>0</v>
      </c>
      <c r="E191" s="67">
        <f t="shared" ref="E191:N191" si="105">E160</f>
        <v>0</v>
      </c>
      <c r="F191" s="67">
        <f t="shared" si="105"/>
        <v>0</v>
      </c>
      <c r="G191" s="67">
        <f t="shared" si="105"/>
        <v>0</v>
      </c>
      <c r="H191" s="67">
        <f t="shared" si="105"/>
        <v>0</v>
      </c>
      <c r="I191" s="67">
        <f t="shared" si="105"/>
        <v>0</v>
      </c>
      <c r="J191" s="67">
        <f t="shared" si="105"/>
        <v>0</v>
      </c>
      <c r="K191" s="67">
        <f t="shared" si="105"/>
        <v>0</v>
      </c>
      <c r="L191" s="67">
        <f t="shared" si="105"/>
        <v>0</v>
      </c>
      <c r="M191" s="67">
        <f t="shared" si="105"/>
        <v>0</v>
      </c>
      <c r="N191" s="67">
        <f t="shared" si="105"/>
        <v>0</v>
      </c>
      <c r="O191" s="289"/>
      <c r="P191" s="326">
        <f>SUM(E191:N191)</f>
        <v>0</v>
      </c>
      <c r="Q191" s="2"/>
      <c r="S191" s="2"/>
    </row>
    <row r="192" spans="1:19" x14ac:dyDescent="0.15">
      <c r="B192" s="340" t="s">
        <v>691</v>
      </c>
      <c r="C192" s="354" t="s">
        <v>691</v>
      </c>
      <c r="D192" s="67">
        <f t="shared" si="102"/>
        <v>0</v>
      </c>
      <c r="E192" s="67">
        <f t="shared" ref="E192:N192" si="106">E161</f>
        <v>0</v>
      </c>
      <c r="F192" s="67">
        <f t="shared" si="106"/>
        <v>0</v>
      </c>
      <c r="G192" s="67">
        <f t="shared" si="106"/>
        <v>0</v>
      </c>
      <c r="H192" s="67">
        <f t="shared" si="106"/>
        <v>0</v>
      </c>
      <c r="I192" s="67">
        <f t="shared" si="106"/>
        <v>0</v>
      </c>
      <c r="J192" s="67">
        <f t="shared" si="106"/>
        <v>0</v>
      </c>
      <c r="K192" s="67">
        <f t="shared" si="106"/>
        <v>0</v>
      </c>
      <c r="L192" s="67">
        <f t="shared" si="106"/>
        <v>0</v>
      </c>
      <c r="M192" s="67">
        <f t="shared" si="106"/>
        <v>0</v>
      </c>
      <c r="N192" s="67">
        <f t="shared" si="106"/>
        <v>0</v>
      </c>
      <c r="O192" s="67"/>
      <c r="P192" s="326">
        <f>SUM(E192:N192)</f>
        <v>0</v>
      </c>
      <c r="Q192" s="2"/>
      <c r="S192" s="2"/>
    </row>
    <row r="193" spans="2:19" x14ac:dyDescent="0.15">
      <c r="B193" s="340" t="s">
        <v>695</v>
      </c>
      <c r="C193" s="12"/>
      <c r="D193" s="67">
        <f t="shared" si="102"/>
        <v>0</v>
      </c>
      <c r="E193" s="67">
        <f>E192+E191+E190</f>
        <v>315000000</v>
      </c>
      <c r="F193" s="67">
        <f t="shared" ref="F193:N193" si="107">F192+F191+F190</f>
        <v>329175000.00000006</v>
      </c>
      <c r="G193" s="67">
        <f t="shared" si="107"/>
        <v>343987875.00000006</v>
      </c>
      <c r="H193" s="67">
        <f t="shared" si="107"/>
        <v>359467329.37500012</v>
      </c>
      <c r="I193" s="67">
        <f t="shared" si="107"/>
        <v>375643359.19687515</v>
      </c>
      <c r="J193" s="67">
        <f t="shared" si="107"/>
        <v>0</v>
      </c>
      <c r="K193" s="67">
        <f t="shared" si="107"/>
        <v>0</v>
      </c>
      <c r="L193" s="67">
        <f t="shared" si="107"/>
        <v>0</v>
      </c>
      <c r="M193" s="67">
        <f t="shared" si="107"/>
        <v>0</v>
      </c>
      <c r="N193" s="67">
        <f t="shared" si="107"/>
        <v>0</v>
      </c>
      <c r="O193" s="67"/>
      <c r="P193" s="326">
        <f t="shared" ref="P193:P213" si="108">SUM(E193:N193)</f>
        <v>1723273563.5718751</v>
      </c>
      <c r="Q193" s="2"/>
      <c r="S193" s="2"/>
    </row>
    <row r="194" spans="2:19" x14ac:dyDescent="0.15">
      <c r="B194" s="340" t="s">
        <v>696</v>
      </c>
      <c r="C194" s="12" t="s">
        <v>289</v>
      </c>
      <c r="D194" s="67">
        <f t="shared" si="102"/>
        <v>0</v>
      </c>
      <c r="E194" s="67">
        <f t="shared" ref="E194:N194" si="109">E163</f>
        <v>230170000</v>
      </c>
      <c r="F194" s="67">
        <f t="shared" si="109"/>
        <v>253018375.00000003</v>
      </c>
      <c r="G194" s="67">
        <f t="shared" si="109"/>
        <v>278725718.45125008</v>
      </c>
      <c r="H194" s="67">
        <f t="shared" si="109"/>
        <v>307665975.06072807</v>
      </c>
      <c r="I194" s="67">
        <f t="shared" si="109"/>
        <v>340262566.36057305</v>
      </c>
      <c r="J194" s="67">
        <f t="shared" si="109"/>
        <v>0</v>
      </c>
      <c r="K194" s="67">
        <f t="shared" si="109"/>
        <v>0</v>
      </c>
      <c r="L194" s="67">
        <f t="shared" si="109"/>
        <v>0</v>
      </c>
      <c r="M194" s="67">
        <f t="shared" si="109"/>
        <v>0</v>
      </c>
      <c r="N194" s="67">
        <f t="shared" si="109"/>
        <v>0</v>
      </c>
      <c r="O194" s="67">
        <v>0</v>
      </c>
      <c r="P194" s="326">
        <f t="shared" si="108"/>
        <v>1409842634.8725512</v>
      </c>
      <c r="Q194" s="2"/>
      <c r="S194" s="2"/>
    </row>
    <row r="195" spans="2:19" x14ac:dyDescent="0.15">
      <c r="B195" s="340">
        <v>3</v>
      </c>
      <c r="C195" s="12" t="s">
        <v>290</v>
      </c>
      <c r="D195" s="67">
        <f>D193-D194</f>
        <v>0</v>
      </c>
      <c r="E195" s="67">
        <f t="shared" ref="E195:N195" si="110">E193-E194</f>
        <v>84830000</v>
      </c>
      <c r="F195" s="67">
        <f t="shared" si="110"/>
        <v>76156625.00000003</v>
      </c>
      <c r="G195" s="67">
        <f t="shared" si="110"/>
        <v>65262156.548749983</v>
      </c>
      <c r="H195" s="67">
        <f t="shared" si="110"/>
        <v>51801354.314272046</v>
      </c>
      <c r="I195" s="67">
        <f t="shared" si="110"/>
        <v>35380792.836302102</v>
      </c>
      <c r="J195" s="67">
        <f t="shared" si="110"/>
        <v>0</v>
      </c>
      <c r="K195" s="67">
        <f t="shared" si="110"/>
        <v>0</v>
      </c>
      <c r="L195" s="67">
        <f t="shared" si="110"/>
        <v>0</v>
      </c>
      <c r="M195" s="67">
        <f t="shared" si="110"/>
        <v>0</v>
      </c>
      <c r="N195" s="67">
        <f t="shared" si="110"/>
        <v>0</v>
      </c>
      <c r="O195" s="67">
        <v>0</v>
      </c>
      <c r="P195" s="326">
        <f t="shared" si="108"/>
        <v>313430928.69932419</v>
      </c>
      <c r="Q195" s="2"/>
      <c r="S195" s="2"/>
    </row>
    <row r="196" spans="2:19" x14ac:dyDescent="0.15">
      <c r="B196" s="340" t="s">
        <v>697</v>
      </c>
      <c r="C196" s="12" t="s">
        <v>292</v>
      </c>
      <c r="D196" s="67">
        <f t="shared" ref="D196:N211" si="111">D165</f>
        <v>0</v>
      </c>
      <c r="E196" s="67">
        <f t="shared" si="111"/>
        <v>3772500</v>
      </c>
      <c r="F196" s="67">
        <f t="shared" si="111"/>
        <v>6218850</v>
      </c>
      <c r="G196" s="67">
        <f t="shared" si="111"/>
        <v>4083150</v>
      </c>
      <c r="H196" s="67">
        <f t="shared" si="111"/>
        <v>2775510</v>
      </c>
      <c r="I196" s="67">
        <f t="shared" si="111"/>
        <v>1352955</v>
      </c>
      <c r="J196" s="67">
        <f t="shared" si="111"/>
        <v>0</v>
      </c>
      <c r="K196" s="67">
        <f t="shared" si="111"/>
        <v>0</v>
      </c>
      <c r="L196" s="67">
        <f t="shared" si="111"/>
        <v>0</v>
      </c>
      <c r="M196" s="67">
        <f t="shared" si="111"/>
        <v>0</v>
      </c>
      <c r="N196" s="67">
        <f t="shared" si="111"/>
        <v>0</v>
      </c>
      <c r="O196" s="67">
        <v>0</v>
      </c>
      <c r="P196" s="326">
        <f t="shared" si="108"/>
        <v>18202965</v>
      </c>
      <c r="Q196" s="2"/>
      <c r="S196" s="2"/>
    </row>
    <row r="197" spans="2:19" x14ac:dyDescent="0.15">
      <c r="B197" s="340">
        <v>5</v>
      </c>
      <c r="C197" s="12" t="s">
        <v>293</v>
      </c>
      <c r="D197" s="67">
        <f>D195-D196</f>
        <v>0</v>
      </c>
      <c r="E197" s="67">
        <f t="shared" ref="E197:N197" si="112">E195-E196</f>
        <v>81057500</v>
      </c>
      <c r="F197" s="67">
        <f t="shared" si="112"/>
        <v>69937775.00000003</v>
      </c>
      <c r="G197" s="67">
        <f t="shared" si="112"/>
        <v>61179006.548749983</v>
      </c>
      <c r="H197" s="67">
        <f t="shared" si="112"/>
        <v>49025844.314272046</v>
      </c>
      <c r="I197" s="67">
        <f t="shared" si="112"/>
        <v>34027837.836302102</v>
      </c>
      <c r="J197" s="67">
        <f t="shared" si="112"/>
        <v>0</v>
      </c>
      <c r="K197" s="67">
        <f t="shared" si="112"/>
        <v>0</v>
      </c>
      <c r="L197" s="67">
        <f t="shared" si="112"/>
        <v>0</v>
      </c>
      <c r="M197" s="67">
        <f t="shared" si="112"/>
        <v>0</v>
      </c>
      <c r="N197" s="67">
        <f t="shared" si="112"/>
        <v>0</v>
      </c>
      <c r="O197" s="67">
        <v>0</v>
      </c>
      <c r="P197" s="326">
        <f t="shared" si="108"/>
        <v>295227963.69932413</v>
      </c>
      <c r="Q197" s="2"/>
      <c r="S197" s="2"/>
    </row>
    <row r="198" spans="2:19" x14ac:dyDescent="0.15">
      <c r="B198" s="340" t="s">
        <v>698</v>
      </c>
      <c r="C198" s="12" t="s">
        <v>295</v>
      </c>
      <c r="D198" s="67">
        <f t="shared" si="111"/>
        <v>0</v>
      </c>
      <c r="E198" s="67">
        <f t="shared" si="111"/>
        <v>0</v>
      </c>
      <c r="F198" s="67">
        <f t="shared" si="111"/>
        <v>0</v>
      </c>
      <c r="G198" s="67">
        <f t="shared" si="111"/>
        <v>0</v>
      </c>
      <c r="H198" s="67">
        <f t="shared" si="111"/>
        <v>0</v>
      </c>
      <c r="I198" s="67">
        <f t="shared" si="111"/>
        <v>0</v>
      </c>
      <c r="J198" s="67">
        <f t="shared" si="111"/>
        <v>0</v>
      </c>
      <c r="K198" s="67">
        <f t="shared" si="111"/>
        <v>0</v>
      </c>
      <c r="L198" s="67">
        <f t="shared" si="111"/>
        <v>0</v>
      </c>
      <c r="M198" s="67">
        <f t="shared" si="111"/>
        <v>0</v>
      </c>
      <c r="N198" s="67">
        <f t="shared" si="111"/>
        <v>0</v>
      </c>
      <c r="O198" s="67">
        <v>0</v>
      </c>
      <c r="P198" s="326">
        <f t="shared" si="108"/>
        <v>0</v>
      </c>
      <c r="Q198" s="2"/>
      <c r="S198" s="2"/>
    </row>
    <row r="199" spans="2:19" x14ac:dyDescent="0.15">
      <c r="B199" s="340">
        <v>7</v>
      </c>
      <c r="C199" s="12" t="s">
        <v>296</v>
      </c>
      <c r="D199" s="67">
        <f>D197-D198</f>
        <v>0</v>
      </c>
      <c r="E199" s="67">
        <f t="shared" ref="E199:N199" si="113">E197-E198</f>
        <v>81057500</v>
      </c>
      <c r="F199" s="67">
        <f t="shared" si="113"/>
        <v>69937775.00000003</v>
      </c>
      <c r="G199" s="67">
        <f t="shared" si="113"/>
        <v>61179006.548749983</v>
      </c>
      <c r="H199" s="67">
        <f t="shared" si="113"/>
        <v>49025844.314272046</v>
      </c>
      <c r="I199" s="67">
        <f t="shared" si="113"/>
        <v>34027837.836302102</v>
      </c>
      <c r="J199" s="67">
        <f t="shared" si="113"/>
        <v>0</v>
      </c>
      <c r="K199" s="67">
        <f t="shared" si="113"/>
        <v>0</v>
      </c>
      <c r="L199" s="67">
        <f t="shared" si="113"/>
        <v>0</v>
      </c>
      <c r="M199" s="67">
        <f t="shared" si="113"/>
        <v>0</v>
      </c>
      <c r="N199" s="67">
        <f t="shared" si="113"/>
        <v>0</v>
      </c>
      <c r="O199" s="67">
        <v>0</v>
      </c>
      <c r="P199" s="326">
        <f t="shared" si="108"/>
        <v>295227963.69932413</v>
      </c>
      <c r="Q199" s="2"/>
      <c r="S199" s="2"/>
    </row>
    <row r="200" spans="2:19" x14ac:dyDescent="0.15">
      <c r="B200" s="340">
        <v>8</v>
      </c>
      <c r="C200" s="12" t="s">
        <v>297</v>
      </c>
      <c r="D200" s="67">
        <f>-D199*$D$3</f>
        <v>0</v>
      </c>
      <c r="E200" s="67">
        <f t="shared" ref="E200:N200" si="114">-E199*$D$3</f>
        <v>-24317250</v>
      </c>
      <c r="F200" s="67">
        <f t="shared" si="114"/>
        <v>-20981332.500000007</v>
      </c>
      <c r="G200" s="67">
        <f t="shared" si="114"/>
        <v>-18353701.964624994</v>
      </c>
      <c r="H200" s="67">
        <f t="shared" si="114"/>
        <v>-14707753.294281613</v>
      </c>
      <c r="I200" s="67">
        <f t="shared" si="114"/>
        <v>-10208351.350890631</v>
      </c>
      <c r="J200" s="67">
        <f t="shared" si="114"/>
        <v>0</v>
      </c>
      <c r="K200" s="67">
        <f t="shared" si="114"/>
        <v>0</v>
      </c>
      <c r="L200" s="67">
        <f t="shared" si="114"/>
        <v>0</v>
      </c>
      <c r="M200" s="67">
        <f t="shared" si="114"/>
        <v>0</v>
      </c>
      <c r="N200" s="67">
        <f t="shared" si="114"/>
        <v>0</v>
      </c>
      <c r="O200" s="67">
        <v>0</v>
      </c>
      <c r="P200" s="326">
        <f t="shared" si="108"/>
        <v>-88568389.109797254</v>
      </c>
      <c r="Q200" s="2"/>
      <c r="S200" s="2"/>
    </row>
    <row r="201" spans="2:19" x14ac:dyDescent="0.15">
      <c r="B201" s="340">
        <v>9</v>
      </c>
      <c r="C201" s="12" t="s">
        <v>298</v>
      </c>
      <c r="D201" s="67">
        <f t="shared" si="111"/>
        <v>0</v>
      </c>
      <c r="E201" s="67">
        <f t="shared" si="111"/>
        <v>0</v>
      </c>
      <c r="F201" s="67">
        <f t="shared" si="111"/>
        <v>0</v>
      </c>
      <c r="G201" s="67">
        <f t="shared" si="111"/>
        <v>0</v>
      </c>
      <c r="H201" s="67">
        <f t="shared" si="111"/>
        <v>0</v>
      </c>
      <c r="I201" s="67">
        <f t="shared" si="111"/>
        <v>0</v>
      </c>
      <c r="J201" s="67">
        <f t="shared" si="111"/>
        <v>0</v>
      </c>
      <c r="K201" s="67">
        <f t="shared" si="111"/>
        <v>0</v>
      </c>
      <c r="L201" s="67">
        <f t="shared" si="111"/>
        <v>0</v>
      </c>
      <c r="M201" s="67">
        <f t="shared" si="111"/>
        <v>0</v>
      </c>
      <c r="N201" s="67">
        <f t="shared" si="111"/>
        <v>0</v>
      </c>
      <c r="O201" s="67">
        <v>0</v>
      </c>
      <c r="P201" s="326">
        <f t="shared" si="108"/>
        <v>0</v>
      </c>
      <c r="Q201" s="2"/>
      <c r="S201" s="2"/>
    </row>
    <row r="202" spans="2:19" x14ac:dyDescent="0.15">
      <c r="B202" s="340">
        <v>10</v>
      </c>
      <c r="C202" s="12" t="s">
        <v>299</v>
      </c>
      <c r="D202" s="67">
        <f>D199+D200+D201</f>
        <v>0</v>
      </c>
      <c r="E202" s="67">
        <f t="shared" ref="E202:N202" si="115">E199+E200+E201</f>
        <v>56740250</v>
      </c>
      <c r="F202" s="67">
        <f t="shared" si="115"/>
        <v>48956442.500000022</v>
      </c>
      <c r="G202" s="67">
        <f t="shared" si="115"/>
        <v>42825304.58412499</v>
      </c>
      <c r="H202" s="67">
        <f t="shared" si="115"/>
        <v>34318091.019990429</v>
      </c>
      <c r="I202" s="67">
        <f t="shared" si="115"/>
        <v>23819486.485411473</v>
      </c>
      <c r="J202" s="67">
        <f t="shared" si="115"/>
        <v>0</v>
      </c>
      <c r="K202" s="67">
        <f t="shared" si="115"/>
        <v>0</v>
      </c>
      <c r="L202" s="67">
        <f t="shared" si="115"/>
        <v>0</v>
      </c>
      <c r="M202" s="67">
        <f t="shared" si="115"/>
        <v>0</v>
      </c>
      <c r="N202" s="67">
        <f t="shared" si="115"/>
        <v>0</v>
      </c>
      <c r="O202" s="67">
        <v>0</v>
      </c>
      <c r="P202" s="326">
        <f t="shared" si="108"/>
        <v>206659574.58952689</v>
      </c>
      <c r="Q202" s="2"/>
      <c r="S202" s="2"/>
    </row>
    <row r="203" spans="2:19" x14ac:dyDescent="0.15">
      <c r="B203" s="340" t="s">
        <v>699</v>
      </c>
      <c r="C203" s="12" t="s">
        <v>292</v>
      </c>
      <c r="D203" s="67">
        <f t="shared" si="111"/>
        <v>0</v>
      </c>
      <c r="E203" s="67">
        <f t="shared" si="111"/>
        <v>3772500</v>
      </c>
      <c r="F203" s="67">
        <f t="shared" si="111"/>
        <v>6218850</v>
      </c>
      <c r="G203" s="67">
        <f t="shared" si="111"/>
        <v>4083150</v>
      </c>
      <c r="H203" s="67">
        <f t="shared" si="111"/>
        <v>2775510</v>
      </c>
      <c r="I203" s="67">
        <f t="shared" si="111"/>
        <v>1352955</v>
      </c>
      <c r="J203" s="67">
        <f t="shared" si="111"/>
        <v>0</v>
      </c>
      <c r="K203" s="67">
        <f t="shared" si="111"/>
        <v>0</v>
      </c>
      <c r="L203" s="67">
        <f t="shared" si="111"/>
        <v>0</v>
      </c>
      <c r="M203" s="67">
        <f t="shared" si="111"/>
        <v>0</v>
      </c>
      <c r="N203" s="67">
        <f t="shared" si="111"/>
        <v>0</v>
      </c>
      <c r="O203" s="67">
        <v>0</v>
      </c>
      <c r="P203" s="326">
        <f t="shared" si="108"/>
        <v>18202965</v>
      </c>
      <c r="Q203" s="2"/>
      <c r="S203" s="2"/>
    </row>
    <row r="204" spans="2:19" x14ac:dyDescent="0.15">
      <c r="B204" s="340">
        <v>12</v>
      </c>
      <c r="C204" s="12" t="s">
        <v>301</v>
      </c>
      <c r="D204" s="67">
        <f>D202+D203</f>
        <v>0</v>
      </c>
      <c r="E204" s="67">
        <f t="shared" ref="E204:N204" si="116">E202+E203</f>
        <v>60512750</v>
      </c>
      <c r="F204" s="67">
        <f t="shared" si="116"/>
        <v>55175292.500000022</v>
      </c>
      <c r="G204" s="67">
        <f t="shared" si="116"/>
        <v>46908454.58412499</v>
      </c>
      <c r="H204" s="67">
        <f t="shared" si="116"/>
        <v>37093601.019990429</v>
      </c>
      <c r="I204" s="67">
        <f t="shared" si="116"/>
        <v>25172441.485411473</v>
      </c>
      <c r="J204" s="67">
        <f t="shared" si="116"/>
        <v>0</v>
      </c>
      <c r="K204" s="67">
        <f t="shared" si="116"/>
        <v>0</v>
      </c>
      <c r="L204" s="67">
        <f t="shared" si="116"/>
        <v>0</v>
      </c>
      <c r="M204" s="67">
        <f t="shared" si="116"/>
        <v>0</v>
      </c>
      <c r="N204" s="67">
        <f t="shared" si="116"/>
        <v>0</v>
      </c>
      <c r="O204" s="67">
        <v>0</v>
      </c>
      <c r="P204" s="326">
        <f t="shared" si="108"/>
        <v>224862539.58952689</v>
      </c>
      <c r="Q204" s="2"/>
      <c r="S204" s="2"/>
    </row>
    <row r="205" spans="2:19" x14ac:dyDescent="0.15">
      <c r="B205" s="340" t="s">
        <v>700</v>
      </c>
      <c r="C205" s="12" t="s">
        <v>303</v>
      </c>
      <c r="D205" s="67">
        <f t="shared" si="111"/>
        <v>0</v>
      </c>
      <c r="E205" s="67">
        <f t="shared" si="111"/>
        <v>0</v>
      </c>
      <c r="F205" s="67">
        <f t="shared" si="111"/>
        <v>0</v>
      </c>
      <c r="G205" s="67">
        <f t="shared" si="111"/>
        <v>0</v>
      </c>
      <c r="H205" s="67">
        <f t="shared" si="111"/>
        <v>0</v>
      </c>
      <c r="I205" s="67">
        <f t="shared" si="111"/>
        <v>0</v>
      </c>
      <c r="J205" s="67">
        <f t="shared" si="111"/>
        <v>0</v>
      </c>
      <c r="K205" s="67">
        <f t="shared" si="111"/>
        <v>0</v>
      </c>
      <c r="L205" s="67">
        <f t="shared" si="111"/>
        <v>0</v>
      </c>
      <c r="M205" s="67">
        <f t="shared" si="111"/>
        <v>0</v>
      </c>
      <c r="N205" s="67">
        <f t="shared" si="111"/>
        <v>0</v>
      </c>
      <c r="O205" s="67">
        <v>0</v>
      </c>
      <c r="P205" s="326">
        <f t="shared" si="108"/>
        <v>0</v>
      </c>
      <c r="Q205" s="2"/>
      <c r="S205" s="2"/>
    </row>
    <row r="206" spans="2:19" x14ac:dyDescent="0.15">
      <c r="B206" s="340">
        <v>14</v>
      </c>
      <c r="C206" s="12" t="s">
        <v>304</v>
      </c>
      <c r="D206" s="67">
        <f>D207+D208+D209</f>
        <v>-32550000</v>
      </c>
      <c r="E206" s="67">
        <f t="shared" ref="E206:N206" si="117">E207+E208+E209</f>
        <v>0</v>
      </c>
      <c r="F206" s="67">
        <f t="shared" si="117"/>
        <v>0</v>
      </c>
      <c r="G206" s="67">
        <f t="shared" si="117"/>
        <v>0</v>
      </c>
      <c r="H206" s="67">
        <f t="shared" si="117"/>
        <v>0</v>
      </c>
      <c r="I206" s="67">
        <f t="shared" si="117"/>
        <v>14347035</v>
      </c>
      <c r="J206" s="67">
        <f t="shared" si="117"/>
        <v>0</v>
      </c>
      <c r="K206" s="67">
        <f t="shared" si="117"/>
        <v>0</v>
      </c>
      <c r="L206" s="67">
        <f t="shared" si="117"/>
        <v>0</v>
      </c>
      <c r="M206" s="67">
        <f t="shared" si="117"/>
        <v>0</v>
      </c>
      <c r="N206" s="67">
        <f t="shared" si="117"/>
        <v>0</v>
      </c>
      <c r="O206" s="67">
        <v>0</v>
      </c>
      <c r="P206" s="326">
        <f t="shared" si="108"/>
        <v>14347035</v>
      </c>
      <c r="Q206" s="2"/>
      <c r="S206" s="2"/>
    </row>
    <row r="207" spans="2:19" x14ac:dyDescent="0.15">
      <c r="B207" s="340" t="s">
        <v>701</v>
      </c>
      <c r="C207" s="12" t="s">
        <v>207</v>
      </c>
      <c r="D207" s="67">
        <f t="shared" si="111"/>
        <v>-31050000</v>
      </c>
      <c r="E207" s="67">
        <f t="shared" si="111"/>
        <v>0</v>
      </c>
      <c r="F207" s="67">
        <f t="shared" si="111"/>
        <v>0</v>
      </c>
      <c r="G207" s="67">
        <f t="shared" si="111"/>
        <v>0</v>
      </c>
      <c r="H207" s="67">
        <f t="shared" si="111"/>
        <v>0</v>
      </c>
      <c r="I207" s="67">
        <f t="shared" si="111"/>
        <v>12847035</v>
      </c>
      <c r="J207" s="67">
        <f t="shared" si="111"/>
        <v>0</v>
      </c>
      <c r="K207" s="67">
        <f t="shared" si="111"/>
        <v>0</v>
      </c>
      <c r="L207" s="67">
        <f t="shared" si="111"/>
        <v>0</v>
      </c>
      <c r="M207" s="67">
        <f t="shared" si="111"/>
        <v>0</v>
      </c>
      <c r="N207" s="67">
        <f t="shared" si="111"/>
        <v>0</v>
      </c>
      <c r="O207" s="67">
        <v>0</v>
      </c>
      <c r="P207" s="326">
        <f t="shared" si="108"/>
        <v>12847035</v>
      </c>
      <c r="Q207" s="2"/>
      <c r="S207" s="2"/>
    </row>
    <row r="208" spans="2:19" x14ac:dyDescent="0.15">
      <c r="B208" s="340" t="s">
        <v>702</v>
      </c>
      <c r="C208" s="12" t="s">
        <v>307</v>
      </c>
      <c r="D208" s="67">
        <f t="shared" si="111"/>
        <v>-1500000</v>
      </c>
      <c r="E208" s="67">
        <f t="shared" si="111"/>
        <v>0</v>
      </c>
      <c r="F208" s="67">
        <f t="shared" si="111"/>
        <v>0</v>
      </c>
      <c r="G208" s="67">
        <f t="shared" si="111"/>
        <v>0</v>
      </c>
      <c r="H208" s="67">
        <f t="shared" si="111"/>
        <v>0</v>
      </c>
      <c r="I208" s="67">
        <f t="shared" si="111"/>
        <v>1500000</v>
      </c>
      <c r="J208" s="67">
        <f t="shared" si="111"/>
        <v>0</v>
      </c>
      <c r="K208" s="67">
        <f t="shared" si="111"/>
        <v>0</v>
      </c>
      <c r="L208" s="67">
        <f t="shared" si="111"/>
        <v>0</v>
      </c>
      <c r="M208" s="67">
        <f t="shared" si="111"/>
        <v>0</v>
      </c>
      <c r="N208" s="67">
        <f t="shared" si="111"/>
        <v>0</v>
      </c>
      <c r="O208" s="67">
        <v>0</v>
      </c>
      <c r="P208" s="326">
        <f t="shared" si="108"/>
        <v>1500000</v>
      </c>
      <c r="Q208" s="2"/>
      <c r="S208" s="2"/>
    </row>
    <row r="209" spans="1:19" x14ac:dyDescent="0.15">
      <c r="B209" s="340" t="s">
        <v>703</v>
      </c>
      <c r="C209" s="12" t="s">
        <v>309</v>
      </c>
      <c r="D209" s="67">
        <f t="shared" si="111"/>
        <v>0</v>
      </c>
      <c r="E209" s="67">
        <f t="shared" si="111"/>
        <v>0</v>
      </c>
      <c r="F209" s="67">
        <f t="shared" si="111"/>
        <v>0</v>
      </c>
      <c r="G209" s="67">
        <f t="shared" si="111"/>
        <v>0</v>
      </c>
      <c r="H209" s="67">
        <f t="shared" si="111"/>
        <v>0</v>
      </c>
      <c r="I209" s="67">
        <f t="shared" si="111"/>
        <v>0</v>
      </c>
      <c r="J209" s="67">
        <f t="shared" si="111"/>
        <v>0</v>
      </c>
      <c r="K209" s="67">
        <f t="shared" si="111"/>
        <v>0</v>
      </c>
      <c r="L209" s="67">
        <f t="shared" si="111"/>
        <v>0</v>
      </c>
      <c r="M209" s="67">
        <f t="shared" si="111"/>
        <v>0</v>
      </c>
      <c r="N209" s="67">
        <f t="shared" si="111"/>
        <v>0</v>
      </c>
      <c r="O209" s="67">
        <v>0</v>
      </c>
      <c r="P209" s="326">
        <f t="shared" si="108"/>
        <v>0</v>
      </c>
      <c r="Q209" s="2"/>
      <c r="S209" s="2"/>
    </row>
    <row r="210" spans="1:19" x14ac:dyDescent="0.15">
      <c r="B210" s="340" t="s">
        <v>704</v>
      </c>
      <c r="C210" s="12" t="s">
        <v>311</v>
      </c>
      <c r="D210" s="67">
        <f t="shared" si="111"/>
        <v>0</v>
      </c>
      <c r="E210" s="67">
        <f t="shared" si="111"/>
        <v>0</v>
      </c>
      <c r="F210" s="67">
        <f t="shared" si="111"/>
        <v>0</v>
      </c>
      <c r="G210" s="67">
        <f t="shared" si="111"/>
        <v>0</v>
      </c>
      <c r="H210" s="67">
        <f t="shared" si="111"/>
        <v>0</v>
      </c>
      <c r="I210" s="67">
        <f t="shared" si="111"/>
        <v>-2596968.7000000002</v>
      </c>
      <c r="J210" s="67">
        <f t="shared" si="111"/>
        <v>0</v>
      </c>
      <c r="K210" s="67">
        <f t="shared" si="111"/>
        <v>0</v>
      </c>
      <c r="L210" s="67">
        <f t="shared" si="111"/>
        <v>0</v>
      </c>
      <c r="M210" s="67">
        <f t="shared" si="111"/>
        <v>0</v>
      </c>
      <c r="N210" s="67">
        <f t="shared" si="111"/>
        <v>0</v>
      </c>
      <c r="O210" s="67">
        <v>0</v>
      </c>
      <c r="P210" s="326">
        <f t="shared" si="108"/>
        <v>-2596968.7000000002</v>
      </c>
      <c r="Q210" s="2"/>
      <c r="S210" s="2"/>
    </row>
    <row r="211" spans="1:19" ht="14" thickBot="1" x14ac:dyDescent="0.2">
      <c r="B211" s="340" t="s">
        <v>705</v>
      </c>
      <c r="C211" s="12" t="s">
        <v>115</v>
      </c>
      <c r="D211" s="67">
        <f t="shared" si="111"/>
        <v>-60000000</v>
      </c>
      <c r="E211" s="67">
        <f t="shared" si="111"/>
        <v>0</v>
      </c>
      <c r="F211" s="67">
        <f t="shared" si="111"/>
        <v>0</v>
      </c>
      <c r="G211" s="67">
        <f t="shared" si="111"/>
        <v>0</v>
      </c>
      <c r="H211" s="67">
        <f t="shared" si="111"/>
        <v>0</v>
      </c>
      <c r="I211" s="67">
        <f t="shared" si="111"/>
        <v>60000000</v>
      </c>
      <c r="J211" s="67">
        <f t="shared" si="111"/>
        <v>0</v>
      </c>
      <c r="K211" s="67">
        <f t="shared" si="111"/>
        <v>0</v>
      </c>
      <c r="L211" s="67">
        <f t="shared" si="111"/>
        <v>0</v>
      </c>
      <c r="M211" s="67">
        <f t="shared" si="111"/>
        <v>0</v>
      </c>
      <c r="N211" s="67">
        <f t="shared" si="111"/>
        <v>0</v>
      </c>
      <c r="O211" s="67">
        <v>0</v>
      </c>
      <c r="P211" s="326">
        <f t="shared" si="108"/>
        <v>60000000</v>
      </c>
      <c r="Q211" s="2"/>
      <c r="S211" s="2"/>
    </row>
    <row r="212" spans="1:19" x14ac:dyDescent="0.15">
      <c r="B212" s="340">
        <v>17</v>
      </c>
      <c r="C212" s="12" t="s">
        <v>313</v>
      </c>
      <c r="D212" s="67">
        <f>D205+D206+D210+D211</f>
        <v>-92550000</v>
      </c>
      <c r="E212" s="67">
        <f t="shared" ref="E212:N212" si="118">E205+E206+E210+E211</f>
        <v>0</v>
      </c>
      <c r="F212" s="67">
        <f t="shared" si="118"/>
        <v>0</v>
      </c>
      <c r="G212" s="67">
        <f t="shared" si="118"/>
        <v>0</v>
      </c>
      <c r="H212" s="67">
        <f t="shared" si="118"/>
        <v>0</v>
      </c>
      <c r="I212" s="67">
        <f t="shared" si="118"/>
        <v>71750066.299999997</v>
      </c>
      <c r="J212" s="67">
        <f t="shared" si="118"/>
        <v>0</v>
      </c>
      <c r="K212" s="67">
        <f t="shared" si="118"/>
        <v>0</v>
      </c>
      <c r="L212" s="67">
        <f t="shared" si="118"/>
        <v>0</v>
      </c>
      <c r="M212" s="67">
        <f t="shared" si="118"/>
        <v>0</v>
      </c>
      <c r="N212" s="67">
        <f t="shared" si="118"/>
        <v>0</v>
      </c>
      <c r="O212" s="67">
        <v>0</v>
      </c>
      <c r="P212" s="326">
        <f t="shared" si="108"/>
        <v>71750066.299999997</v>
      </c>
      <c r="Q212" s="461"/>
      <c r="R212" s="357" t="s">
        <v>693</v>
      </c>
      <c r="S212" s="2"/>
    </row>
    <row r="213" spans="1:19" ht="14" thickBot="1" x14ac:dyDescent="0.2">
      <c r="A213" s="1" t="s">
        <v>709</v>
      </c>
      <c r="B213" s="355">
        <v>18</v>
      </c>
      <c r="C213" s="335" t="s">
        <v>314</v>
      </c>
      <c r="D213" s="67">
        <f>D204+D212</f>
        <v>-92550000</v>
      </c>
      <c r="E213" s="67">
        <f t="shared" ref="E213:N213" si="119">E204+E212</f>
        <v>60512750</v>
      </c>
      <c r="F213" s="67">
        <f t="shared" si="119"/>
        <v>55175292.500000022</v>
      </c>
      <c r="G213" s="67">
        <f t="shared" si="119"/>
        <v>46908454.58412499</v>
      </c>
      <c r="H213" s="67">
        <f t="shared" si="119"/>
        <v>37093601.019990429</v>
      </c>
      <c r="I213" s="67">
        <f t="shared" si="119"/>
        <v>96922507.785411477</v>
      </c>
      <c r="J213" s="67">
        <f t="shared" si="119"/>
        <v>0</v>
      </c>
      <c r="K213" s="67">
        <f t="shared" si="119"/>
        <v>0</v>
      </c>
      <c r="L213" s="67">
        <f t="shared" si="119"/>
        <v>0</v>
      </c>
      <c r="M213" s="67">
        <f t="shared" si="119"/>
        <v>0</v>
      </c>
      <c r="N213" s="67">
        <f t="shared" si="119"/>
        <v>0</v>
      </c>
      <c r="O213" s="331">
        <v>0</v>
      </c>
      <c r="P213" s="356">
        <f t="shared" si="108"/>
        <v>296612605.8895269</v>
      </c>
      <c r="Q213" s="463"/>
      <c r="R213" s="358">
        <f>IF(ISNUMBER(IRR(D213:N213)),IRR(D213:N213),"NMF")</f>
        <v>0.54477962297697968</v>
      </c>
      <c r="S213" s="1" t="s">
        <v>709</v>
      </c>
    </row>
    <row r="214" spans="1:19" x14ac:dyDescent="0.15">
      <c r="S214" s="2"/>
    </row>
    <row r="215" spans="1:19" ht="14" thickBot="1" x14ac:dyDescent="0.2">
      <c r="S215" s="2"/>
    </row>
    <row r="216" spans="1:19" ht="14" thickBot="1" x14ac:dyDescent="0.2">
      <c r="B216" s="359" t="s">
        <v>282</v>
      </c>
      <c r="C216" s="360" t="s">
        <v>283</v>
      </c>
      <c r="D216" s="360"/>
      <c r="E216" s="360">
        <v>1</v>
      </c>
      <c r="F216" s="360">
        <v>2</v>
      </c>
      <c r="G216" s="360">
        <v>3</v>
      </c>
      <c r="H216" s="360">
        <v>4</v>
      </c>
      <c r="I216" s="360">
        <v>5</v>
      </c>
      <c r="J216" s="360">
        <v>6</v>
      </c>
      <c r="K216" s="360">
        <v>7</v>
      </c>
      <c r="L216" s="360">
        <v>8</v>
      </c>
      <c r="M216" s="360">
        <v>9</v>
      </c>
      <c r="N216" s="360">
        <v>10</v>
      </c>
      <c r="O216" s="360" t="s">
        <v>284</v>
      </c>
      <c r="P216" s="361" t="s">
        <v>285</v>
      </c>
      <c r="S216" s="2"/>
    </row>
    <row r="217" spans="1:19" x14ac:dyDescent="0.15">
      <c r="B217" s="339" t="s">
        <v>687</v>
      </c>
      <c r="C217" s="302" t="s">
        <v>287</v>
      </c>
      <c r="D217" s="322">
        <f t="shared" ref="D217:D222" si="120">D158</f>
        <v>0</v>
      </c>
      <c r="E217" s="322">
        <f t="shared" ref="E217:N217" si="121">E158</f>
        <v>300000000</v>
      </c>
      <c r="F217" s="322">
        <f t="shared" si="121"/>
        <v>313500000.00000006</v>
      </c>
      <c r="G217" s="322">
        <f t="shared" si="121"/>
        <v>327607500.00000006</v>
      </c>
      <c r="H217" s="322">
        <f t="shared" si="121"/>
        <v>342349837.50000012</v>
      </c>
      <c r="I217" s="322">
        <f t="shared" si="121"/>
        <v>357755580.18750012</v>
      </c>
      <c r="J217" s="322">
        <f t="shared" si="121"/>
        <v>0</v>
      </c>
      <c r="K217" s="322">
        <f t="shared" si="121"/>
        <v>0</v>
      </c>
      <c r="L217" s="322">
        <f t="shared" si="121"/>
        <v>0</v>
      </c>
      <c r="M217" s="322">
        <f t="shared" si="121"/>
        <v>0</v>
      </c>
      <c r="N217" s="322">
        <f t="shared" si="121"/>
        <v>0</v>
      </c>
      <c r="O217" s="322">
        <v>0</v>
      </c>
      <c r="P217" s="325">
        <f>SUM(E217:N217)</f>
        <v>1641212917.6875</v>
      </c>
      <c r="Q217" s="2"/>
      <c r="S217" s="2"/>
    </row>
    <row r="218" spans="1:19" x14ac:dyDescent="0.15">
      <c r="A218" s="1" t="s">
        <v>710</v>
      </c>
      <c r="B218" s="355" t="s">
        <v>689</v>
      </c>
      <c r="C218" s="362" t="s">
        <v>689</v>
      </c>
      <c r="D218" s="331">
        <f t="shared" si="120"/>
        <v>0</v>
      </c>
      <c r="E218" s="331">
        <f>E159*1.1</f>
        <v>330000000</v>
      </c>
      <c r="F218" s="331">
        <f t="shared" ref="F218:N218" si="122">F159*1.1</f>
        <v>344850000.00000012</v>
      </c>
      <c r="G218" s="331">
        <f t="shared" si="122"/>
        <v>360368250.00000012</v>
      </c>
      <c r="H218" s="331">
        <f t="shared" si="122"/>
        <v>376584821.25000018</v>
      </c>
      <c r="I218" s="331">
        <f t="shared" si="122"/>
        <v>393531138.20625019</v>
      </c>
      <c r="J218" s="331">
        <f t="shared" si="122"/>
        <v>0</v>
      </c>
      <c r="K218" s="331">
        <f t="shared" si="122"/>
        <v>0</v>
      </c>
      <c r="L218" s="331">
        <f t="shared" si="122"/>
        <v>0</v>
      </c>
      <c r="M218" s="331">
        <f t="shared" si="122"/>
        <v>0</v>
      </c>
      <c r="N218" s="331">
        <f t="shared" si="122"/>
        <v>0</v>
      </c>
      <c r="O218" s="331"/>
      <c r="P218" s="356">
        <f>SUM(E218:N218)</f>
        <v>1805334209.4562507</v>
      </c>
      <c r="Q218" s="460"/>
      <c r="S218" s="2"/>
    </row>
    <row r="219" spans="1:19" x14ac:dyDescent="0.15">
      <c r="B219" s="340" t="s">
        <v>690</v>
      </c>
      <c r="C219" s="354" t="s">
        <v>690</v>
      </c>
      <c r="D219" s="67">
        <f t="shared" si="120"/>
        <v>0</v>
      </c>
      <c r="E219" s="67">
        <f t="shared" ref="E219:N219" si="123">E160</f>
        <v>0</v>
      </c>
      <c r="F219" s="67">
        <f t="shared" si="123"/>
        <v>0</v>
      </c>
      <c r="G219" s="67">
        <f t="shared" si="123"/>
        <v>0</v>
      </c>
      <c r="H219" s="67">
        <f t="shared" si="123"/>
        <v>0</v>
      </c>
      <c r="I219" s="67">
        <f t="shared" si="123"/>
        <v>0</v>
      </c>
      <c r="J219" s="67">
        <f t="shared" si="123"/>
        <v>0</v>
      </c>
      <c r="K219" s="67">
        <f t="shared" si="123"/>
        <v>0</v>
      </c>
      <c r="L219" s="67">
        <f t="shared" si="123"/>
        <v>0</v>
      </c>
      <c r="M219" s="67">
        <f t="shared" si="123"/>
        <v>0</v>
      </c>
      <c r="N219" s="67">
        <f t="shared" si="123"/>
        <v>0</v>
      </c>
      <c r="O219" s="289"/>
      <c r="P219" s="326">
        <f>SUM(E219:N219)</f>
        <v>0</v>
      </c>
      <c r="Q219" s="2"/>
      <c r="S219" s="2"/>
    </row>
    <row r="220" spans="1:19" x14ac:dyDescent="0.15">
      <c r="B220" s="340" t="s">
        <v>691</v>
      </c>
      <c r="C220" s="354" t="s">
        <v>691</v>
      </c>
      <c r="D220" s="67">
        <f t="shared" si="120"/>
        <v>0</v>
      </c>
      <c r="E220" s="67">
        <f t="shared" ref="E220:N220" si="124">E161</f>
        <v>0</v>
      </c>
      <c r="F220" s="67">
        <f t="shared" si="124"/>
        <v>0</v>
      </c>
      <c r="G220" s="67">
        <f t="shared" si="124"/>
        <v>0</v>
      </c>
      <c r="H220" s="67">
        <f t="shared" si="124"/>
        <v>0</v>
      </c>
      <c r="I220" s="67">
        <f t="shared" si="124"/>
        <v>0</v>
      </c>
      <c r="J220" s="67">
        <f t="shared" si="124"/>
        <v>0</v>
      </c>
      <c r="K220" s="67">
        <f t="shared" si="124"/>
        <v>0</v>
      </c>
      <c r="L220" s="67">
        <f t="shared" si="124"/>
        <v>0</v>
      </c>
      <c r="M220" s="67">
        <f t="shared" si="124"/>
        <v>0</v>
      </c>
      <c r="N220" s="67">
        <f t="shared" si="124"/>
        <v>0</v>
      </c>
      <c r="O220" s="67"/>
      <c r="P220" s="326">
        <f>SUM(E220:N220)</f>
        <v>0</v>
      </c>
      <c r="Q220" s="2"/>
      <c r="S220" s="2"/>
    </row>
    <row r="221" spans="1:19" x14ac:dyDescent="0.15">
      <c r="B221" s="340" t="s">
        <v>695</v>
      </c>
      <c r="C221" s="12"/>
      <c r="D221" s="67">
        <f t="shared" si="120"/>
        <v>0</v>
      </c>
      <c r="E221" s="67">
        <f>E218+E219+E220</f>
        <v>330000000</v>
      </c>
      <c r="F221" s="67">
        <f t="shared" ref="F221:N221" si="125">F218+F219+F220</f>
        <v>344850000.00000012</v>
      </c>
      <c r="G221" s="67">
        <f t="shared" si="125"/>
        <v>360368250.00000012</v>
      </c>
      <c r="H221" s="67">
        <f t="shared" si="125"/>
        <v>376584821.25000018</v>
      </c>
      <c r="I221" s="67">
        <f t="shared" si="125"/>
        <v>393531138.20625019</v>
      </c>
      <c r="J221" s="67">
        <f t="shared" si="125"/>
        <v>0</v>
      </c>
      <c r="K221" s="67">
        <f t="shared" si="125"/>
        <v>0</v>
      </c>
      <c r="L221" s="67">
        <f t="shared" si="125"/>
        <v>0</v>
      </c>
      <c r="M221" s="67">
        <f t="shared" si="125"/>
        <v>0</v>
      </c>
      <c r="N221" s="67">
        <f t="shared" si="125"/>
        <v>0</v>
      </c>
      <c r="O221" s="67"/>
      <c r="P221" s="326">
        <f t="shared" ref="P221:P241" si="126">SUM(E221:N221)</f>
        <v>1805334209.4562507</v>
      </c>
      <c r="Q221" s="2"/>
      <c r="S221" s="2"/>
    </row>
    <row r="222" spans="1:19" x14ac:dyDescent="0.15">
      <c r="B222" s="340" t="s">
        <v>696</v>
      </c>
      <c r="C222" s="12" t="s">
        <v>289</v>
      </c>
      <c r="D222" s="67">
        <f t="shared" si="120"/>
        <v>0</v>
      </c>
      <c r="E222" s="67">
        <f t="shared" ref="E222:N222" si="127">E163</f>
        <v>230170000</v>
      </c>
      <c r="F222" s="67">
        <f t="shared" si="127"/>
        <v>253018375.00000003</v>
      </c>
      <c r="G222" s="67">
        <f t="shared" si="127"/>
        <v>278725718.45125008</v>
      </c>
      <c r="H222" s="67">
        <f t="shared" si="127"/>
        <v>307665975.06072807</v>
      </c>
      <c r="I222" s="67">
        <f t="shared" si="127"/>
        <v>340262566.36057305</v>
      </c>
      <c r="J222" s="67">
        <f t="shared" si="127"/>
        <v>0</v>
      </c>
      <c r="K222" s="67">
        <f t="shared" si="127"/>
        <v>0</v>
      </c>
      <c r="L222" s="67">
        <f t="shared" si="127"/>
        <v>0</v>
      </c>
      <c r="M222" s="67">
        <f t="shared" si="127"/>
        <v>0</v>
      </c>
      <c r="N222" s="67">
        <f t="shared" si="127"/>
        <v>0</v>
      </c>
      <c r="O222" s="67">
        <v>0</v>
      </c>
      <c r="P222" s="326">
        <f t="shared" si="126"/>
        <v>1409842634.8725512</v>
      </c>
      <c r="Q222" s="2"/>
      <c r="S222" s="2"/>
    </row>
    <row r="223" spans="1:19" x14ac:dyDescent="0.15">
      <c r="B223" s="340">
        <v>3</v>
      </c>
      <c r="C223" s="12" t="s">
        <v>290</v>
      </c>
      <c r="D223" s="67">
        <f>D221-D222</f>
        <v>0</v>
      </c>
      <c r="E223" s="67">
        <f t="shared" ref="E223:N223" si="128">E221-E222</f>
        <v>99830000</v>
      </c>
      <c r="F223" s="67">
        <f t="shared" si="128"/>
        <v>91831625.000000089</v>
      </c>
      <c r="G223" s="67">
        <f t="shared" si="128"/>
        <v>81642531.548750043</v>
      </c>
      <c r="H223" s="67">
        <f t="shared" si="128"/>
        <v>68918846.189272106</v>
      </c>
      <c r="I223" s="67">
        <f t="shared" si="128"/>
        <v>53268571.845677137</v>
      </c>
      <c r="J223" s="67">
        <f t="shared" si="128"/>
        <v>0</v>
      </c>
      <c r="K223" s="67">
        <f t="shared" si="128"/>
        <v>0</v>
      </c>
      <c r="L223" s="67">
        <f t="shared" si="128"/>
        <v>0</v>
      </c>
      <c r="M223" s="67">
        <f t="shared" si="128"/>
        <v>0</v>
      </c>
      <c r="N223" s="67">
        <f t="shared" si="128"/>
        <v>0</v>
      </c>
      <c r="O223" s="67">
        <v>0</v>
      </c>
      <c r="P223" s="326">
        <f t="shared" si="126"/>
        <v>395491574.58369941</v>
      </c>
      <c r="Q223" s="2"/>
      <c r="S223" s="2"/>
    </row>
    <row r="224" spans="1:19" x14ac:dyDescent="0.15">
      <c r="B224" s="340" t="s">
        <v>697</v>
      </c>
      <c r="C224" s="12" t="s">
        <v>292</v>
      </c>
      <c r="D224" s="67">
        <f t="shared" ref="D224:N239" si="129">D165</f>
        <v>0</v>
      </c>
      <c r="E224" s="67">
        <f t="shared" si="129"/>
        <v>3772500</v>
      </c>
      <c r="F224" s="67">
        <f t="shared" si="129"/>
        <v>6218850</v>
      </c>
      <c r="G224" s="67">
        <f t="shared" si="129"/>
        <v>4083150</v>
      </c>
      <c r="H224" s="67">
        <f t="shared" si="129"/>
        <v>2775510</v>
      </c>
      <c r="I224" s="67">
        <f t="shared" si="129"/>
        <v>1352955</v>
      </c>
      <c r="J224" s="67">
        <f t="shared" si="129"/>
        <v>0</v>
      </c>
      <c r="K224" s="67">
        <f t="shared" si="129"/>
        <v>0</v>
      </c>
      <c r="L224" s="67">
        <f t="shared" si="129"/>
        <v>0</v>
      </c>
      <c r="M224" s="67">
        <f t="shared" si="129"/>
        <v>0</v>
      </c>
      <c r="N224" s="67">
        <f t="shared" si="129"/>
        <v>0</v>
      </c>
      <c r="O224" s="67">
        <v>0</v>
      </c>
      <c r="P224" s="326">
        <f t="shared" si="126"/>
        <v>18202965</v>
      </c>
      <c r="Q224" s="2"/>
      <c r="S224" s="2"/>
    </row>
    <row r="225" spans="2:19" x14ac:dyDescent="0.15">
      <c r="B225" s="340">
        <v>5</v>
      </c>
      <c r="C225" s="12" t="s">
        <v>293</v>
      </c>
      <c r="D225" s="67">
        <f>D223-D224</f>
        <v>0</v>
      </c>
      <c r="E225" s="67">
        <f t="shared" ref="E225:N225" si="130">E223-E224</f>
        <v>96057500</v>
      </c>
      <c r="F225" s="67">
        <f t="shared" si="130"/>
        <v>85612775.000000089</v>
      </c>
      <c r="G225" s="67">
        <f t="shared" si="130"/>
        <v>77559381.548750043</v>
      </c>
      <c r="H225" s="67">
        <f t="shared" si="130"/>
        <v>66143336.189272106</v>
      </c>
      <c r="I225" s="67">
        <f t="shared" si="130"/>
        <v>51915616.845677137</v>
      </c>
      <c r="J225" s="67">
        <f t="shared" si="130"/>
        <v>0</v>
      </c>
      <c r="K225" s="67">
        <f t="shared" si="130"/>
        <v>0</v>
      </c>
      <c r="L225" s="67">
        <f t="shared" si="130"/>
        <v>0</v>
      </c>
      <c r="M225" s="67">
        <f t="shared" si="130"/>
        <v>0</v>
      </c>
      <c r="N225" s="67">
        <f t="shared" si="130"/>
        <v>0</v>
      </c>
      <c r="O225" s="67">
        <v>0</v>
      </c>
      <c r="P225" s="326">
        <f t="shared" si="126"/>
        <v>377288609.58369935</v>
      </c>
      <c r="Q225" s="2"/>
      <c r="S225" s="2"/>
    </row>
    <row r="226" spans="2:19" x14ac:dyDescent="0.15">
      <c r="B226" s="340" t="s">
        <v>698</v>
      </c>
      <c r="C226" s="12" t="s">
        <v>295</v>
      </c>
      <c r="D226" s="67">
        <f t="shared" si="129"/>
        <v>0</v>
      </c>
      <c r="E226" s="67">
        <f t="shared" si="129"/>
        <v>0</v>
      </c>
      <c r="F226" s="67">
        <f t="shared" si="129"/>
        <v>0</v>
      </c>
      <c r="G226" s="67">
        <f t="shared" si="129"/>
        <v>0</v>
      </c>
      <c r="H226" s="67">
        <f t="shared" si="129"/>
        <v>0</v>
      </c>
      <c r="I226" s="67">
        <f t="shared" si="129"/>
        <v>0</v>
      </c>
      <c r="J226" s="67">
        <f t="shared" si="129"/>
        <v>0</v>
      </c>
      <c r="K226" s="67">
        <f t="shared" si="129"/>
        <v>0</v>
      </c>
      <c r="L226" s="67">
        <f t="shared" si="129"/>
        <v>0</v>
      </c>
      <c r="M226" s="67">
        <f t="shared" si="129"/>
        <v>0</v>
      </c>
      <c r="N226" s="67">
        <f t="shared" si="129"/>
        <v>0</v>
      </c>
      <c r="O226" s="67">
        <v>0</v>
      </c>
      <c r="P226" s="326">
        <f t="shared" si="126"/>
        <v>0</v>
      </c>
      <c r="Q226" s="2"/>
      <c r="S226" s="2"/>
    </row>
    <row r="227" spans="2:19" x14ac:dyDescent="0.15">
      <c r="B227" s="340">
        <v>7</v>
      </c>
      <c r="C227" s="12" t="s">
        <v>296</v>
      </c>
      <c r="D227" s="67">
        <f>D225-D226</f>
        <v>0</v>
      </c>
      <c r="E227" s="67">
        <f t="shared" ref="E227:N227" si="131">E225-E226</f>
        <v>96057500</v>
      </c>
      <c r="F227" s="67">
        <f t="shared" si="131"/>
        <v>85612775.000000089</v>
      </c>
      <c r="G227" s="67">
        <f t="shared" si="131"/>
        <v>77559381.548750043</v>
      </c>
      <c r="H227" s="67">
        <f t="shared" si="131"/>
        <v>66143336.189272106</v>
      </c>
      <c r="I227" s="67">
        <f t="shared" si="131"/>
        <v>51915616.845677137</v>
      </c>
      <c r="J227" s="67">
        <f t="shared" si="131"/>
        <v>0</v>
      </c>
      <c r="K227" s="67">
        <f t="shared" si="131"/>
        <v>0</v>
      </c>
      <c r="L227" s="67">
        <f t="shared" si="131"/>
        <v>0</v>
      </c>
      <c r="M227" s="67">
        <f t="shared" si="131"/>
        <v>0</v>
      </c>
      <c r="N227" s="67">
        <f t="shared" si="131"/>
        <v>0</v>
      </c>
      <c r="O227" s="67">
        <v>0</v>
      </c>
      <c r="P227" s="326">
        <f t="shared" si="126"/>
        <v>377288609.58369935</v>
      </c>
      <c r="Q227" s="2"/>
      <c r="S227" s="2"/>
    </row>
    <row r="228" spans="2:19" x14ac:dyDescent="0.15">
      <c r="B228" s="340">
        <v>8</v>
      </c>
      <c r="C228" s="12" t="s">
        <v>297</v>
      </c>
      <c r="D228" s="67">
        <f>-D227*$D$3</f>
        <v>0</v>
      </c>
      <c r="E228" s="67">
        <f t="shared" ref="E228:N228" si="132">-E227*$D$3</f>
        <v>-28817250</v>
      </c>
      <c r="F228" s="67">
        <f t="shared" si="132"/>
        <v>-25683832.500000026</v>
      </c>
      <c r="G228" s="67">
        <f t="shared" si="132"/>
        <v>-23267814.464625012</v>
      </c>
      <c r="H228" s="67">
        <f t="shared" si="132"/>
        <v>-19843000.856781632</v>
      </c>
      <c r="I228" s="67">
        <f t="shared" si="132"/>
        <v>-15574685.05370314</v>
      </c>
      <c r="J228" s="67">
        <f t="shared" si="132"/>
        <v>0</v>
      </c>
      <c r="K228" s="67">
        <f t="shared" si="132"/>
        <v>0</v>
      </c>
      <c r="L228" s="67">
        <f t="shared" si="132"/>
        <v>0</v>
      </c>
      <c r="M228" s="67">
        <f t="shared" si="132"/>
        <v>0</v>
      </c>
      <c r="N228" s="67">
        <f t="shared" si="132"/>
        <v>0</v>
      </c>
      <c r="O228" s="67">
        <v>0</v>
      </c>
      <c r="P228" s="326">
        <f t="shared" si="126"/>
        <v>-113186582.87510982</v>
      </c>
      <c r="Q228" s="2"/>
      <c r="S228" s="2"/>
    </row>
    <row r="229" spans="2:19" x14ac:dyDescent="0.15">
      <c r="B229" s="340">
        <v>9</v>
      </c>
      <c r="C229" s="12" t="s">
        <v>298</v>
      </c>
      <c r="D229" s="67">
        <f>-D228*D3</f>
        <v>0</v>
      </c>
      <c r="E229" s="67">
        <f t="shared" si="129"/>
        <v>0</v>
      </c>
      <c r="F229" s="67">
        <f t="shared" si="129"/>
        <v>0</v>
      </c>
      <c r="G229" s="67">
        <f t="shared" si="129"/>
        <v>0</v>
      </c>
      <c r="H229" s="67">
        <f t="shared" si="129"/>
        <v>0</v>
      </c>
      <c r="I229" s="67">
        <f t="shared" si="129"/>
        <v>0</v>
      </c>
      <c r="J229" s="67">
        <f t="shared" si="129"/>
        <v>0</v>
      </c>
      <c r="K229" s="67">
        <f t="shared" si="129"/>
        <v>0</v>
      </c>
      <c r="L229" s="67">
        <f t="shared" si="129"/>
        <v>0</v>
      </c>
      <c r="M229" s="67">
        <f t="shared" si="129"/>
        <v>0</v>
      </c>
      <c r="N229" s="67">
        <f t="shared" si="129"/>
        <v>0</v>
      </c>
      <c r="O229" s="67">
        <v>0</v>
      </c>
      <c r="P229" s="326">
        <f t="shared" si="126"/>
        <v>0</v>
      </c>
      <c r="Q229" s="2"/>
      <c r="S229" s="2"/>
    </row>
    <row r="230" spans="2:19" x14ac:dyDescent="0.15">
      <c r="B230" s="340">
        <v>10</v>
      </c>
      <c r="C230" s="12" t="s">
        <v>299</v>
      </c>
      <c r="D230" s="67">
        <f>D227+D228+D229</f>
        <v>0</v>
      </c>
      <c r="E230" s="67">
        <f t="shared" ref="E230:N230" si="133">E227+E228+E229</f>
        <v>67240250</v>
      </c>
      <c r="F230" s="67">
        <f t="shared" si="133"/>
        <v>59928942.50000006</v>
      </c>
      <c r="G230" s="67">
        <f t="shared" si="133"/>
        <v>54291567.084125027</v>
      </c>
      <c r="H230" s="67">
        <f t="shared" si="133"/>
        <v>46300335.332490474</v>
      </c>
      <c r="I230" s="67">
        <f t="shared" si="133"/>
        <v>36340931.791973993</v>
      </c>
      <c r="J230" s="67">
        <f t="shared" si="133"/>
        <v>0</v>
      </c>
      <c r="K230" s="67">
        <f t="shared" si="133"/>
        <v>0</v>
      </c>
      <c r="L230" s="67">
        <f t="shared" si="133"/>
        <v>0</v>
      </c>
      <c r="M230" s="67">
        <f t="shared" si="133"/>
        <v>0</v>
      </c>
      <c r="N230" s="67">
        <f t="shared" si="133"/>
        <v>0</v>
      </c>
      <c r="O230" s="67">
        <v>0</v>
      </c>
      <c r="P230" s="326">
        <f t="shared" si="126"/>
        <v>264102026.70858955</v>
      </c>
      <c r="Q230" s="2"/>
      <c r="S230" s="2"/>
    </row>
    <row r="231" spans="2:19" x14ac:dyDescent="0.15">
      <c r="B231" s="340" t="s">
        <v>699</v>
      </c>
      <c r="C231" s="12" t="s">
        <v>292</v>
      </c>
      <c r="D231" s="67">
        <f t="shared" si="129"/>
        <v>0</v>
      </c>
      <c r="E231" s="67">
        <f t="shared" si="129"/>
        <v>3772500</v>
      </c>
      <c r="F231" s="67">
        <f t="shared" si="129"/>
        <v>6218850</v>
      </c>
      <c r="G231" s="67">
        <f t="shared" si="129"/>
        <v>4083150</v>
      </c>
      <c r="H231" s="67">
        <f t="shared" si="129"/>
        <v>2775510</v>
      </c>
      <c r="I231" s="67">
        <f t="shared" si="129"/>
        <v>1352955</v>
      </c>
      <c r="J231" s="67">
        <f t="shared" si="129"/>
        <v>0</v>
      </c>
      <c r="K231" s="67">
        <f t="shared" si="129"/>
        <v>0</v>
      </c>
      <c r="L231" s="67">
        <f t="shared" si="129"/>
        <v>0</v>
      </c>
      <c r="M231" s="67">
        <f t="shared" si="129"/>
        <v>0</v>
      </c>
      <c r="N231" s="67">
        <f t="shared" si="129"/>
        <v>0</v>
      </c>
      <c r="O231" s="67">
        <v>0</v>
      </c>
      <c r="P231" s="326">
        <f t="shared" si="126"/>
        <v>18202965</v>
      </c>
      <c r="Q231" s="2"/>
      <c r="S231" s="2"/>
    </row>
    <row r="232" spans="2:19" x14ac:dyDescent="0.15">
      <c r="B232" s="340">
        <v>12</v>
      </c>
      <c r="C232" s="12" t="s">
        <v>301</v>
      </c>
      <c r="D232" s="67">
        <f>D230+D231</f>
        <v>0</v>
      </c>
      <c r="E232" s="67">
        <f t="shared" ref="E232:N232" si="134">E230+E231</f>
        <v>71012750</v>
      </c>
      <c r="F232" s="67">
        <f t="shared" si="134"/>
        <v>66147792.50000006</v>
      </c>
      <c r="G232" s="67">
        <f t="shared" si="134"/>
        <v>58374717.084125027</v>
      </c>
      <c r="H232" s="67">
        <f t="shared" si="134"/>
        <v>49075845.332490474</v>
      </c>
      <c r="I232" s="67">
        <f t="shared" si="134"/>
        <v>37693886.791973993</v>
      </c>
      <c r="J232" s="67">
        <f t="shared" si="134"/>
        <v>0</v>
      </c>
      <c r="K232" s="67">
        <f t="shared" si="134"/>
        <v>0</v>
      </c>
      <c r="L232" s="67">
        <f t="shared" si="134"/>
        <v>0</v>
      </c>
      <c r="M232" s="67">
        <f t="shared" si="134"/>
        <v>0</v>
      </c>
      <c r="N232" s="67">
        <f t="shared" si="134"/>
        <v>0</v>
      </c>
      <c r="O232" s="67">
        <v>0</v>
      </c>
      <c r="P232" s="326">
        <f t="shared" si="126"/>
        <v>282304991.70858955</v>
      </c>
      <c r="Q232" s="2"/>
      <c r="S232" s="2"/>
    </row>
    <row r="233" spans="2:19" x14ac:dyDescent="0.15">
      <c r="B233" s="340" t="s">
        <v>700</v>
      </c>
      <c r="C233" s="12" t="s">
        <v>303</v>
      </c>
      <c r="D233" s="67">
        <f t="shared" si="129"/>
        <v>0</v>
      </c>
      <c r="E233" s="67">
        <f t="shared" si="129"/>
        <v>0</v>
      </c>
      <c r="F233" s="67">
        <f t="shared" si="129"/>
        <v>0</v>
      </c>
      <c r="G233" s="67">
        <f t="shared" si="129"/>
        <v>0</v>
      </c>
      <c r="H233" s="67">
        <f t="shared" si="129"/>
        <v>0</v>
      </c>
      <c r="I233" s="67">
        <f t="shared" si="129"/>
        <v>0</v>
      </c>
      <c r="J233" s="67">
        <f t="shared" si="129"/>
        <v>0</v>
      </c>
      <c r="K233" s="67">
        <f t="shared" si="129"/>
        <v>0</v>
      </c>
      <c r="L233" s="67">
        <f t="shared" si="129"/>
        <v>0</v>
      </c>
      <c r="M233" s="67">
        <f t="shared" si="129"/>
        <v>0</v>
      </c>
      <c r="N233" s="67">
        <f t="shared" si="129"/>
        <v>0</v>
      </c>
      <c r="O233" s="67">
        <v>0</v>
      </c>
      <c r="P233" s="326">
        <f t="shared" si="126"/>
        <v>0</v>
      </c>
      <c r="Q233" s="2"/>
      <c r="S233" s="2"/>
    </row>
    <row r="234" spans="2:19" x14ac:dyDescent="0.15">
      <c r="B234" s="340">
        <v>14</v>
      </c>
      <c r="C234" s="12" t="s">
        <v>304</v>
      </c>
      <c r="D234" s="67">
        <f>D235+D236+D237</f>
        <v>-32550000</v>
      </c>
      <c r="E234" s="67">
        <f t="shared" ref="E234:N234" si="135">E235+E236+E237</f>
        <v>0</v>
      </c>
      <c r="F234" s="67">
        <f t="shared" si="135"/>
        <v>0</v>
      </c>
      <c r="G234" s="67">
        <f t="shared" si="135"/>
        <v>0</v>
      </c>
      <c r="H234" s="67">
        <f t="shared" si="135"/>
        <v>0</v>
      </c>
      <c r="I234" s="67">
        <f t="shared" si="135"/>
        <v>14347035</v>
      </c>
      <c r="J234" s="67">
        <f t="shared" si="135"/>
        <v>0</v>
      </c>
      <c r="K234" s="67">
        <f t="shared" si="135"/>
        <v>0</v>
      </c>
      <c r="L234" s="67">
        <f t="shared" si="135"/>
        <v>0</v>
      </c>
      <c r="M234" s="67">
        <f t="shared" si="135"/>
        <v>0</v>
      </c>
      <c r="N234" s="67">
        <f t="shared" si="135"/>
        <v>0</v>
      </c>
      <c r="O234" s="67">
        <v>0</v>
      </c>
      <c r="P234" s="326">
        <f t="shared" si="126"/>
        <v>14347035</v>
      </c>
      <c r="Q234" s="2"/>
      <c r="S234" s="2"/>
    </row>
    <row r="235" spans="2:19" x14ac:dyDescent="0.15">
      <c r="B235" s="340" t="s">
        <v>701</v>
      </c>
      <c r="C235" s="12" t="s">
        <v>207</v>
      </c>
      <c r="D235" s="67">
        <f t="shared" si="129"/>
        <v>-31050000</v>
      </c>
      <c r="E235" s="67">
        <f t="shared" si="129"/>
        <v>0</v>
      </c>
      <c r="F235" s="67">
        <f t="shared" si="129"/>
        <v>0</v>
      </c>
      <c r="G235" s="67">
        <f t="shared" si="129"/>
        <v>0</v>
      </c>
      <c r="H235" s="67">
        <f t="shared" si="129"/>
        <v>0</v>
      </c>
      <c r="I235" s="67">
        <f t="shared" si="129"/>
        <v>12847035</v>
      </c>
      <c r="J235" s="67">
        <f t="shared" si="129"/>
        <v>0</v>
      </c>
      <c r="K235" s="67">
        <f t="shared" si="129"/>
        <v>0</v>
      </c>
      <c r="L235" s="67">
        <f t="shared" si="129"/>
        <v>0</v>
      </c>
      <c r="M235" s="67">
        <f t="shared" si="129"/>
        <v>0</v>
      </c>
      <c r="N235" s="67">
        <f t="shared" si="129"/>
        <v>0</v>
      </c>
      <c r="O235" s="67">
        <v>0</v>
      </c>
      <c r="P235" s="326">
        <f t="shared" si="126"/>
        <v>12847035</v>
      </c>
      <c r="Q235" s="2"/>
      <c r="S235" s="2"/>
    </row>
    <row r="236" spans="2:19" x14ac:dyDescent="0.15">
      <c r="B236" s="340" t="s">
        <v>702</v>
      </c>
      <c r="C236" s="12" t="s">
        <v>307</v>
      </c>
      <c r="D236" s="67">
        <f t="shared" si="129"/>
        <v>-1500000</v>
      </c>
      <c r="E236" s="67">
        <f t="shared" si="129"/>
        <v>0</v>
      </c>
      <c r="F236" s="67">
        <f t="shared" si="129"/>
        <v>0</v>
      </c>
      <c r="G236" s="67">
        <f t="shared" si="129"/>
        <v>0</v>
      </c>
      <c r="H236" s="67">
        <f t="shared" si="129"/>
        <v>0</v>
      </c>
      <c r="I236" s="67">
        <f t="shared" si="129"/>
        <v>1500000</v>
      </c>
      <c r="J236" s="67">
        <f t="shared" si="129"/>
        <v>0</v>
      </c>
      <c r="K236" s="67">
        <f t="shared" si="129"/>
        <v>0</v>
      </c>
      <c r="L236" s="67">
        <f t="shared" si="129"/>
        <v>0</v>
      </c>
      <c r="M236" s="67">
        <f t="shared" si="129"/>
        <v>0</v>
      </c>
      <c r="N236" s="67">
        <f t="shared" si="129"/>
        <v>0</v>
      </c>
      <c r="O236" s="67">
        <v>0</v>
      </c>
      <c r="P236" s="326">
        <f t="shared" si="126"/>
        <v>1500000</v>
      </c>
      <c r="Q236" s="2"/>
      <c r="S236" s="2"/>
    </row>
    <row r="237" spans="2:19" x14ac:dyDescent="0.15">
      <c r="B237" s="340" t="s">
        <v>703</v>
      </c>
      <c r="C237" s="12" t="s">
        <v>309</v>
      </c>
      <c r="D237" s="67">
        <f t="shared" si="129"/>
        <v>0</v>
      </c>
      <c r="E237" s="67">
        <f t="shared" si="129"/>
        <v>0</v>
      </c>
      <c r="F237" s="67">
        <f t="shared" si="129"/>
        <v>0</v>
      </c>
      <c r="G237" s="67">
        <f t="shared" si="129"/>
        <v>0</v>
      </c>
      <c r="H237" s="67">
        <f t="shared" si="129"/>
        <v>0</v>
      </c>
      <c r="I237" s="67">
        <f t="shared" si="129"/>
        <v>0</v>
      </c>
      <c r="J237" s="67">
        <f t="shared" si="129"/>
        <v>0</v>
      </c>
      <c r="K237" s="67">
        <f t="shared" si="129"/>
        <v>0</v>
      </c>
      <c r="L237" s="67">
        <f t="shared" si="129"/>
        <v>0</v>
      </c>
      <c r="M237" s="67">
        <f t="shared" si="129"/>
        <v>0</v>
      </c>
      <c r="N237" s="67">
        <f t="shared" si="129"/>
        <v>0</v>
      </c>
      <c r="O237" s="67">
        <v>0</v>
      </c>
      <c r="P237" s="326">
        <f t="shared" si="126"/>
        <v>0</v>
      </c>
      <c r="Q237" s="2"/>
      <c r="S237" s="2"/>
    </row>
    <row r="238" spans="2:19" x14ac:dyDescent="0.15">
      <c r="B238" s="340" t="s">
        <v>704</v>
      </c>
      <c r="C238" s="12" t="s">
        <v>311</v>
      </c>
      <c r="D238" s="67">
        <f t="shared" si="129"/>
        <v>0</v>
      </c>
      <c r="E238" s="67">
        <f t="shared" si="129"/>
        <v>0</v>
      </c>
      <c r="F238" s="67">
        <f t="shared" si="129"/>
        <v>0</v>
      </c>
      <c r="G238" s="67">
        <f t="shared" si="129"/>
        <v>0</v>
      </c>
      <c r="H238" s="67">
        <f t="shared" si="129"/>
        <v>0</v>
      </c>
      <c r="I238" s="67">
        <f t="shared" si="129"/>
        <v>-2596968.7000000002</v>
      </c>
      <c r="J238" s="67">
        <f t="shared" si="129"/>
        <v>0</v>
      </c>
      <c r="K238" s="67">
        <f t="shared" si="129"/>
        <v>0</v>
      </c>
      <c r="L238" s="67">
        <f t="shared" si="129"/>
        <v>0</v>
      </c>
      <c r="M238" s="67">
        <f t="shared" si="129"/>
        <v>0</v>
      </c>
      <c r="N238" s="67">
        <f t="shared" si="129"/>
        <v>0</v>
      </c>
      <c r="O238" s="67">
        <v>0</v>
      </c>
      <c r="P238" s="326">
        <f t="shared" si="126"/>
        <v>-2596968.7000000002</v>
      </c>
      <c r="Q238" s="2"/>
      <c r="S238" s="2"/>
    </row>
    <row r="239" spans="2:19" ht="14" thickBot="1" x14ac:dyDescent="0.2">
      <c r="B239" s="340" t="s">
        <v>705</v>
      </c>
      <c r="C239" s="12" t="s">
        <v>115</v>
      </c>
      <c r="D239" s="67">
        <f t="shared" si="129"/>
        <v>-60000000</v>
      </c>
      <c r="E239" s="67">
        <f t="shared" si="129"/>
        <v>0</v>
      </c>
      <c r="F239" s="67">
        <f t="shared" si="129"/>
        <v>0</v>
      </c>
      <c r="G239" s="67">
        <f t="shared" si="129"/>
        <v>0</v>
      </c>
      <c r="H239" s="67">
        <f t="shared" si="129"/>
        <v>0</v>
      </c>
      <c r="I239" s="67">
        <f t="shared" si="129"/>
        <v>60000000</v>
      </c>
      <c r="J239" s="67">
        <f t="shared" si="129"/>
        <v>0</v>
      </c>
      <c r="K239" s="67">
        <f t="shared" si="129"/>
        <v>0</v>
      </c>
      <c r="L239" s="67">
        <f t="shared" si="129"/>
        <v>0</v>
      </c>
      <c r="M239" s="67">
        <f t="shared" si="129"/>
        <v>0</v>
      </c>
      <c r="N239" s="67">
        <f t="shared" si="129"/>
        <v>0</v>
      </c>
      <c r="O239" s="67">
        <v>0</v>
      </c>
      <c r="P239" s="326">
        <f t="shared" si="126"/>
        <v>60000000</v>
      </c>
      <c r="Q239" s="2"/>
      <c r="S239" s="2"/>
    </row>
    <row r="240" spans="2:19" x14ac:dyDescent="0.15">
      <c r="B240" s="340">
        <v>17</v>
      </c>
      <c r="C240" s="12" t="s">
        <v>313</v>
      </c>
      <c r="D240" s="67">
        <f>D233+D234+D238+D239</f>
        <v>-92550000</v>
      </c>
      <c r="E240" s="67">
        <f t="shared" ref="E240:N240" si="136">E233+E234+E238+E239</f>
        <v>0</v>
      </c>
      <c r="F240" s="67">
        <f t="shared" si="136"/>
        <v>0</v>
      </c>
      <c r="G240" s="67">
        <f t="shared" si="136"/>
        <v>0</v>
      </c>
      <c r="H240" s="67">
        <f t="shared" si="136"/>
        <v>0</v>
      </c>
      <c r="I240" s="67">
        <f t="shared" si="136"/>
        <v>71750066.299999997</v>
      </c>
      <c r="J240" s="67">
        <f t="shared" si="136"/>
        <v>0</v>
      </c>
      <c r="K240" s="67">
        <f t="shared" si="136"/>
        <v>0</v>
      </c>
      <c r="L240" s="67">
        <f t="shared" si="136"/>
        <v>0</v>
      </c>
      <c r="M240" s="67">
        <f t="shared" si="136"/>
        <v>0</v>
      </c>
      <c r="N240" s="67">
        <f t="shared" si="136"/>
        <v>0</v>
      </c>
      <c r="O240" s="67">
        <v>0</v>
      </c>
      <c r="P240" s="326">
        <f t="shared" si="126"/>
        <v>71750066.299999997</v>
      </c>
      <c r="Q240" s="461"/>
      <c r="R240" s="357" t="s">
        <v>693</v>
      </c>
      <c r="S240" s="2"/>
    </row>
    <row r="241" spans="1:19" ht="14" thickBot="1" x14ac:dyDescent="0.2">
      <c r="A241" s="1" t="s">
        <v>710</v>
      </c>
      <c r="B241" s="355">
        <v>18</v>
      </c>
      <c r="C241" s="335" t="s">
        <v>314</v>
      </c>
      <c r="D241" s="331">
        <f>D232+D240</f>
        <v>-92550000</v>
      </c>
      <c r="E241" s="331">
        <f t="shared" ref="E241:N241" si="137">E232+E240</f>
        <v>71012750</v>
      </c>
      <c r="F241" s="331">
        <f t="shared" si="137"/>
        <v>66147792.50000006</v>
      </c>
      <c r="G241" s="331">
        <f t="shared" si="137"/>
        <v>58374717.084125027</v>
      </c>
      <c r="H241" s="331">
        <f t="shared" si="137"/>
        <v>49075845.332490474</v>
      </c>
      <c r="I241" s="331">
        <f t="shared" si="137"/>
        <v>109443953.09197399</v>
      </c>
      <c r="J241" s="331">
        <f t="shared" si="137"/>
        <v>0</v>
      </c>
      <c r="K241" s="331">
        <f t="shared" si="137"/>
        <v>0</v>
      </c>
      <c r="L241" s="331">
        <f t="shared" si="137"/>
        <v>0</v>
      </c>
      <c r="M241" s="331">
        <f t="shared" si="137"/>
        <v>0</v>
      </c>
      <c r="N241" s="331">
        <f t="shared" si="137"/>
        <v>0</v>
      </c>
      <c r="O241" s="331">
        <f>O240+O232</f>
        <v>0</v>
      </c>
      <c r="P241" s="356">
        <f t="shared" si="126"/>
        <v>354055058.00858957</v>
      </c>
      <c r="Q241" s="463"/>
      <c r="R241" s="358">
        <f>IF(ISNUMBER(IRR(D241:N241)),IRR(D241:N241),"NMF")</f>
        <v>0.67830227306091695</v>
      </c>
      <c r="S241" s="1" t="s">
        <v>710</v>
      </c>
    </row>
    <row r="242" spans="1:19" x14ac:dyDescent="0.15">
      <c r="S242" s="2"/>
    </row>
    <row r="243" spans="1:19" ht="14" thickBot="1" x14ac:dyDescent="0.2">
      <c r="S243" s="2"/>
    </row>
    <row r="244" spans="1:19" ht="14" thickBot="1" x14ac:dyDescent="0.2">
      <c r="B244" s="359" t="s">
        <v>282</v>
      </c>
      <c r="C244" s="360" t="s">
        <v>283</v>
      </c>
      <c r="D244" s="360"/>
      <c r="E244" s="360">
        <v>1</v>
      </c>
      <c r="F244" s="360">
        <v>2</v>
      </c>
      <c r="G244" s="360">
        <v>3</v>
      </c>
      <c r="H244" s="360">
        <v>4</v>
      </c>
      <c r="I244" s="360">
        <v>5</v>
      </c>
      <c r="J244" s="360">
        <v>6</v>
      </c>
      <c r="K244" s="360">
        <v>7</v>
      </c>
      <c r="L244" s="360">
        <v>8</v>
      </c>
      <c r="M244" s="360">
        <v>9</v>
      </c>
      <c r="N244" s="360">
        <v>10</v>
      </c>
      <c r="O244" s="360" t="s">
        <v>284</v>
      </c>
      <c r="P244" s="361" t="s">
        <v>285</v>
      </c>
      <c r="S244" s="2"/>
    </row>
    <row r="245" spans="1:19" x14ac:dyDescent="0.15">
      <c r="B245" s="339" t="s">
        <v>687</v>
      </c>
      <c r="C245" s="302" t="s">
        <v>287</v>
      </c>
      <c r="D245" s="322">
        <f t="shared" ref="D245:D250" si="138">D158</f>
        <v>0</v>
      </c>
      <c r="E245" s="322">
        <f t="shared" ref="E245:N245" si="139">E158</f>
        <v>300000000</v>
      </c>
      <c r="F245" s="322">
        <f t="shared" si="139"/>
        <v>313500000.00000006</v>
      </c>
      <c r="G245" s="322">
        <f t="shared" si="139"/>
        <v>327607500.00000006</v>
      </c>
      <c r="H245" s="322">
        <f t="shared" si="139"/>
        <v>342349837.50000012</v>
      </c>
      <c r="I245" s="322">
        <f t="shared" si="139"/>
        <v>357755580.18750012</v>
      </c>
      <c r="J245" s="322">
        <f t="shared" si="139"/>
        <v>0</v>
      </c>
      <c r="K245" s="322">
        <f t="shared" si="139"/>
        <v>0</v>
      </c>
      <c r="L245" s="322">
        <f t="shared" si="139"/>
        <v>0</v>
      </c>
      <c r="M245" s="322">
        <f t="shared" si="139"/>
        <v>0</v>
      </c>
      <c r="N245" s="322">
        <f t="shared" si="139"/>
        <v>0</v>
      </c>
      <c r="O245" s="322">
        <v>0</v>
      </c>
      <c r="P245" s="325">
        <f>SUM(E245:N245)</f>
        <v>1641212917.6875</v>
      </c>
      <c r="Q245" s="2"/>
      <c r="S245" s="2"/>
    </row>
    <row r="246" spans="1:19" x14ac:dyDescent="0.15">
      <c r="A246" s="1" t="s">
        <v>711</v>
      </c>
      <c r="B246" s="355" t="s">
        <v>689</v>
      </c>
      <c r="C246" s="362" t="s">
        <v>689</v>
      </c>
      <c r="D246" s="331">
        <f t="shared" si="138"/>
        <v>0</v>
      </c>
      <c r="E246" s="331">
        <f>E159*1.15</f>
        <v>345000000</v>
      </c>
      <c r="F246" s="331">
        <f t="shared" ref="F246:N246" si="140">F159*1.15</f>
        <v>360525000.00000006</v>
      </c>
      <c r="G246" s="331">
        <f t="shared" si="140"/>
        <v>376748625.00000006</v>
      </c>
      <c r="H246" s="331">
        <f t="shared" si="140"/>
        <v>393702313.12500012</v>
      </c>
      <c r="I246" s="331">
        <f t="shared" si="140"/>
        <v>411418917.21562511</v>
      </c>
      <c r="J246" s="331">
        <f t="shared" si="140"/>
        <v>0</v>
      </c>
      <c r="K246" s="331">
        <f t="shared" si="140"/>
        <v>0</v>
      </c>
      <c r="L246" s="331">
        <f t="shared" si="140"/>
        <v>0</v>
      </c>
      <c r="M246" s="331">
        <f t="shared" si="140"/>
        <v>0</v>
      </c>
      <c r="N246" s="331">
        <f t="shared" si="140"/>
        <v>0</v>
      </c>
      <c r="O246" s="331"/>
      <c r="P246" s="356">
        <f>SUM(E246:N246)</f>
        <v>1887394855.340625</v>
      </c>
      <c r="Q246" s="460"/>
      <c r="S246" s="2"/>
    </row>
    <row r="247" spans="1:19" x14ac:dyDescent="0.15">
      <c r="B247" s="340" t="s">
        <v>690</v>
      </c>
      <c r="C247" s="354" t="s">
        <v>690</v>
      </c>
      <c r="D247" s="67">
        <f t="shared" si="138"/>
        <v>0</v>
      </c>
      <c r="E247" s="67">
        <f t="shared" ref="E247:N247" si="141">E160</f>
        <v>0</v>
      </c>
      <c r="F247" s="67">
        <f t="shared" si="141"/>
        <v>0</v>
      </c>
      <c r="G247" s="67">
        <f t="shared" si="141"/>
        <v>0</v>
      </c>
      <c r="H247" s="67">
        <f t="shared" si="141"/>
        <v>0</v>
      </c>
      <c r="I247" s="67">
        <f t="shared" si="141"/>
        <v>0</v>
      </c>
      <c r="J247" s="67">
        <f t="shared" si="141"/>
        <v>0</v>
      </c>
      <c r="K247" s="67">
        <f t="shared" si="141"/>
        <v>0</v>
      </c>
      <c r="L247" s="67">
        <f t="shared" si="141"/>
        <v>0</v>
      </c>
      <c r="M247" s="67">
        <f t="shared" si="141"/>
        <v>0</v>
      </c>
      <c r="N247" s="67">
        <f t="shared" si="141"/>
        <v>0</v>
      </c>
      <c r="O247" s="289"/>
      <c r="P247" s="326">
        <f>SUM(E247:N247)</f>
        <v>0</v>
      </c>
      <c r="Q247" s="2"/>
      <c r="S247" s="2"/>
    </row>
    <row r="248" spans="1:19" x14ac:dyDescent="0.15">
      <c r="B248" s="340" t="s">
        <v>691</v>
      </c>
      <c r="C248" s="354" t="s">
        <v>691</v>
      </c>
      <c r="D248" s="67">
        <f t="shared" si="138"/>
        <v>0</v>
      </c>
      <c r="E248" s="67">
        <f t="shared" ref="E248:N248" si="142">E161</f>
        <v>0</v>
      </c>
      <c r="F248" s="67">
        <f t="shared" si="142"/>
        <v>0</v>
      </c>
      <c r="G248" s="67">
        <f t="shared" si="142"/>
        <v>0</v>
      </c>
      <c r="H248" s="67">
        <f t="shared" si="142"/>
        <v>0</v>
      </c>
      <c r="I248" s="67">
        <f t="shared" si="142"/>
        <v>0</v>
      </c>
      <c r="J248" s="67">
        <f t="shared" si="142"/>
        <v>0</v>
      </c>
      <c r="K248" s="67">
        <f t="shared" si="142"/>
        <v>0</v>
      </c>
      <c r="L248" s="67">
        <f t="shared" si="142"/>
        <v>0</v>
      </c>
      <c r="M248" s="67">
        <f t="shared" si="142"/>
        <v>0</v>
      </c>
      <c r="N248" s="67">
        <f t="shared" si="142"/>
        <v>0</v>
      </c>
      <c r="O248" s="67"/>
      <c r="P248" s="326">
        <f>SUM(E248:N248)</f>
        <v>0</v>
      </c>
      <c r="Q248" s="2"/>
      <c r="S248" s="2"/>
    </row>
    <row r="249" spans="1:19" x14ac:dyDescent="0.15">
      <c r="B249" s="340" t="s">
        <v>695</v>
      </c>
      <c r="C249" s="12"/>
      <c r="D249" s="67">
        <f t="shared" si="138"/>
        <v>0</v>
      </c>
      <c r="E249" s="67">
        <f>E248+E247+E246</f>
        <v>345000000</v>
      </c>
      <c r="F249" s="67">
        <f t="shared" ref="F249:N249" si="143">F248+F247+F246</f>
        <v>360525000.00000006</v>
      </c>
      <c r="G249" s="67">
        <f t="shared" si="143"/>
        <v>376748625.00000006</v>
      </c>
      <c r="H249" s="67">
        <f t="shared" si="143"/>
        <v>393702313.12500012</v>
      </c>
      <c r="I249" s="67">
        <f t="shared" si="143"/>
        <v>411418917.21562511</v>
      </c>
      <c r="J249" s="67">
        <f t="shared" si="143"/>
        <v>0</v>
      </c>
      <c r="K249" s="67">
        <f t="shared" si="143"/>
        <v>0</v>
      </c>
      <c r="L249" s="67">
        <f t="shared" si="143"/>
        <v>0</v>
      </c>
      <c r="M249" s="67">
        <f t="shared" si="143"/>
        <v>0</v>
      </c>
      <c r="N249" s="67">
        <f t="shared" si="143"/>
        <v>0</v>
      </c>
      <c r="O249" s="67"/>
      <c r="P249" s="326">
        <f t="shared" ref="P249:P269" si="144">SUM(E249:N249)</f>
        <v>1887394855.340625</v>
      </c>
      <c r="Q249" s="2"/>
      <c r="S249" s="2"/>
    </row>
    <row r="250" spans="1:19" x14ac:dyDescent="0.15">
      <c r="B250" s="340" t="s">
        <v>696</v>
      </c>
      <c r="C250" s="12" t="s">
        <v>289</v>
      </c>
      <c r="D250" s="67">
        <f t="shared" si="138"/>
        <v>0</v>
      </c>
      <c r="E250" s="67">
        <f>E163</f>
        <v>230170000</v>
      </c>
      <c r="F250" s="67">
        <f t="shared" ref="F250:N250" si="145">F163</f>
        <v>253018375.00000003</v>
      </c>
      <c r="G250" s="67">
        <f t="shared" si="145"/>
        <v>278725718.45125008</v>
      </c>
      <c r="H250" s="67">
        <f t="shared" si="145"/>
        <v>307665975.06072807</v>
      </c>
      <c r="I250" s="67">
        <f t="shared" si="145"/>
        <v>340262566.36057305</v>
      </c>
      <c r="J250" s="67">
        <f t="shared" si="145"/>
        <v>0</v>
      </c>
      <c r="K250" s="67">
        <f t="shared" si="145"/>
        <v>0</v>
      </c>
      <c r="L250" s="67">
        <f t="shared" si="145"/>
        <v>0</v>
      </c>
      <c r="M250" s="67">
        <f t="shared" si="145"/>
        <v>0</v>
      </c>
      <c r="N250" s="67">
        <f t="shared" si="145"/>
        <v>0</v>
      </c>
      <c r="O250" s="67">
        <v>0</v>
      </c>
      <c r="P250" s="326">
        <f t="shared" si="144"/>
        <v>1409842634.8725512</v>
      </c>
      <c r="Q250" s="2"/>
      <c r="S250" s="2"/>
    </row>
    <row r="251" spans="1:19" x14ac:dyDescent="0.15">
      <c r="B251" s="340">
        <v>3</v>
      </c>
      <c r="C251" s="12" t="s">
        <v>290</v>
      </c>
      <c r="D251" s="67">
        <f>D249-D250</f>
        <v>0</v>
      </c>
      <c r="E251" s="67">
        <f t="shared" ref="E251:N251" si="146">E249-E250</f>
        <v>114830000</v>
      </c>
      <c r="F251" s="67">
        <f t="shared" si="146"/>
        <v>107506625.00000003</v>
      </c>
      <c r="G251" s="67">
        <f t="shared" si="146"/>
        <v>98022906.548749983</v>
      </c>
      <c r="H251" s="67">
        <f t="shared" si="146"/>
        <v>86036338.064272046</v>
      </c>
      <c r="I251" s="67">
        <f t="shared" si="146"/>
        <v>71156350.855052054</v>
      </c>
      <c r="J251" s="67">
        <f t="shared" si="146"/>
        <v>0</v>
      </c>
      <c r="K251" s="67">
        <f t="shared" si="146"/>
        <v>0</v>
      </c>
      <c r="L251" s="67">
        <f t="shared" si="146"/>
        <v>0</v>
      </c>
      <c r="M251" s="67">
        <f t="shared" si="146"/>
        <v>0</v>
      </c>
      <c r="N251" s="67">
        <f t="shared" si="146"/>
        <v>0</v>
      </c>
      <c r="O251" s="67">
        <v>0</v>
      </c>
      <c r="P251" s="326">
        <f t="shared" si="144"/>
        <v>477552220.46807414</v>
      </c>
      <c r="Q251" s="2"/>
      <c r="S251" s="2"/>
    </row>
    <row r="252" spans="1:19" x14ac:dyDescent="0.15">
      <c r="B252" s="340" t="s">
        <v>697</v>
      </c>
      <c r="C252" s="12" t="s">
        <v>292</v>
      </c>
      <c r="D252" s="67">
        <f t="shared" ref="D252:E267" si="147">D165</f>
        <v>0</v>
      </c>
      <c r="E252" s="67">
        <f t="shared" si="147"/>
        <v>3772500</v>
      </c>
      <c r="F252" s="67">
        <f t="shared" ref="F252:N252" si="148">F165</f>
        <v>6218850</v>
      </c>
      <c r="G252" s="67">
        <f t="shared" si="148"/>
        <v>4083150</v>
      </c>
      <c r="H252" s="67">
        <f t="shared" si="148"/>
        <v>2775510</v>
      </c>
      <c r="I252" s="67">
        <f t="shared" si="148"/>
        <v>1352955</v>
      </c>
      <c r="J252" s="67">
        <f t="shared" si="148"/>
        <v>0</v>
      </c>
      <c r="K252" s="67">
        <f t="shared" si="148"/>
        <v>0</v>
      </c>
      <c r="L252" s="67">
        <f t="shared" si="148"/>
        <v>0</v>
      </c>
      <c r="M252" s="67">
        <f t="shared" si="148"/>
        <v>0</v>
      </c>
      <c r="N252" s="67">
        <f t="shared" si="148"/>
        <v>0</v>
      </c>
      <c r="O252" s="67">
        <v>0</v>
      </c>
      <c r="P252" s="326">
        <f t="shared" si="144"/>
        <v>18202965</v>
      </c>
      <c r="Q252" s="2"/>
      <c r="S252" s="2"/>
    </row>
    <row r="253" spans="1:19" x14ac:dyDescent="0.15">
      <c r="B253" s="340">
        <v>5</v>
      </c>
      <c r="C253" s="12" t="s">
        <v>293</v>
      </c>
      <c r="D253" s="67">
        <f>D251-D252</f>
        <v>0</v>
      </c>
      <c r="E253" s="67">
        <f t="shared" ref="E253:N253" si="149">E251-E252</f>
        <v>111057500</v>
      </c>
      <c r="F253" s="67">
        <f t="shared" si="149"/>
        <v>101287775.00000003</v>
      </c>
      <c r="G253" s="67">
        <f t="shared" si="149"/>
        <v>93939756.548749983</v>
      </c>
      <c r="H253" s="67">
        <f t="shared" si="149"/>
        <v>83260828.064272046</v>
      </c>
      <c r="I253" s="67">
        <f t="shared" si="149"/>
        <v>69803395.855052054</v>
      </c>
      <c r="J253" s="67">
        <f t="shared" si="149"/>
        <v>0</v>
      </c>
      <c r="K253" s="67">
        <f t="shared" si="149"/>
        <v>0</v>
      </c>
      <c r="L253" s="67">
        <f t="shared" si="149"/>
        <v>0</v>
      </c>
      <c r="M253" s="67">
        <f t="shared" si="149"/>
        <v>0</v>
      </c>
      <c r="N253" s="67">
        <f t="shared" si="149"/>
        <v>0</v>
      </c>
      <c r="O253" s="67">
        <v>0</v>
      </c>
      <c r="P253" s="326">
        <f t="shared" si="144"/>
        <v>459349255.46807414</v>
      </c>
      <c r="Q253" s="2"/>
      <c r="S253" s="2"/>
    </row>
    <row r="254" spans="1:19" x14ac:dyDescent="0.15">
      <c r="B254" s="340" t="s">
        <v>698</v>
      </c>
      <c r="C254" s="12" t="s">
        <v>295</v>
      </c>
      <c r="D254" s="67">
        <f t="shared" si="147"/>
        <v>0</v>
      </c>
      <c r="E254" s="67">
        <f t="shared" si="147"/>
        <v>0</v>
      </c>
      <c r="F254" s="67">
        <f t="shared" ref="F254:N254" si="150">F167</f>
        <v>0</v>
      </c>
      <c r="G254" s="67">
        <f t="shared" si="150"/>
        <v>0</v>
      </c>
      <c r="H254" s="67">
        <f t="shared" si="150"/>
        <v>0</v>
      </c>
      <c r="I254" s="67">
        <f t="shared" si="150"/>
        <v>0</v>
      </c>
      <c r="J254" s="67">
        <f t="shared" si="150"/>
        <v>0</v>
      </c>
      <c r="K254" s="67">
        <f t="shared" si="150"/>
        <v>0</v>
      </c>
      <c r="L254" s="67">
        <f t="shared" si="150"/>
        <v>0</v>
      </c>
      <c r="M254" s="67">
        <f t="shared" si="150"/>
        <v>0</v>
      </c>
      <c r="N254" s="67">
        <f t="shared" si="150"/>
        <v>0</v>
      </c>
      <c r="O254" s="67">
        <v>0</v>
      </c>
      <c r="P254" s="326">
        <f t="shared" si="144"/>
        <v>0</v>
      </c>
      <c r="Q254" s="2"/>
      <c r="S254" s="2"/>
    </row>
    <row r="255" spans="1:19" x14ac:dyDescent="0.15">
      <c r="B255" s="340">
        <v>7</v>
      </c>
      <c r="C255" s="12" t="s">
        <v>296</v>
      </c>
      <c r="D255" s="67">
        <f>D253-D254</f>
        <v>0</v>
      </c>
      <c r="E255" s="67">
        <f t="shared" ref="E255:N255" si="151">E253-E254</f>
        <v>111057500</v>
      </c>
      <c r="F255" s="67">
        <f t="shared" si="151"/>
        <v>101287775.00000003</v>
      </c>
      <c r="G255" s="67">
        <f t="shared" si="151"/>
        <v>93939756.548749983</v>
      </c>
      <c r="H255" s="67">
        <f t="shared" si="151"/>
        <v>83260828.064272046</v>
      </c>
      <c r="I255" s="67">
        <f t="shared" si="151"/>
        <v>69803395.855052054</v>
      </c>
      <c r="J255" s="67">
        <f t="shared" si="151"/>
        <v>0</v>
      </c>
      <c r="K255" s="67">
        <f t="shared" si="151"/>
        <v>0</v>
      </c>
      <c r="L255" s="67">
        <f t="shared" si="151"/>
        <v>0</v>
      </c>
      <c r="M255" s="67">
        <f t="shared" si="151"/>
        <v>0</v>
      </c>
      <c r="N255" s="67">
        <f t="shared" si="151"/>
        <v>0</v>
      </c>
      <c r="O255" s="67">
        <v>0</v>
      </c>
      <c r="P255" s="326">
        <f t="shared" si="144"/>
        <v>459349255.46807414</v>
      </c>
      <c r="Q255" s="2"/>
      <c r="S255" s="2"/>
    </row>
    <row r="256" spans="1:19" x14ac:dyDescent="0.15">
      <c r="B256" s="340">
        <v>8</v>
      </c>
      <c r="C256" s="12" t="s">
        <v>297</v>
      </c>
      <c r="D256" s="67">
        <f>-D255*$D$3</f>
        <v>0</v>
      </c>
      <c r="E256" s="67">
        <f t="shared" ref="E256:N256" si="152">-E255*$D$3</f>
        <v>-33317250</v>
      </c>
      <c r="F256" s="67">
        <f t="shared" si="152"/>
        <v>-30386332.500000007</v>
      </c>
      <c r="G256" s="67">
        <f t="shared" si="152"/>
        <v>-28181926.964624994</v>
      </c>
      <c r="H256" s="67">
        <f t="shared" si="152"/>
        <v>-24978248.419281613</v>
      </c>
      <c r="I256" s="67">
        <f t="shared" si="152"/>
        <v>-20941018.756515615</v>
      </c>
      <c r="J256" s="67">
        <f t="shared" si="152"/>
        <v>0</v>
      </c>
      <c r="K256" s="67">
        <f t="shared" si="152"/>
        <v>0</v>
      </c>
      <c r="L256" s="67">
        <f t="shared" si="152"/>
        <v>0</v>
      </c>
      <c r="M256" s="67">
        <f t="shared" si="152"/>
        <v>0</v>
      </c>
      <c r="N256" s="67">
        <f t="shared" si="152"/>
        <v>0</v>
      </c>
      <c r="O256" s="67">
        <v>0</v>
      </c>
      <c r="P256" s="326">
        <f t="shared" si="144"/>
        <v>-137804776.64042222</v>
      </c>
      <c r="Q256" s="2"/>
      <c r="S256" s="2"/>
    </row>
    <row r="257" spans="1:19" x14ac:dyDescent="0.15">
      <c r="B257" s="340">
        <v>9</v>
      </c>
      <c r="C257" s="12" t="s">
        <v>298</v>
      </c>
      <c r="D257" s="67">
        <f t="shared" si="147"/>
        <v>0</v>
      </c>
      <c r="E257" s="67">
        <f t="shared" si="147"/>
        <v>0</v>
      </c>
      <c r="F257" s="67">
        <f t="shared" ref="F257:N257" si="153">F170</f>
        <v>0</v>
      </c>
      <c r="G257" s="67">
        <f t="shared" si="153"/>
        <v>0</v>
      </c>
      <c r="H257" s="67">
        <f t="shared" si="153"/>
        <v>0</v>
      </c>
      <c r="I257" s="67">
        <f t="shared" si="153"/>
        <v>0</v>
      </c>
      <c r="J257" s="67">
        <f t="shared" si="153"/>
        <v>0</v>
      </c>
      <c r="K257" s="67">
        <f t="shared" si="153"/>
        <v>0</v>
      </c>
      <c r="L257" s="67">
        <f t="shared" si="153"/>
        <v>0</v>
      </c>
      <c r="M257" s="67">
        <f t="shared" si="153"/>
        <v>0</v>
      </c>
      <c r="N257" s="67">
        <f t="shared" si="153"/>
        <v>0</v>
      </c>
      <c r="O257" s="67">
        <v>0</v>
      </c>
      <c r="P257" s="326">
        <f t="shared" si="144"/>
        <v>0</v>
      </c>
      <c r="Q257" s="2"/>
      <c r="S257" s="2"/>
    </row>
    <row r="258" spans="1:19" x14ac:dyDescent="0.15">
      <c r="B258" s="340">
        <v>10</v>
      </c>
      <c r="C258" s="12" t="s">
        <v>299</v>
      </c>
      <c r="D258" s="67">
        <f>D255+D256+D257</f>
        <v>0</v>
      </c>
      <c r="E258" s="67">
        <f t="shared" ref="E258:N258" si="154">E255+E256+E257</f>
        <v>77740250</v>
      </c>
      <c r="F258" s="67">
        <f t="shared" si="154"/>
        <v>70901442.50000003</v>
      </c>
      <c r="G258" s="67">
        <f t="shared" si="154"/>
        <v>65757829.58412499</v>
      </c>
      <c r="H258" s="67">
        <f t="shared" si="154"/>
        <v>58282579.644990429</v>
      </c>
      <c r="I258" s="67">
        <f t="shared" si="154"/>
        <v>48862377.098536439</v>
      </c>
      <c r="J258" s="67">
        <f t="shared" si="154"/>
        <v>0</v>
      </c>
      <c r="K258" s="67">
        <f t="shared" si="154"/>
        <v>0</v>
      </c>
      <c r="L258" s="67">
        <f t="shared" si="154"/>
        <v>0</v>
      </c>
      <c r="M258" s="67">
        <f t="shared" si="154"/>
        <v>0</v>
      </c>
      <c r="N258" s="67">
        <f t="shared" si="154"/>
        <v>0</v>
      </c>
      <c r="O258" s="67">
        <v>0</v>
      </c>
      <c r="P258" s="326">
        <f t="shared" si="144"/>
        <v>321544478.82765186</v>
      </c>
      <c r="Q258" s="2"/>
      <c r="S258" s="2"/>
    </row>
    <row r="259" spans="1:19" x14ac:dyDescent="0.15">
      <c r="B259" s="340" t="s">
        <v>699</v>
      </c>
      <c r="C259" s="12" t="s">
        <v>292</v>
      </c>
      <c r="D259" s="67">
        <f t="shared" si="147"/>
        <v>0</v>
      </c>
      <c r="E259" s="67">
        <f t="shared" si="147"/>
        <v>3772500</v>
      </c>
      <c r="F259" s="67">
        <f t="shared" ref="F259:N259" si="155">F172</f>
        <v>6218850</v>
      </c>
      <c r="G259" s="67">
        <f t="shared" si="155"/>
        <v>4083150</v>
      </c>
      <c r="H259" s="67">
        <f t="shared" si="155"/>
        <v>2775510</v>
      </c>
      <c r="I259" s="67">
        <f t="shared" si="155"/>
        <v>1352955</v>
      </c>
      <c r="J259" s="67">
        <f t="shared" si="155"/>
        <v>0</v>
      </c>
      <c r="K259" s="67">
        <f t="shared" si="155"/>
        <v>0</v>
      </c>
      <c r="L259" s="67">
        <f t="shared" si="155"/>
        <v>0</v>
      </c>
      <c r="M259" s="67">
        <f t="shared" si="155"/>
        <v>0</v>
      </c>
      <c r="N259" s="67">
        <f t="shared" si="155"/>
        <v>0</v>
      </c>
      <c r="O259" s="67">
        <v>0</v>
      </c>
      <c r="P259" s="326">
        <f t="shared" si="144"/>
        <v>18202965</v>
      </c>
      <c r="Q259" s="2"/>
      <c r="S259" s="2"/>
    </row>
    <row r="260" spans="1:19" x14ac:dyDescent="0.15">
      <c r="B260" s="340">
        <v>12</v>
      </c>
      <c r="C260" s="12" t="s">
        <v>301</v>
      </c>
      <c r="D260" s="67">
        <f>D258+D259</f>
        <v>0</v>
      </c>
      <c r="E260" s="67">
        <f t="shared" ref="E260:N260" si="156">E258+E259</f>
        <v>81512750</v>
      </c>
      <c r="F260" s="67">
        <f t="shared" si="156"/>
        <v>77120292.50000003</v>
      </c>
      <c r="G260" s="67">
        <f t="shared" si="156"/>
        <v>69840979.584124982</v>
      </c>
      <c r="H260" s="67">
        <f t="shared" si="156"/>
        <v>61058089.644990429</v>
      </c>
      <c r="I260" s="67">
        <f t="shared" si="156"/>
        <v>50215332.098536439</v>
      </c>
      <c r="J260" s="67">
        <f t="shared" si="156"/>
        <v>0</v>
      </c>
      <c r="K260" s="67">
        <f t="shared" si="156"/>
        <v>0</v>
      </c>
      <c r="L260" s="67">
        <f t="shared" si="156"/>
        <v>0</v>
      </c>
      <c r="M260" s="67">
        <f t="shared" si="156"/>
        <v>0</v>
      </c>
      <c r="N260" s="67">
        <f t="shared" si="156"/>
        <v>0</v>
      </c>
      <c r="O260" s="67">
        <v>0</v>
      </c>
      <c r="P260" s="326">
        <f t="shared" si="144"/>
        <v>339747443.82765186</v>
      </c>
      <c r="Q260" s="2"/>
      <c r="S260" s="2"/>
    </row>
    <row r="261" spans="1:19" x14ac:dyDescent="0.15">
      <c r="B261" s="340" t="s">
        <v>700</v>
      </c>
      <c r="C261" s="12" t="s">
        <v>303</v>
      </c>
      <c r="D261" s="67">
        <f t="shared" si="147"/>
        <v>0</v>
      </c>
      <c r="E261" s="67">
        <f t="shared" si="147"/>
        <v>0</v>
      </c>
      <c r="F261" s="67">
        <f t="shared" ref="F261:N261" si="157">F174</f>
        <v>0</v>
      </c>
      <c r="G261" s="67">
        <f t="shared" si="157"/>
        <v>0</v>
      </c>
      <c r="H261" s="67">
        <f t="shared" si="157"/>
        <v>0</v>
      </c>
      <c r="I261" s="67">
        <f t="shared" si="157"/>
        <v>0</v>
      </c>
      <c r="J261" s="67">
        <f t="shared" si="157"/>
        <v>0</v>
      </c>
      <c r="K261" s="67">
        <f t="shared" si="157"/>
        <v>0</v>
      </c>
      <c r="L261" s="67">
        <f t="shared" si="157"/>
        <v>0</v>
      </c>
      <c r="M261" s="67">
        <f t="shared" si="157"/>
        <v>0</v>
      </c>
      <c r="N261" s="67">
        <f t="shared" si="157"/>
        <v>0</v>
      </c>
      <c r="O261" s="67">
        <v>0</v>
      </c>
      <c r="P261" s="326">
        <f t="shared" si="144"/>
        <v>0</v>
      </c>
      <c r="Q261" s="2"/>
      <c r="S261" s="2"/>
    </row>
    <row r="262" spans="1:19" x14ac:dyDescent="0.15">
      <c r="B262" s="340">
        <v>14</v>
      </c>
      <c r="C262" s="12" t="s">
        <v>304</v>
      </c>
      <c r="D262" s="67">
        <f>D263+D264+D265</f>
        <v>-32550000</v>
      </c>
      <c r="E262" s="67">
        <f t="shared" ref="E262:N262" si="158">E263+E264+E265</f>
        <v>0</v>
      </c>
      <c r="F262" s="67">
        <f t="shared" si="158"/>
        <v>0</v>
      </c>
      <c r="G262" s="67">
        <f t="shared" si="158"/>
        <v>0</v>
      </c>
      <c r="H262" s="67">
        <f t="shared" si="158"/>
        <v>0</v>
      </c>
      <c r="I262" s="67">
        <f t="shared" si="158"/>
        <v>14347035</v>
      </c>
      <c r="J262" s="67">
        <f t="shared" si="158"/>
        <v>0</v>
      </c>
      <c r="K262" s="67">
        <f t="shared" si="158"/>
        <v>0</v>
      </c>
      <c r="L262" s="67">
        <f t="shared" si="158"/>
        <v>0</v>
      </c>
      <c r="M262" s="67">
        <f t="shared" si="158"/>
        <v>0</v>
      </c>
      <c r="N262" s="67">
        <f t="shared" si="158"/>
        <v>0</v>
      </c>
      <c r="O262" s="67">
        <v>0</v>
      </c>
      <c r="P262" s="326">
        <f t="shared" si="144"/>
        <v>14347035</v>
      </c>
      <c r="Q262" s="2"/>
      <c r="S262" s="2"/>
    </row>
    <row r="263" spans="1:19" x14ac:dyDescent="0.15">
      <c r="B263" s="340" t="s">
        <v>701</v>
      </c>
      <c r="C263" s="12" t="s">
        <v>207</v>
      </c>
      <c r="D263" s="67">
        <f t="shared" si="147"/>
        <v>-31050000</v>
      </c>
      <c r="E263" s="67">
        <f t="shared" si="147"/>
        <v>0</v>
      </c>
      <c r="F263" s="67">
        <f t="shared" ref="F263:N263" si="159">F176</f>
        <v>0</v>
      </c>
      <c r="G263" s="67">
        <f t="shared" si="159"/>
        <v>0</v>
      </c>
      <c r="H263" s="67">
        <f t="shared" si="159"/>
        <v>0</v>
      </c>
      <c r="I263" s="67">
        <f t="shared" si="159"/>
        <v>12847035</v>
      </c>
      <c r="J263" s="67">
        <f t="shared" si="159"/>
        <v>0</v>
      </c>
      <c r="K263" s="67">
        <f t="shared" si="159"/>
        <v>0</v>
      </c>
      <c r="L263" s="67">
        <f t="shared" si="159"/>
        <v>0</v>
      </c>
      <c r="M263" s="67">
        <f t="shared" si="159"/>
        <v>0</v>
      </c>
      <c r="N263" s="67">
        <f t="shared" si="159"/>
        <v>0</v>
      </c>
      <c r="O263" s="67">
        <v>0</v>
      </c>
      <c r="P263" s="326">
        <f t="shared" si="144"/>
        <v>12847035</v>
      </c>
      <c r="Q263" s="2"/>
      <c r="S263" s="2"/>
    </row>
    <row r="264" spans="1:19" x14ac:dyDescent="0.15">
      <c r="B264" s="340" t="s">
        <v>702</v>
      </c>
      <c r="C264" s="12" t="s">
        <v>307</v>
      </c>
      <c r="D264" s="67">
        <f t="shared" si="147"/>
        <v>-1500000</v>
      </c>
      <c r="E264" s="67">
        <f t="shared" si="147"/>
        <v>0</v>
      </c>
      <c r="F264" s="67">
        <f t="shared" ref="F264:N264" si="160">F177</f>
        <v>0</v>
      </c>
      <c r="G264" s="67">
        <f t="shared" si="160"/>
        <v>0</v>
      </c>
      <c r="H264" s="67">
        <f t="shared" si="160"/>
        <v>0</v>
      </c>
      <c r="I264" s="67">
        <f t="shared" si="160"/>
        <v>1500000</v>
      </c>
      <c r="J264" s="67">
        <f t="shared" si="160"/>
        <v>0</v>
      </c>
      <c r="K264" s="67">
        <f t="shared" si="160"/>
        <v>0</v>
      </c>
      <c r="L264" s="67">
        <f t="shared" si="160"/>
        <v>0</v>
      </c>
      <c r="M264" s="67">
        <f t="shared" si="160"/>
        <v>0</v>
      </c>
      <c r="N264" s="67">
        <f t="shared" si="160"/>
        <v>0</v>
      </c>
      <c r="O264" s="67">
        <v>0</v>
      </c>
      <c r="P264" s="326">
        <f t="shared" si="144"/>
        <v>1500000</v>
      </c>
      <c r="Q264" s="2"/>
      <c r="S264" s="2"/>
    </row>
    <row r="265" spans="1:19" x14ac:dyDescent="0.15">
      <c r="B265" s="340" t="s">
        <v>703</v>
      </c>
      <c r="C265" s="12" t="s">
        <v>309</v>
      </c>
      <c r="D265" s="67">
        <f t="shared" si="147"/>
        <v>0</v>
      </c>
      <c r="E265" s="67">
        <f t="shared" si="147"/>
        <v>0</v>
      </c>
      <c r="F265" s="67">
        <f t="shared" ref="F265:N265" si="161">F178</f>
        <v>0</v>
      </c>
      <c r="G265" s="67">
        <f t="shared" si="161"/>
        <v>0</v>
      </c>
      <c r="H265" s="67">
        <f t="shared" si="161"/>
        <v>0</v>
      </c>
      <c r="I265" s="67">
        <f t="shared" si="161"/>
        <v>0</v>
      </c>
      <c r="J265" s="67">
        <f t="shared" si="161"/>
        <v>0</v>
      </c>
      <c r="K265" s="67">
        <f t="shared" si="161"/>
        <v>0</v>
      </c>
      <c r="L265" s="67">
        <f t="shared" si="161"/>
        <v>0</v>
      </c>
      <c r="M265" s="67">
        <f t="shared" si="161"/>
        <v>0</v>
      </c>
      <c r="N265" s="67">
        <f t="shared" si="161"/>
        <v>0</v>
      </c>
      <c r="O265" s="67">
        <v>0</v>
      </c>
      <c r="P265" s="326">
        <f t="shared" si="144"/>
        <v>0</v>
      </c>
      <c r="Q265" s="2"/>
      <c r="S265" s="2"/>
    </row>
    <row r="266" spans="1:19" x14ac:dyDescent="0.15">
      <c r="B266" s="340" t="s">
        <v>704</v>
      </c>
      <c r="C266" s="12" t="s">
        <v>311</v>
      </c>
      <c r="D266" s="67">
        <f t="shared" si="147"/>
        <v>0</v>
      </c>
      <c r="E266" s="67">
        <f t="shared" si="147"/>
        <v>0</v>
      </c>
      <c r="F266" s="67">
        <f t="shared" ref="F266:N266" si="162">F179</f>
        <v>0</v>
      </c>
      <c r="G266" s="67">
        <f t="shared" si="162"/>
        <v>0</v>
      </c>
      <c r="H266" s="67">
        <f t="shared" si="162"/>
        <v>0</v>
      </c>
      <c r="I266" s="67">
        <f t="shared" si="162"/>
        <v>-2596968.7000000002</v>
      </c>
      <c r="J266" s="67">
        <f t="shared" si="162"/>
        <v>0</v>
      </c>
      <c r="K266" s="67">
        <f t="shared" si="162"/>
        <v>0</v>
      </c>
      <c r="L266" s="67">
        <f t="shared" si="162"/>
        <v>0</v>
      </c>
      <c r="M266" s="67">
        <f t="shared" si="162"/>
        <v>0</v>
      </c>
      <c r="N266" s="67">
        <f t="shared" si="162"/>
        <v>0</v>
      </c>
      <c r="O266" s="67">
        <v>0</v>
      </c>
      <c r="P266" s="326">
        <f t="shared" si="144"/>
        <v>-2596968.7000000002</v>
      </c>
      <c r="Q266" s="2"/>
      <c r="S266" s="2"/>
    </row>
    <row r="267" spans="1:19" ht="14" thickBot="1" x14ac:dyDescent="0.2">
      <c r="B267" s="340" t="s">
        <v>705</v>
      </c>
      <c r="C267" s="12" t="s">
        <v>115</v>
      </c>
      <c r="D267" s="67">
        <f t="shared" si="147"/>
        <v>-60000000</v>
      </c>
      <c r="E267" s="67">
        <f t="shared" si="147"/>
        <v>0</v>
      </c>
      <c r="F267" s="67">
        <f t="shared" ref="F267:N267" si="163">F180</f>
        <v>0</v>
      </c>
      <c r="G267" s="67">
        <f t="shared" si="163"/>
        <v>0</v>
      </c>
      <c r="H267" s="67">
        <f t="shared" si="163"/>
        <v>0</v>
      </c>
      <c r="I267" s="67">
        <f t="shared" si="163"/>
        <v>60000000</v>
      </c>
      <c r="J267" s="67">
        <f t="shared" si="163"/>
        <v>0</v>
      </c>
      <c r="K267" s="67">
        <f t="shared" si="163"/>
        <v>0</v>
      </c>
      <c r="L267" s="67">
        <f t="shared" si="163"/>
        <v>0</v>
      </c>
      <c r="M267" s="67">
        <f t="shared" si="163"/>
        <v>0</v>
      </c>
      <c r="N267" s="67">
        <f t="shared" si="163"/>
        <v>0</v>
      </c>
      <c r="O267" s="67">
        <v>0</v>
      </c>
      <c r="P267" s="326">
        <f t="shared" si="144"/>
        <v>60000000</v>
      </c>
      <c r="Q267" s="2"/>
      <c r="S267" s="2"/>
    </row>
    <row r="268" spans="1:19" x14ac:dyDescent="0.15">
      <c r="B268" s="340">
        <v>17</v>
      </c>
      <c r="C268" s="12" t="s">
        <v>313</v>
      </c>
      <c r="D268" s="67">
        <f>D261+D262+D266+D267</f>
        <v>-92550000</v>
      </c>
      <c r="E268" s="67">
        <f t="shared" ref="E268:N268" si="164">E261+E262+E266+E267</f>
        <v>0</v>
      </c>
      <c r="F268" s="67">
        <f t="shared" si="164"/>
        <v>0</v>
      </c>
      <c r="G268" s="67">
        <f t="shared" si="164"/>
        <v>0</v>
      </c>
      <c r="H268" s="67">
        <f t="shared" si="164"/>
        <v>0</v>
      </c>
      <c r="I268" s="67">
        <f t="shared" si="164"/>
        <v>71750066.299999997</v>
      </c>
      <c r="J268" s="67">
        <f t="shared" si="164"/>
        <v>0</v>
      </c>
      <c r="K268" s="67">
        <f t="shared" si="164"/>
        <v>0</v>
      </c>
      <c r="L268" s="67">
        <f t="shared" si="164"/>
        <v>0</v>
      </c>
      <c r="M268" s="67">
        <f t="shared" si="164"/>
        <v>0</v>
      </c>
      <c r="N268" s="67">
        <f t="shared" si="164"/>
        <v>0</v>
      </c>
      <c r="O268" s="67">
        <v>0</v>
      </c>
      <c r="P268" s="326">
        <f t="shared" si="144"/>
        <v>71750066.299999997</v>
      </c>
      <c r="Q268" s="461"/>
      <c r="R268" s="357" t="s">
        <v>693</v>
      </c>
      <c r="S268" s="2"/>
    </row>
    <row r="269" spans="1:19" ht="14" thickBot="1" x14ac:dyDescent="0.2">
      <c r="A269" s="1" t="s">
        <v>711</v>
      </c>
      <c r="B269" s="355">
        <v>18</v>
      </c>
      <c r="C269" s="335" t="s">
        <v>314</v>
      </c>
      <c r="D269" s="331">
        <f>D260+D268</f>
        <v>-92550000</v>
      </c>
      <c r="E269" s="331">
        <f t="shared" ref="E269:N269" si="165">E260+E268</f>
        <v>81512750</v>
      </c>
      <c r="F269" s="331">
        <f t="shared" si="165"/>
        <v>77120292.50000003</v>
      </c>
      <c r="G269" s="331">
        <f t="shared" si="165"/>
        <v>69840979.584124982</v>
      </c>
      <c r="H269" s="331">
        <f t="shared" si="165"/>
        <v>61058089.644990429</v>
      </c>
      <c r="I269" s="331">
        <f t="shared" si="165"/>
        <v>121965398.39853644</v>
      </c>
      <c r="J269" s="331">
        <f t="shared" si="165"/>
        <v>0</v>
      </c>
      <c r="K269" s="331">
        <f t="shared" si="165"/>
        <v>0</v>
      </c>
      <c r="L269" s="331">
        <f t="shared" si="165"/>
        <v>0</v>
      </c>
      <c r="M269" s="331">
        <f t="shared" si="165"/>
        <v>0</v>
      </c>
      <c r="N269" s="331">
        <f t="shared" si="165"/>
        <v>0</v>
      </c>
      <c r="O269" s="331">
        <v>0</v>
      </c>
      <c r="P269" s="356">
        <f t="shared" si="144"/>
        <v>411497510.12765187</v>
      </c>
      <c r="Q269" s="463"/>
      <c r="R269" s="358">
        <f>IF(ISNUMBER(IRR(D269:N269)),IRR(D269:N269),"NMF")</f>
        <v>0.80771549840865098</v>
      </c>
      <c r="S269" s="1" t="s">
        <v>711</v>
      </c>
    </row>
    <row r="270" spans="1:19" x14ac:dyDescent="0.15">
      <c r="S270" s="2"/>
    </row>
    <row r="271" spans="1:19" ht="14" thickBot="1" x14ac:dyDescent="0.2">
      <c r="S271" s="2"/>
    </row>
    <row r="272" spans="1:19" ht="14" thickBot="1" x14ac:dyDescent="0.2">
      <c r="B272" s="359" t="s">
        <v>282</v>
      </c>
      <c r="C272" s="360" t="s">
        <v>283</v>
      </c>
      <c r="D272" s="360"/>
      <c r="E272" s="360">
        <v>1</v>
      </c>
      <c r="F272" s="360">
        <v>2</v>
      </c>
      <c r="G272" s="360">
        <v>3</v>
      </c>
      <c r="H272" s="360">
        <v>4</v>
      </c>
      <c r="I272" s="360">
        <v>5</v>
      </c>
      <c r="J272" s="360">
        <v>6</v>
      </c>
      <c r="K272" s="360">
        <v>7</v>
      </c>
      <c r="L272" s="360">
        <v>8</v>
      </c>
      <c r="M272" s="360">
        <v>9</v>
      </c>
      <c r="N272" s="360">
        <v>10</v>
      </c>
      <c r="O272" s="360" t="s">
        <v>284</v>
      </c>
      <c r="P272" s="361" t="s">
        <v>285</v>
      </c>
      <c r="S272" s="2"/>
    </row>
    <row r="273" spans="1:19" x14ac:dyDescent="0.15">
      <c r="B273" s="339" t="s">
        <v>687</v>
      </c>
      <c r="C273" s="302" t="s">
        <v>287</v>
      </c>
      <c r="D273" s="322">
        <f t="shared" ref="D273:D278" si="166">D158</f>
        <v>0</v>
      </c>
      <c r="E273" s="322">
        <f t="shared" ref="E273:N273" si="167">E158</f>
        <v>300000000</v>
      </c>
      <c r="F273" s="322">
        <f t="shared" si="167"/>
        <v>313500000.00000006</v>
      </c>
      <c r="G273" s="322">
        <f t="shared" si="167"/>
        <v>327607500.00000006</v>
      </c>
      <c r="H273" s="322">
        <f t="shared" si="167"/>
        <v>342349837.50000012</v>
      </c>
      <c r="I273" s="322">
        <f t="shared" si="167"/>
        <v>357755580.18750012</v>
      </c>
      <c r="J273" s="322">
        <f t="shared" si="167"/>
        <v>0</v>
      </c>
      <c r="K273" s="322">
        <f t="shared" si="167"/>
        <v>0</v>
      </c>
      <c r="L273" s="322">
        <f t="shared" si="167"/>
        <v>0</v>
      </c>
      <c r="M273" s="322">
        <f t="shared" si="167"/>
        <v>0</v>
      </c>
      <c r="N273" s="322">
        <f t="shared" si="167"/>
        <v>0</v>
      </c>
      <c r="O273" s="322">
        <v>0</v>
      </c>
      <c r="P273" s="325">
        <f>SUM(E273:N273)</f>
        <v>1641212917.6875</v>
      </c>
      <c r="Q273" s="2"/>
      <c r="S273" s="2"/>
    </row>
    <row r="274" spans="1:19" x14ac:dyDescent="0.15">
      <c r="A274" s="1" t="s">
        <v>712</v>
      </c>
      <c r="B274" s="355" t="s">
        <v>689</v>
      </c>
      <c r="C274" s="362" t="s">
        <v>689</v>
      </c>
      <c r="D274" s="331">
        <f t="shared" si="166"/>
        <v>0</v>
      </c>
      <c r="E274" s="331">
        <f>E159*1.2</f>
        <v>360000000</v>
      </c>
      <c r="F274" s="331">
        <f t="shared" ref="F274:N274" si="168">F159*1.2</f>
        <v>376200000.00000006</v>
      </c>
      <c r="G274" s="331">
        <f t="shared" si="168"/>
        <v>393129000.00000006</v>
      </c>
      <c r="H274" s="331">
        <f t="shared" si="168"/>
        <v>410819805.00000012</v>
      </c>
      <c r="I274" s="331">
        <f t="shared" si="168"/>
        <v>429306696.22500014</v>
      </c>
      <c r="J274" s="331">
        <f t="shared" si="168"/>
        <v>0</v>
      </c>
      <c r="K274" s="331">
        <f t="shared" si="168"/>
        <v>0</v>
      </c>
      <c r="L274" s="331">
        <f t="shared" si="168"/>
        <v>0</v>
      </c>
      <c r="M274" s="331">
        <f t="shared" si="168"/>
        <v>0</v>
      </c>
      <c r="N274" s="331">
        <f t="shared" si="168"/>
        <v>0</v>
      </c>
      <c r="O274" s="331"/>
      <c r="P274" s="356">
        <f>SUM(E274:N274)</f>
        <v>1969455501.2250001</v>
      </c>
      <c r="Q274" s="460"/>
      <c r="S274" s="2"/>
    </row>
    <row r="275" spans="1:19" x14ac:dyDescent="0.15">
      <c r="B275" s="340" t="s">
        <v>690</v>
      </c>
      <c r="C275" s="354" t="s">
        <v>690</v>
      </c>
      <c r="D275" s="67">
        <f t="shared" si="166"/>
        <v>0</v>
      </c>
      <c r="E275" s="67">
        <f t="shared" ref="E275:N275" si="169">E160</f>
        <v>0</v>
      </c>
      <c r="F275" s="67">
        <f t="shared" si="169"/>
        <v>0</v>
      </c>
      <c r="G275" s="67">
        <f t="shared" si="169"/>
        <v>0</v>
      </c>
      <c r="H275" s="67">
        <f t="shared" si="169"/>
        <v>0</v>
      </c>
      <c r="I275" s="67">
        <f t="shared" si="169"/>
        <v>0</v>
      </c>
      <c r="J275" s="67">
        <f t="shared" si="169"/>
        <v>0</v>
      </c>
      <c r="K275" s="67">
        <f t="shared" si="169"/>
        <v>0</v>
      </c>
      <c r="L275" s="67">
        <f t="shared" si="169"/>
        <v>0</v>
      </c>
      <c r="M275" s="67">
        <f t="shared" si="169"/>
        <v>0</v>
      </c>
      <c r="N275" s="67">
        <f t="shared" si="169"/>
        <v>0</v>
      </c>
      <c r="O275" s="289"/>
      <c r="P275" s="326">
        <f>SUM(E275:N275)</f>
        <v>0</v>
      </c>
      <c r="Q275" s="2"/>
      <c r="S275" s="2"/>
    </row>
    <row r="276" spans="1:19" x14ac:dyDescent="0.15">
      <c r="B276" s="340" t="s">
        <v>691</v>
      </c>
      <c r="C276" s="354" t="s">
        <v>691</v>
      </c>
      <c r="D276" s="67">
        <f t="shared" si="166"/>
        <v>0</v>
      </c>
      <c r="E276" s="67">
        <f t="shared" ref="E276:N276" si="170">E161</f>
        <v>0</v>
      </c>
      <c r="F276" s="67">
        <f t="shared" si="170"/>
        <v>0</v>
      </c>
      <c r="G276" s="67">
        <f t="shared" si="170"/>
        <v>0</v>
      </c>
      <c r="H276" s="67">
        <f t="shared" si="170"/>
        <v>0</v>
      </c>
      <c r="I276" s="67">
        <f t="shared" si="170"/>
        <v>0</v>
      </c>
      <c r="J276" s="67">
        <f t="shared" si="170"/>
        <v>0</v>
      </c>
      <c r="K276" s="67">
        <f t="shared" si="170"/>
        <v>0</v>
      </c>
      <c r="L276" s="67">
        <f t="shared" si="170"/>
        <v>0</v>
      </c>
      <c r="M276" s="67">
        <f t="shared" si="170"/>
        <v>0</v>
      </c>
      <c r="N276" s="67">
        <f t="shared" si="170"/>
        <v>0</v>
      </c>
      <c r="O276" s="67"/>
      <c r="P276" s="326">
        <f>SUM(E276:N276)</f>
        <v>0</v>
      </c>
      <c r="Q276" s="2"/>
      <c r="S276" s="2"/>
    </row>
    <row r="277" spans="1:19" x14ac:dyDescent="0.15">
      <c r="B277" s="340" t="s">
        <v>695</v>
      </c>
      <c r="C277" s="12"/>
      <c r="D277" s="67">
        <f t="shared" si="166"/>
        <v>0</v>
      </c>
      <c r="E277" s="67">
        <f>E276+E275+E274</f>
        <v>360000000</v>
      </c>
      <c r="F277" s="67">
        <f t="shared" ref="F277:N277" si="171">F276+F275+F274</f>
        <v>376200000.00000006</v>
      </c>
      <c r="G277" s="67">
        <f t="shared" si="171"/>
        <v>393129000.00000006</v>
      </c>
      <c r="H277" s="67">
        <f t="shared" si="171"/>
        <v>410819805.00000012</v>
      </c>
      <c r="I277" s="67">
        <f t="shared" si="171"/>
        <v>429306696.22500014</v>
      </c>
      <c r="J277" s="67">
        <f t="shared" si="171"/>
        <v>0</v>
      </c>
      <c r="K277" s="67">
        <f t="shared" si="171"/>
        <v>0</v>
      </c>
      <c r="L277" s="67">
        <f t="shared" si="171"/>
        <v>0</v>
      </c>
      <c r="M277" s="67">
        <f t="shared" si="171"/>
        <v>0</v>
      </c>
      <c r="N277" s="67">
        <f t="shared" si="171"/>
        <v>0</v>
      </c>
      <c r="O277" s="67"/>
      <c r="P277" s="326">
        <f t="shared" ref="P277:P297" si="172">SUM(E277:N277)</f>
        <v>1969455501.2250001</v>
      </c>
      <c r="Q277" s="2"/>
      <c r="S277" s="2"/>
    </row>
    <row r="278" spans="1:19" x14ac:dyDescent="0.15">
      <c r="B278" s="340" t="s">
        <v>696</v>
      </c>
      <c r="C278" s="12" t="s">
        <v>289</v>
      </c>
      <c r="D278" s="67">
        <f t="shared" si="166"/>
        <v>0</v>
      </c>
      <c r="E278" s="67">
        <f t="shared" ref="E278:N278" si="173">E163</f>
        <v>230170000</v>
      </c>
      <c r="F278" s="67">
        <f t="shared" si="173"/>
        <v>253018375.00000003</v>
      </c>
      <c r="G278" s="67">
        <f t="shared" si="173"/>
        <v>278725718.45125008</v>
      </c>
      <c r="H278" s="67">
        <f t="shared" si="173"/>
        <v>307665975.06072807</v>
      </c>
      <c r="I278" s="67">
        <f t="shared" si="173"/>
        <v>340262566.36057305</v>
      </c>
      <c r="J278" s="67">
        <f t="shared" si="173"/>
        <v>0</v>
      </c>
      <c r="K278" s="67">
        <f t="shared" si="173"/>
        <v>0</v>
      </c>
      <c r="L278" s="67">
        <f t="shared" si="173"/>
        <v>0</v>
      </c>
      <c r="M278" s="67">
        <f t="shared" si="173"/>
        <v>0</v>
      </c>
      <c r="N278" s="67">
        <f t="shared" si="173"/>
        <v>0</v>
      </c>
      <c r="O278" s="67">
        <v>0</v>
      </c>
      <c r="P278" s="326">
        <f t="shared" si="172"/>
        <v>1409842634.8725512</v>
      </c>
      <c r="Q278" s="2"/>
      <c r="S278" s="2"/>
    </row>
    <row r="279" spans="1:19" x14ac:dyDescent="0.15">
      <c r="B279" s="340">
        <v>3</v>
      </c>
      <c r="C279" s="12" t="s">
        <v>290</v>
      </c>
      <c r="D279" s="67">
        <f>D277-D278</f>
        <v>0</v>
      </c>
      <c r="E279" s="67">
        <f t="shared" ref="E279:N279" si="174">E277-E278</f>
        <v>129830000</v>
      </c>
      <c r="F279" s="67">
        <f t="shared" si="174"/>
        <v>123181625.00000003</v>
      </c>
      <c r="G279" s="67">
        <f t="shared" si="174"/>
        <v>114403281.54874998</v>
      </c>
      <c r="H279" s="67">
        <f t="shared" si="174"/>
        <v>103153829.93927205</v>
      </c>
      <c r="I279" s="67">
        <f t="shared" si="174"/>
        <v>89044129.86442709</v>
      </c>
      <c r="J279" s="67">
        <f t="shared" si="174"/>
        <v>0</v>
      </c>
      <c r="K279" s="67">
        <f t="shared" si="174"/>
        <v>0</v>
      </c>
      <c r="L279" s="67">
        <f t="shared" si="174"/>
        <v>0</v>
      </c>
      <c r="M279" s="67">
        <f t="shared" si="174"/>
        <v>0</v>
      </c>
      <c r="N279" s="67">
        <f t="shared" si="174"/>
        <v>0</v>
      </c>
      <c r="O279" s="67">
        <v>0</v>
      </c>
      <c r="P279" s="326">
        <f t="shared" si="172"/>
        <v>559612866.35244918</v>
      </c>
      <c r="Q279" s="2"/>
      <c r="S279" s="2"/>
    </row>
    <row r="280" spans="1:19" x14ac:dyDescent="0.15">
      <c r="B280" s="340" t="s">
        <v>697</v>
      </c>
      <c r="C280" s="12" t="s">
        <v>292</v>
      </c>
      <c r="D280" s="67">
        <f t="shared" ref="D280:N295" si="175">D165</f>
        <v>0</v>
      </c>
      <c r="E280" s="67">
        <f t="shared" si="175"/>
        <v>3772500</v>
      </c>
      <c r="F280" s="67">
        <f t="shared" si="175"/>
        <v>6218850</v>
      </c>
      <c r="G280" s="67">
        <f t="shared" si="175"/>
        <v>4083150</v>
      </c>
      <c r="H280" s="67">
        <f t="shared" si="175"/>
        <v>2775510</v>
      </c>
      <c r="I280" s="67">
        <f t="shared" si="175"/>
        <v>1352955</v>
      </c>
      <c r="J280" s="67">
        <f t="shared" si="175"/>
        <v>0</v>
      </c>
      <c r="K280" s="67">
        <f t="shared" si="175"/>
        <v>0</v>
      </c>
      <c r="L280" s="67">
        <f t="shared" si="175"/>
        <v>0</v>
      </c>
      <c r="M280" s="67">
        <f t="shared" si="175"/>
        <v>0</v>
      </c>
      <c r="N280" s="67">
        <f t="shared" si="175"/>
        <v>0</v>
      </c>
      <c r="O280" s="67">
        <v>0</v>
      </c>
      <c r="P280" s="326">
        <f t="shared" si="172"/>
        <v>18202965</v>
      </c>
      <c r="Q280" s="2"/>
      <c r="S280" s="2"/>
    </row>
    <row r="281" spans="1:19" x14ac:dyDescent="0.15">
      <c r="B281" s="340">
        <v>5</v>
      </c>
      <c r="C281" s="12" t="s">
        <v>293</v>
      </c>
      <c r="D281" s="67">
        <f>D279-D280</f>
        <v>0</v>
      </c>
      <c r="E281" s="67">
        <f t="shared" ref="E281:N281" si="176">E279-E280</f>
        <v>126057500</v>
      </c>
      <c r="F281" s="67">
        <f t="shared" si="176"/>
        <v>116962775.00000003</v>
      </c>
      <c r="G281" s="67">
        <f t="shared" si="176"/>
        <v>110320131.54874998</v>
      </c>
      <c r="H281" s="67">
        <f t="shared" si="176"/>
        <v>100378319.93927205</v>
      </c>
      <c r="I281" s="67">
        <f t="shared" si="176"/>
        <v>87691174.86442709</v>
      </c>
      <c r="J281" s="67">
        <f t="shared" si="176"/>
        <v>0</v>
      </c>
      <c r="K281" s="67">
        <f t="shared" si="176"/>
        <v>0</v>
      </c>
      <c r="L281" s="67">
        <f t="shared" si="176"/>
        <v>0</v>
      </c>
      <c r="M281" s="67">
        <f t="shared" si="176"/>
        <v>0</v>
      </c>
      <c r="N281" s="67">
        <f t="shared" si="176"/>
        <v>0</v>
      </c>
      <c r="O281" s="67">
        <v>0</v>
      </c>
      <c r="P281" s="326">
        <f t="shared" si="172"/>
        <v>541409901.35244918</v>
      </c>
      <c r="Q281" s="2"/>
      <c r="S281" s="2"/>
    </row>
    <row r="282" spans="1:19" x14ac:dyDescent="0.15">
      <c r="B282" s="340" t="s">
        <v>698</v>
      </c>
      <c r="C282" s="12" t="s">
        <v>295</v>
      </c>
      <c r="D282" s="67">
        <f t="shared" si="175"/>
        <v>0</v>
      </c>
      <c r="E282" s="67">
        <f t="shared" si="175"/>
        <v>0</v>
      </c>
      <c r="F282" s="67">
        <f t="shared" si="175"/>
        <v>0</v>
      </c>
      <c r="G282" s="67">
        <f t="shared" si="175"/>
        <v>0</v>
      </c>
      <c r="H282" s="67">
        <f t="shared" si="175"/>
        <v>0</v>
      </c>
      <c r="I282" s="67">
        <f t="shared" si="175"/>
        <v>0</v>
      </c>
      <c r="J282" s="67">
        <f t="shared" si="175"/>
        <v>0</v>
      </c>
      <c r="K282" s="67">
        <f t="shared" si="175"/>
        <v>0</v>
      </c>
      <c r="L282" s="67">
        <f t="shared" si="175"/>
        <v>0</v>
      </c>
      <c r="M282" s="67">
        <f t="shared" si="175"/>
        <v>0</v>
      </c>
      <c r="N282" s="67">
        <f t="shared" si="175"/>
        <v>0</v>
      </c>
      <c r="O282" s="67">
        <v>0</v>
      </c>
      <c r="P282" s="326">
        <f t="shared" si="172"/>
        <v>0</v>
      </c>
      <c r="Q282" s="2"/>
      <c r="S282" s="2"/>
    </row>
    <row r="283" spans="1:19" x14ac:dyDescent="0.15">
      <c r="B283" s="340">
        <v>7</v>
      </c>
      <c r="C283" s="12" t="s">
        <v>296</v>
      </c>
      <c r="D283" s="67">
        <f>D281-D282</f>
        <v>0</v>
      </c>
      <c r="E283" s="67">
        <f t="shared" ref="E283:N283" si="177">E281-E282</f>
        <v>126057500</v>
      </c>
      <c r="F283" s="67">
        <f t="shared" si="177"/>
        <v>116962775.00000003</v>
      </c>
      <c r="G283" s="67">
        <f t="shared" si="177"/>
        <v>110320131.54874998</v>
      </c>
      <c r="H283" s="67">
        <f t="shared" si="177"/>
        <v>100378319.93927205</v>
      </c>
      <c r="I283" s="67">
        <f t="shared" si="177"/>
        <v>87691174.86442709</v>
      </c>
      <c r="J283" s="67">
        <f t="shared" si="177"/>
        <v>0</v>
      </c>
      <c r="K283" s="67">
        <f t="shared" si="177"/>
        <v>0</v>
      </c>
      <c r="L283" s="67">
        <f t="shared" si="177"/>
        <v>0</v>
      </c>
      <c r="M283" s="67">
        <f t="shared" si="177"/>
        <v>0</v>
      </c>
      <c r="N283" s="67">
        <f t="shared" si="177"/>
        <v>0</v>
      </c>
      <c r="O283" s="67">
        <v>0</v>
      </c>
      <c r="P283" s="326">
        <f t="shared" si="172"/>
        <v>541409901.35244918</v>
      </c>
      <c r="Q283" s="2"/>
      <c r="S283" s="2"/>
    </row>
    <row r="284" spans="1:19" x14ac:dyDescent="0.15">
      <c r="B284" s="340">
        <v>8</v>
      </c>
      <c r="C284" s="12" t="s">
        <v>297</v>
      </c>
      <c r="D284" s="67">
        <f>-D283*$D$3</f>
        <v>0</v>
      </c>
      <c r="E284" s="67">
        <f t="shared" ref="E284:N284" si="178">-E283*$D$3</f>
        <v>-37817250</v>
      </c>
      <c r="F284" s="67">
        <f t="shared" si="178"/>
        <v>-35088832.500000007</v>
      </c>
      <c r="G284" s="67">
        <f t="shared" si="178"/>
        <v>-33096039.464624994</v>
      </c>
      <c r="H284" s="67">
        <f t="shared" si="178"/>
        <v>-30113495.981781613</v>
      </c>
      <c r="I284" s="67">
        <f t="shared" si="178"/>
        <v>-26307352.459328126</v>
      </c>
      <c r="J284" s="67">
        <f t="shared" si="178"/>
        <v>0</v>
      </c>
      <c r="K284" s="67">
        <f t="shared" si="178"/>
        <v>0</v>
      </c>
      <c r="L284" s="67">
        <f t="shared" si="178"/>
        <v>0</v>
      </c>
      <c r="M284" s="67">
        <f t="shared" si="178"/>
        <v>0</v>
      </c>
      <c r="N284" s="67">
        <f t="shared" si="178"/>
        <v>0</v>
      </c>
      <c r="O284" s="67">
        <v>0</v>
      </c>
      <c r="P284" s="326">
        <f t="shared" si="172"/>
        <v>-162422970.40573472</v>
      </c>
      <c r="Q284" s="2"/>
      <c r="S284" s="2"/>
    </row>
    <row r="285" spans="1:19" x14ac:dyDescent="0.15">
      <c r="B285" s="340">
        <v>9</v>
      </c>
      <c r="C285" s="12" t="s">
        <v>298</v>
      </c>
      <c r="D285" s="67">
        <f t="shared" si="175"/>
        <v>0</v>
      </c>
      <c r="E285" s="67">
        <f t="shared" si="175"/>
        <v>0</v>
      </c>
      <c r="F285" s="67">
        <f t="shared" si="175"/>
        <v>0</v>
      </c>
      <c r="G285" s="67">
        <f t="shared" si="175"/>
        <v>0</v>
      </c>
      <c r="H285" s="67">
        <f t="shared" si="175"/>
        <v>0</v>
      </c>
      <c r="I285" s="67">
        <f t="shared" si="175"/>
        <v>0</v>
      </c>
      <c r="J285" s="67">
        <f t="shared" si="175"/>
        <v>0</v>
      </c>
      <c r="K285" s="67">
        <f t="shared" si="175"/>
        <v>0</v>
      </c>
      <c r="L285" s="67">
        <f t="shared" si="175"/>
        <v>0</v>
      </c>
      <c r="M285" s="67">
        <f t="shared" si="175"/>
        <v>0</v>
      </c>
      <c r="N285" s="67">
        <f t="shared" si="175"/>
        <v>0</v>
      </c>
      <c r="O285" s="67">
        <v>0</v>
      </c>
      <c r="P285" s="326">
        <f t="shared" si="172"/>
        <v>0</v>
      </c>
      <c r="Q285" s="2"/>
      <c r="S285" s="2"/>
    </row>
    <row r="286" spans="1:19" x14ac:dyDescent="0.15">
      <c r="B286" s="340">
        <v>10</v>
      </c>
      <c r="C286" s="12" t="s">
        <v>299</v>
      </c>
      <c r="D286" s="67">
        <f>D283+D284+D285</f>
        <v>0</v>
      </c>
      <c r="E286" s="67">
        <f t="shared" ref="E286:N286" si="179">E283+E284+E285</f>
        <v>88240250</v>
      </c>
      <c r="F286" s="67">
        <f t="shared" si="179"/>
        <v>81873942.50000003</v>
      </c>
      <c r="G286" s="67">
        <f t="shared" si="179"/>
        <v>77224092.084124982</v>
      </c>
      <c r="H286" s="67">
        <f t="shared" si="179"/>
        <v>70264823.957490429</v>
      </c>
      <c r="I286" s="67">
        <f t="shared" si="179"/>
        <v>61383822.40509896</v>
      </c>
      <c r="J286" s="67">
        <f t="shared" si="179"/>
        <v>0</v>
      </c>
      <c r="K286" s="67">
        <f t="shared" si="179"/>
        <v>0</v>
      </c>
      <c r="L286" s="67">
        <f t="shared" si="179"/>
        <v>0</v>
      </c>
      <c r="M286" s="67">
        <f t="shared" si="179"/>
        <v>0</v>
      </c>
      <c r="N286" s="67">
        <f t="shared" si="179"/>
        <v>0</v>
      </c>
      <c r="O286" s="67">
        <v>0</v>
      </c>
      <c r="P286" s="326">
        <f t="shared" si="172"/>
        <v>378986930.9467144</v>
      </c>
      <c r="Q286" s="2"/>
      <c r="S286" s="2"/>
    </row>
    <row r="287" spans="1:19" x14ac:dyDescent="0.15">
      <c r="B287" s="340" t="s">
        <v>699</v>
      </c>
      <c r="C287" s="12" t="s">
        <v>292</v>
      </c>
      <c r="D287" s="67">
        <f t="shared" si="175"/>
        <v>0</v>
      </c>
      <c r="E287" s="67">
        <f t="shared" si="175"/>
        <v>3772500</v>
      </c>
      <c r="F287" s="67">
        <f t="shared" si="175"/>
        <v>6218850</v>
      </c>
      <c r="G287" s="67">
        <f t="shared" si="175"/>
        <v>4083150</v>
      </c>
      <c r="H287" s="67">
        <f t="shared" si="175"/>
        <v>2775510</v>
      </c>
      <c r="I287" s="67">
        <f t="shared" si="175"/>
        <v>1352955</v>
      </c>
      <c r="J287" s="67">
        <f t="shared" si="175"/>
        <v>0</v>
      </c>
      <c r="K287" s="67">
        <f t="shared" si="175"/>
        <v>0</v>
      </c>
      <c r="L287" s="67">
        <f t="shared" si="175"/>
        <v>0</v>
      </c>
      <c r="M287" s="67">
        <f t="shared" si="175"/>
        <v>0</v>
      </c>
      <c r="N287" s="67">
        <f t="shared" si="175"/>
        <v>0</v>
      </c>
      <c r="O287" s="67">
        <v>0</v>
      </c>
      <c r="P287" s="326">
        <f t="shared" si="172"/>
        <v>18202965</v>
      </c>
      <c r="Q287" s="2"/>
      <c r="S287" s="2"/>
    </row>
    <row r="288" spans="1:19" x14ac:dyDescent="0.15">
      <c r="B288" s="340">
        <v>12</v>
      </c>
      <c r="C288" s="12" t="s">
        <v>301</v>
      </c>
      <c r="D288" s="67">
        <f>D286+D287</f>
        <v>0</v>
      </c>
      <c r="E288" s="67">
        <f t="shared" ref="E288:N288" si="180">E286+E287</f>
        <v>92012750</v>
      </c>
      <c r="F288" s="67">
        <f t="shared" si="180"/>
        <v>88092792.50000003</v>
      </c>
      <c r="G288" s="67">
        <f t="shared" si="180"/>
        <v>81307242.084124982</v>
      </c>
      <c r="H288" s="67">
        <f t="shared" si="180"/>
        <v>73040333.957490429</v>
      </c>
      <c r="I288" s="67">
        <f t="shared" si="180"/>
        <v>62736777.40509896</v>
      </c>
      <c r="J288" s="67">
        <f t="shared" si="180"/>
        <v>0</v>
      </c>
      <c r="K288" s="67">
        <f t="shared" si="180"/>
        <v>0</v>
      </c>
      <c r="L288" s="67">
        <f t="shared" si="180"/>
        <v>0</v>
      </c>
      <c r="M288" s="67">
        <f t="shared" si="180"/>
        <v>0</v>
      </c>
      <c r="N288" s="67">
        <f t="shared" si="180"/>
        <v>0</v>
      </c>
      <c r="O288" s="67">
        <v>0</v>
      </c>
      <c r="P288" s="326">
        <f t="shared" si="172"/>
        <v>397189895.9467144</v>
      </c>
      <c r="Q288" s="2"/>
      <c r="S288" s="2"/>
    </row>
    <row r="289" spans="1:19" x14ac:dyDescent="0.15">
      <c r="B289" s="340" t="s">
        <v>700</v>
      </c>
      <c r="C289" s="12" t="s">
        <v>303</v>
      </c>
      <c r="D289" s="67">
        <f t="shared" si="175"/>
        <v>0</v>
      </c>
      <c r="E289" s="67">
        <f t="shared" si="175"/>
        <v>0</v>
      </c>
      <c r="F289" s="67">
        <f t="shared" si="175"/>
        <v>0</v>
      </c>
      <c r="G289" s="67">
        <f t="shared" si="175"/>
        <v>0</v>
      </c>
      <c r="H289" s="67">
        <f t="shared" si="175"/>
        <v>0</v>
      </c>
      <c r="I289" s="67">
        <f t="shared" si="175"/>
        <v>0</v>
      </c>
      <c r="J289" s="67">
        <f t="shared" si="175"/>
        <v>0</v>
      </c>
      <c r="K289" s="67">
        <f t="shared" si="175"/>
        <v>0</v>
      </c>
      <c r="L289" s="67">
        <f t="shared" si="175"/>
        <v>0</v>
      </c>
      <c r="M289" s="67">
        <f t="shared" si="175"/>
        <v>0</v>
      </c>
      <c r="N289" s="67">
        <f t="shared" si="175"/>
        <v>0</v>
      </c>
      <c r="O289" s="67">
        <v>0</v>
      </c>
      <c r="P289" s="326">
        <f t="shared" si="172"/>
        <v>0</v>
      </c>
      <c r="Q289" s="2"/>
      <c r="S289" s="2"/>
    </row>
    <row r="290" spans="1:19" x14ac:dyDescent="0.15">
      <c r="B290" s="340">
        <v>14</v>
      </c>
      <c r="C290" s="12" t="s">
        <v>304</v>
      </c>
      <c r="D290" s="67">
        <f>D291+D292+D293</f>
        <v>-32550000</v>
      </c>
      <c r="E290" s="67">
        <f t="shared" ref="E290:N290" si="181">E291+E292+E293</f>
        <v>0</v>
      </c>
      <c r="F290" s="67">
        <f t="shared" si="181"/>
        <v>0</v>
      </c>
      <c r="G290" s="67">
        <f t="shared" si="181"/>
        <v>0</v>
      </c>
      <c r="H290" s="67">
        <f t="shared" si="181"/>
        <v>0</v>
      </c>
      <c r="I290" s="67">
        <f t="shared" si="181"/>
        <v>14347035</v>
      </c>
      <c r="J290" s="67">
        <f t="shared" si="181"/>
        <v>0</v>
      </c>
      <c r="K290" s="67">
        <f t="shared" si="181"/>
        <v>0</v>
      </c>
      <c r="L290" s="67">
        <f t="shared" si="181"/>
        <v>0</v>
      </c>
      <c r="M290" s="67">
        <f t="shared" si="181"/>
        <v>0</v>
      </c>
      <c r="N290" s="67">
        <f t="shared" si="181"/>
        <v>0</v>
      </c>
      <c r="O290" s="67">
        <v>0</v>
      </c>
      <c r="P290" s="326">
        <f t="shared" si="172"/>
        <v>14347035</v>
      </c>
      <c r="Q290" s="2"/>
      <c r="S290" s="2"/>
    </row>
    <row r="291" spans="1:19" x14ac:dyDescent="0.15">
      <c r="B291" s="340" t="s">
        <v>701</v>
      </c>
      <c r="C291" s="12" t="s">
        <v>207</v>
      </c>
      <c r="D291" s="67">
        <f t="shared" si="175"/>
        <v>-31050000</v>
      </c>
      <c r="E291" s="67">
        <f t="shared" si="175"/>
        <v>0</v>
      </c>
      <c r="F291" s="67">
        <f t="shared" si="175"/>
        <v>0</v>
      </c>
      <c r="G291" s="67">
        <f t="shared" si="175"/>
        <v>0</v>
      </c>
      <c r="H291" s="67">
        <f t="shared" si="175"/>
        <v>0</v>
      </c>
      <c r="I291" s="67">
        <f t="shared" si="175"/>
        <v>12847035</v>
      </c>
      <c r="J291" s="67">
        <f t="shared" si="175"/>
        <v>0</v>
      </c>
      <c r="K291" s="67">
        <f t="shared" si="175"/>
        <v>0</v>
      </c>
      <c r="L291" s="67">
        <f t="shared" si="175"/>
        <v>0</v>
      </c>
      <c r="M291" s="67">
        <f t="shared" si="175"/>
        <v>0</v>
      </c>
      <c r="N291" s="67">
        <f t="shared" si="175"/>
        <v>0</v>
      </c>
      <c r="O291" s="67">
        <v>0</v>
      </c>
      <c r="P291" s="326">
        <f t="shared" si="172"/>
        <v>12847035</v>
      </c>
      <c r="Q291" s="2"/>
      <c r="S291" s="2"/>
    </row>
    <row r="292" spans="1:19" x14ac:dyDescent="0.15">
      <c r="B292" s="340" t="s">
        <v>702</v>
      </c>
      <c r="C292" s="12" t="s">
        <v>307</v>
      </c>
      <c r="D292" s="67">
        <f t="shared" si="175"/>
        <v>-1500000</v>
      </c>
      <c r="E292" s="67">
        <f t="shared" si="175"/>
        <v>0</v>
      </c>
      <c r="F292" s="67">
        <f t="shared" si="175"/>
        <v>0</v>
      </c>
      <c r="G292" s="67">
        <f t="shared" si="175"/>
        <v>0</v>
      </c>
      <c r="H292" s="67">
        <f t="shared" si="175"/>
        <v>0</v>
      </c>
      <c r="I292" s="67">
        <f t="shared" si="175"/>
        <v>1500000</v>
      </c>
      <c r="J292" s="67">
        <f t="shared" si="175"/>
        <v>0</v>
      </c>
      <c r="K292" s="67">
        <f t="shared" si="175"/>
        <v>0</v>
      </c>
      <c r="L292" s="67">
        <f t="shared" si="175"/>
        <v>0</v>
      </c>
      <c r="M292" s="67">
        <f t="shared" si="175"/>
        <v>0</v>
      </c>
      <c r="N292" s="67">
        <f t="shared" si="175"/>
        <v>0</v>
      </c>
      <c r="O292" s="67">
        <v>0</v>
      </c>
      <c r="P292" s="326">
        <f t="shared" si="172"/>
        <v>1500000</v>
      </c>
      <c r="Q292" s="2"/>
      <c r="S292" s="2"/>
    </row>
    <row r="293" spans="1:19" x14ac:dyDescent="0.15">
      <c r="B293" s="340" t="s">
        <v>703</v>
      </c>
      <c r="C293" s="12" t="s">
        <v>309</v>
      </c>
      <c r="D293" s="67">
        <f t="shared" si="175"/>
        <v>0</v>
      </c>
      <c r="E293" s="67">
        <f t="shared" si="175"/>
        <v>0</v>
      </c>
      <c r="F293" s="67">
        <f t="shared" si="175"/>
        <v>0</v>
      </c>
      <c r="G293" s="67">
        <f t="shared" si="175"/>
        <v>0</v>
      </c>
      <c r="H293" s="67">
        <f t="shared" si="175"/>
        <v>0</v>
      </c>
      <c r="I293" s="67">
        <f t="shared" si="175"/>
        <v>0</v>
      </c>
      <c r="J293" s="67">
        <f t="shared" si="175"/>
        <v>0</v>
      </c>
      <c r="K293" s="67">
        <f t="shared" si="175"/>
        <v>0</v>
      </c>
      <c r="L293" s="67">
        <f t="shared" si="175"/>
        <v>0</v>
      </c>
      <c r="M293" s="67">
        <f t="shared" si="175"/>
        <v>0</v>
      </c>
      <c r="N293" s="67">
        <f t="shared" si="175"/>
        <v>0</v>
      </c>
      <c r="O293" s="67">
        <v>0</v>
      </c>
      <c r="P293" s="326">
        <f t="shared" si="172"/>
        <v>0</v>
      </c>
      <c r="Q293" s="2"/>
      <c r="S293" s="2"/>
    </row>
    <row r="294" spans="1:19" x14ac:dyDescent="0.15">
      <c r="B294" s="340" t="s">
        <v>704</v>
      </c>
      <c r="C294" s="12" t="s">
        <v>311</v>
      </c>
      <c r="D294" s="67">
        <f t="shared" si="175"/>
        <v>0</v>
      </c>
      <c r="E294" s="67">
        <f t="shared" si="175"/>
        <v>0</v>
      </c>
      <c r="F294" s="67">
        <f t="shared" si="175"/>
        <v>0</v>
      </c>
      <c r="G294" s="67">
        <f t="shared" si="175"/>
        <v>0</v>
      </c>
      <c r="H294" s="67">
        <f t="shared" si="175"/>
        <v>0</v>
      </c>
      <c r="I294" s="67">
        <f t="shared" si="175"/>
        <v>-2596968.7000000002</v>
      </c>
      <c r="J294" s="67">
        <f t="shared" si="175"/>
        <v>0</v>
      </c>
      <c r="K294" s="67">
        <f t="shared" si="175"/>
        <v>0</v>
      </c>
      <c r="L294" s="67">
        <f t="shared" si="175"/>
        <v>0</v>
      </c>
      <c r="M294" s="67">
        <f t="shared" si="175"/>
        <v>0</v>
      </c>
      <c r="N294" s="67">
        <f t="shared" si="175"/>
        <v>0</v>
      </c>
      <c r="O294" s="67">
        <v>0</v>
      </c>
      <c r="P294" s="326">
        <f t="shared" si="172"/>
        <v>-2596968.7000000002</v>
      </c>
      <c r="Q294" s="2"/>
      <c r="S294" s="2"/>
    </row>
    <row r="295" spans="1:19" ht="14" thickBot="1" x14ac:dyDescent="0.2">
      <c r="B295" s="340" t="s">
        <v>705</v>
      </c>
      <c r="C295" s="12" t="s">
        <v>115</v>
      </c>
      <c r="D295" s="67">
        <f t="shared" si="175"/>
        <v>-60000000</v>
      </c>
      <c r="E295" s="67">
        <f t="shared" si="175"/>
        <v>0</v>
      </c>
      <c r="F295" s="67">
        <f t="shared" si="175"/>
        <v>0</v>
      </c>
      <c r="G295" s="67">
        <f t="shared" si="175"/>
        <v>0</v>
      </c>
      <c r="H295" s="67">
        <f t="shared" si="175"/>
        <v>0</v>
      </c>
      <c r="I295" s="67">
        <f t="shared" si="175"/>
        <v>60000000</v>
      </c>
      <c r="J295" s="67">
        <f t="shared" si="175"/>
        <v>0</v>
      </c>
      <c r="K295" s="67">
        <f t="shared" si="175"/>
        <v>0</v>
      </c>
      <c r="L295" s="67">
        <f t="shared" si="175"/>
        <v>0</v>
      </c>
      <c r="M295" s="67">
        <f t="shared" si="175"/>
        <v>0</v>
      </c>
      <c r="N295" s="67">
        <f t="shared" si="175"/>
        <v>0</v>
      </c>
      <c r="O295" s="67">
        <v>0</v>
      </c>
      <c r="P295" s="326">
        <f t="shared" si="172"/>
        <v>60000000</v>
      </c>
      <c r="Q295" s="2"/>
      <c r="S295" s="2"/>
    </row>
    <row r="296" spans="1:19" x14ac:dyDescent="0.15">
      <c r="B296" s="340">
        <v>17</v>
      </c>
      <c r="C296" s="12" t="s">
        <v>313</v>
      </c>
      <c r="D296" s="67">
        <f>D289+D290+D294+D295</f>
        <v>-92550000</v>
      </c>
      <c r="E296" s="67">
        <f t="shared" ref="E296:N296" si="182">E289+E290+E294+E295</f>
        <v>0</v>
      </c>
      <c r="F296" s="67">
        <f t="shared" si="182"/>
        <v>0</v>
      </c>
      <c r="G296" s="67">
        <f t="shared" si="182"/>
        <v>0</v>
      </c>
      <c r="H296" s="67">
        <f t="shared" si="182"/>
        <v>0</v>
      </c>
      <c r="I296" s="67">
        <f t="shared" si="182"/>
        <v>71750066.299999997</v>
      </c>
      <c r="J296" s="67">
        <f t="shared" si="182"/>
        <v>0</v>
      </c>
      <c r="K296" s="67">
        <f t="shared" si="182"/>
        <v>0</v>
      </c>
      <c r="L296" s="67">
        <f t="shared" si="182"/>
        <v>0</v>
      </c>
      <c r="M296" s="67">
        <f t="shared" si="182"/>
        <v>0</v>
      </c>
      <c r="N296" s="67">
        <f t="shared" si="182"/>
        <v>0</v>
      </c>
      <c r="O296" s="67">
        <v>0</v>
      </c>
      <c r="P296" s="326">
        <f t="shared" si="172"/>
        <v>71750066.299999997</v>
      </c>
      <c r="Q296" s="461"/>
      <c r="R296" s="357" t="s">
        <v>693</v>
      </c>
      <c r="S296" s="2"/>
    </row>
    <row r="297" spans="1:19" ht="14" thickBot="1" x14ac:dyDescent="0.2">
      <c r="A297" s="1" t="s">
        <v>712</v>
      </c>
      <c r="B297" s="355">
        <v>18</v>
      </c>
      <c r="C297" s="335" t="s">
        <v>314</v>
      </c>
      <c r="D297" s="67">
        <f>D288+D296</f>
        <v>-92550000</v>
      </c>
      <c r="E297" s="67">
        <f t="shared" ref="E297:N297" si="183">E288+E296</f>
        <v>92012750</v>
      </c>
      <c r="F297" s="67">
        <f t="shared" si="183"/>
        <v>88092792.50000003</v>
      </c>
      <c r="G297" s="67">
        <f t="shared" si="183"/>
        <v>81307242.084124982</v>
      </c>
      <c r="H297" s="67">
        <f t="shared" si="183"/>
        <v>73040333.957490429</v>
      </c>
      <c r="I297" s="67">
        <f t="shared" si="183"/>
        <v>134486843.70509896</v>
      </c>
      <c r="J297" s="67">
        <f t="shared" si="183"/>
        <v>0</v>
      </c>
      <c r="K297" s="67">
        <f t="shared" si="183"/>
        <v>0</v>
      </c>
      <c r="L297" s="67">
        <f t="shared" si="183"/>
        <v>0</v>
      </c>
      <c r="M297" s="67">
        <f t="shared" si="183"/>
        <v>0</v>
      </c>
      <c r="N297" s="67">
        <f t="shared" si="183"/>
        <v>0</v>
      </c>
      <c r="O297" s="331">
        <v>0</v>
      </c>
      <c r="P297" s="356">
        <f t="shared" si="172"/>
        <v>468939962.24671435</v>
      </c>
      <c r="Q297" s="463"/>
      <c r="R297" s="358">
        <f>IF(ISNUMBER(IRR(D297:N297)),IRR(D297:N297),"NMF")</f>
        <v>0.93410525986521442</v>
      </c>
      <c r="S297" s="1" t="s">
        <v>712</v>
      </c>
    </row>
    <row r="298" spans="1:19" x14ac:dyDescent="0.15">
      <c r="S298" s="2"/>
    </row>
    <row r="299" spans="1:19" ht="14" thickBot="1" x14ac:dyDescent="0.2">
      <c r="S299" s="2"/>
    </row>
    <row r="300" spans="1:19" ht="14" thickBot="1" x14ac:dyDescent="0.2">
      <c r="A300" t="s">
        <v>713</v>
      </c>
      <c r="B300" s="359" t="s">
        <v>282</v>
      </c>
      <c r="C300" s="360" t="s">
        <v>283</v>
      </c>
      <c r="D300" s="360"/>
      <c r="E300" s="360">
        <v>1</v>
      </c>
      <c r="F300" s="360">
        <v>2</v>
      </c>
      <c r="G300" s="360">
        <v>3</v>
      </c>
      <c r="H300" s="360">
        <v>4</v>
      </c>
      <c r="I300" s="360">
        <v>5</v>
      </c>
      <c r="J300" s="360">
        <v>6</v>
      </c>
      <c r="K300" s="360">
        <v>7</v>
      </c>
      <c r="L300" s="360">
        <v>8</v>
      </c>
      <c r="M300" s="360">
        <v>9</v>
      </c>
      <c r="N300" s="360">
        <v>10</v>
      </c>
      <c r="O300" s="360" t="s">
        <v>284</v>
      </c>
      <c r="P300" s="361" t="s">
        <v>285</v>
      </c>
    </row>
    <row r="301" spans="1:19" x14ac:dyDescent="0.15">
      <c r="B301" s="339" t="s">
        <v>687</v>
      </c>
      <c r="C301" s="302" t="s">
        <v>287</v>
      </c>
      <c r="D301" s="322">
        <f t="shared" ref="D301:D306" si="184">D158</f>
        <v>0</v>
      </c>
      <c r="E301" s="322">
        <f t="shared" ref="E301:N301" si="185">E158</f>
        <v>300000000</v>
      </c>
      <c r="F301" s="322">
        <f t="shared" si="185"/>
        <v>313500000.00000006</v>
      </c>
      <c r="G301" s="322">
        <f t="shared" si="185"/>
        <v>327607500.00000006</v>
      </c>
      <c r="H301" s="322">
        <f t="shared" si="185"/>
        <v>342349837.50000012</v>
      </c>
      <c r="I301" s="322">
        <f t="shared" si="185"/>
        <v>357755580.18750012</v>
      </c>
      <c r="J301" s="322">
        <f t="shared" si="185"/>
        <v>0</v>
      </c>
      <c r="K301" s="322">
        <f t="shared" si="185"/>
        <v>0</v>
      </c>
      <c r="L301" s="322">
        <f t="shared" si="185"/>
        <v>0</v>
      </c>
      <c r="M301" s="322">
        <f t="shared" si="185"/>
        <v>0</v>
      </c>
      <c r="N301" s="322">
        <f t="shared" si="185"/>
        <v>0</v>
      </c>
      <c r="O301" s="322">
        <v>0</v>
      </c>
      <c r="P301" s="325">
        <f>SUM(E301:N301)</f>
        <v>1641212917.6875</v>
      </c>
      <c r="Q301" s="2"/>
    </row>
    <row r="302" spans="1:19" x14ac:dyDescent="0.15">
      <c r="A302" s="1" t="s">
        <v>714</v>
      </c>
      <c r="B302" s="355" t="s">
        <v>689</v>
      </c>
      <c r="C302" s="362" t="s">
        <v>689</v>
      </c>
      <c r="D302" s="331">
        <f t="shared" si="184"/>
        <v>0</v>
      </c>
      <c r="E302" s="331">
        <f>E159*1.25</f>
        <v>375000000</v>
      </c>
      <c r="F302" s="331">
        <f t="shared" ref="F302:N302" si="186">F159*1.25</f>
        <v>391875000.00000006</v>
      </c>
      <c r="G302" s="331">
        <f t="shared" si="186"/>
        <v>409509375.00000006</v>
      </c>
      <c r="H302" s="331">
        <f t="shared" si="186"/>
        <v>427937296.87500012</v>
      </c>
      <c r="I302" s="331">
        <f t="shared" si="186"/>
        <v>447194475.23437512</v>
      </c>
      <c r="J302" s="331">
        <f t="shared" si="186"/>
        <v>0</v>
      </c>
      <c r="K302" s="331">
        <f t="shared" si="186"/>
        <v>0</v>
      </c>
      <c r="L302" s="331">
        <f t="shared" si="186"/>
        <v>0</v>
      </c>
      <c r="M302" s="331">
        <f t="shared" si="186"/>
        <v>0</v>
      </c>
      <c r="N302" s="331">
        <f t="shared" si="186"/>
        <v>0</v>
      </c>
      <c r="O302" s="331"/>
      <c r="P302" s="356">
        <f>SUM(E302:N302)</f>
        <v>2051516147.109375</v>
      </c>
      <c r="Q302" s="460"/>
    </row>
    <row r="303" spans="1:19" x14ac:dyDescent="0.15">
      <c r="B303" s="340" t="s">
        <v>690</v>
      </c>
      <c r="C303" s="354" t="s">
        <v>690</v>
      </c>
      <c r="D303" s="67">
        <f t="shared" si="184"/>
        <v>0</v>
      </c>
      <c r="E303" s="67">
        <f t="shared" ref="E303:N303" si="187">E160</f>
        <v>0</v>
      </c>
      <c r="F303" s="67">
        <f t="shared" si="187"/>
        <v>0</v>
      </c>
      <c r="G303" s="67">
        <f t="shared" si="187"/>
        <v>0</v>
      </c>
      <c r="H303" s="67">
        <f t="shared" si="187"/>
        <v>0</v>
      </c>
      <c r="I303" s="67">
        <f t="shared" si="187"/>
        <v>0</v>
      </c>
      <c r="J303" s="67">
        <f t="shared" si="187"/>
        <v>0</v>
      </c>
      <c r="K303" s="67">
        <f t="shared" si="187"/>
        <v>0</v>
      </c>
      <c r="L303" s="67">
        <f t="shared" si="187"/>
        <v>0</v>
      </c>
      <c r="M303" s="67">
        <f t="shared" si="187"/>
        <v>0</v>
      </c>
      <c r="N303" s="67">
        <f t="shared" si="187"/>
        <v>0</v>
      </c>
      <c r="O303" s="289"/>
      <c r="P303" s="326">
        <f>SUM(E303:N303)</f>
        <v>0</v>
      </c>
      <c r="Q303" s="2"/>
    </row>
    <row r="304" spans="1:19" x14ac:dyDescent="0.15">
      <c r="B304" s="340" t="s">
        <v>691</v>
      </c>
      <c r="C304" s="354" t="s">
        <v>691</v>
      </c>
      <c r="D304" s="67">
        <f t="shared" si="184"/>
        <v>0</v>
      </c>
      <c r="E304" s="67">
        <f t="shared" ref="E304:N304" si="188">E161</f>
        <v>0</v>
      </c>
      <c r="F304" s="67">
        <f t="shared" si="188"/>
        <v>0</v>
      </c>
      <c r="G304" s="67">
        <f t="shared" si="188"/>
        <v>0</v>
      </c>
      <c r="H304" s="67">
        <f t="shared" si="188"/>
        <v>0</v>
      </c>
      <c r="I304" s="67">
        <f t="shared" si="188"/>
        <v>0</v>
      </c>
      <c r="J304" s="67">
        <f t="shared" si="188"/>
        <v>0</v>
      </c>
      <c r="K304" s="67">
        <f t="shared" si="188"/>
        <v>0</v>
      </c>
      <c r="L304" s="67">
        <f t="shared" si="188"/>
        <v>0</v>
      </c>
      <c r="M304" s="67">
        <f t="shared" si="188"/>
        <v>0</v>
      </c>
      <c r="N304" s="67">
        <f t="shared" si="188"/>
        <v>0</v>
      </c>
      <c r="O304" s="67"/>
      <c r="P304" s="326">
        <f>SUM(E304:N304)</f>
        <v>0</v>
      </c>
      <c r="Q304" s="2"/>
    </row>
    <row r="305" spans="2:17" x14ac:dyDescent="0.15">
      <c r="B305" s="340" t="s">
        <v>695</v>
      </c>
      <c r="C305" s="12"/>
      <c r="D305" s="67">
        <f t="shared" si="184"/>
        <v>0</v>
      </c>
      <c r="E305" s="67">
        <f>E302+E303+E304</f>
        <v>375000000</v>
      </c>
      <c r="F305" s="67">
        <f t="shared" ref="F305:N305" si="189">F302+F303+F304</f>
        <v>391875000.00000006</v>
      </c>
      <c r="G305" s="67">
        <f t="shared" si="189"/>
        <v>409509375.00000006</v>
      </c>
      <c r="H305" s="67">
        <f t="shared" si="189"/>
        <v>427937296.87500012</v>
      </c>
      <c r="I305" s="67">
        <f t="shared" si="189"/>
        <v>447194475.23437512</v>
      </c>
      <c r="J305" s="67">
        <f t="shared" si="189"/>
        <v>0</v>
      </c>
      <c r="K305" s="67">
        <f t="shared" si="189"/>
        <v>0</v>
      </c>
      <c r="L305" s="67">
        <f t="shared" si="189"/>
        <v>0</v>
      </c>
      <c r="M305" s="67">
        <f t="shared" si="189"/>
        <v>0</v>
      </c>
      <c r="N305" s="67">
        <f t="shared" si="189"/>
        <v>0</v>
      </c>
      <c r="O305" s="67"/>
      <c r="P305" s="326">
        <f t="shared" ref="P305:P325" si="190">SUM(E305:N305)</f>
        <v>2051516147.109375</v>
      </c>
      <c r="Q305" s="2"/>
    </row>
    <row r="306" spans="2:17" x14ac:dyDescent="0.15">
      <c r="B306" s="340" t="s">
        <v>696</v>
      </c>
      <c r="C306" s="12" t="s">
        <v>289</v>
      </c>
      <c r="D306" s="67">
        <f t="shared" si="184"/>
        <v>0</v>
      </c>
      <c r="E306" s="67">
        <f t="shared" ref="E306:N306" si="191">E163</f>
        <v>230170000</v>
      </c>
      <c r="F306" s="67">
        <f t="shared" si="191"/>
        <v>253018375.00000003</v>
      </c>
      <c r="G306" s="67">
        <f t="shared" si="191"/>
        <v>278725718.45125008</v>
      </c>
      <c r="H306" s="67">
        <f t="shared" si="191"/>
        <v>307665975.06072807</v>
      </c>
      <c r="I306" s="67">
        <f t="shared" si="191"/>
        <v>340262566.36057305</v>
      </c>
      <c r="J306" s="67">
        <f t="shared" si="191"/>
        <v>0</v>
      </c>
      <c r="K306" s="67">
        <f t="shared" si="191"/>
        <v>0</v>
      </c>
      <c r="L306" s="67">
        <f t="shared" si="191"/>
        <v>0</v>
      </c>
      <c r="M306" s="67">
        <f t="shared" si="191"/>
        <v>0</v>
      </c>
      <c r="N306" s="67">
        <f t="shared" si="191"/>
        <v>0</v>
      </c>
      <c r="O306" s="67">
        <v>0</v>
      </c>
      <c r="P306" s="326">
        <f t="shared" si="190"/>
        <v>1409842634.8725512</v>
      </c>
      <c r="Q306" s="2"/>
    </row>
    <row r="307" spans="2:17" x14ac:dyDescent="0.15">
      <c r="B307" s="340">
        <v>3</v>
      </c>
      <c r="C307" s="12" t="s">
        <v>290</v>
      </c>
      <c r="D307" s="67">
        <f>D305-D306</f>
        <v>0</v>
      </c>
      <c r="E307" s="67">
        <f t="shared" ref="E307:N307" si="192">E305-E306</f>
        <v>144830000</v>
      </c>
      <c r="F307" s="67">
        <f t="shared" si="192"/>
        <v>138856625.00000003</v>
      </c>
      <c r="G307" s="67">
        <f t="shared" si="192"/>
        <v>130783656.54874998</v>
      </c>
      <c r="H307" s="67">
        <f t="shared" si="192"/>
        <v>120271321.81427205</v>
      </c>
      <c r="I307" s="67">
        <f t="shared" si="192"/>
        <v>106931908.87380207</v>
      </c>
      <c r="J307" s="67">
        <f t="shared" si="192"/>
        <v>0</v>
      </c>
      <c r="K307" s="67">
        <f t="shared" si="192"/>
        <v>0</v>
      </c>
      <c r="L307" s="67">
        <f t="shared" si="192"/>
        <v>0</v>
      </c>
      <c r="M307" s="67">
        <f t="shared" si="192"/>
        <v>0</v>
      </c>
      <c r="N307" s="67">
        <f t="shared" si="192"/>
        <v>0</v>
      </c>
      <c r="O307" s="67">
        <v>0</v>
      </c>
      <c r="P307" s="326">
        <f t="shared" si="190"/>
        <v>641673512.23682404</v>
      </c>
      <c r="Q307" s="2"/>
    </row>
    <row r="308" spans="2:17" x14ac:dyDescent="0.15">
      <c r="B308" s="340" t="s">
        <v>697</v>
      </c>
      <c r="C308" s="12" t="s">
        <v>292</v>
      </c>
      <c r="D308" s="67">
        <f t="shared" ref="D308:N323" si="193">D165</f>
        <v>0</v>
      </c>
      <c r="E308" s="67">
        <f t="shared" si="193"/>
        <v>3772500</v>
      </c>
      <c r="F308" s="67">
        <f t="shared" si="193"/>
        <v>6218850</v>
      </c>
      <c r="G308" s="67">
        <f t="shared" si="193"/>
        <v>4083150</v>
      </c>
      <c r="H308" s="67">
        <f t="shared" si="193"/>
        <v>2775510</v>
      </c>
      <c r="I308" s="67">
        <f t="shared" si="193"/>
        <v>1352955</v>
      </c>
      <c r="J308" s="67">
        <f t="shared" si="193"/>
        <v>0</v>
      </c>
      <c r="K308" s="67">
        <f t="shared" si="193"/>
        <v>0</v>
      </c>
      <c r="L308" s="67">
        <f t="shared" si="193"/>
        <v>0</v>
      </c>
      <c r="M308" s="67">
        <f t="shared" si="193"/>
        <v>0</v>
      </c>
      <c r="N308" s="67">
        <f t="shared" si="193"/>
        <v>0</v>
      </c>
      <c r="O308" s="67">
        <v>0</v>
      </c>
      <c r="P308" s="326">
        <f t="shared" si="190"/>
        <v>18202965</v>
      </c>
      <c r="Q308" s="2"/>
    </row>
    <row r="309" spans="2:17" x14ac:dyDescent="0.15">
      <c r="B309" s="340">
        <v>5</v>
      </c>
      <c r="C309" s="12" t="s">
        <v>293</v>
      </c>
      <c r="D309" s="67">
        <f>D307-D308</f>
        <v>0</v>
      </c>
      <c r="E309" s="67">
        <f t="shared" ref="E309:N309" si="194">E307-E308</f>
        <v>141057500</v>
      </c>
      <c r="F309" s="67">
        <f t="shared" si="194"/>
        <v>132637775.00000003</v>
      </c>
      <c r="G309" s="67">
        <f t="shared" si="194"/>
        <v>126700506.54874998</v>
      </c>
      <c r="H309" s="67">
        <f t="shared" si="194"/>
        <v>117495811.81427205</v>
      </c>
      <c r="I309" s="67">
        <f t="shared" si="194"/>
        <v>105578953.87380207</v>
      </c>
      <c r="J309" s="67">
        <f t="shared" si="194"/>
        <v>0</v>
      </c>
      <c r="K309" s="67">
        <f t="shared" si="194"/>
        <v>0</v>
      </c>
      <c r="L309" s="67">
        <f t="shared" si="194"/>
        <v>0</v>
      </c>
      <c r="M309" s="67">
        <f t="shared" si="194"/>
        <v>0</v>
      </c>
      <c r="N309" s="67">
        <f t="shared" si="194"/>
        <v>0</v>
      </c>
      <c r="O309" s="67">
        <v>0</v>
      </c>
      <c r="P309" s="326">
        <f t="shared" si="190"/>
        <v>623470547.23682404</v>
      </c>
      <c r="Q309" s="2"/>
    </row>
    <row r="310" spans="2:17" x14ac:dyDescent="0.15">
      <c r="B310" s="340" t="s">
        <v>698</v>
      </c>
      <c r="C310" s="12" t="s">
        <v>295</v>
      </c>
      <c r="D310" s="67">
        <f t="shared" si="193"/>
        <v>0</v>
      </c>
      <c r="E310" s="67">
        <f t="shared" si="193"/>
        <v>0</v>
      </c>
      <c r="F310" s="67">
        <f t="shared" si="193"/>
        <v>0</v>
      </c>
      <c r="G310" s="67">
        <f t="shared" si="193"/>
        <v>0</v>
      </c>
      <c r="H310" s="67">
        <f t="shared" si="193"/>
        <v>0</v>
      </c>
      <c r="I310" s="67">
        <f t="shared" si="193"/>
        <v>0</v>
      </c>
      <c r="J310" s="67">
        <f t="shared" si="193"/>
        <v>0</v>
      </c>
      <c r="K310" s="67">
        <f t="shared" si="193"/>
        <v>0</v>
      </c>
      <c r="L310" s="67">
        <f t="shared" si="193"/>
        <v>0</v>
      </c>
      <c r="M310" s="67">
        <f t="shared" si="193"/>
        <v>0</v>
      </c>
      <c r="N310" s="67">
        <f t="shared" si="193"/>
        <v>0</v>
      </c>
      <c r="O310" s="67">
        <v>0</v>
      </c>
      <c r="P310" s="326">
        <f t="shared" si="190"/>
        <v>0</v>
      </c>
      <c r="Q310" s="2"/>
    </row>
    <row r="311" spans="2:17" x14ac:dyDescent="0.15">
      <c r="B311" s="340">
        <v>7</v>
      </c>
      <c r="C311" s="12" t="s">
        <v>296</v>
      </c>
      <c r="D311" s="67">
        <f>D309-D310</f>
        <v>0</v>
      </c>
      <c r="E311" s="67">
        <f t="shared" ref="E311:N311" si="195">E309-E310</f>
        <v>141057500</v>
      </c>
      <c r="F311" s="67">
        <f t="shared" si="195"/>
        <v>132637775.00000003</v>
      </c>
      <c r="G311" s="67">
        <f t="shared" si="195"/>
        <v>126700506.54874998</v>
      </c>
      <c r="H311" s="67">
        <f t="shared" si="195"/>
        <v>117495811.81427205</v>
      </c>
      <c r="I311" s="67">
        <f t="shared" si="195"/>
        <v>105578953.87380207</v>
      </c>
      <c r="J311" s="67">
        <f t="shared" si="195"/>
        <v>0</v>
      </c>
      <c r="K311" s="67">
        <f t="shared" si="195"/>
        <v>0</v>
      </c>
      <c r="L311" s="67">
        <f t="shared" si="195"/>
        <v>0</v>
      </c>
      <c r="M311" s="67">
        <f t="shared" si="195"/>
        <v>0</v>
      </c>
      <c r="N311" s="67">
        <f t="shared" si="195"/>
        <v>0</v>
      </c>
      <c r="O311" s="67">
        <v>0</v>
      </c>
      <c r="P311" s="326">
        <f t="shared" si="190"/>
        <v>623470547.23682404</v>
      </c>
      <c r="Q311" s="2"/>
    </row>
    <row r="312" spans="2:17" x14ac:dyDescent="0.15">
      <c r="B312" s="340">
        <v>8</v>
      </c>
      <c r="C312" s="12" t="s">
        <v>297</v>
      </c>
      <c r="D312" s="67">
        <f>-D311*$D$3</f>
        <v>0</v>
      </c>
      <c r="E312" s="67">
        <f t="shared" ref="E312:N312" si="196">-E311*$D$3</f>
        <v>-42317250</v>
      </c>
      <c r="F312" s="67">
        <f t="shared" si="196"/>
        <v>-39791332.500000007</v>
      </c>
      <c r="G312" s="67">
        <f t="shared" si="196"/>
        <v>-38010151.964624994</v>
      </c>
      <c r="H312" s="67">
        <f t="shared" si="196"/>
        <v>-35248743.544281609</v>
      </c>
      <c r="I312" s="67">
        <f t="shared" si="196"/>
        <v>-31673686.162140619</v>
      </c>
      <c r="J312" s="67">
        <f t="shared" si="196"/>
        <v>0</v>
      </c>
      <c r="K312" s="67">
        <f t="shared" si="196"/>
        <v>0</v>
      </c>
      <c r="L312" s="67">
        <f t="shared" si="196"/>
        <v>0</v>
      </c>
      <c r="M312" s="67">
        <f t="shared" si="196"/>
        <v>0</v>
      </c>
      <c r="N312" s="67">
        <f t="shared" si="196"/>
        <v>0</v>
      </c>
      <c r="O312" s="67">
        <v>0</v>
      </c>
      <c r="P312" s="326">
        <f t="shared" si="190"/>
        <v>-187041164.17104721</v>
      </c>
      <c r="Q312" s="2"/>
    </row>
    <row r="313" spans="2:17" x14ac:dyDescent="0.15">
      <c r="B313" s="340">
        <v>9</v>
      </c>
      <c r="C313" s="12" t="s">
        <v>298</v>
      </c>
      <c r="D313" s="67">
        <f t="shared" si="193"/>
        <v>0</v>
      </c>
      <c r="E313" s="67">
        <f t="shared" si="193"/>
        <v>0</v>
      </c>
      <c r="F313" s="67">
        <f t="shared" si="193"/>
        <v>0</v>
      </c>
      <c r="G313" s="67">
        <f t="shared" si="193"/>
        <v>0</v>
      </c>
      <c r="H313" s="67">
        <f t="shared" si="193"/>
        <v>0</v>
      </c>
      <c r="I313" s="67">
        <f t="shared" si="193"/>
        <v>0</v>
      </c>
      <c r="J313" s="67">
        <f t="shared" si="193"/>
        <v>0</v>
      </c>
      <c r="K313" s="67">
        <f t="shared" si="193"/>
        <v>0</v>
      </c>
      <c r="L313" s="67">
        <f t="shared" si="193"/>
        <v>0</v>
      </c>
      <c r="M313" s="67">
        <f t="shared" si="193"/>
        <v>0</v>
      </c>
      <c r="N313" s="67">
        <f t="shared" si="193"/>
        <v>0</v>
      </c>
      <c r="O313" s="67">
        <v>0</v>
      </c>
      <c r="P313" s="326">
        <f t="shared" si="190"/>
        <v>0</v>
      </c>
      <c r="Q313" s="2"/>
    </row>
    <row r="314" spans="2:17" x14ac:dyDescent="0.15">
      <c r="B314" s="340">
        <v>10</v>
      </c>
      <c r="C314" s="12" t="s">
        <v>299</v>
      </c>
      <c r="D314" s="67">
        <f>D311+D312+D313</f>
        <v>0</v>
      </c>
      <c r="E314" s="67">
        <f t="shared" ref="E314:N314" si="197">E311+E312+E313</f>
        <v>98740250</v>
      </c>
      <c r="F314" s="67">
        <f t="shared" si="197"/>
        <v>92846442.50000003</v>
      </c>
      <c r="G314" s="67">
        <f t="shared" si="197"/>
        <v>88690354.584124982</v>
      </c>
      <c r="H314" s="67">
        <f t="shared" si="197"/>
        <v>82247068.269990444</v>
      </c>
      <c r="I314" s="67">
        <f t="shared" si="197"/>
        <v>73905267.711661443</v>
      </c>
      <c r="J314" s="67">
        <f t="shared" si="197"/>
        <v>0</v>
      </c>
      <c r="K314" s="67">
        <f t="shared" si="197"/>
        <v>0</v>
      </c>
      <c r="L314" s="67">
        <f t="shared" si="197"/>
        <v>0</v>
      </c>
      <c r="M314" s="67">
        <f t="shared" si="197"/>
        <v>0</v>
      </c>
      <c r="N314" s="67">
        <f t="shared" si="197"/>
        <v>0</v>
      </c>
      <c r="O314" s="67">
        <v>0</v>
      </c>
      <c r="P314" s="326">
        <f t="shared" si="190"/>
        <v>436429383.06577694</v>
      </c>
      <c r="Q314" s="2"/>
    </row>
    <row r="315" spans="2:17" x14ac:dyDescent="0.15">
      <c r="B315" s="340" t="s">
        <v>699</v>
      </c>
      <c r="C315" s="12" t="s">
        <v>292</v>
      </c>
      <c r="D315" s="67">
        <f t="shared" si="193"/>
        <v>0</v>
      </c>
      <c r="E315" s="67">
        <f t="shared" si="193"/>
        <v>3772500</v>
      </c>
      <c r="F315" s="67">
        <f t="shared" si="193"/>
        <v>6218850</v>
      </c>
      <c r="G315" s="67">
        <f t="shared" si="193"/>
        <v>4083150</v>
      </c>
      <c r="H315" s="67">
        <f t="shared" si="193"/>
        <v>2775510</v>
      </c>
      <c r="I315" s="67">
        <f t="shared" si="193"/>
        <v>1352955</v>
      </c>
      <c r="J315" s="67">
        <f t="shared" si="193"/>
        <v>0</v>
      </c>
      <c r="K315" s="67">
        <f t="shared" si="193"/>
        <v>0</v>
      </c>
      <c r="L315" s="67">
        <f t="shared" si="193"/>
        <v>0</v>
      </c>
      <c r="M315" s="67">
        <f t="shared" si="193"/>
        <v>0</v>
      </c>
      <c r="N315" s="67">
        <f t="shared" si="193"/>
        <v>0</v>
      </c>
      <c r="O315" s="67">
        <v>0</v>
      </c>
      <c r="P315" s="326">
        <f t="shared" si="190"/>
        <v>18202965</v>
      </c>
      <c r="Q315" s="2"/>
    </row>
    <row r="316" spans="2:17" x14ac:dyDescent="0.15">
      <c r="B316" s="340">
        <v>12</v>
      </c>
      <c r="C316" s="12" t="s">
        <v>301</v>
      </c>
      <c r="D316" s="67">
        <f>D314+D315</f>
        <v>0</v>
      </c>
      <c r="E316" s="67">
        <f t="shared" ref="E316:N316" si="198">E314+E315</f>
        <v>102512750</v>
      </c>
      <c r="F316" s="67">
        <f t="shared" si="198"/>
        <v>99065292.50000003</v>
      </c>
      <c r="G316" s="67">
        <f t="shared" si="198"/>
        <v>92773504.584124982</v>
      </c>
      <c r="H316" s="67">
        <f t="shared" si="198"/>
        <v>85022578.269990444</v>
      </c>
      <c r="I316" s="67">
        <f t="shared" si="198"/>
        <v>75258222.711661443</v>
      </c>
      <c r="J316" s="67">
        <f t="shared" si="198"/>
        <v>0</v>
      </c>
      <c r="K316" s="67">
        <f t="shared" si="198"/>
        <v>0</v>
      </c>
      <c r="L316" s="67">
        <f t="shared" si="198"/>
        <v>0</v>
      </c>
      <c r="M316" s="67">
        <f t="shared" si="198"/>
        <v>0</v>
      </c>
      <c r="N316" s="67">
        <f t="shared" si="198"/>
        <v>0</v>
      </c>
      <c r="O316" s="67">
        <v>0</v>
      </c>
      <c r="P316" s="326">
        <f t="shared" si="190"/>
        <v>454632348.06577694</v>
      </c>
      <c r="Q316" s="2"/>
    </row>
    <row r="317" spans="2:17" x14ac:dyDescent="0.15">
      <c r="B317" s="340" t="s">
        <v>700</v>
      </c>
      <c r="C317" s="12" t="s">
        <v>303</v>
      </c>
      <c r="D317" s="67">
        <f t="shared" si="193"/>
        <v>0</v>
      </c>
      <c r="E317" s="67">
        <f t="shared" si="193"/>
        <v>0</v>
      </c>
      <c r="F317" s="67">
        <f t="shared" si="193"/>
        <v>0</v>
      </c>
      <c r="G317" s="67">
        <f t="shared" si="193"/>
        <v>0</v>
      </c>
      <c r="H317" s="67">
        <f t="shared" si="193"/>
        <v>0</v>
      </c>
      <c r="I317" s="67">
        <f t="shared" si="193"/>
        <v>0</v>
      </c>
      <c r="J317" s="67">
        <f t="shared" si="193"/>
        <v>0</v>
      </c>
      <c r="K317" s="67">
        <f t="shared" si="193"/>
        <v>0</v>
      </c>
      <c r="L317" s="67">
        <f t="shared" si="193"/>
        <v>0</v>
      </c>
      <c r="M317" s="67">
        <f t="shared" si="193"/>
        <v>0</v>
      </c>
      <c r="N317" s="67">
        <f t="shared" si="193"/>
        <v>0</v>
      </c>
      <c r="O317" s="67">
        <v>0</v>
      </c>
      <c r="P317" s="326">
        <f t="shared" si="190"/>
        <v>0</v>
      </c>
      <c r="Q317" s="2"/>
    </row>
    <row r="318" spans="2:17" x14ac:dyDescent="0.15">
      <c r="B318" s="340">
        <v>14</v>
      </c>
      <c r="C318" s="12" t="s">
        <v>304</v>
      </c>
      <c r="D318" s="67">
        <f>D319+D320+D321</f>
        <v>-32550000</v>
      </c>
      <c r="E318" s="67">
        <f t="shared" ref="E318:N318" si="199">E319+E320+E321</f>
        <v>0</v>
      </c>
      <c r="F318" s="67">
        <f t="shared" si="199"/>
        <v>0</v>
      </c>
      <c r="G318" s="67">
        <f t="shared" si="199"/>
        <v>0</v>
      </c>
      <c r="H318" s="67">
        <f t="shared" si="199"/>
        <v>0</v>
      </c>
      <c r="I318" s="67">
        <f t="shared" si="199"/>
        <v>14347035</v>
      </c>
      <c r="J318" s="67">
        <f t="shared" si="199"/>
        <v>0</v>
      </c>
      <c r="K318" s="67">
        <f t="shared" si="199"/>
        <v>0</v>
      </c>
      <c r="L318" s="67">
        <f t="shared" si="199"/>
        <v>0</v>
      </c>
      <c r="M318" s="67">
        <f t="shared" si="199"/>
        <v>0</v>
      </c>
      <c r="N318" s="67">
        <f t="shared" si="199"/>
        <v>0</v>
      </c>
      <c r="O318" s="67">
        <v>0</v>
      </c>
      <c r="P318" s="326">
        <f t="shared" si="190"/>
        <v>14347035</v>
      </c>
      <c r="Q318" s="2"/>
    </row>
    <row r="319" spans="2:17" x14ac:dyDescent="0.15">
      <c r="B319" s="340" t="s">
        <v>701</v>
      </c>
      <c r="C319" s="12" t="s">
        <v>207</v>
      </c>
      <c r="D319" s="67">
        <f t="shared" si="193"/>
        <v>-31050000</v>
      </c>
      <c r="E319" s="67">
        <f t="shared" si="193"/>
        <v>0</v>
      </c>
      <c r="F319" s="67">
        <f t="shared" si="193"/>
        <v>0</v>
      </c>
      <c r="G319" s="67">
        <f t="shared" si="193"/>
        <v>0</v>
      </c>
      <c r="H319" s="67">
        <f t="shared" si="193"/>
        <v>0</v>
      </c>
      <c r="I319" s="67">
        <f t="shared" si="193"/>
        <v>12847035</v>
      </c>
      <c r="J319" s="67">
        <f t="shared" si="193"/>
        <v>0</v>
      </c>
      <c r="K319" s="67">
        <f t="shared" si="193"/>
        <v>0</v>
      </c>
      <c r="L319" s="67">
        <f t="shared" si="193"/>
        <v>0</v>
      </c>
      <c r="M319" s="67">
        <f t="shared" si="193"/>
        <v>0</v>
      </c>
      <c r="N319" s="67">
        <f t="shared" si="193"/>
        <v>0</v>
      </c>
      <c r="O319" s="67">
        <v>0</v>
      </c>
      <c r="P319" s="326">
        <f t="shared" si="190"/>
        <v>12847035</v>
      </c>
      <c r="Q319" s="2"/>
    </row>
    <row r="320" spans="2:17" x14ac:dyDescent="0.15">
      <c r="B320" s="340" t="s">
        <v>702</v>
      </c>
      <c r="C320" s="12" t="s">
        <v>307</v>
      </c>
      <c r="D320" s="67">
        <f t="shared" si="193"/>
        <v>-1500000</v>
      </c>
      <c r="E320" s="67">
        <f t="shared" si="193"/>
        <v>0</v>
      </c>
      <c r="F320" s="67">
        <f t="shared" si="193"/>
        <v>0</v>
      </c>
      <c r="G320" s="67">
        <f t="shared" si="193"/>
        <v>0</v>
      </c>
      <c r="H320" s="67">
        <f t="shared" si="193"/>
        <v>0</v>
      </c>
      <c r="I320" s="67">
        <f t="shared" si="193"/>
        <v>1500000</v>
      </c>
      <c r="J320" s="67">
        <f t="shared" si="193"/>
        <v>0</v>
      </c>
      <c r="K320" s="67">
        <f t="shared" si="193"/>
        <v>0</v>
      </c>
      <c r="L320" s="67">
        <f t="shared" si="193"/>
        <v>0</v>
      </c>
      <c r="M320" s="67">
        <f t="shared" si="193"/>
        <v>0</v>
      </c>
      <c r="N320" s="67">
        <f t="shared" si="193"/>
        <v>0</v>
      </c>
      <c r="O320" s="67">
        <v>0</v>
      </c>
      <c r="P320" s="326">
        <f t="shared" si="190"/>
        <v>1500000</v>
      </c>
      <c r="Q320" s="2"/>
    </row>
    <row r="321" spans="1:19" x14ac:dyDescent="0.15">
      <c r="B321" s="340" t="s">
        <v>703</v>
      </c>
      <c r="C321" s="12" t="s">
        <v>309</v>
      </c>
      <c r="D321" s="67">
        <f t="shared" si="193"/>
        <v>0</v>
      </c>
      <c r="E321" s="67">
        <f t="shared" si="193"/>
        <v>0</v>
      </c>
      <c r="F321" s="67">
        <f t="shared" si="193"/>
        <v>0</v>
      </c>
      <c r="G321" s="67">
        <f t="shared" si="193"/>
        <v>0</v>
      </c>
      <c r="H321" s="67">
        <f t="shared" si="193"/>
        <v>0</v>
      </c>
      <c r="I321" s="67">
        <f t="shared" si="193"/>
        <v>0</v>
      </c>
      <c r="J321" s="67">
        <f t="shared" si="193"/>
        <v>0</v>
      </c>
      <c r="K321" s="67">
        <f t="shared" si="193"/>
        <v>0</v>
      </c>
      <c r="L321" s="67">
        <f t="shared" si="193"/>
        <v>0</v>
      </c>
      <c r="M321" s="67">
        <f t="shared" si="193"/>
        <v>0</v>
      </c>
      <c r="N321" s="67">
        <f t="shared" si="193"/>
        <v>0</v>
      </c>
      <c r="O321" s="67">
        <v>0</v>
      </c>
      <c r="P321" s="326">
        <f t="shared" si="190"/>
        <v>0</v>
      </c>
      <c r="Q321" s="2"/>
    </row>
    <row r="322" spans="1:19" x14ac:dyDescent="0.15">
      <c r="B322" s="340" t="s">
        <v>704</v>
      </c>
      <c r="C322" s="12" t="s">
        <v>311</v>
      </c>
      <c r="D322" s="67">
        <f t="shared" si="193"/>
        <v>0</v>
      </c>
      <c r="E322" s="67">
        <f t="shared" si="193"/>
        <v>0</v>
      </c>
      <c r="F322" s="67">
        <f t="shared" si="193"/>
        <v>0</v>
      </c>
      <c r="G322" s="67">
        <f t="shared" si="193"/>
        <v>0</v>
      </c>
      <c r="H322" s="67">
        <f t="shared" si="193"/>
        <v>0</v>
      </c>
      <c r="I322" s="67">
        <f t="shared" si="193"/>
        <v>-2596968.7000000002</v>
      </c>
      <c r="J322" s="67">
        <f t="shared" si="193"/>
        <v>0</v>
      </c>
      <c r="K322" s="67">
        <f t="shared" si="193"/>
        <v>0</v>
      </c>
      <c r="L322" s="67">
        <f t="shared" si="193"/>
        <v>0</v>
      </c>
      <c r="M322" s="67">
        <f t="shared" si="193"/>
        <v>0</v>
      </c>
      <c r="N322" s="67">
        <f t="shared" si="193"/>
        <v>0</v>
      </c>
      <c r="O322" s="67">
        <v>0</v>
      </c>
      <c r="P322" s="326">
        <f t="shared" si="190"/>
        <v>-2596968.7000000002</v>
      </c>
      <c r="Q322" s="2"/>
    </row>
    <row r="323" spans="1:19" ht="14" thickBot="1" x14ac:dyDescent="0.2">
      <c r="B323" s="340" t="s">
        <v>705</v>
      </c>
      <c r="C323" s="12" t="s">
        <v>115</v>
      </c>
      <c r="D323" s="67">
        <f t="shared" si="193"/>
        <v>-60000000</v>
      </c>
      <c r="E323" s="67">
        <f t="shared" si="193"/>
        <v>0</v>
      </c>
      <c r="F323" s="67">
        <f t="shared" si="193"/>
        <v>0</v>
      </c>
      <c r="G323" s="67">
        <f t="shared" si="193"/>
        <v>0</v>
      </c>
      <c r="H323" s="67">
        <f t="shared" si="193"/>
        <v>0</v>
      </c>
      <c r="I323" s="67">
        <f t="shared" si="193"/>
        <v>60000000</v>
      </c>
      <c r="J323" s="67">
        <f t="shared" si="193"/>
        <v>0</v>
      </c>
      <c r="K323" s="67">
        <f t="shared" si="193"/>
        <v>0</v>
      </c>
      <c r="L323" s="67">
        <f t="shared" si="193"/>
        <v>0</v>
      </c>
      <c r="M323" s="67">
        <f t="shared" si="193"/>
        <v>0</v>
      </c>
      <c r="N323" s="67">
        <f t="shared" si="193"/>
        <v>0</v>
      </c>
      <c r="O323" s="67">
        <v>0</v>
      </c>
      <c r="P323" s="326">
        <f t="shared" si="190"/>
        <v>60000000</v>
      </c>
      <c r="Q323" s="2"/>
    </row>
    <row r="324" spans="1:19" x14ac:dyDescent="0.15">
      <c r="B324" s="340">
        <v>17</v>
      </c>
      <c r="C324" s="12" t="s">
        <v>313</v>
      </c>
      <c r="D324" s="67">
        <f>D317+D318+D322+D323</f>
        <v>-92550000</v>
      </c>
      <c r="E324" s="67">
        <f t="shared" ref="E324:N324" si="200">E317+E318+E322+E323</f>
        <v>0</v>
      </c>
      <c r="F324" s="67">
        <f t="shared" si="200"/>
        <v>0</v>
      </c>
      <c r="G324" s="67">
        <f t="shared" si="200"/>
        <v>0</v>
      </c>
      <c r="H324" s="67">
        <f t="shared" si="200"/>
        <v>0</v>
      </c>
      <c r="I324" s="67">
        <f t="shared" si="200"/>
        <v>71750066.299999997</v>
      </c>
      <c r="J324" s="67">
        <f t="shared" si="200"/>
        <v>0</v>
      </c>
      <c r="K324" s="67">
        <f t="shared" si="200"/>
        <v>0</v>
      </c>
      <c r="L324" s="67">
        <f t="shared" si="200"/>
        <v>0</v>
      </c>
      <c r="M324" s="67">
        <f t="shared" si="200"/>
        <v>0</v>
      </c>
      <c r="N324" s="67">
        <f t="shared" si="200"/>
        <v>0</v>
      </c>
      <c r="O324" s="67">
        <v>0</v>
      </c>
      <c r="P324" s="326">
        <f t="shared" si="190"/>
        <v>71750066.299999997</v>
      </c>
      <c r="Q324" s="461"/>
      <c r="R324" s="357" t="s">
        <v>693</v>
      </c>
    </row>
    <row r="325" spans="1:19" ht="14" thickBot="1" x14ac:dyDescent="0.2">
      <c r="A325" s="1" t="s">
        <v>714</v>
      </c>
      <c r="B325" s="355">
        <v>18</v>
      </c>
      <c r="C325" s="335" t="s">
        <v>314</v>
      </c>
      <c r="D325" s="67">
        <f>D316+D324</f>
        <v>-92550000</v>
      </c>
      <c r="E325" s="67">
        <f t="shared" ref="E325:N325" si="201">E316+E324</f>
        <v>102512750</v>
      </c>
      <c r="F325" s="67">
        <f t="shared" si="201"/>
        <v>99065292.50000003</v>
      </c>
      <c r="G325" s="67">
        <f t="shared" si="201"/>
        <v>92773504.584124982</v>
      </c>
      <c r="H325" s="67">
        <f t="shared" si="201"/>
        <v>85022578.269990444</v>
      </c>
      <c r="I325" s="67">
        <f t="shared" si="201"/>
        <v>147008289.01166144</v>
      </c>
      <c r="J325" s="67">
        <f t="shared" si="201"/>
        <v>0</v>
      </c>
      <c r="K325" s="67">
        <f t="shared" si="201"/>
        <v>0</v>
      </c>
      <c r="L325" s="67">
        <f t="shared" si="201"/>
        <v>0</v>
      </c>
      <c r="M325" s="67">
        <f t="shared" si="201"/>
        <v>0</v>
      </c>
      <c r="N325" s="67">
        <f t="shared" si="201"/>
        <v>0</v>
      </c>
      <c r="O325" s="331">
        <v>0</v>
      </c>
      <c r="P325" s="356">
        <f t="shared" si="190"/>
        <v>526382414.3657769</v>
      </c>
      <c r="Q325" s="463"/>
      <c r="R325" s="358">
        <f>IF(ISNUMBER(IRR(D325:N325)),IRR(D325:N325),"NMF")</f>
        <v>1.0582126356580095</v>
      </c>
      <c r="S325" s="1" t="s">
        <v>714</v>
      </c>
    </row>
  </sheetData>
  <sheetProtection password="AA36" sheet="1" objects="1" scenarios="1"/>
  <phoneticPr fontId="0" type="noConversion"/>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325"/>
  <sheetViews>
    <sheetView zoomScale="75" workbookViewId="0"/>
  </sheetViews>
  <sheetFormatPr baseColWidth="10" defaultColWidth="8.83203125" defaultRowHeight="13" x14ac:dyDescent="0.15"/>
  <cols>
    <col min="1" max="1" width="14.6640625" customWidth="1"/>
    <col min="2" max="2" width="22.5" customWidth="1"/>
    <col min="3" max="3" width="40.1640625" customWidth="1"/>
    <col min="4" max="4" width="13.5" bestFit="1" customWidth="1"/>
    <col min="5" max="8" width="14.5" bestFit="1" customWidth="1"/>
    <col min="9" max="9" width="17.1640625" customWidth="1"/>
    <col min="10" max="10" width="12.6640625" bestFit="1" customWidth="1"/>
    <col min="11" max="11" width="16.5" customWidth="1"/>
    <col min="12" max="14" width="11.6640625" bestFit="1" customWidth="1"/>
    <col min="15" max="15" width="4.33203125" customWidth="1"/>
    <col min="16" max="16" width="14.5" bestFit="1" customWidth="1"/>
    <col min="17" max="17" width="14.5" customWidth="1"/>
    <col min="18" max="18" width="9.33203125" customWidth="1"/>
    <col min="19" max="19" width="10.1640625" bestFit="1" customWidth="1"/>
  </cols>
  <sheetData>
    <row r="1" spans="1:11" ht="19" thickBot="1" x14ac:dyDescent="0.25">
      <c r="A1" s="549" t="s">
        <v>715</v>
      </c>
    </row>
    <row r="2" spans="1:11" ht="14" thickBot="1" x14ac:dyDescent="0.2">
      <c r="F2" t="s">
        <v>684</v>
      </c>
      <c r="H2" s="175" t="s">
        <v>436</v>
      </c>
      <c r="I2" s="365" t="s">
        <v>685</v>
      </c>
      <c r="J2" s="364" t="s">
        <v>341</v>
      </c>
      <c r="K2" s="365" t="s">
        <v>685</v>
      </c>
    </row>
    <row r="3" spans="1:11" ht="18" thickBot="1" x14ac:dyDescent="0.25">
      <c r="C3" s="343" t="s">
        <v>279</v>
      </c>
      <c r="D3" s="344">
        <f>'Initial Inputs'!C43</f>
        <v>0.3</v>
      </c>
      <c r="G3" s="378" t="s">
        <v>412</v>
      </c>
      <c r="H3" s="379">
        <f>R42</f>
        <v>2.6491723908432796E-3</v>
      </c>
      <c r="I3" s="372">
        <f>IF(H3="NMF","NMF",(H3-$H$8)/$H$8)</f>
        <v>-0.99346674351085817</v>
      </c>
      <c r="J3" s="380">
        <f>NPV($D$7,E42:N42)+D42</f>
        <v>-36143499.006565697</v>
      </c>
      <c r="K3" s="372">
        <f>IF(J3="NMF","NMF",IF(ISNUMBER((J3-$J$8)/$J$8),(J3-$J$8)/$J$8,0))</f>
        <v>-1.6006512568117754</v>
      </c>
    </row>
    <row r="4" spans="1:11" ht="18" thickBot="1" x14ac:dyDescent="0.25">
      <c r="C4" s="345" t="s">
        <v>280</v>
      </c>
      <c r="D4" s="346">
        <f>'Initial Inputs'!C45</f>
        <v>0.18</v>
      </c>
      <c r="G4" s="381" t="s">
        <v>413</v>
      </c>
      <c r="H4" s="382">
        <f>R70</f>
        <v>8.7658961904533816E-2</v>
      </c>
      <c r="I4" s="373">
        <f t="shared" ref="I4:I13" si="0">IF(H4="NMF","NMF",(H4-$H$8)/$H$8)</f>
        <v>-0.78381985118305864</v>
      </c>
      <c r="J4" s="383">
        <f>NPV($D$7,E70:N70)+D70</f>
        <v>-16880029.079767972</v>
      </c>
      <c r="K4" s="372">
        <f t="shared" ref="K4:K13" si="1">IF(J4="NMF","NMF",IF(ISNUMBER((J4-$J$8)/$J$8),(J4-$J$8)/$J$8,0))</f>
        <v>-1.2805210054494207</v>
      </c>
    </row>
    <row r="5" spans="1:11" ht="18" thickBot="1" x14ac:dyDescent="0.25">
      <c r="C5" s="347" t="s">
        <v>281</v>
      </c>
      <c r="D5" s="350">
        <f>'Initial Inputs'!A47</f>
        <v>0</v>
      </c>
      <c r="G5" s="381" t="s">
        <v>414</v>
      </c>
      <c r="H5" s="382">
        <f>R98</f>
        <v>0.1700698580721911</v>
      </c>
      <c r="I5" s="373">
        <f t="shared" si="0"/>
        <v>-0.58058221967809087</v>
      </c>
      <c r="J5" s="383">
        <f>NPV($D$7,E98:N98)+D98</f>
        <v>2383440.8470297754</v>
      </c>
      <c r="K5" s="372">
        <f t="shared" si="1"/>
        <v>-0.96039075408706565</v>
      </c>
    </row>
    <row r="6" spans="1:11" ht="17" thickBot="1" x14ac:dyDescent="0.25">
      <c r="C6" s="336"/>
      <c r="D6" s="349"/>
      <c r="G6" s="381" t="s">
        <v>415</v>
      </c>
      <c r="H6" s="382">
        <f>R126</f>
        <v>0.25028639580173251</v>
      </c>
      <c r="I6" s="373">
        <f t="shared" si="0"/>
        <v>-0.38275620523318166</v>
      </c>
      <c r="J6" s="383">
        <f>NPV($D$7,E126:N126)+D126</f>
        <v>21646910.773827523</v>
      </c>
      <c r="K6" s="372">
        <f t="shared" si="1"/>
        <v>-0.64026050272471058</v>
      </c>
    </row>
    <row r="7" spans="1:11" ht="18" thickBot="1" x14ac:dyDescent="0.25">
      <c r="C7" s="351" t="s">
        <v>686</v>
      </c>
      <c r="D7" s="352">
        <f>'Initial Inputs'!C5</f>
        <v>0.16</v>
      </c>
      <c r="G7" s="381" t="s">
        <v>416</v>
      </c>
      <c r="H7" s="382">
        <f>R154</f>
        <v>0.32866104430381071</v>
      </c>
      <c r="I7" s="373">
        <f t="shared" si="0"/>
        <v>-0.18947256590481742</v>
      </c>
      <c r="J7" s="383">
        <f>NPV($D$7,E154:N154)+D154</f>
        <v>40910380.700625315</v>
      </c>
      <c r="K7" s="372">
        <f t="shared" si="1"/>
        <v>-0.32013025136235485</v>
      </c>
    </row>
    <row r="8" spans="1:11" ht="17" thickBot="1" x14ac:dyDescent="0.25">
      <c r="C8" s="336"/>
      <c r="D8" s="349"/>
      <c r="G8" s="381" t="s">
        <v>653</v>
      </c>
      <c r="H8" s="382">
        <f>R182</f>
        <v>0.40549033935008683</v>
      </c>
      <c r="I8" s="373">
        <f t="shared" si="0"/>
        <v>0</v>
      </c>
      <c r="J8" s="383">
        <f>NPV($D$7,E182:N182)+D182</f>
        <v>60173850.627423048</v>
      </c>
      <c r="K8" s="372">
        <f t="shared" si="1"/>
        <v>0</v>
      </c>
    </row>
    <row r="9" spans="1:11" ht="17" thickBot="1" x14ac:dyDescent="0.25">
      <c r="C9" s="336"/>
      <c r="D9" s="349"/>
      <c r="G9" s="381" t="s">
        <v>418</v>
      </c>
      <c r="H9" s="382">
        <f>R213</f>
        <v>0.48101985873725517</v>
      </c>
      <c r="I9" s="373">
        <f t="shared" si="0"/>
        <v>0.1862671241643532</v>
      </c>
      <c r="J9" s="383">
        <f>NPV($D$7,E213:N213)+D213</f>
        <v>79437320.554220855</v>
      </c>
      <c r="K9" s="372">
        <f t="shared" si="1"/>
        <v>0.32013025136235607</v>
      </c>
    </row>
    <row r="10" spans="1:11" ht="17" thickBot="1" x14ac:dyDescent="0.25">
      <c r="C10" s="336"/>
      <c r="D10" s="349"/>
      <c r="G10" s="381" t="s">
        <v>419</v>
      </c>
      <c r="H10" s="382">
        <f>R241</f>
        <v>0.55545177637144438</v>
      </c>
      <c r="I10" s="373">
        <f t="shared" si="0"/>
        <v>0.3698273977666478</v>
      </c>
      <c r="J10" s="383">
        <f>NPV($D$7,E241:N241)+D241</f>
        <v>98700790.481018603</v>
      </c>
      <c r="K10" s="372">
        <f t="shared" si="1"/>
        <v>0.64026050272471113</v>
      </c>
    </row>
    <row r="11" spans="1:11" ht="17" thickBot="1" x14ac:dyDescent="0.25">
      <c r="C11" s="336"/>
      <c r="D11" s="349"/>
      <c r="G11" s="381" t="s">
        <v>420</v>
      </c>
      <c r="H11" s="382">
        <f>R269</f>
        <v>0.62895242074733826</v>
      </c>
      <c r="I11" s="373">
        <f t="shared" si="0"/>
        <v>0.55109101182388898</v>
      </c>
      <c r="J11" s="383">
        <f>NPV($D$7,E269:N269)+D269</f>
        <v>117964260.40781632</v>
      </c>
      <c r="K11" s="372">
        <f t="shared" si="1"/>
        <v>0.96039075408706565</v>
      </c>
    </row>
    <row r="12" spans="1:11" ht="17" thickBot="1" x14ac:dyDescent="0.25">
      <c r="C12" s="336"/>
      <c r="D12" s="342"/>
      <c r="G12" s="381" t="s">
        <v>421</v>
      </c>
      <c r="H12" s="382">
        <f>R297</f>
        <v>0.70165892928074292</v>
      </c>
      <c r="I12" s="373">
        <f t="shared" si="0"/>
        <v>0.73039616777393557</v>
      </c>
      <c r="J12" s="383">
        <f>NPV($D$7,E297:N297)+D297</f>
        <v>137227730.3346141</v>
      </c>
      <c r="K12" s="372">
        <f t="shared" si="1"/>
        <v>1.2805210054494212</v>
      </c>
    </row>
    <row r="13" spans="1:11" ht="17" thickBot="1" x14ac:dyDescent="0.25">
      <c r="C13" s="336"/>
      <c r="D13" s="342"/>
      <c r="G13" s="384" t="s">
        <v>422</v>
      </c>
      <c r="H13" s="385">
        <f>R325</f>
        <v>0.7736847937422795</v>
      </c>
      <c r="I13" s="374">
        <f t="shared" si="0"/>
        <v>0.90802275334679639</v>
      </c>
      <c r="J13" s="386">
        <f>NPV($D$7,E325:N325)+D325</f>
        <v>156491200.26141182</v>
      </c>
      <c r="K13" s="372">
        <f t="shared" si="1"/>
        <v>1.6006512568117759</v>
      </c>
    </row>
    <row r="14" spans="1:11" ht="16" x14ac:dyDescent="0.2">
      <c r="C14" s="336"/>
      <c r="D14" s="342"/>
      <c r="G14" t="s">
        <v>424</v>
      </c>
    </row>
    <row r="15" spans="1:11" ht="16" x14ac:dyDescent="0.2">
      <c r="B15" s="48" t="s">
        <v>715</v>
      </c>
      <c r="G15" s="90"/>
    </row>
    <row r="16" spans="1:11" ht="14" thickBot="1" x14ac:dyDescent="0.2"/>
    <row r="17" spans="1:17" ht="14" thickBot="1" x14ac:dyDescent="0.2">
      <c r="B17" s="323" t="str">
        <f>'After Tax Analysis'!B7</f>
        <v>Line/Source</v>
      </c>
      <c r="C17" s="324" t="str">
        <f>'After Tax Analysis'!C7</f>
        <v>Description</v>
      </c>
      <c r="D17" s="324"/>
      <c r="E17" s="324">
        <f>'After Tax Analysis'!E7</f>
        <v>1</v>
      </c>
      <c r="F17" s="324">
        <f>'After Tax Analysis'!F7</f>
        <v>2</v>
      </c>
      <c r="G17" s="324">
        <f>'After Tax Analysis'!G7</f>
        <v>3</v>
      </c>
      <c r="H17" s="324">
        <f>'After Tax Analysis'!H7</f>
        <v>4</v>
      </c>
      <c r="I17" s="324">
        <f>'After Tax Analysis'!I7</f>
        <v>5</v>
      </c>
      <c r="J17" s="324">
        <f>'After Tax Analysis'!J7</f>
        <v>6</v>
      </c>
      <c r="K17" s="324">
        <f>'After Tax Analysis'!K7</f>
        <v>7</v>
      </c>
      <c r="L17" s="324">
        <f>'After Tax Analysis'!L7</f>
        <v>8</v>
      </c>
      <c r="M17" s="324">
        <f>'After Tax Analysis'!M7</f>
        <v>9</v>
      </c>
      <c r="N17" s="324">
        <f>'After Tax Analysis'!N7</f>
        <v>10</v>
      </c>
      <c r="O17" s="324" t="str">
        <f>'After Tax Analysis'!O7</f>
        <v>10A</v>
      </c>
      <c r="P17" s="320" t="str">
        <f>'After Tax Analysis'!P7</f>
        <v>TOTAL</v>
      </c>
      <c r="Q17" s="22"/>
    </row>
    <row r="18" spans="1:17" x14ac:dyDescent="0.15">
      <c r="B18" s="339" t="s">
        <v>687</v>
      </c>
      <c r="C18" s="302" t="str">
        <f>'After Tax Analysis'!C8</f>
        <v>Operating Revenue</v>
      </c>
      <c r="D18" s="322">
        <v>0</v>
      </c>
      <c r="E18" s="322">
        <f>E158</f>
        <v>300000000</v>
      </c>
      <c r="F18" s="322">
        <f t="shared" ref="F18:N18" si="2">F158</f>
        <v>313500000.00000006</v>
      </c>
      <c r="G18" s="322">
        <f t="shared" si="2"/>
        <v>327607500.00000006</v>
      </c>
      <c r="H18" s="322">
        <f t="shared" si="2"/>
        <v>342349837.50000012</v>
      </c>
      <c r="I18" s="322">
        <f t="shared" si="2"/>
        <v>357755580.18750012</v>
      </c>
      <c r="J18" s="322">
        <f t="shared" si="2"/>
        <v>0</v>
      </c>
      <c r="K18" s="322">
        <f t="shared" si="2"/>
        <v>0</v>
      </c>
      <c r="L18" s="322">
        <f t="shared" si="2"/>
        <v>0</v>
      </c>
      <c r="M18" s="322">
        <f t="shared" si="2"/>
        <v>0</v>
      </c>
      <c r="N18" s="322">
        <f t="shared" si="2"/>
        <v>0</v>
      </c>
      <c r="O18" s="322">
        <f>'After Tax Analysis'!O8</f>
        <v>0</v>
      </c>
      <c r="P18" s="325">
        <f>SUM(E18:N18)</f>
        <v>1641212917.6875</v>
      </c>
      <c r="Q18" s="2"/>
    </row>
    <row r="19" spans="1:17" x14ac:dyDescent="0.15">
      <c r="A19" s="1" t="s">
        <v>688</v>
      </c>
      <c r="B19" s="355" t="s">
        <v>689</v>
      </c>
      <c r="C19" s="362" t="s">
        <v>689</v>
      </c>
      <c r="D19" s="331">
        <v>0</v>
      </c>
      <c r="E19" s="331">
        <f>Revenues!D7*Revenues!D8*0.75</f>
        <v>225000000</v>
      </c>
      <c r="F19" s="331">
        <f>Revenues!E7*Revenues!E8*0.75</f>
        <v>235125000.00000006</v>
      </c>
      <c r="G19" s="331">
        <f>Revenues!F7*Revenues!F8*0.75</f>
        <v>245705625.00000006</v>
      </c>
      <c r="H19" s="331">
        <f>Revenues!G7*Revenues!G8*0.75</f>
        <v>256762378.12500009</v>
      </c>
      <c r="I19" s="331">
        <f>Revenues!H7*Revenues!H8*0.75</f>
        <v>268316685.14062509</v>
      </c>
      <c r="J19" s="331">
        <f>Revenues!I7*Revenues!I8*0.75</f>
        <v>0</v>
      </c>
      <c r="K19" s="331">
        <f>Revenues!J7*Revenues!J8*0.75</f>
        <v>0</v>
      </c>
      <c r="L19" s="331">
        <f>Revenues!K7*Revenues!K8*0.75</f>
        <v>0</v>
      </c>
      <c r="M19" s="331">
        <f>Revenues!L7*Revenues!L8*0.75</f>
        <v>0</v>
      </c>
      <c r="N19" s="331">
        <f>Revenues!M7*Revenues!M8*0.75</f>
        <v>0</v>
      </c>
      <c r="O19" s="331"/>
      <c r="P19" s="356">
        <f>SUM(E19:N19)</f>
        <v>1230909688.2656252</v>
      </c>
      <c r="Q19" s="460"/>
    </row>
    <row r="20" spans="1:17" x14ac:dyDescent="0.15">
      <c r="B20" s="340" t="s">
        <v>690</v>
      </c>
      <c r="C20" s="354" t="s">
        <v>690</v>
      </c>
      <c r="D20" s="67">
        <v>0</v>
      </c>
      <c r="E20" s="67">
        <f>E160</f>
        <v>0</v>
      </c>
      <c r="F20" s="67">
        <f t="shared" ref="F20:N20" si="3">F160</f>
        <v>0</v>
      </c>
      <c r="G20" s="67">
        <f t="shared" si="3"/>
        <v>0</v>
      </c>
      <c r="H20" s="67">
        <f t="shared" si="3"/>
        <v>0</v>
      </c>
      <c r="I20" s="67">
        <f t="shared" si="3"/>
        <v>0</v>
      </c>
      <c r="J20" s="67">
        <f t="shared" si="3"/>
        <v>0</v>
      </c>
      <c r="K20" s="67">
        <f t="shared" si="3"/>
        <v>0</v>
      </c>
      <c r="L20" s="67">
        <f t="shared" si="3"/>
        <v>0</v>
      </c>
      <c r="M20" s="67">
        <f t="shared" si="3"/>
        <v>0</v>
      </c>
      <c r="N20" s="67">
        <f t="shared" si="3"/>
        <v>0</v>
      </c>
      <c r="O20" s="67"/>
      <c r="P20" s="326">
        <f>SUM(E20:N20)</f>
        <v>0</v>
      </c>
      <c r="Q20" s="2"/>
    </row>
    <row r="21" spans="1:17" x14ac:dyDescent="0.15">
      <c r="B21" s="340" t="s">
        <v>691</v>
      </c>
      <c r="C21" s="354" t="s">
        <v>691</v>
      </c>
      <c r="D21" s="67">
        <v>0</v>
      </c>
      <c r="E21" s="67">
        <f>E161</f>
        <v>0</v>
      </c>
      <c r="F21" s="67">
        <f t="shared" ref="F21:N21" si="4">F161</f>
        <v>0</v>
      </c>
      <c r="G21" s="67">
        <f t="shared" si="4"/>
        <v>0</v>
      </c>
      <c r="H21" s="67">
        <f t="shared" si="4"/>
        <v>0</v>
      </c>
      <c r="I21" s="67">
        <f t="shared" si="4"/>
        <v>0</v>
      </c>
      <c r="J21" s="67">
        <f t="shared" si="4"/>
        <v>0</v>
      </c>
      <c r="K21" s="67">
        <f t="shared" si="4"/>
        <v>0</v>
      </c>
      <c r="L21" s="67">
        <f t="shared" si="4"/>
        <v>0</v>
      </c>
      <c r="M21" s="67">
        <f t="shared" si="4"/>
        <v>0</v>
      </c>
      <c r="N21" s="67">
        <f t="shared" si="4"/>
        <v>0</v>
      </c>
      <c r="O21" s="67"/>
      <c r="P21" s="326">
        <f>SUM(E21:N21)</f>
        <v>0</v>
      </c>
      <c r="Q21" s="2"/>
    </row>
    <row r="22" spans="1:17" x14ac:dyDescent="0.15">
      <c r="B22" s="340" t="s">
        <v>692</v>
      </c>
      <c r="C22" s="354" t="s">
        <v>692</v>
      </c>
      <c r="D22" s="67">
        <v>0</v>
      </c>
      <c r="E22" s="67">
        <f>E21+E20+E19</f>
        <v>225000000</v>
      </c>
      <c r="F22" s="67">
        <f t="shared" ref="F22:N22" si="5">F21+F20+F19</f>
        <v>235125000.00000006</v>
      </c>
      <c r="G22" s="67">
        <f t="shared" si="5"/>
        <v>245705625.00000006</v>
      </c>
      <c r="H22" s="67">
        <f t="shared" si="5"/>
        <v>256762378.12500009</v>
      </c>
      <c r="I22" s="67">
        <f t="shared" si="5"/>
        <v>268316685.14062509</v>
      </c>
      <c r="J22" s="67">
        <f t="shared" si="5"/>
        <v>0</v>
      </c>
      <c r="K22" s="67">
        <f t="shared" si="5"/>
        <v>0</v>
      </c>
      <c r="L22" s="67">
        <f t="shared" si="5"/>
        <v>0</v>
      </c>
      <c r="M22" s="67">
        <f t="shared" si="5"/>
        <v>0</v>
      </c>
      <c r="N22" s="67">
        <f t="shared" si="5"/>
        <v>0</v>
      </c>
      <c r="O22" s="67"/>
      <c r="P22" s="326">
        <f t="shared" ref="P22:P31" si="6">SUM(E22:N22)</f>
        <v>1230909688.2656252</v>
      </c>
      <c r="Q22" s="2"/>
    </row>
    <row r="23" spans="1:17" x14ac:dyDescent="0.15">
      <c r="B23" s="340" t="str">
        <f>'After Tax Analysis'!B9</f>
        <v>2 / "Expenses"</v>
      </c>
      <c r="C23" s="12" t="str">
        <f>'After Tax Analysis'!C9</f>
        <v>Cash Expenses (Not including depreciation)</v>
      </c>
      <c r="D23" s="67">
        <f>'Volume Sens Wksht Prod X'!D163</f>
        <v>0</v>
      </c>
      <c r="E23" s="67">
        <f>(Expenses!D18*0.75)+Expenses!D25+Expenses!D32+(Expenses!D39*0.75)+Expenses!D44+Expenses!D49+Expenses!D56+Expenses!D95-Expenses!D77</f>
        <v>199045000</v>
      </c>
      <c r="F23" s="67">
        <f>(Expenses!E18*0.75)+Expenses!E25+Expenses!E32+(Expenses!E39*0.75)+Expenses!E44+Expenses!E49+Expenses!E56+Expenses!E95-Expenses!E77</f>
        <v>217817481.25000003</v>
      </c>
      <c r="G23" s="67">
        <f>(Expenses!F18*0.75)+Expenses!F25+Expenses!F32+(Expenses!F39*0.75)+Expenses!F44+Expenses!F49+Expenses!F56+Expenses!F95-Expenses!F77</f>
        <v>238911702.96343756</v>
      </c>
      <c r="H23" s="67">
        <f>(Expenses!G18*0.75)+Expenses!G25+Expenses!G32+(Expenses!G39*0.75)+Expenses!G44+Expenses!G49+Expenses!G56+Expenses!G95-Expenses!G77</f>
        <v>262630530.03492105</v>
      </c>
      <c r="I23" s="67">
        <f>(Expenses!H18*0.75)+Expenses!H25+Expenses!H32+(Expenses!H39*0.75)+Expenses!H44+Expenses!H49+Expenses!H56+Expenses!H95-Expenses!H77</f>
        <v>289316878.93396413</v>
      </c>
      <c r="J23" s="67">
        <f>(Expenses!I18*0.75)+Expenses!I25+Expenses!I32+(Expenses!I39*0.75)+Expenses!I44+Expenses!I49+Expenses!I56+Expenses!I95-Expenses!I77</f>
        <v>0</v>
      </c>
      <c r="K23" s="67">
        <f>(Expenses!J18*0.75)+Expenses!J25+Expenses!J32+(Expenses!J39*0.75)+Expenses!J44+Expenses!J49+Expenses!J56+Expenses!J95-Expenses!J77</f>
        <v>0</v>
      </c>
      <c r="L23" s="67">
        <f>(Expenses!K18*0.75)+Expenses!K25+Expenses!K32+(Expenses!K39*0.75)+Expenses!K44+Expenses!K49+Expenses!K56+Expenses!K95-Expenses!K77</f>
        <v>0</v>
      </c>
      <c r="M23" s="67">
        <f>(Expenses!L18*0.75)+Expenses!L25+Expenses!L32+(Expenses!L39*0.75)+Expenses!L44+Expenses!L49+Expenses!L56+Expenses!L95-Expenses!L77</f>
        <v>0</v>
      </c>
      <c r="N23" s="67">
        <f>(Expenses!M18*0.75)+Expenses!M25+Expenses!M32+(Expenses!M39*0.75)+Expenses!M44+Expenses!M49+Expenses!M56+Expenses!M95-Expenses!M77</f>
        <v>0</v>
      </c>
      <c r="O23" s="67">
        <f>'After Tax Analysis'!O9</f>
        <v>0</v>
      </c>
      <c r="P23" s="326">
        <f t="shared" si="6"/>
        <v>1207721593.1823227</v>
      </c>
      <c r="Q23" s="2"/>
    </row>
    <row r="24" spans="1:17" x14ac:dyDescent="0.15">
      <c r="B24" s="340">
        <f>'After Tax Analysis'!B10</f>
        <v>3</v>
      </c>
      <c r="C24" s="12" t="str">
        <f>'After Tax Analysis'!C10</f>
        <v>Oper. Income (1-2)</v>
      </c>
      <c r="D24" s="67">
        <f>D164</f>
        <v>0</v>
      </c>
      <c r="E24" s="67">
        <f>E22-E23</f>
        <v>25955000</v>
      </c>
      <c r="F24" s="67">
        <f t="shared" ref="F24:N24" si="7">F22-F23</f>
        <v>17307518.75000003</v>
      </c>
      <c r="G24" s="67">
        <f t="shared" si="7"/>
        <v>6793922.0365625024</v>
      </c>
      <c r="H24" s="67">
        <f t="shared" si="7"/>
        <v>-5868151.9099209607</v>
      </c>
      <c r="I24" s="67">
        <f t="shared" si="7"/>
        <v>-21000193.793339044</v>
      </c>
      <c r="J24" s="67">
        <f t="shared" si="7"/>
        <v>0</v>
      </c>
      <c r="K24" s="67">
        <f t="shared" si="7"/>
        <v>0</v>
      </c>
      <c r="L24" s="67">
        <f t="shared" si="7"/>
        <v>0</v>
      </c>
      <c r="M24" s="67">
        <f t="shared" si="7"/>
        <v>0</v>
      </c>
      <c r="N24" s="67">
        <f t="shared" si="7"/>
        <v>0</v>
      </c>
      <c r="O24" s="67">
        <f>'After Tax Analysis'!O10</f>
        <v>0</v>
      </c>
      <c r="P24" s="326">
        <f t="shared" si="6"/>
        <v>23188095.083302528</v>
      </c>
      <c r="Q24" s="2"/>
    </row>
    <row r="25" spans="1:17" x14ac:dyDescent="0.15">
      <c r="B25" s="340" t="str">
        <f>'After Tax Analysis'!B11</f>
        <v>4 / "Expenses"</v>
      </c>
      <c r="C25" s="12" t="str">
        <f>'After Tax Analysis'!C11</f>
        <v>Depreciation</v>
      </c>
      <c r="D25" s="67">
        <f t="shared" ref="D25:D42" si="8">D165</f>
        <v>0</v>
      </c>
      <c r="E25" s="67">
        <f t="shared" ref="E25:N25" si="9">E165</f>
        <v>3772500</v>
      </c>
      <c r="F25" s="67">
        <f t="shared" si="9"/>
        <v>6218850</v>
      </c>
      <c r="G25" s="67">
        <f t="shared" si="9"/>
        <v>4083150</v>
      </c>
      <c r="H25" s="67">
        <f t="shared" si="9"/>
        <v>2775510</v>
      </c>
      <c r="I25" s="67">
        <f t="shared" si="9"/>
        <v>1352955</v>
      </c>
      <c r="J25" s="67">
        <f t="shared" si="9"/>
        <v>0</v>
      </c>
      <c r="K25" s="67">
        <f t="shared" si="9"/>
        <v>0</v>
      </c>
      <c r="L25" s="67">
        <f t="shared" si="9"/>
        <v>0</v>
      </c>
      <c r="M25" s="67">
        <f t="shared" si="9"/>
        <v>0</v>
      </c>
      <c r="N25" s="67">
        <f t="shared" si="9"/>
        <v>0</v>
      </c>
      <c r="O25" s="67">
        <f>'After Tax Analysis'!O11</f>
        <v>0</v>
      </c>
      <c r="P25" s="326">
        <f t="shared" si="6"/>
        <v>18202965</v>
      </c>
      <c r="Q25" s="2"/>
    </row>
    <row r="26" spans="1:17" x14ac:dyDescent="0.15">
      <c r="B26" s="340">
        <f>'After Tax Analysis'!B12</f>
        <v>5</v>
      </c>
      <c r="C26" s="12" t="str">
        <f>'After Tax Analysis'!C12</f>
        <v>Oper. Income (3-4)</v>
      </c>
      <c r="D26" s="67">
        <f t="shared" si="8"/>
        <v>0</v>
      </c>
      <c r="E26" s="67">
        <f>E24-E25</f>
        <v>22182500</v>
      </c>
      <c r="F26" s="67">
        <f t="shared" ref="F26:N26" si="10">F24-F25</f>
        <v>11088668.75000003</v>
      </c>
      <c r="G26" s="67">
        <f t="shared" si="10"/>
        <v>2710772.0365625024</v>
      </c>
      <c r="H26" s="67">
        <f t="shared" si="10"/>
        <v>-8643661.9099209607</v>
      </c>
      <c r="I26" s="67">
        <f t="shared" si="10"/>
        <v>-22353148.793339044</v>
      </c>
      <c r="J26" s="67">
        <f t="shared" si="10"/>
        <v>0</v>
      </c>
      <c r="K26" s="67">
        <f t="shared" si="10"/>
        <v>0</v>
      </c>
      <c r="L26" s="67">
        <f t="shared" si="10"/>
        <v>0</v>
      </c>
      <c r="M26" s="67">
        <f t="shared" si="10"/>
        <v>0</v>
      </c>
      <c r="N26" s="67">
        <f t="shared" si="10"/>
        <v>0</v>
      </c>
      <c r="O26" s="67">
        <f>'After Tax Analysis'!O12</f>
        <v>0</v>
      </c>
      <c r="P26" s="326">
        <f t="shared" si="6"/>
        <v>4985130.0833025277</v>
      </c>
      <c r="Q26" s="2"/>
    </row>
    <row r="27" spans="1:17" x14ac:dyDescent="0.15">
      <c r="B27" s="340" t="str">
        <f>'After Tax Analysis'!B13</f>
        <v>6 / "Loan Amortization"</v>
      </c>
      <c r="C27" s="12" t="str">
        <f>'After Tax Analysis'!C13</f>
        <v>Interest expense</v>
      </c>
      <c r="D27" s="67">
        <f t="shared" si="8"/>
        <v>0</v>
      </c>
      <c r="E27" s="67">
        <f>E167</f>
        <v>0</v>
      </c>
      <c r="F27" s="67">
        <f t="shared" ref="F27:N27" si="11">F167</f>
        <v>0</v>
      </c>
      <c r="G27" s="67">
        <f t="shared" si="11"/>
        <v>0</v>
      </c>
      <c r="H27" s="67">
        <f t="shared" si="11"/>
        <v>0</v>
      </c>
      <c r="I27" s="67">
        <f t="shared" si="11"/>
        <v>0</v>
      </c>
      <c r="J27" s="67">
        <f t="shared" si="11"/>
        <v>0</v>
      </c>
      <c r="K27" s="67">
        <f t="shared" si="11"/>
        <v>0</v>
      </c>
      <c r="L27" s="67">
        <f t="shared" si="11"/>
        <v>0</v>
      </c>
      <c r="M27" s="67">
        <f t="shared" si="11"/>
        <v>0</v>
      </c>
      <c r="N27" s="67">
        <f t="shared" si="11"/>
        <v>0</v>
      </c>
      <c r="O27" s="67">
        <f>'After Tax Analysis'!O13</f>
        <v>0</v>
      </c>
      <c r="P27" s="326">
        <f t="shared" si="6"/>
        <v>0</v>
      </c>
      <c r="Q27" s="2"/>
    </row>
    <row r="28" spans="1:17" x14ac:dyDescent="0.15">
      <c r="B28" s="340">
        <f>'After Tax Analysis'!B14</f>
        <v>7</v>
      </c>
      <c r="C28" s="12" t="str">
        <f>'After Tax Analysis'!C14</f>
        <v>Pretax Net Income (5-6)</v>
      </c>
      <c r="D28" s="67">
        <f t="shared" si="8"/>
        <v>0</v>
      </c>
      <c r="E28" s="67">
        <f>E26-E27</f>
        <v>22182500</v>
      </c>
      <c r="F28" s="67">
        <f t="shared" ref="F28:N28" si="12">F26-F27</f>
        <v>11088668.75000003</v>
      </c>
      <c r="G28" s="67">
        <f t="shared" si="12"/>
        <v>2710772.0365625024</v>
      </c>
      <c r="H28" s="67">
        <f t="shared" si="12"/>
        <v>-8643661.9099209607</v>
      </c>
      <c r="I28" s="67">
        <f t="shared" si="12"/>
        <v>-22353148.793339044</v>
      </c>
      <c r="J28" s="67">
        <f t="shared" si="12"/>
        <v>0</v>
      </c>
      <c r="K28" s="67">
        <f t="shared" si="12"/>
        <v>0</v>
      </c>
      <c r="L28" s="67">
        <f t="shared" si="12"/>
        <v>0</v>
      </c>
      <c r="M28" s="67">
        <f t="shared" si="12"/>
        <v>0</v>
      </c>
      <c r="N28" s="67">
        <f t="shared" si="12"/>
        <v>0</v>
      </c>
      <c r="O28" s="67">
        <f>'After Tax Analysis'!O14</f>
        <v>0</v>
      </c>
      <c r="P28" s="326">
        <f t="shared" si="6"/>
        <v>4985130.0833025277</v>
      </c>
      <c r="Q28" s="2"/>
    </row>
    <row r="29" spans="1:17" x14ac:dyDescent="0.15">
      <c r="B29" s="340">
        <f>'After Tax Analysis'!B15</f>
        <v>8</v>
      </c>
      <c r="C29" s="12" t="str">
        <f>'After Tax Analysis'!C15</f>
        <v>Income taxes (at rate above)</v>
      </c>
      <c r="D29" s="67">
        <f t="shared" si="8"/>
        <v>0</v>
      </c>
      <c r="E29" s="67">
        <f>-E28*$D$3</f>
        <v>-6654750</v>
      </c>
      <c r="F29" s="67">
        <f t="shared" ref="F29:N29" si="13">-F28*$D$3</f>
        <v>-3326600.6250000088</v>
      </c>
      <c r="G29" s="67">
        <f t="shared" si="13"/>
        <v>-813231.61096875067</v>
      </c>
      <c r="H29" s="67">
        <f t="shared" si="13"/>
        <v>2593098.5729762879</v>
      </c>
      <c r="I29" s="67">
        <f t="shared" si="13"/>
        <v>6705944.638001713</v>
      </c>
      <c r="J29" s="67">
        <f t="shared" si="13"/>
        <v>0</v>
      </c>
      <c r="K29" s="67">
        <f t="shared" si="13"/>
        <v>0</v>
      </c>
      <c r="L29" s="67">
        <f t="shared" si="13"/>
        <v>0</v>
      </c>
      <c r="M29" s="67">
        <f t="shared" si="13"/>
        <v>0</v>
      </c>
      <c r="N29" s="67">
        <f t="shared" si="13"/>
        <v>0</v>
      </c>
      <c r="O29" s="67">
        <f>'After Tax Analysis'!O15</f>
        <v>0</v>
      </c>
      <c r="P29" s="326">
        <f t="shared" si="6"/>
        <v>-1495539.0249907589</v>
      </c>
      <c r="Q29" s="2"/>
    </row>
    <row r="30" spans="1:17" x14ac:dyDescent="0.15">
      <c r="B30" s="340">
        <f>'After Tax Analysis'!B16</f>
        <v>9</v>
      </c>
      <c r="C30" s="12" t="str">
        <f>'After Tax Analysis'!C16</f>
        <v>Investment Tax Credit For Year 1 (at rate above)</v>
      </c>
      <c r="D30" s="67">
        <f t="shared" si="8"/>
        <v>0</v>
      </c>
      <c r="E30" s="67">
        <f>E170</f>
        <v>0</v>
      </c>
      <c r="F30" s="67">
        <f t="shared" ref="F30:N30" si="14">F170</f>
        <v>0</v>
      </c>
      <c r="G30" s="67">
        <f t="shared" si="14"/>
        <v>0</v>
      </c>
      <c r="H30" s="67">
        <f t="shared" si="14"/>
        <v>0</v>
      </c>
      <c r="I30" s="67">
        <f t="shared" si="14"/>
        <v>0</v>
      </c>
      <c r="J30" s="67">
        <f t="shared" si="14"/>
        <v>0</v>
      </c>
      <c r="K30" s="67">
        <f t="shared" si="14"/>
        <v>0</v>
      </c>
      <c r="L30" s="67">
        <f t="shared" si="14"/>
        <v>0</v>
      </c>
      <c r="M30" s="67">
        <f t="shared" si="14"/>
        <v>0</v>
      </c>
      <c r="N30" s="67">
        <f t="shared" si="14"/>
        <v>0</v>
      </c>
      <c r="O30" s="67">
        <f>'After Tax Analysis'!O16</f>
        <v>0</v>
      </c>
      <c r="P30" s="326">
        <f>'After Tax Analysis'!P16</f>
        <v>0</v>
      </c>
      <c r="Q30" s="2"/>
    </row>
    <row r="31" spans="1:17" x14ac:dyDescent="0.15">
      <c r="B31" s="340">
        <f>'After Tax Analysis'!B17</f>
        <v>10</v>
      </c>
      <c r="C31" s="12" t="str">
        <f>'After Tax Analysis'!C17</f>
        <v>Net Income AT (7-8+9)</v>
      </c>
      <c r="D31" s="67">
        <f t="shared" si="8"/>
        <v>0</v>
      </c>
      <c r="E31" s="67">
        <f>E28+E29+E30</f>
        <v>15527750</v>
      </c>
      <c r="F31" s="67">
        <f t="shared" ref="F31:N31" si="15">F28+F29+F30</f>
        <v>7762068.1250000205</v>
      </c>
      <c r="G31" s="67">
        <f t="shared" si="15"/>
        <v>1897540.4255937517</v>
      </c>
      <c r="H31" s="67">
        <f t="shared" si="15"/>
        <v>-6050563.3369446732</v>
      </c>
      <c r="I31" s="67">
        <f t="shared" si="15"/>
        <v>-15647204.15533733</v>
      </c>
      <c r="J31" s="67">
        <f t="shared" si="15"/>
        <v>0</v>
      </c>
      <c r="K31" s="67">
        <f t="shared" si="15"/>
        <v>0</v>
      </c>
      <c r="L31" s="67">
        <f t="shared" si="15"/>
        <v>0</v>
      </c>
      <c r="M31" s="67">
        <f t="shared" si="15"/>
        <v>0</v>
      </c>
      <c r="N31" s="67">
        <f t="shared" si="15"/>
        <v>0</v>
      </c>
      <c r="O31" s="67">
        <f>'After Tax Analysis'!O17</f>
        <v>0</v>
      </c>
      <c r="P31" s="326">
        <f t="shared" si="6"/>
        <v>3489591.0583117716</v>
      </c>
      <c r="Q31" s="2"/>
    </row>
    <row r="32" spans="1:17" x14ac:dyDescent="0.15">
      <c r="B32" s="340" t="str">
        <f>'After Tax Analysis'!B18</f>
        <v>11 / "Expenses"</v>
      </c>
      <c r="C32" s="12" t="str">
        <f>'After Tax Analysis'!C18</f>
        <v>Depreciation</v>
      </c>
      <c r="D32" s="67">
        <f t="shared" si="8"/>
        <v>0</v>
      </c>
      <c r="E32" s="67">
        <f>E172</f>
        <v>3772500</v>
      </c>
      <c r="F32" s="67">
        <f t="shared" ref="F32:N32" si="16">F172</f>
        <v>6218850</v>
      </c>
      <c r="G32" s="67">
        <f t="shared" si="16"/>
        <v>4083150</v>
      </c>
      <c r="H32" s="67">
        <f t="shared" si="16"/>
        <v>2775510</v>
      </c>
      <c r="I32" s="67">
        <f t="shared" si="16"/>
        <v>1352955</v>
      </c>
      <c r="J32" s="67">
        <f t="shared" si="16"/>
        <v>0</v>
      </c>
      <c r="K32" s="67">
        <f t="shared" si="16"/>
        <v>0</v>
      </c>
      <c r="L32" s="67">
        <f t="shared" si="16"/>
        <v>0</v>
      </c>
      <c r="M32" s="67">
        <f t="shared" si="16"/>
        <v>0</v>
      </c>
      <c r="N32" s="67">
        <f t="shared" si="16"/>
        <v>0</v>
      </c>
      <c r="O32" s="67">
        <f>'After Tax Analysis'!O18</f>
        <v>0</v>
      </c>
      <c r="P32" s="326">
        <f>'After Tax Analysis'!P18</f>
        <v>18202965</v>
      </c>
      <c r="Q32" s="2"/>
    </row>
    <row r="33" spans="1:19" x14ac:dyDescent="0.15">
      <c r="B33" s="340">
        <f>'After Tax Analysis'!B19</f>
        <v>12</v>
      </c>
      <c r="C33" s="12" t="str">
        <f>'After Tax Analysis'!C19</f>
        <v>Net C.F. from Oper.(10+11)</v>
      </c>
      <c r="D33" s="67">
        <f t="shared" si="8"/>
        <v>0</v>
      </c>
      <c r="E33" s="67">
        <f>E31+E32</f>
        <v>19300250</v>
      </c>
      <c r="F33" s="67">
        <f t="shared" ref="F33:N33" si="17">F31+F32</f>
        <v>13980918.12500002</v>
      </c>
      <c r="G33" s="67">
        <f t="shared" si="17"/>
        <v>5980690.4255937515</v>
      </c>
      <c r="H33" s="67">
        <f t="shared" si="17"/>
        <v>-3275053.3369446732</v>
      </c>
      <c r="I33" s="67">
        <f t="shared" si="17"/>
        <v>-14294249.15533733</v>
      </c>
      <c r="J33" s="67">
        <f t="shared" si="17"/>
        <v>0</v>
      </c>
      <c r="K33" s="67">
        <f t="shared" si="17"/>
        <v>0</v>
      </c>
      <c r="L33" s="67">
        <f t="shared" si="17"/>
        <v>0</v>
      </c>
      <c r="M33" s="67">
        <f t="shared" si="17"/>
        <v>0</v>
      </c>
      <c r="N33" s="67">
        <f t="shared" si="17"/>
        <v>0</v>
      </c>
      <c r="O33" s="67">
        <f>'After Tax Analysis'!O19</f>
        <v>0</v>
      </c>
      <c r="P33" s="326">
        <f>'After Tax Analysis'!P19</f>
        <v>167420087.47046441</v>
      </c>
      <c r="Q33" s="2"/>
    </row>
    <row r="34" spans="1:19" x14ac:dyDescent="0.15">
      <c r="B34" s="340" t="str">
        <f>'After Tax Analysis'!B20</f>
        <v>13 / "Loan Amortization"</v>
      </c>
      <c r="C34" s="12" t="str">
        <f>'After Tax Analysis'!C20</f>
        <v>Principal Repayment</v>
      </c>
      <c r="D34" s="67">
        <f t="shared" si="8"/>
        <v>0</v>
      </c>
      <c r="E34" s="67">
        <f t="shared" ref="E34:N34" si="18">E174</f>
        <v>0</v>
      </c>
      <c r="F34" s="67">
        <f t="shared" si="18"/>
        <v>0</v>
      </c>
      <c r="G34" s="67">
        <f t="shared" si="18"/>
        <v>0</v>
      </c>
      <c r="H34" s="67">
        <f t="shared" si="18"/>
        <v>0</v>
      </c>
      <c r="I34" s="67">
        <f t="shared" si="18"/>
        <v>0</v>
      </c>
      <c r="J34" s="67">
        <f t="shared" si="18"/>
        <v>0</v>
      </c>
      <c r="K34" s="67">
        <f t="shared" si="18"/>
        <v>0</v>
      </c>
      <c r="L34" s="67">
        <f t="shared" si="18"/>
        <v>0</v>
      </c>
      <c r="M34" s="67">
        <f t="shared" si="18"/>
        <v>0</v>
      </c>
      <c r="N34" s="67">
        <f t="shared" si="18"/>
        <v>0</v>
      </c>
      <c r="O34" s="67">
        <f>'After Tax Analysis'!O20</f>
        <v>0</v>
      </c>
      <c r="P34" s="326">
        <f>'After Tax Analysis'!P20</f>
        <v>0</v>
      </c>
      <c r="Q34" s="2"/>
    </row>
    <row r="35" spans="1:19" x14ac:dyDescent="0.15">
      <c r="B35" s="340">
        <f>'After Tax Analysis'!B21</f>
        <v>14</v>
      </c>
      <c r="C35" s="12" t="str">
        <f>'After Tax Analysis'!C21</f>
        <v>Equity Capital (14a+14b+14c)</v>
      </c>
      <c r="D35" s="67">
        <f t="shared" si="8"/>
        <v>-32550000</v>
      </c>
      <c r="E35" s="67">
        <f t="shared" ref="E35:N35" si="19">E175</f>
        <v>0</v>
      </c>
      <c r="F35" s="67">
        <f t="shared" si="19"/>
        <v>0</v>
      </c>
      <c r="G35" s="67">
        <f t="shared" si="19"/>
        <v>0</v>
      </c>
      <c r="H35" s="67">
        <f t="shared" si="19"/>
        <v>0</v>
      </c>
      <c r="I35" s="67">
        <f t="shared" si="19"/>
        <v>14347035</v>
      </c>
      <c r="J35" s="67">
        <f t="shared" si="19"/>
        <v>0</v>
      </c>
      <c r="K35" s="67">
        <f t="shared" si="19"/>
        <v>0</v>
      </c>
      <c r="L35" s="67">
        <f t="shared" si="19"/>
        <v>0</v>
      </c>
      <c r="M35" s="67">
        <f t="shared" si="19"/>
        <v>0</v>
      </c>
      <c r="N35" s="67">
        <f t="shared" si="19"/>
        <v>0</v>
      </c>
      <c r="O35" s="67">
        <f>'After Tax Analysis'!O21</f>
        <v>0</v>
      </c>
      <c r="P35" s="326">
        <f>'After Tax Analysis'!P21</f>
        <v>-18202965</v>
      </c>
      <c r="Q35" s="2"/>
    </row>
    <row r="36" spans="1:19" x14ac:dyDescent="0.15">
      <c r="B36" s="340" t="str">
        <f>'After Tax Analysis'!B22</f>
        <v>14a / "Capital &amp; Depr"</v>
      </c>
      <c r="C36" s="12" t="str">
        <f>'After Tax Analysis'!C22</f>
        <v>Depreciable Capital</v>
      </c>
      <c r="D36" s="67">
        <f t="shared" si="8"/>
        <v>-31050000</v>
      </c>
      <c r="E36" s="67">
        <f t="shared" ref="E36:N36" si="20">E176</f>
        <v>0</v>
      </c>
      <c r="F36" s="67">
        <f t="shared" si="20"/>
        <v>0</v>
      </c>
      <c r="G36" s="67">
        <f t="shared" si="20"/>
        <v>0</v>
      </c>
      <c r="H36" s="67">
        <f t="shared" si="20"/>
        <v>0</v>
      </c>
      <c r="I36" s="67">
        <f t="shared" si="20"/>
        <v>12847035</v>
      </c>
      <c r="J36" s="67">
        <f t="shared" si="20"/>
        <v>0</v>
      </c>
      <c r="K36" s="67">
        <f t="shared" si="20"/>
        <v>0</v>
      </c>
      <c r="L36" s="67">
        <f t="shared" si="20"/>
        <v>0</v>
      </c>
      <c r="M36" s="67">
        <f t="shared" si="20"/>
        <v>0</v>
      </c>
      <c r="N36" s="67">
        <f t="shared" si="20"/>
        <v>0</v>
      </c>
      <c r="O36" s="67">
        <f>'After Tax Analysis'!O22</f>
        <v>0</v>
      </c>
      <c r="P36" s="326">
        <f>'After Tax Analysis'!P22</f>
        <v>-18202965</v>
      </c>
      <c r="Q36" s="2"/>
    </row>
    <row r="37" spans="1:19" x14ac:dyDescent="0.15">
      <c r="B37" s="340" t="str">
        <f>'After Tax Analysis'!B23</f>
        <v>14b / "Capital &amp; Depr"</v>
      </c>
      <c r="C37" s="12" t="str">
        <f>'After Tax Analysis'!C23</f>
        <v>Non-depreciable capital</v>
      </c>
      <c r="D37" s="67">
        <f t="shared" si="8"/>
        <v>-1500000</v>
      </c>
      <c r="E37" s="67">
        <f t="shared" ref="E37:N37" si="21">E177</f>
        <v>0</v>
      </c>
      <c r="F37" s="67">
        <f t="shared" si="21"/>
        <v>0</v>
      </c>
      <c r="G37" s="67">
        <f t="shared" si="21"/>
        <v>0</v>
      </c>
      <c r="H37" s="67">
        <f t="shared" si="21"/>
        <v>0</v>
      </c>
      <c r="I37" s="67">
        <f t="shared" si="21"/>
        <v>1500000</v>
      </c>
      <c r="J37" s="67">
        <f t="shared" si="21"/>
        <v>0</v>
      </c>
      <c r="K37" s="67">
        <f t="shared" si="21"/>
        <v>0</v>
      </c>
      <c r="L37" s="67">
        <f t="shared" si="21"/>
        <v>0</v>
      </c>
      <c r="M37" s="67">
        <f t="shared" si="21"/>
        <v>0</v>
      </c>
      <c r="N37" s="67">
        <f t="shared" si="21"/>
        <v>0</v>
      </c>
      <c r="O37" s="67">
        <f>'After Tax Analysis'!O23</f>
        <v>0</v>
      </c>
      <c r="P37" s="326">
        <f>'After Tax Analysis'!P23</f>
        <v>0</v>
      </c>
      <c r="Q37" s="2"/>
    </row>
    <row r="38" spans="1:19" x14ac:dyDescent="0.15">
      <c r="B38" s="340" t="str">
        <f>'After Tax Analysis'!B24</f>
        <v>14c / "Capital &amp; Depr"</v>
      </c>
      <c r="C38" s="12" t="str">
        <f>'After Tax Analysis'!C24</f>
        <v>Loan Proceeds</v>
      </c>
      <c r="D38" s="67">
        <f t="shared" si="8"/>
        <v>0</v>
      </c>
      <c r="E38" s="67">
        <f t="shared" ref="E38:N38" si="22">E178</f>
        <v>0</v>
      </c>
      <c r="F38" s="67">
        <f t="shared" si="22"/>
        <v>0</v>
      </c>
      <c r="G38" s="67">
        <f t="shared" si="22"/>
        <v>0</v>
      </c>
      <c r="H38" s="67">
        <f t="shared" si="22"/>
        <v>0</v>
      </c>
      <c r="I38" s="67">
        <f t="shared" si="22"/>
        <v>0</v>
      </c>
      <c r="J38" s="67">
        <f t="shared" si="22"/>
        <v>0</v>
      </c>
      <c r="K38" s="67">
        <f t="shared" si="22"/>
        <v>0</v>
      </c>
      <c r="L38" s="67">
        <f t="shared" si="22"/>
        <v>0</v>
      </c>
      <c r="M38" s="67">
        <f t="shared" si="22"/>
        <v>0</v>
      </c>
      <c r="N38" s="67">
        <f t="shared" si="22"/>
        <v>0</v>
      </c>
      <c r="O38" s="67">
        <f>'After Tax Analysis'!O24</f>
        <v>0</v>
      </c>
      <c r="P38" s="326">
        <f>'After Tax Analysis'!P24</f>
        <v>0</v>
      </c>
      <c r="Q38" s="2"/>
    </row>
    <row r="39" spans="1:19" x14ac:dyDescent="0.15">
      <c r="B39" s="340" t="str">
        <f>'After Tax Analysis'!B25</f>
        <v>15 / "Capital Gains Wksht"</v>
      </c>
      <c r="C39" s="12" t="str">
        <f>'After Tax Analysis'!C25</f>
        <v>Capital Gains/Losses</v>
      </c>
      <c r="D39" s="67">
        <f t="shared" si="8"/>
        <v>0</v>
      </c>
      <c r="E39" s="67">
        <f t="shared" ref="E39:N39" si="23">E179</f>
        <v>0</v>
      </c>
      <c r="F39" s="67">
        <f t="shared" si="23"/>
        <v>0</v>
      </c>
      <c r="G39" s="67">
        <f t="shared" si="23"/>
        <v>0</v>
      </c>
      <c r="H39" s="67">
        <f t="shared" si="23"/>
        <v>0</v>
      </c>
      <c r="I39" s="67">
        <f t="shared" si="23"/>
        <v>-2596968.7000000002</v>
      </c>
      <c r="J39" s="67">
        <f t="shared" si="23"/>
        <v>0</v>
      </c>
      <c r="K39" s="67">
        <f t="shared" si="23"/>
        <v>0</v>
      </c>
      <c r="L39" s="67">
        <f t="shared" si="23"/>
        <v>0</v>
      </c>
      <c r="M39" s="67">
        <f t="shared" si="23"/>
        <v>0</v>
      </c>
      <c r="N39" s="67">
        <f t="shared" si="23"/>
        <v>0</v>
      </c>
      <c r="O39" s="67">
        <f>'After Tax Analysis'!O25</f>
        <v>0</v>
      </c>
      <c r="P39" s="326">
        <f>'After Tax Analysis'!P25</f>
        <v>-2596968.7000000002</v>
      </c>
      <c r="Q39" s="2"/>
    </row>
    <row r="40" spans="1:19" ht="14" thickBot="1" x14ac:dyDescent="0.2">
      <c r="B40" s="340" t="str">
        <f>'After Tax Analysis'!B26</f>
        <v>16 / "Initial Inputs"</v>
      </c>
      <c r="C40" s="12" t="str">
        <f>'After Tax Analysis'!C26</f>
        <v>Working Capital</v>
      </c>
      <c r="D40" s="67">
        <f t="shared" si="8"/>
        <v>-60000000</v>
      </c>
      <c r="E40" s="67">
        <f t="shared" ref="E40:N40" si="24">E180</f>
        <v>0</v>
      </c>
      <c r="F40" s="67">
        <f t="shared" si="24"/>
        <v>0</v>
      </c>
      <c r="G40" s="67">
        <f t="shared" si="24"/>
        <v>0</v>
      </c>
      <c r="H40" s="67">
        <f t="shared" si="24"/>
        <v>0</v>
      </c>
      <c r="I40" s="67">
        <f t="shared" si="24"/>
        <v>60000000</v>
      </c>
      <c r="J40" s="67">
        <f t="shared" si="24"/>
        <v>0</v>
      </c>
      <c r="K40" s="67">
        <f t="shared" si="24"/>
        <v>0</v>
      </c>
      <c r="L40" s="67">
        <f t="shared" si="24"/>
        <v>0</v>
      </c>
      <c r="M40" s="67">
        <f t="shared" si="24"/>
        <v>0</v>
      </c>
      <c r="N40" s="67">
        <f t="shared" si="24"/>
        <v>0</v>
      </c>
      <c r="O40" s="67">
        <f>'After Tax Analysis'!O26</f>
        <v>0</v>
      </c>
      <c r="P40" s="326">
        <f>'After Tax Analysis'!P26</f>
        <v>0</v>
      </c>
      <c r="Q40" s="2"/>
    </row>
    <row r="41" spans="1:19" x14ac:dyDescent="0.15">
      <c r="B41" s="340">
        <f>'After Tax Analysis'!B27</f>
        <v>17</v>
      </c>
      <c r="C41" s="12" t="str">
        <f>'After Tax Analysis'!C27</f>
        <v>Net Capital Cash Flow (13+14a+14b+14c+15+16)</v>
      </c>
      <c r="D41" s="67">
        <f t="shared" si="8"/>
        <v>-92550000</v>
      </c>
      <c r="E41" s="67">
        <f t="shared" ref="E41:N41" si="25">E181</f>
        <v>0</v>
      </c>
      <c r="F41" s="67">
        <f t="shared" si="25"/>
        <v>0</v>
      </c>
      <c r="G41" s="67">
        <f t="shared" si="25"/>
        <v>0</v>
      </c>
      <c r="H41" s="67">
        <f t="shared" si="25"/>
        <v>0</v>
      </c>
      <c r="I41" s="67">
        <f t="shared" si="25"/>
        <v>71750066.299999997</v>
      </c>
      <c r="J41" s="67">
        <f t="shared" si="25"/>
        <v>0</v>
      </c>
      <c r="K41" s="67">
        <f t="shared" si="25"/>
        <v>0</v>
      </c>
      <c r="L41" s="67">
        <f t="shared" si="25"/>
        <v>0</v>
      </c>
      <c r="M41" s="67">
        <f t="shared" si="25"/>
        <v>0</v>
      </c>
      <c r="N41" s="67">
        <f t="shared" si="25"/>
        <v>0</v>
      </c>
      <c r="O41" s="67">
        <f>'After Tax Analysis'!O27</f>
        <v>0</v>
      </c>
      <c r="P41" s="326">
        <f>'After Tax Analysis'!P27</f>
        <v>-20799933.700000003</v>
      </c>
      <c r="Q41" s="461"/>
      <c r="R41" s="357" t="s">
        <v>693</v>
      </c>
    </row>
    <row r="42" spans="1:19" ht="14" thickBot="1" x14ac:dyDescent="0.2">
      <c r="A42" s="1" t="s">
        <v>688</v>
      </c>
      <c r="B42" s="355">
        <f>'After Tax Analysis'!B28</f>
        <v>18</v>
      </c>
      <c r="C42" s="335" t="str">
        <f>'After Tax Analysis'!C28</f>
        <v>Total Cash Flow (12+17)</v>
      </c>
      <c r="D42" s="331">
        <f t="shared" si="8"/>
        <v>-92550000</v>
      </c>
      <c r="E42" s="331">
        <f t="shared" ref="E42:N42" si="26">E41+E33</f>
        <v>19300250</v>
      </c>
      <c r="F42" s="331">
        <f t="shared" si="26"/>
        <v>13980918.12500002</v>
      </c>
      <c r="G42" s="331">
        <f t="shared" si="26"/>
        <v>5980690.4255937515</v>
      </c>
      <c r="H42" s="331">
        <f t="shared" si="26"/>
        <v>-3275053.3369446732</v>
      </c>
      <c r="I42" s="331">
        <f t="shared" si="26"/>
        <v>57455817.144662663</v>
      </c>
      <c r="J42" s="331">
        <f t="shared" si="26"/>
        <v>0</v>
      </c>
      <c r="K42" s="331">
        <f t="shared" si="26"/>
        <v>0</v>
      </c>
      <c r="L42" s="331">
        <f t="shared" si="26"/>
        <v>0</v>
      </c>
      <c r="M42" s="331">
        <f t="shared" si="26"/>
        <v>0</v>
      </c>
      <c r="N42" s="331">
        <f t="shared" si="26"/>
        <v>0</v>
      </c>
      <c r="O42" s="331">
        <f>'After Tax Analysis'!O28</f>
        <v>0</v>
      </c>
      <c r="P42" s="356">
        <f>'After Tax Analysis'!P28</f>
        <v>146620153.77046439</v>
      </c>
      <c r="Q42" s="463"/>
      <c r="R42" s="358">
        <f>IF(ISNUMBER(IRR(D42:N42)),IRR(D42:N42),"NMF")</f>
        <v>2.6491723908432796E-3</v>
      </c>
      <c r="S42" s="1" t="s">
        <v>688</v>
      </c>
    </row>
    <row r="43" spans="1:19" x14ac:dyDescent="0.15">
      <c r="D43" s="2">
        <f>'Volume Sens Wksht Prod Y'!D42</f>
        <v>-92550000</v>
      </c>
      <c r="E43" s="2">
        <f>'Volume Sens Wksht Prod Y'!E42</f>
        <v>50012750</v>
      </c>
      <c r="F43" s="2">
        <f>'Volume Sens Wksht Prod Y'!F42</f>
        <v>44202792.500000022</v>
      </c>
      <c r="G43" s="2">
        <f>'Volume Sens Wksht Prod Y'!G42</f>
        <v>35442192.08412499</v>
      </c>
      <c r="H43" s="2">
        <f>'Volume Sens Wksht Prod Y'!H42</f>
        <v>25111356.707490433</v>
      </c>
      <c r="I43" s="2">
        <f>'Volume Sens Wksht Prod Y'!I42</f>
        <v>84401062.478848949</v>
      </c>
      <c r="J43" s="2">
        <f>'Volume Sens Wksht Prod Y'!J42</f>
        <v>0</v>
      </c>
      <c r="K43" s="2">
        <f>'Volume Sens Wksht Prod Y'!K42</f>
        <v>0</v>
      </c>
      <c r="L43" s="2">
        <f>'Volume Sens Wksht Prod Y'!L42</f>
        <v>0</v>
      </c>
      <c r="M43" s="2">
        <f>'Volume Sens Wksht Prod Y'!M42</f>
        <v>0</v>
      </c>
      <c r="N43" s="2">
        <f>'Volume Sens Wksht Prod Y'!N42</f>
        <v>0</v>
      </c>
      <c r="O43" s="2">
        <f>'Volume Sens Wksht Prod Y'!O42</f>
        <v>0</v>
      </c>
      <c r="P43" s="2">
        <f>'Volume Sens Wksht Prod Y'!P42</f>
        <v>239170153.77046442</v>
      </c>
      <c r="S43" s="2"/>
    </row>
    <row r="44" spans="1:19" ht="14" thickBot="1" x14ac:dyDescent="0.2">
      <c r="S44" s="2"/>
    </row>
    <row r="45" spans="1:19" ht="14" thickBot="1" x14ac:dyDescent="0.2">
      <c r="B45" s="359" t="s">
        <v>282</v>
      </c>
      <c r="C45" s="360" t="s">
        <v>283</v>
      </c>
      <c r="D45" s="360"/>
      <c r="E45" s="360">
        <v>1</v>
      </c>
      <c r="F45" s="360">
        <v>2</v>
      </c>
      <c r="G45" s="360">
        <v>3</v>
      </c>
      <c r="H45" s="360">
        <v>4</v>
      </c>
      <c r="I45" s="360">
        <v>5</v>
      </c>
      <c r="J45" s="360">
        <v>6</v>
      </c>
      <c r="K45" s="360">
        <v>7</v>
      </c>
      <c r="L45" s="360">
        <v>8</v>
      </c>
      <c r="M45" s="360">
        <v>9</v>
      </c>
      <c r="N45" s="360">
        <v>10</v>
      </c>
      <c r="O45" s="360" t="s">
        <v>284</v>
      </c>
      <c r="P45" s="361" t="s">
        <v>285</v>
      </c>
      <c r="S45" s="2"/>
    </row>
    <row r="46" spans="1:19" x14ac:dyDescent="0.15">
      <c r="B46" s="339" t="s">
        <v>687</v>
      </c>
      <c r="C46" s="302" t="s">
        <v>287</v>
      </c>
      <c r="D46" s="322">
        <f t="shared" ref="D46:D51" si="27">D158</f>
        <v>0</v>
      </c>
      <c r="E46" s="322">
        <f t="shared" ref="E46:N46" si="28">E158</f>
        <v>300000000</v>
      </c>
      <c r="F46" s="322">
        <f t="shared" si="28"/>
        <v>313500000.00000006</v>
      </c>
      <c r="G46" s="322">
        <f t="shared" si="28"/>
        <v>327607500.00000006</v>
      </c>
      <c r="H46" s="322">
        <f t="shared" si="28"/>
        <v>342349837.50000012</v>
      </c>
      <c r="I46" s="322">
        <f t="shared" si="28"/>
        <v>357755580.18750012</v>
      </c>
      <c r="J46" s="322">
        <f t="shared" si="28"/>
        <v>0</v>
      </c>
      <c r="K46" s="322">
        <f t="shared" si="28"/>
        <v>0</v>
      </c>
      <c r="L46" s="322">
        <f t="shared" si="28"/>
        <v>0</v>
      </c>
      <c r="M46" s="322">
        <f t="shared" si="28"/>
        <v>0</v>
      </c>
      <c r="N46" s="322">
        <f t="shared" si="28"/>
        <v>0</v>
      </c>
      <c r="O46" s="322">
        <v>0</v>
      </c>
      <c r="P46" s="325">
        <f>SUM(E46:N46)</f>
        <v>1641212917.6875</v>
      </c>
      <c r="Q46" s="2"/>
      <c r="S46" s="2"/>
    </row>
    <row r="47" spans="1:19" x14ac:dyDescent="0.15">
      <c r="A47" s="1" t="s">
        <v>694</v>
      </c>
      <c r="B47" s="355" t="s">
        <v>689</v>
      </c>
      <c r="C47" s="362" t="s">
        <v>689</v>
      </c>
      <c r="D47" s="331">
        <f t="shared" si="27"/>
        <v>0</v>
      </c>
      <c r="E47" s="331">
        <f>Revenues!D7*Revenues!D8*0.8</f>
        <v>240000000</v>
      </c>
      <c r="F47" s="331">
        <f>Revenues!E7*Revenues!E8*0.8</f>
        <v>250800000.00000006</v>
      </c>
      <c r="G47" s="331">
        <f>Revenues!F7*Revenues!F8*0.8</f>
        <v>262086000.00000006</v>
      </c>
      <c r="H47" s="331">
        <f>Revenues!G7*Revenues!G8*0.8</f>
        <v>273879870.00000012</v>
      </c>
      <c r="I47" s="331">
        <f>Revenues!H7*Revenues!H8*0.8</f>
        <v>286204464.1500001</v>
      </c>
      <c r="J47" s="331">
        <f>Revenues!I7*Revenues!I8*0.8</f>
        <v>0</v>
      </c>
      <c r="K47" s="331">
        <f>Revenues!J7*Revenues!J8*0.8</f>
        <v>0</v>
      </c>
      <c r="L47" s="331">
        <f>Revenues!K7*Revenues!K8*0.8</f>
        <v>0</v>
      </c>
      <c r="M47" s="331">
        <f>Revenues!L7*Revenues!L8*0.8</f>
        <v>0</v>
      </c>
      <c r="N47" s="331">
        <f>Revenues!M7*Revenues!M8*0.8</f>
        <v>0</v>
      </c>
      <c r="O47" s="331"/>
      <c r="P47" s="356">
        <f>SUM(E47:N47)</f>
        <v>1312970334.1500003</v>
      </c>
      <c r="Q47" s="460"/>
      <c r="S47" s="2"/>
    </row>
    <row r="48" spans="1:19" x14ac:dyDescent="0.15">
      <c r="B48" s="340" t="s">
        <v>690</v>
      </c>
      <c r="C48" s="354" t="s">
        <v>690</v>
      </c>
      <c r="D48" s="67">
        <f t="shared" si="27"/>
        <v>0</v>
      </c>
      <c r="E48" s="67">
        <f>E160</f>
        <v>0</v>
      </c>
      <c r="F48" s="67">
        <f t="shared" ref="F48:N48" si="29">F160</f>
        <v>0</v>
      </c>
      <c r="G48" s="67">
        <f t="shared" si="29"/>
        <v>0</v>
      </c>
      <c r="H48" s="67">
        <f t="shared" si="29"/>
        <v>0</v>
      </c>
      <c r="I48" s="67">
        <f t="shared" si="29"/>
        <v>0</v>
      </c>
      <c r="J48" s="67">
        <f t="shared" si="29"/>
        <v>0</v>
      </c>
      <c r="K48" s="67">
        <f t="shared" si="29"/>
        <v>0</v>
      </c>
      <c r="L48" s="67">
        <f t="shared" si="29"/>
        <v>0</v>
      </c>
      <c r="M48" s="67">
        <f t="shared" si="29"/>
        <v>0</v>
      </c>
      <c r="N48" s="67">
        <f t="shared" si="29"/>
        <v>0</v>
      </c>
      <c r="O48" s="289"/>
      <c r="P48" s="326">
        <f>SUM(E48:N48)</f>
        <v>0</v>
      </c>
      <c r="Q48" s="2"/>
      <c r="S48" s="2"/>
    </row>
    <row r="49" spans="2:19" x14ac:dyDescent="0.15">
      <c r="B49" s="340" t="s">
        <v>691</v>
      </c>
      <c r="C49" s="354" t="s">
        <v>691</v>
      </c>
      <c r="D49" s="67">
        <f t="shared" si="27"/>
        <v>0</v>
      </c>
      <c r="E49" s="67">
        <f>E161</f>
        <v>0</v>
      </c>
      <c r="F49" s="67">
        <f t="shared" ref="F49:N49" si="30">F161</f>
        <v>0</v>
      </c>
      <c r="G49" s="67">
        <f t="shared" si="30"/>
        <v>0</v>
      </c>
      <c r="H49" s="67">
        <f t="shared" si="30"/>
        <v>0</v>
      </c>
      <c r="I49" s="67">
        <f t="shared" si="30"/>
        <v>0</v>
      </c>
      <c r="J49" s="67">
        <f t="shared" si="30"/>
        <v>0</v>
      </c>
      <c r="K49" s="67">
        <f t="shared" si="30"/>
        <v>0</v>
      </c>
      <c r="L49" s="67">
        <f t="shared" si="30"/>
        <v>0</v>
      </c>
      <c r="M49" s="67">
        <f t="shared" si="30"/>
        <v>0</v>
      </c>
      <c r="N49" s="67">
        <f t="shared" si="30"/>
        <v>0</v>
      </c>
      <c r="O49" s="67"/>
      <c r="P49" s="326">
        <f>SUM(E49:N49)</f>
        <v>0</v>
      </c>
      <c r="Q49" s="2"/>
      <c r="S49" s="2"/>
    </row>
    <row r="50" spans="2:19" x14ac:dyDescent="0.15">
      <c r="B50" s="340" t="s">
        <v>695</v>
      </c>
      <c r="C50" s="12"/>
      <c r="D50" s="67">
        <f t="shared" si="27"/>
        <v>0</v>
      </c>
      <c r="E50" s="67">
        <f>E49+E48+E47</f>
        <v>240000000</v>
      </c>
      <c r="F50" s="67">
        <f t="shared" ref="F50:N50" si="31">F49+F48+F47</f>
        <v>250800000.00000006</v>
      </c>
      <c r="G50" s="67">
        <f t="shared" si="31"/>
        <v>262086000.00000006</v>
      </c>
      <c r="H50" s="67">
        <f t="shared" si="31"/>
        <v>273879870.00000012</v>
      </c>
      <c r="I50" s="67">
        <f t="shared" si="31"/>
        <v>286204464.1500001</v>
      </c>
      <c r="J50" s="67">
        <f t="shared" si="31"/>
        <v>0</v>
      </c>
      <c r="K50" s="67">
        <f t="shared" si="31"/>
        <v>0</v>
      </c>
      <c r="L50" s="67">
        <f t="shared" si="31"/>
        <v>0</v>
      </c>
      <c r="M50" s="67">
        <f t="shared" si="31"/>
        <v>0</v>
      </c>
      <c r="N50" s="67">
        <f t="shared" si="31"/>
        <v>0</v>
      </c>
      <c r="O50" s="67"/>
      <c r="P50" s="326">
        <f t="shared" ref="P50:P70" si="32">SUM(E50:N50)</f>
        <v>1312970334.1500003</v>
      </c>
      <c r="Q50" s="2"/>
      <c r="S50" s="2"/>
    </row>
    <row r="51" spans="2:19" x14ac:dyDescent="0.15">
      <c r="B51" s="340" t="s">
        <v>696</v>
      </c>
      <c r="C51" s="12" t="s">
        <v>289</v>
      </c>
      <c r="D51" s="67">
        <f t="shared" si="27"/>
        <v>0</v>
      </c>
      <c r="E51" s="67">
        <f>(Expenses!D18*0.8)+Expenses!D25+Expenses!D32+(Expenses!D39*0.8)+Expenses!D44+Expenses!D49+Expenses!D56+Expenses!D95-Expenses!D77</f>
        <v>205270000</v>
      </c>
      <c r="F51" s="67">
        <f>(Expenses!E18*0.8)+Expenses!E25+Expenses!E32+(Expenses!E39*0.8)+Expenses!E44+Expenses!E49+Expenses!E56+Expenses!E95-Expenses!E77</f>
        <v>224857660.00000003</v>
      </c>
      <c r="G51" s="67">
        <f>(Expenses!F18*0.8)+Expenses!F25+Expenses!F32+(Expenses!F39*0.8)+Expenses!F44+Expenses!F49+Expenses!F56+Expenses!F95-Expenses!F77</f>
        <v>246874506.06100008</v>
      </c>
      <c r="H51" s="67">
        <f>(Expenses!G18*0.8)+Expenses!G25+Expenses!G32+(Expenses!G39*0.8)+Expenses!G44+Expenses!G49+Expenses!G56+Expenses!G95-Expenses!G77</f>
        <v>271637619.04008245</v>
      </c>
      <c r="I51" s="67">
        <f>(Expenses!H18*0.8)+Expenses!H25+Expenses!H32+(Expenses!H39*0.8)+Expenses!H44+Expenses!H49+Expenses!H56+Expenses!H95-Expenses!H77</f>
        <v>299506016.41928601</v>
      </c>
      <c r="J51" s="67">
        <f>(Expenses!I18*0.8)+Expenses!I25+Expenses!I32+(Expenses!I39*0.8)+Expenses!I44+Expenses!I49+Expenses!I56+Expenses!I95-Expenses!I77</f>
        <v>0</v>
      </c>
      <c r="K51" s="67">
        <f>(Expenses!J18*0.8)+Expenses!J25+Expenses!J32+(Expenses!J39*0.8)+Expenses!J44+Expenses!J49+Expenses!J56+Expenses!J95-Expenses!J77</f>
        <v>0</v>
      </c>
      <c r="L51" s="67">
        <f>(Expenses!K18*0.8)+Expenses!K25+Expenses!K32+(Expenses!K39*0.8)+Expenses!K44+Expenses!K49+Expenses!K56+Expenses!K95-Expenses!K77</f>
        <v>0</v>
      </c>
      <c r="M51" s="67">
        <f>(Expenses!L18*0.8)+Expenses!L25+Expenses!L32+(Expenses!L39*0.8)+Expenses!L44+Expenses!L49+Expenses!L56+Expenses!L95-Expenses!L77</f>
        <v>0</v>
      </c>
      <c r="N51" s="67">
        <f>(Expenses!M18*0.8)+Expenses!M25+Expenses!M32+(Expenses!M39*0.8)+Expenses!M44+Expenses!M49+Expenses!M56+Expenses!M95-Expenses!M77</f>
        <v>0</v>
      </c>
      <c r="O51" s="67">
        <v>0</v>
      </c>
      <c r="P51" s="326">
        <f t="shared" si="32"/>
        <v>1248145801.5203686</v>
      </c>
      <c r="Q51" s="2"/>
      <c r="S51" s="2"/>
    </row>
    <row r="52" spans="2:19" x14ac:dyDescent="0.15">
      <c r="B52" s="340">
        <v>3</v>
      </c>
      <c r="C52" s="12" t="s">
        <v>290</v>
      </c>
      <c r="D52" s="67">
        <f t="shared" ref="D52:D70" si="33">D164</f>
        <v>0</v>
      </c>
      <c r="E52" s="67">
        <f>E50-E51</f>
        <v>34730000</v>
      </c>
      <c r="F52" s="67">
        <f t="shared" ref="F52:N52" si="34">F50-F51</f>
        <v>25942340.00000003</v>
      </c>
      <c r="G52" s="67">
        <f t="shared" si="34"/>
        <v>15211493.938999981</v>
      </c>
      <c r="H52" s="67">
        <f t="shared" si="34"/>
        <v>2242250.9599176645</v>
      </c>
      <c r="I52" s="67">
        <f t="shared" si="34"/>
        <v>-13301552.269285917</v>
      </c>
      <c r="J52" s="67">
        <f t="shared" si="34"/>
        <v>0</v>
      </c>
      <c r="K52" s="67">
        <f t="shared" si="34"/>
        <v>0</v>
      </c>
      <c r="L52" s="67">
        <f t="shared" si="34"/>
        <v>0</v>
      </c>
      <c r="M52" s="67">
        <f t="shared" si="34"/>
        <v>0</v>
      </c>
      <c r="N52" s="67">
        <f t="shared" si="34"/>
        <v>0</v>
      </c>
      <c r="O52" s="67">
        <v>0</v>
      </c>
      <c r="P52" s="326">
        <f t="shared" si="32"/>
        <v>64824532.629631758</v>
      </c>
      <c r="Q52" s="2"/>
      <c r="S52" s="2"/>
    </row>
    <row r="53" spans="2:19" x14ac:dyDescent="0.15">
      <c r="B53" s="340" t="s">
        <v>697</v>
      </c>
      <c r="C53" s="12" t="s">
        <v>292</v>
      </c>
      <c r="D53" s="67">
        <f t="shared" si="33"/>
        <v>0</v>
      </c>
      <c r="E53" s="67">
        <f>E165</f>
        <v>3772500</v>
      </c>
      <c r="F53" s="67">
        <f t="shared" ref="F53:N53" si="35">F165</f>
        <v>6218850</v>
      </c>
      <c r="G53" s="67">
        <f t="shared" si="35"/>
        <v>4083150</v>
      </c>
      <c r="H53" s="67">
        <f t="shared" si="35"/>
        <v>2775510</v>
      </c>
      <c r="I53" s="67">
        <f t="shared" si="35"/>
        <v>1352955</v>
      </c>
      <c r="J53" s="67">
        <f t="shared" si="35"/>
        <v>0</v>
      </c>
      <c r="K53" s="67">
        <f t="shared" si="35"/>
        <v>0</v>
      </c>
      <c r="L53" s="67">
        <f t="shared" si="35"/>
        <v>0</v>
      </c>
      <c r="M53" s="67">
        <f t="shared" si="35"/>
        <v>0</v>
      </c>
      <c r="N53" s="67">
        <f t="shared" si="35"/>
        <v>0</v>
      </c>
      <c r="O53" s="67">
        <v>0</v>
      </c>
      <c r="P53" s="326">
        <f t="shared" si="32"/>
        <v>18202965</v>
      </c>
      <c r="Q53" s="2"/>
      <c r="S53" s="2"/>
    </row>
    <row r="54" spans="2:19" x14ac:dyDescent="0.15">
      <c r="B54" s="340">
        <v>5</v>
      </c>
      <c r="C54" s="12" t="s">
        <v>293</v>
      </c>
      <c r="D54" s="67">
        <f t="shared" si="33"/>
        <v>0</v>
      </c>
      <c r="E54" s="67">
        <f>E52-E53</f>
        <v>30957500</v>
      </c>
      <c r="F54" s="67">
        <f t="shared" ref="F54:N54" si="36">F52-F53</f>
        <v>19723490.00000003</v>
      </c>
      <c r="G54" s="67">
        <f t="shared" si="36"/>
        <v>11128343.938999981</v>
      </c>
      <c r="H54" s="67">
        <f t="shared" si="36"/>
        <v>-533259.04008233547</v>
      </c>
      <c r="I54" s="67">
        <f t="shared" si="36"/>
        <v>-14654507.269285917</v>
      </c>
      <c r="J54" s="67">
        <f t="shared" si="36"/>
        <v>0</v>
      </c>
      <c r="K54" s="67">
        <f t="shared" si="36"/>
        <v>0</v>
      </c>
      <c r="L54" s="67">
        <f t="shared" si="36"/>
        <v>0</v>
      </c>
      <c r="M54" s="67">
        <f t="shared" si="36"/>
        <v>0</v>
      </c>
      <c r="N54" s="67">
        <f t="shared" si="36"/>
        <v>0</v>
      </c>
      <c r="O54" s="67">
        <v>0</v>
      </c>
      <c r="P54" s="326">
        <f t="shared" si="32"/>
        <v>46621567.629631758</v>
      </c>
      <c r="Q54" s="2"/>
      <c r="S54" s="2"/>
    </row>
    <row r="55" spans="2:19" x14ac:dyDescent="0.15">
      <c r="B55" s="340" t="s">
        <v>698</v>
      </c>
      <c r="C55" s="12" t="s">
        <v>295</v>
      </c>
      <c r="D55" s="67">
        <f t="shared" si="33"/>
        <v>0</v>
      </c>
      <c r="E55" s="67">
        <f>E167</f>
        <v>0</v>
      </c>
      <c r="F55" s="67">
        <f t="shared" ref="F55:N55" si="37">F167</f>
        <v>0</v>
      </c>
      <c r="G55" s="67">
        <f t="shared" si="37"/>
        <v>0</v>
      </c>
      <c r="H55" s="67">
        <f t="shared" si="37"/>
        <v>0</v>
      </c>
      <c r="I55" s="67">
        <f t="shared" si="37"/>
        <v>0</v>
      </c>
      <c r="J55" s="67">
        <f t="shared" si="37"/>
        <v>0</v>
      </c>
      <c r="K55" s="67">
        <f t="shared" si="37"/>
        <v>0</v>
      </c>
      <c r="L55" s="67">
        <f t="shared" si="37"/>
        <v>0</v>
      </c>
      <c r="M55" s="67">
        <f t="shared" si="37"/>
        <v>0</v>
      </c>
      <c r="N55" s="67">
        <f t="shared" si="37"/>
        <v>0</v>
      </c>
      <c r="O55" s="67">
        <v>0</v>
      </c>
      <c r="P55" s="326">
        <f t="shared" si="32"/>
        <v>0</v>
      </c>
      <c r="Q55" s="2"/>
      <c r="S55" s="2"/>
    </row>
    <row r="56" spans="2:19" x14ac:dyDescent="0.15">
      <c r="B56" s="340">
        <v>7</v>
      </c>
      <c r="C56" s="12" t="s">
        <v>296</v>
      </c>
      <c r="D56" s="67">
        <f t="shared" si="33"/>
        <v>0</v>
      </c>
      <c r="E56" s="67">
        <f>E54-E55</f>
        <v>30957500</v>
      </c>
      <c r="F56" s="67">
        <f t="shared" ref="F56:N56" si="38">F54-F55</f>
        <v>19723490.00000003</v>
      </c>
      <c r="G56" s="67">
        <f t="shared" si="38"/>
        <v>11128343.938999981</v>
      </c>
      <c r="H56" s="67">
        <f t="shared" si="38"/>
        <v>-533259.04008233547</v>
      </c>
      <c r="I56" s="67">
        <f t="shared" si="38"/>
        <v>-14654507.269285917</v>
      </c>
      <c r="J56" s="67">
        <f t="shared" si="38"/>
        <v>0</v>
      </c>
      <c r="K56" s="67">
        <f t="shared" si="38"/>
        <v>0</v>
      </c>
      <c r="L56" s="67">
        <f t="shared" si="38"/>
        <v>0</v>
      </c>
      <c r="M56" s="67">
        <f t="shared" si="38"/>
        <v>0</v>
      </c>
      <c r="N56" s="67">
        <f t="shared" si="38"/>
        <v>0</v>
      </c>
      <c r="O56" s="67">
        <v>0</v>
      </c>
      <c r="P56" s="326">
        <f t="shared" si="32"/>
        <v>46621567.629631758</v>
      </c>
      <c r="Q56" s="2"/>
      <c r="S56" s="2"/>
    </row>
    <row r="57" spans="2:19" x14ac:dyDescent="0.15">
      <c r="B57" s="340">
        <v>8</v>
      </c>
      <c r="C57" s="12" t="s">
        <v>297</v>
      </c>
      <c r="D57" s="67">
        <f t="shared" si="33"/>
        <v>0</v>
      </c>
      <c r="E57" s="67">
        <f>-E56*$D$3</f>
        <v>-9287250</v>
      </c>
      <c r="F57" s="67">
        <f t="shared" ref="F57:N57" si="39">-F56*$D$3</f>
        <v>-5917047.0000000084</v>
      </c>
      <c r="G57" s="67">
        <f t="shared" si="39"/>
        <v>-3338503.181699994</v>
      </c>
      <c r="H57" s="67">
        <f t="shared" si="39"/>
        <v>159977.71202470062</v>
      </c>
      <c r="I57" s="67">
        <f t="shared" si="39"/>
        <v>4396352.1807857752</v>
      </c>
      <c r="J57" s="67">
        <f t="shared" si="39"/>
        <v>0</v>
      </c>
      <c r="K57" s="67">
        <f t="shared" si="39"/>
        <v>0</v>
      </c>
      <c r="L57" s="67">
        <f t="shared" si="39"/>
        <v>0</v>
      </c>
      <c r="M57" s="67">
        <f t="shared" si="39"/>
        <v>0</v>
      </c>
      <c r="N57" s="67">
        <f t="shared" si="39"/>
        <v>0</v>
      </c>
      <c r="O57" s="67">
        <v>0</v>
      </c>
      <c r="P57" s="326">
        <f t="shared" si="32"/>
        <v>-13986470.288889527</v>
      </c>
      <c r="Q57" s="2"/>
      <c r="S57" s="2"/>
    </row>
    <row r="58" spans="2:19" x14ac:dyDescent="0.15">
      <c r="B58" s="340">
        <v>9</v>
      </c>
      <c r="C58" s="12" t="s">
        <v>298</v>
      </c>
      <c r="D58" s="67">
        <f t="shared" si="33"/>
        <v>0</v>
      </c>
      <c r="E58" s="67">
        <f>E170</f>
        <v>0</v>
      </c>
      <c r="F58" s="67">
        <f t="shared" ref="F58:N58" si="40">F170</f>
        <v>0</v>
      </c>
      <c r="G58" s="67">
        <f t="shared" si="40"/>
        <v>0</v>
      </c>
      <c r="H58" s="67">
        <f t="shared" si="40"/>
        <v>0</v>
      </c>
      <c r="I58" s="67">
        <f t="shared" si="40"/>
        <v>0</v>
      </c>
      <c r="J58" s="67">
        <f t="shared" si="40"/>
        <v>0</v>
      </c>
      <c r="K58" s="67">
        <f t="shared" si="40"/>
        <v>0</v>
      </c>
      <c r="L58" s="67">
        <f t="shared" si="40"/>
        <v>0</v>
      </c>
      <c r="M58" s="67">
        <f t="shared" si="40"/>
        <v>0</v>
      </c>
      <c r="N58" s="67">
        <f t="shared" si="40"/>
        <v>0</v>
      </c>
      <c r="O58" s="67">
        <v>0</v>
      </c>
      <c r="P58" s="326">
        <f t="shared" si="32"/>
        <v>0</v>
      </c>
      <c r="Q58" s="2"/>
      <c r="S58" s="2"/>
    </row>
    <row r="59" spans="2:19" x14ac:dyDescent="0.15">
      <c r="B59" s="340">
        <v>10</v>
      </c>
      <c r="C59" s="12" t="s">
        <v>299</v>
      </c>
      <c r="D59" s="67">
        <f t="shared" si="33"/>
        <v>0</v>
      </c>
      <c r="E59" s="67">
        <f>E56+E57+E58</f>
        <v>21670250</v>
      </c>
      <c r="F59" s="67">
        <f t="shared" ref="F59:N59" si="41">F56+F57+F58</f>
        <v>13806443.000000022</v>
      </c>
      <c r="G59" s="67">
        <f t="shared" si="41"/>
        <v>7789840.7572999867</v>
      </c>
      <c r="H59" s="67">
        <f t="shared" si="41"/>
        <v>-373281.32805763488</v>
      </c>
      <c r="I59" s="67">
        <f t="shared" si="41"/>
        <v>-10258155.088500142</v>
      </c>
      <c r="J59" s="67">
        <f t="shared" si="41"/>
        <v>0</v>
      </c>
      <c r="K59" s="67">
        <f t="shared" si="41"/>
        <v>0</v>
      </c>
      <c r="L59" s="67">
        <f t="shared" si="41"/>
        <v>0</v>
      </c>
      <c r="M59" s="67">
        <f t="shared" si="41"/>
        <v>0</v>
      </c>
      <c r="N59" s="67">
        <f t="shared" si="41"/>
        <v>0</v>
      </c>
      <c r="O59" s="67">
        <v>0</v>
      </c>
      <c r="P59" s="326">
        <f t="shared" si="32"/>
        <v>32635097.340742238</v>
      </c>
      <c r="Q59" s="2"/>
      <c r="S59" s="2"/>
    </row>
    <row r="60" spans="2:19" x14ac:dyDescent="0.15">
      <c r="B60" s="340" t="s">
        <v>699</v>
      </c>
      <c r="C60" s="12" t="s">
        <v>292</v>
      </c>
      <c r="D60" s="67">
        <f t="shared" si="33"/>
        <v>0</v>
      </c>
      <c r="E60" s="67">
        <f>E172</f>
        <v>3772500</v>
      </c>
      <c r="F60" s="67">
        <f t="shared" ref="F60:N60" si="42">F172</f>
        <v>6218850</v>
      </c>
      <c r="G60" s="67">
        <f t="shared" si="42"/>
        <v>4083150</v>
      </c>
      <c r="H60" s="67">
        <f t="shared" si="42"/>
        <v>2775510</v>
      </c>
      <c r="I60" s="67">
        <f t="shared" si="42"/>
        <v>1352955</v>
      </c>
      <c r="J60" s="67">
        <f t="shared" si="42"/>
        <v>0</v>
      </c>
      <c r="K60" s="67">
        <f t="shared" si="42"/>
        <v>0</v>
      </c>
      <c r="L60" s="67">
        <f t="shared" si="42"/>
        <v>0</v>
      </c>
      <c r="M60" s="67">
        <f t="shared" si="42"/>
        <v>0</v>
      </c>
      <c r="N60" s="67">
        <f t="shared" si="42"/>
        <v>0</v>
      </c>
      <c r="O60" s="67">
        <v>0</v>
      </c>
      <c r="P60" s="326">
        <f t="shared" si="32"/>
        <v>18202965</v>
      </c>
      <c r="Q60" s="2"/>
      <c r="S60" s="2"/>
    </row>
    <row r="61" spans="2:19" x14ac:dyDescent="0.15">
      <c r="B61" s="340">
        <v>12</v>
      </c>
      <c r="C61" s="12" t="s">
        <v>301</v>
      </c>
      <c r="D61" s="67">
        <f t="shared" si="33"/>
        <v>0</v>
      </c>
      <c r="E61" s="67">
        <f>E59+E60</f>
        <v>25442750</v>
      </c>
      <c r="F61" s="67">
        <f t="shared" ref="F61:N61" si="43">F59+F60</f>
        <v>20025293.000000022</v>
      </c>
      <c r="G61" s="67">
        <f t="shared" si="43"/>
        <v>11872990.757299986</v>
      </c>
      <c r="H61" s="67">
        <f t="shared" si="43"/>
        <v>2402228.6719423654</v>
      </c>
      <c r="I61" s="67">
        <f t="shared" si="43"/>
        <v>-8905200.0885001421</v>
      </c>
      <c r="J61" s="67">
        <f t="shared" si="43"/>
        <v>0</v>
      </c>
      <c r="K61" s="67">
        <f t="shared" si="43"/>
        <v>0</v>
      </c>
      <c r="L61" s="67">
        <f t="shared" si="43"/>
        <v>0</v>
      </c>
      <c r="M61" s="67">
        <f t="shared" si="43"/>
        <v>0</v>
      </c>
      <c r="N61" s="67">
        <f t="shared" si="43"/>
        <v>0</v>
      </c>
      <c r="O61" s="67">
        <v>0</v>
      </c>
      <c r="P61" s="326">
        <f t="shared" si="32"/>
        <v>50838062.34074223</v>
      </c>
      <c r="Q61" s="2"/>
      <c r="S61" s="2"/>
    </row>
    <row r="62" spans="2:19" x14ac:dyDescent="0.15">
      <c r="B62" s="340" t="s">
        <v>700</v>
      </c>
      <c r="C62" s="12" t="s">
        <v>303</v>
      </c>
      <c r="D62" s="67">
        <f t="shared" si="33"/>
        <v>0</v>
      </c>
      <c r="E62" s="67">
        <f t="shared" ref="E62:N62" si="44">E174</f>
        <v>0</v>
      </c>
      <c r="F62" s="67">
        <f t="shared" si="44"/>
        <v>0</v>
      </c>
      <c r="G62" s="67">
        <f t="shared" si="44"/>
        <v>0</v>
      </c>
      <c r="H62" s="67">
        <f t="shared" si="44"/>
        <v>0</v>
      </c>
      <c r="I62" s="67">
        <f t="shared" si="44"/>
        <v>0</v>
      </c>
      <c r="J62" s="67">
        <f t="shared" si="44"/>
        <v>0</v>
      </c>
      <c r="K62" s="67">
        <f t="shared" si="44"/>
        <v>0</v>
      </c>
      <c r="L62" s="67">
        <f t="shared" si="44"/>
        <v>0</v>
      </c>
      <c r="M62" s="67">
        <f t="shared" si="44"/>
        <v>0</v>
      </c>
      <c r="N62" s="67">
        <f t="shared" si="44"/>
        <v>0</v>
      </c>
      <c r="O62" s="67">
        <v>0</v>
      </c>
      <c r="P62" s="326">
        <f t="shared" si="32"/>
        <v>0</v>
      </c>
      <c r="Q62" s="2"/>
      <c r="S62" s="2"/>
    </row>
    <row r="63" spans="2:19" x14ac:dyDescent="0.15">
      <c r="B63" s="340">
        <v>14</v>
      </c>
      <c r="C63" s="12" t="s">
        <v>304</v>
      </c>
      <c r="D63" s="67">
        <f t="shared" si="33"/>
        <v>-32550000</v>
      </c>
      <c r="E63" s="67">
        <f t="shared" ref="E63:N63" si="45">E175</f>
        <v>0</v>
      </c>
      <c r="F63" s="67">
        <f t="shared" si="45"/>
        <v>0</v>
      </c>
      <c r="G63" s="67">
        <f t="shared" si="45"/>
        <v>0</v>
      </c>
      <c r="H63" s="67">
        <f t="shared" si="45"/>
        <v>0</v>
      </c>
      <c r="I63" s="67">
        <f t="shared" si="45"/>
        <v>14347035</v>
      </c>
      <c r="J63" s="67">
        <f t="shared" si="45"/>
        <v>0</v>
      </c>
      <c r="K63" s="67">
        <f t="shared" si="45"/>
        <v>0</v>
      </c>
      <c r="L63" s="67">
        <f t="shared" si="45"/>
        <v>0</v>
      </c>
      <c r="M63" s="67">
        <f t="shared" si="45"/>
        <v>0</v>
      </c>
      <c r="N63" s="67">
        <f t="shared" si="45"/>
        <v>0</v>
      </c>
      <c r="O63" s="67">
        <v>0</v>
      </c>
      <c r="P63" s="326">
        <f t="shared" si="32"/>
        <v>14347035</v>
      </c>
      <c r="Q63" s="2"/>
      <c r="S63" s="2"/>
    </row>
    <row r="64" spans="2:19" x14ac:dyDescent="0.15">
      <c r="B64" s="340" t="s">
        <v>701</v>
      </c>
      <c r="C64" s="12" t="s">
        <v>207</v>
      </c>
      <c r="D64" s="67">
        <f t="shared" si="33"/>
        <v>-31050000</v>
      </c>
      <c r="E64" s="67">
        <f t="shared" ref="E64:N64" si="46">E176</f>
        <v>0</v>
      </c>
      <c r="F64" s="67">
        <f t="shared" si="46"/>
        <v>0</v>
      </c>
      <c r="G64" s="67">
        <f t="shared" si="46"/>
        <v>0</v>
      </c>
      <c r="H64" s="67">
        <f t="shared" si="46"/>
        <v>0</v>
      </c>
      <c r="I64" s="67">
        <f t="shared" si="46"/>
        <v>12847035</v>
      </c>
      <c r="J64" s="67">
        <f t="shared" si="46"/>
        <v>0</v>
      </c>
      <c r="K64" s="67">
        <f t="shared" si="46"/>
        <v>0</v>
      </c>
      <c r="L64" s="67">
        <f t="shared" si="46"/>
        <v>0</v>
      </c>
      <c r="M64" s="67">
        <f t="shared" si="46"/>
        <v>0</v>
      </c>
      <c r="N64" s="67">
        <f t="shared" si="46"/>
        <v>0</v>
      </c>
      <c r="O64" s="67">
        <v>0</v>
      </c>
      <c r="P64" s="326">
        <f t="shared" si="32"/>
        <v>12847035</v>
      </c>
      <c r="Q64" s="2"/>
      <c r="S64" s="2"/>
    </row>
    <row r="65" spans="1:19" x14ac:dyDescent="0.15">
      <c r="B65" s="340" t="s">
        <v>702</v>
      </c>
      <c r="C65" s="12" t="s">
        <v>307</v>
      </c>
      <c r="D65" s="67">
        <f t="shared" si="33"/>
        <v>-1500000</v>
      </c>
      <c r="E65" s="67">
        <f t="shared" ref="E65:N65" si="47">E177</f>
        <v>0</v>
      </c>
      <c r="F65" s="67">
        <f t="shared" si="47"/>
        <v>0</v>
      </c>
      <c r="G65" s="67">
        <f t="shared" si="47"/>
        <v>0</v>
      </c>
      <c r="H65" s="67">
        <f t="shared" si="47"/>
        <v>0</v>
      </c>
      <c r="I65" s="67">
        <f t="shared" si="47"/>
        <v>1500000</v>
      </c>
      <c r="J65" s="67">
        <f t="shared" si="47"/>
        <v>0</v>
      </c>
      <c r="K65" s="67">
        <f t="shared" si="47"/>
        <v>0</v>
      </c>
      <c r="L65" s="67">
        <f t="shared" si="47"/>
        <v>0</v>
      </c>
      <c r="M65" s="67">
        <f t="shared" si="47"/>
        <v>0</v>
      </c>
      <c r="N65" s="67">
        <f t="shared" si="47"/>
        <v>0</v>
      </c>
      <c r="O65" s="67">
        <v>0</v>
      </c>
      <c r="P65" s="326">
        <f t="shared" si="32"/>
        <v>1500000</v>
      </c>
      <c r="Q65" s="2"/>
      <c r="S65" s="2"/>
    </row>
    <row r="66" spans="1:19" x14ac:dyDescent="0.15">
      <c r="B66" s="340" t="s">
        <v>703</v>
      </c>
      <c r="C66" s="12" t="s">
        <v>309</v>
      </c>
      <c r="D66" s="67">
        <f t="shared" si="33"/>
        <v>0</v>
      </c>
      <c r="E66" s="67">
        <f t="shared" ref="E66:N66" si="48">E178</f>
        <v>0</v>
      </c>
      <c r="F66" s="67">
        <f t="shared" si="48"/>
        <v>0</v>
      </c>
      <c r="G66" s="67">
        <f t="shared" si="48"/>
        <v>0</v>
      </c>
      <c r="H66" s="67">
        <f t="shared" si="48"/>
        <v>0</v>
      </c>
      <c r="I66" s="67">
        <f t="shared" si="48"/>
        <v>0</v>
      </c>
      <c r="J66" s="67">
        <f t="shared" si="48"/>
        <v>0</v>
      </c>
      <c r="K66" s="67">
        <f t="shared" si="48"/>
        <v>0</v>
      </c>
      <c r="L66" s="67">
        <f t="shared" si="48"/>
        <v>0</v>
      </c>
      <c r="M66" s="67">
        <f t="shared" si="48"/>
        <v>0</v>
      </c>
      <c r="N66" s="67">
        <f t="shared" si="48"/>
        <v>0</v>
      </c>
      <c r="O66" s="67">
        <v>0</v>
      </c>
      <c r="P66" s="326">
        <f t="shared" si="32"/>
        <v>0</v>
      </c>
      <c r="Q66" s="2"/>
      <c r="S66" s="2"/>
    </row>
    <row r="67" spans="1:19" x14ac:dyDescent="0.15">
      <c r="B67" s="340" t="s">
        <v>704</v>
      </c>
      <c r="C67" s="12" t="s">
        <v>311</v>
      </c>
      <c r="D67" s="67">
        <f t="shared" si="33"/>
        <v>0</v>
      </c>
      <c r="E67" s="67">
        <f t="shared" ref="E67:N67" si="49">E179</f>
        <v>0</v>
      </c>
      <c r="F67" s="67">
        <f t="shared" si="49"/>
        <v>0</v>
      </c>
      <c r="G67" s="67">
        <f t="shared" si="49"/>
        <v>0</v>
      </c>
      <c r="H67" s="67">
        <f t="shared" si="49"/>
        <v>0</v>
      </c>
      <c r="I67" s="67">
        <f t="shared" si="49"/>
        <v>-2596968.7000000002</v>
      </c>
      <c r="J67" s="67">
        <f t="shared" si="49"/>
        <v>0</v>
      </c>
      <c r="K67" s="67">
        <f t="shared" si="49"/>
        <v>0</v>
      </c>
      <c r="L67" s="67">
        <f t="shared" si="49"/>
        <v>0</v>
      </c>
      <c r="M67" s="67">
        <f t="shared" si="49"/>
        <v>0</v>
      </c>
      <c r="N67" s="67">
        <f t="shared" si="49"/>
        <v>0</v>
      </c>
      <c r="O67" s="67">
        <v>0</v>
      </c>
      <c r="P67" s="326">
        <f t="shared" si="32"/>
        <v>-2596968.7000000002</v>
      </c>
      <c r="Q67" s="2"/>
      <c r="S67" s="2"/>
    </row>
    <row r="68" spans="1:19" ht="14" thickBot="1" x14ac:dyDescent="0.2">
      <c r="B68" s="340" t="s">
        <v>705</v>
      </c>
      <c r="C68" s="12" t="s">
        <v>115</v>
      </c>
      <c r="D68" s="67">
        <f t="shared" si="33"/>
        <v>-60000000</v>
      </c>
      <c r="E68" s="67">
        <f t="shared" ref="E68:N68" si="50">E180</f>
        <v>0</v>
      </c>
      <c r="F68" s="67">
        <f t="shared" si="50"/>
        <v>0</v>
      </c>
      <c r="G68" s="67">
        <f t="shared" si="50"/>
        <v>0</v>
      </c>
      <c r="H68" s="67">
        <f t="shared" si="50"/>
        <v>0</v>
      </c>
      <c r="I68" s="67">
        <f t="shared" si="50"/>
        <v>60000000</v>
      </c>
      <c r="J68" s="67">
        <f t="shared" si="50"/>
        <v>0</v>
      </c>
      <c r="K68" s="67">
        <f t="shared" si="50"/>
        <v>0</v>
      </c>
      <c r="L68" s="67">
        <f t="shared" si="50"/>
        <v>0</v>
      </c>
      <c r="M68" s="67">
        <f t="shared" si="50"/>
        <v>0</v>
      </c>
      <c r="N68" s="67">
        <f t="shared" si="50"/>
        <v>0</v>
      </c>
      <c r="O68" s="67">
        <v>0</v>
      </c>
      <c r="P68" s="326">
        <f t="shared" si="32"/>
        <v>60000000</v>
      </c>
      <c r="Q68" s="2"/>
      <c r="S68" s="2"/>
    </row>
    <row r="69" spans="1:19" x14ac:dyDescent="0.15">
      <c r="B69" s="340">
        <v>17</v>
      </c>
      <c r="C69" s="12" t="s">
        <v>313</v>
      </c>
      <c r="D69" s="67">
        <f t="shared" si="33"/>
        <v>-92550000</v>
      </c>
      <c r="E69" s="67">
        <f t="shared" ref="E69:N69" si="51">E181</f>
        <v>0</v>
      </c>
      <c r="F69" s="67">
        <f t="shared" si="51"/>
        <v>0</v>
      </c>
      <c r="G69" s="67">
        <f t="shared" si="51"/>
        <v>0</v>
      </c>
      <c r="H69" s="67">
        <f t="shared" si="51"/>
        <v>0</v>
      </c>
      <c r="I69" s="67">
        <f t="shared" si="51"/>
        <v>71750066.299999997</v>
      </c>
      <c r="J69" s="67">
        <f t="shared" si="51"/>
        <v>0</v>
      </c>
      <c r="K69" s="67">
        <f t="shared" si="51"/>
        <v>0</v>
      </c>
      <c r="L69" s="67">
        <f t="shared" si="51"/>
        <v>0</v>
      </c>
      <c r="M69" s="67">
        <f t="shared" si="51"/>
        <v>0</v>
      </c>
      <c r="N69" s="67">
        <f t="shared" si="51"/>
        <v>0</v>
      </c>
      <c r="O69" s="67">
        <v>0</v>
      </c>
      <c r="P69" s="326">
        <f t="shared" si="32"/>
        <v>71750066.299999997</v>
      </c>
      <c r="Q69" s="461"/>
      <c r="R69" s="357" t="s">
        <v>693</v>
      </c>
      <c r="S69" s="2"/>
    </row>
    <row r="70" spans="1:19" ht="14" thickBot="1" x14ac:dyDescent="0.2">
      <c r="A70" s="1" t="s">
        <v>694</v>
      </c>
      <c r="B70" s="355">
        <v>18</v>
      </c>
      <c r="C70" s="335" t="s">
        <v>314</v>
      </c>
      <c r="D70" s="331">
        <f t="shared" si="33"/>
        <v>-92550000</v>
      </c>
      <c r="E70" s="331">
        <f t="shared" ref="E70:N70" si="52">E69+E61</f>
        <v>25442750</v>
      </c>
      <c r="F70" s="331">
        <f t="shared" si="52"/>
        <v>20025293.000000022</v>
      </c>
      <c r="G70" s="331">
        <f t="shared" si="52"/>
        <v>11872990.757299986</v>
      </c>
      <c r="H70" s="331">
        <f t="shared" si="52"/>
        <v>2402228.6719423654</v>
      </c>
      <c r="I70" s="331">
        <f t="shared" si="52"/>
        <v>62844866.211499855</v>
      </c>
      <c r="J70" s="331">
        <f t="shared" si="52"/>
        <v>0</v>
      </c>
      <c r="K70" s="331">
        <f t="shared" si="52"/>
        <v>0</v>
      </c>
      <c r="L70" s="331">
        <f t="shared" si="52"/>
        <v>0</v>
      </c>
      <c r="M70" s="331">
        <f t="shared" si="52"/>
        <v>0</v>
      </c>
      <c r="N70" s="331">
        <f t="shared" si="52"/>
        <v>0</v>
      </c>
      <c r="O70" s="331">
        <v>0</v>
      </c>
      <c r="P70" s="356">
        <f t="shared" si="32"/>
        <v>122588128.64074223</v>
      </c>
      <c r="Q70" s="463"/>
      <c r="R70" s="358">
        <f>IF(ISNUMBER(IRR(D70:N70)),IRR(D70:N70),"NMF")</f>
        <v>8.7658961904533816E-2</v>
      </c>
      <c r="S70" s="1" t="s">
        <v>694</v>
      </c>
    </row>
    <row r="71" spans="1:19" x14ac:dyDescent="0.15">
      <c r="B71" s="145"/>
      <c r="S71" s="2"/>
    </row>
    <row r="72" spans="1:19" ht="14" thickBot="1" x14ac:dyDescent="0.2">
      <c r="B72" s="145"/>
      <c r="S72" s="2"/>
    </row>
    <row r="73" spans="1:19" ht="14" thickBot="1" x14ac:dyDescent="0.2">
      <c r="B73" s="359" t="s">
        <v>282</v>
      </c>
      <c r="C73" s="360" t="s">
        <v>283</v>
      </c>
      <c r="D73" s="360"/>
      <c r="E73" s="360">
        <v>1</v>
      </c>
      <c r="F73" s="360">
        <v>2</v>
      </c>
      <c r="G73" s="360">
        <v>3</v>
      </c>
      <c r="H73" s="360">
        <v>4</v>
      </c>
      <c r="I73" s="360">
        <v>5</v>
      </c>
      <c r="J73" s="360">
        <v>6</v>
      </c>
      <c r="K73" s="360">
        <v>7</v>
      </c>
      <c r="L73" s="360">
        <v>8</v>
      </c>
      <c r="M73" s="360">
        <v>9</v>
      </c>
      <c r="N73" s="360">
        <v>10</v>
      </c>
      <c r="O73" s="360" t="s">
        <v>284</v>
      </c>
      <c r="P73" s="361" t="s">
        <v>285</v>
      </c>
      <c r="S73" s="2"/>
    </row>
    <row r="74" spans="1:19" x14ac:dyDescent="0.15">
      <c r="B74" s="339" t="s">
        <v>687</v>
      </c>
      <c r="C74" s="302" t="s">
        <v>287</v>
      </c>
      <c r="D74" s="322">
        <f t="shared" ref="D74:D79" si="53">D158</f>
        <v>0</v>
      </c>
      <c r="E74" s="322">
        <f t="shared" ref="E74:N74" si="54">E158</f>
        <v>300000000</v>
      </c>
      <c r="F74" s="322">
        <f t="shared" si="54"/>
        <v>313500000.00000006</v>
      </c>
      <c r="G74" s="322">
        <f t="shared" si="54"/>
        <v>327607500.00000006</v>
      </c>
      <c r="H74" s="322">
        <f t="shared" si="54"/>
        <v>342349837.50000012</v>
      </c>
      <c r="I74" s="322">
        <f t="shared" si="54"/>
        <v>357755580.18750012</v>
      </c>
      <c r="J74" s="322">
        <f t="shared" si="54"/>
        <v>0</v>
      </c>
      <c r="K74" s="322">
        <f t="shared" si="54"/>
        <v>0</v>
      </c>
      <c r="L74" s="322">
        <f t="shared" si="54"/>
        <v>0</v>
      </c>
      <c r="M74" s="322">
        <f t="shared" si="54"/>
        <v>0</v>
      </c>
      <c r="N74" s="322">
        <f t="shared" si="54"/>
        <v>0</v>
      </c>
      <c r="O74" s="322">
        <v>0</v>
      </c>
      <c r="P74" s="325">
        <f>SUM(E74:N74)</f>
        <v>1641212917.6875</v>
      </c>
      <c r="Q74" s="2"/>
      <c r="S74" s="2"/>
    </row>
    <row r="75" spans="1:19" x14ac:dyDescent="0.15">
      <c r="A75" s="1" t="s">
        <v>706</v>
      </c>
      <c r="B75" s="355" t="s">
        <v>689</v>
      </c>
      <c r="C75" s="362" t="s">
        <v>689</v>
      </c>
      <c r="D75" s="331">
        <f t="shared" si="53"/>
        <v>0</v>
      </c>
      <c r="E75" s="331">
        <f>Revenues!D7*Revenues!D8*0.85</f>
        <v>255000000</v>
      </c>
      <c r="F75" s="331">
        <f>Revenues!E7*Revenues!E8*0.85</f>
        <v>266475000.00000003</v>
      </c>
      <c r="G75" s="331">
        <f>Revenues!F7*Revenues!F8*0.85</f>
        <v>278466375.00000006</v>
      </c>
      <c r="H75" s="331">
        <f>Revenues!G7*Revenues!G8*0.85</f>
        <v>290997361.87500012</v>
      </c>
      <c r="I75" s="331">
        <f>Revenues!H7*Revenues!H8*0.85</f>
        <v>304092243.15937507</v>
      </c>
      <c r="J75" s="331">
        <f>Revenues!I7*Revenues!I8*0.85</f>
        <v>0</v>
      </c>
      <c r="K75" s="331">
        <f>Revenues!J7*Revenues!J8*0.85</f>
        <v>0</v>
      </c>
      <c r="L75" s="331">
        <f>Revenues!K7*Revenues!K8*0.85</f>
        <v>0</v>
      </c>
      <c r="M75" s="331">
        <f>Revenues!L7*Revenues!L8*0.85</f>
        <v>0</v>
      </c>
      <c r="N75" s="331">
        <f>Revenues!M7*Revenues!M8*0.85</f>
        <v>0</v>
      </c>
      <c r="O75" s="331"/>
      <c r="P75" s="356">
        <f>SUM(E75:N75)</f>
        <v>1395030980.0343752</v>
      </c>
      <c r="Q75" s="460"/>
      <c r="S75" s="2"/>
    </row>
    <row r="76" spans="1:19" x14ac:dyDescent="0.15">
      <c r="B76" s="340" t="s">
        <v>690</v>
      </c>
      <c r="C76" s="354" t="s">
        <v>690</v>
      </c>
      <c r="D76" s="67">
        <f t="shared" si="53"/>
        <v>0</v>
      </c>
      <c r="E76" s="67">
        <f>E160</f>
        <v>0</v>
      </c>
      <c r="F76" s="67">
        <f t="shared" ref="F76:N76" si="55">F160</f>
        <v>0</v>
      </c>
      <c r="G76" s="67">
        <f t="shared" si="55"/>
        <v>0</v>
      </c>
      <c r="H76" s="67">
        <f t="shared" si="55"/>
        <v>0</v>
      </c>
      <c r="I76" s="67">
        <f t="shared" si="55"/>
        <v>0</v>
      </c>
      <c r="J76" s="67">
        <f t="shared" si="55"/>
        <v>0</v>
      </c>
      <c r="K76" s="67">
        <f t="shared" si="55"/>
        <v>0</v>
      </c>
      <c r="L76" s="67">
        <f t="shared" si="55"/>
        <v>0</v>
      </c>
      <c r="M76" s="67">
        <f t="shared" si="55"/>
        <v>0</v>
      </c>
      <c r="N76" s="67">
        <f t="shared" si="55"/>
        <v>0</v>
      </c>
      <c r="O76" s="289"/>
      <c r="P76" s="326">
        <f t="shared" ref="P76:P98" si="56">SUM(E76:N76)</f>
        <v>0</v>
      </c>
      <c r="Q76" s="2"/>
      <c r="S76" s="2"/>
    </row>
    <row r="77" spans="1:19" x14ac:dyDescent="0.15">
      <c r="B77" s="340" t="s">
        <v>691</v>
      </c>
      <c r="C77" s="354" t="s">
        <v>691</v>
      </c>
      <c r="D77" s="67">
        <f t="shared" si="53"/>
        <v>0</v>
      </c>
      <c r="E77" s="67">
        <f>E161</f>
        <v>0</v>
      </c>
      <c r="F77" s="67">
        <f t="shared" ref="F77:N77" si="57">F161</f>
        <v>0</v>
      </c>
      <c r="G77" s="67">
        <f t="shared" si="57"/>
        <v>0</v>
      </c>
      <c r="H77" s="67">
        <f t="shared" si="57"/>
        <v>0</v>
      </c>
      <c r="I77" s="67">
        <f t="shared" si="57"/>
        <v>0</v>
      </c>
      <c r="J77" s="67">
        <f t="shared" si="57"/>
        <v>0</v>
      </c>
      <c r="K77" s="67">
        <f t="shared" si="57"/>
        <v>0</v>
      </c>
      <c r="L77" s="67">
        <f t="shared" si="57"/>
        <v>0</v>
      </c>
      <c r="M77" s="67">
        <f t="shared" si="57"/>
        <v>0</v>
      </c>
      <c r="N77" s="67">
        <f t="shared" si="57"/>
        <v>0</v>
      </c>
      <c r="O77" s="67"/>
      <c r="P77" s="326">
        <f t="shared" si="56"/>
        <v>0</v>
      </c>
      <c r="Q77" s="2"/>
      <c r="S77" s="2"/>
    </row>
    <row r="78" spans="1:19" x14ac:dyDescent="0.15">
      <c r="B78" s="340" t="s">
        <v>695</v>
      </c>
      <c r="C78" s="12"/>
      <c r="D78" s="67">
        <f t="shared" si="53"/>
        <v>0</v>
      </c>
      <c r="E78" s="67">
        <f>E75+E76+E77</f>
        <v>255000000</v>
      </c>
      <c r="F78" s="67">
        <f t="shared" ref="F78:N78" si="58">F75+F76+F77</f>
        <v>266475000.00000003</v>
      </c>
      <c r="G78" s="67">
        <f t="shared" si="58"/>
        <v>278466375.00000006</v>
      </c>
      <c r="H78" s="67">
        <f t="shared" si="58"/>
        <v>290997361.87500012</v>
      </c>
      <c r="I78" s="67">
        <f t="shared" si="58"/>
        <v>304092243.15937507</v>
      </c>
      <c r="J78" s="67">
        <f t="shared" si="58"/>
        <v>0</v>
      </c>
      <c r="K78" s="67">
        <f t="shared" si="58"/>
        <v>0</v>
      </c>
      <c r="L78" s="67">
        <f t="shared" si="58"/>
        <v>0</v>
      </c>
      <c r="M78" s="67">
        <f t="shared" si="58"/>
        <v>0</v>
      </c>
      <c r="N78" s="67">
        <f t="shared" si="58"/>
        <v>0</v>
      </c>
      <c r="O78" s="67"/>
      <c r="P78" s="326">
        <f t="shared" si="56"/>
        <v>1395030980.0343752</v>
      </c>
      <c r="Q78" s="2"/>
      <c r="S78" s="2"/>
    </row>
    <row r="79" spans="1:19" x14ac:dyDescent="0.15">
      <c r="B79" s="340" t="s">
        <v>696</v>
      </c>
      <c r="C79" s="12" t="s">
        <v>289</v>
      </c>
      <c r="D79" s="67">
        <f t="shared" si="53"/>
        <v>0</v>
      </c>
      <c r="E79" s="67">
        <f>(Expenses!D18*0.85)+Expenses!D25+Expenses!D32+(Expenses!D39*0.85)+Expenses!D44+Expenses!D49+Expenses!D56+Expenses!D95-Expenses!D77</f>
        <v>211495000</v>
      </c>
      <c r="F79" s="67">
        <f>(Expenses!E18*0.85)+Expenses!E25+Expenses!E32+(Expenses!E39*0.85)+Expenses!E44+Expenses!E49+Expenses!E56+Expenses!E95-Expenses!E77</f>
        <v>231897838.75000003</v>
      </c>
      <c r="G79" s="67">
        <f>(Expenses!F18*0.85)+Expenses!F25+Expenses!F32+(Expenses!F39*0.85)+Expenses!F44+Expenses!F49+Expenses!F56+Expenses!F95-Expenses!F77</f>
        <v>254837309.15856254</v>
      </c>
      <c r="H79" s="67">
        <f>(Expenses!G18*0.85)+Expenses!G25+Expenses!G32+(Expenses!G39*0.85)+Expenses!G44+Expenses!G49+Expenses!G56+Expenses!G95-Expenses!G77</f>
        <v>280644708.04524386</v>
      </c>
      <c r="I79" s="67">
        <f>(Expenses!H18*0.85)+Expenses!H25+Expenses!H32+(Expenses!H39*0.85)+Expenses!H44+Expenses!H49+Expenses!H56+Expenses!H95-Expenses!H77</f>
        <v>309695153.90460777</v>
      </c>
      <c r="J79" s="67">
        <f>(Expenses!I18*0.85)+Expenses!I25+Expenses!I32+(Expenses!I39*0.85)+Expenses!I44+Expenses!I49+Expenses!I56+Expenses!I95-Expenses!I77</f>
        <v>0</v>
      </c>
      <c r="K79" s="67">
        <f>(Expenses!J18*0.85)+Expenses!J25+Expenses!J32+(Expenses!J39*0.85)+Expenses!J44+Expenses!J49+Expenses!J56+Expenses!J95-Expenses!J77</f>
        <v>0</v>
      </c>
      <c r="L79" s="67">
        <f>(Expenses!K18*0.85)+Expenses!K25+Expenses!K32+(Expenses!K39*0.85)+Expenses!K44+Expenses!K49+Expenses!K56+Expenses!K95-Expenses!K77</f>
        <v>0</v>
      </c>
      <c r="M79" s="67">
        <f>(Expenses!L18*0.85)+Expenses!L25+Expenses!L32+(Expenses!L39*0.85)+Expenses!L44+Expenses!L49+Expenses!L56+Expenses!L95-Expenses!L77</f>
        <v>0</v>
      </c>
      <c r="N79" s="67">
        <f>(Expenses!M18*0.85)+Expenses!M25+Expenses!M32+(Expenses!M39*0.85)+Expenses!M44+Expenses!M49+Expenses!M56+Expenses!M95-Expenses!M77</f>
        <v>0</v>
      </c>
      <c r="O79" s="67">
        <v>0</v>
      </c>
      <c r="P79" s="326">
        <f t="shared" si="56"/>
        <v>1288570009.8584142</v>
      </c>
      <c r="Q79" s="2"/>
      <c r="S79" s="2"/>
    </row>
    <row r="80" spans="1:19" x14ac:dyDescent="0.15">
      <c r="B80" s="340">
        <v>3</v>
      </c>
      <c r="C80" s="12" t="s">
        <v>290</v>
      </c>
      <c r="D80" s="67">
        <f t="shared" ref="D80:D98" si="59">D164</f>
        <v>0</v>
      </c>
      <c r="E80" s="67">
        <f>E78-E79</f>
        <v>43505000</v>
      </c>
      <c r="F80" s="67">
        <f t="shared" ref="F80:N80" si="60">F78-F79</f>
        <v>34577161.25</v>
      </c>
      <c r="G80" s="67">
        <f t="shared" si="60"/>
        <v>23629065.841437519</v>
      </c>
      <c r="H80" s="67">
        <f t="shared" si="60"/>
        <v>10352653.82975626</v>
      </c>
      <c r="I80" s="67">
        <f t="shared" si="60"/>
        <v>-5602910.7452327013</v>
      </c>
      <c r="J80" s="67">
        <f t="shared" si="60"/>
        <v>0</v>
      </c>
      <c r="K80" s="67">
        <f t="shared" si="60"/>
        <v>0</v>
      </c>
      <c r="L80" s="67">
        <f t="shared" si="60"/>
        <v>0</v>
      </c>
      <c r="M80" s="67">
        <f t="shared" si="60"/>
        <v>0</v>
      </c>
      <c r="N80" s="67">
        <f t="shared" si="60"/>
        <v>0</v>
      </c>
      <c r="O80" s="67">
        <v>0</v>
      </c>
      <c r="P80" s="326">
        <f t="shared" si="56"/>
        <v>106460970.17596108</v>
      </c>
      <c r="Q80" s="2"/>
      <c r="S80" s="2"/>
    </row>
    <row r="81" spans="2:19" x14ac:dyDescent="0.15">
      <c r="B81" s="340" t="s">
        <v>697</v>
      </c>
      <c r="C81" s="12" t="s">
        <v>292</v>
      </c>
      <c r="D81" s="67">
        <f t="shared" si="59"/>
        <v>0</v>
      </c>
      <c r="E81" s="67">
        <f>E165</f>
        <v>3772500</v>
      </c>
      <c r="F81" s="67">
        <f t="shared" ref="F81:N81" si="61">F165</f>
        <v>6218850</v>
      </c>
      <c r="G81" s="67">
        <f t="shared" si="61"/>
        <v>4083150</v>
      </c>
      <c r="H81" s="67">
        <f t="shared" si="61"/>
        <v>2775510</v>
      </c>
      <c r="I81" s="67">
        <f t="shared" si="61"/>
        <v>1352955</v>
      </c>
      <c r="J81" s="67">
        <f t="shared" si="61"/>
        <v>0</v>
      </c>
      <c r="K81" s="67">
        <f t="shared" si="61"/>
        <v>0</v>
      </c>
      <c r="L81" s="67">
        <f t="shared" si="61"/>
        <v>0</v>
      </c>
      <c r="M81" s="67">
        <f t="shared" si="61"/>
        <v>0</v>
      </c>
      <c r="N81" s="67">
        <f t="shared" si="61"/>
        <v>0</v>
      </c>
      <c r="O81" s="67">
        <v>0</v>
      </c>
      <c r="P81" s="326">
        <f t="shared" si="56"/>
        <v>18202965</v>
      </c>
      <c r="Q81" s="2"/>
      <c r="S81" s="2"/>
    </row>
    <row r="82" spans="2:19" x14ac:dyDescent="0.15">
      <c r="B82" s="340">
        <v>5</v>
      </c>
      <c r="C82" s="12" t="s">
        <v>293</v>
      </c>
      <c r="D82" s="67">
        <f t="shared" si="59"/>
        <v>0</v>
      </c>
      <c r="E82" s="67">
        <f>E80-E81</f>
        <v>39732500</v>
      </c>
      <c r="F82" s="67">
        <f t="shared" ref="F82:N82" si="62">F80-F81</f>
        <v>28358311.25</v>
      </c>
      <c r="G82" s="67">
        <f t="shared" si="62"/>
        <v>19545915.841437519</v>
      </c>
      <c r="H82" s="67">
        <f t="shared" si="62"/>
        <v>7577143.8297562599</v>
      </c>
      <c r="I82" s="67">
        <f t="shared" si="62"/>
        <v>-6955865.7452327013</v>
      </c>
      <c r="J82" s="67">
        <f t="shared" si="62"/>
        <v>0</v>
      </c>
      <c r="K82" s="67">
        <f t="shared" si="62"/>
        <v>0</v>
      </c>
      <c r="L82" s="67">
        <f t="shared" si="62"/>
        <v>0</v>
      </c>
      <c r="M82" s="67">
        <f t="shared" si="62"/>
        <v>0</v>
      </c>
      <c r="N82" s="67">
        <f t="shared" si="62"/>
        <v>0</v>
      </c>
      <c r="O82" s="67">
        <v>0</v>
      </c>
      <c r="P82" s="326">
        <f t="shared" si="56"/>
        <v>88258005.175961077</v>
      </c>
      <c r="Q82" s="2"/>
      <c r="S82" s="2"/>
    </row>
    <row r="83" spans="2:19" x14ac:dyDescent="0.15">
      <c r="B83" s="340" t="s">
        <v>698</v>
      </c>
      <c r="C83" s="12" t="s">
        <v>295</v>
      </c>
      <c r="D83" s="67">
        <f t="shared" si="59"/>
        <v>0</v>
      </c>
      <c r="E83" s="67">
        <f>E167</f>
        <v>0</v>
      </c>
      <c r="F83" s="67">
        <f t="shared" ref="F83:N83" si="63">F167</f>
        <v>0</v>
      </c>
      <c r="G83" s="67">
        <f t="shared" si="63"/>
        <v>0</v>
      </c>
      <c r="H83" s="67">
        <f t="shared" si="63"/>
        <v>0</v>
      </c>
      <c r="I83" s="67">
        <f t="shared" si="63"/>
        <v>0</v>
      </c>
      <c r="J83" s="67">
        <f t="shared" si="63"/>
        <v>0</v>
      </c>
      <c r="K83" s="67">
        <f t="shared" si="63"/>
        <v>0</v>
      </c>
      <c r="L83" s="67">
        <f t="shared" si="63"/>
        <v>0</v>
      </c>
      <c r="M83" s="67">
        <f t="shared" si="63"/>
        <v>0</v>
      </c>
      <c r="N83" s="67">
        <f t="shared" si="63"/>
        <v>0</v>
      </c>
      <c r="O83" s="67">
        <v>0</v>
      </c>
      <c r="P83" s="326">
        <f t="shared" si="56"/>
        <v>0</v>
      </c>
      <c r="Q83" s="2"/>
      <c r="S83" s="2"/>
    </row>
    <row r="84" spans="2:19" x14ac:dyDescent="0.15">
      <c r="B84" s="340">
        <v>7</v>
      </c>
      <c r="C84" s="12" t="s">
        <v>296</v>
      </c>
      <c r="D84" s="67">
        <f t="shared" si="59"/>
        <v>0</v>
      </c>
      <c r="E84" s="67">
        <f>E82-E83</f>
        <v>39732500</v>
      </c>
      <c r="F84" s="67">
        <f t="shared" ref="F84:N84" si="64">F82-F83</f>
        <v>28358311.25</v>
      </c>
      <c r="G84" s="67">
        <f t="shared" si="64"/>
        <v>19545915.841437519</v>
      </c>
      <c r="H84" s="67">
        <f t="shared" si="64"/>
        <v>7577143.8297562599</v>
      </c>
      <c r="I84" s="67">
        <f t="shared" si="64"/>
        <v>-6955865.7452327013</v>
      </c>
      <c r="J84" s="67">
        <f t="shared" si="64"/>
        <v>0</v>
      </c>
      <c r="K84" s="67">
        <f t="shared" si="64"/>
        <v>0</v>
      </c>
      <c r="L84" s="67">
        <f t="shared" si="64"/>
        <v>0</v>
      </c>
      <c r="M84" s="67">
        <f t="shared" si="64"/>
        <v>0</v>
      </c>
      <c r="N84" s="67">
        <f t="shared" si="64"/>
        <v>0</v>
      </c>
      <c r="O84" s="67">
        <v>0</v>
      </c>
      <c r="P84" s="326">
        <f t="shared" si="56"/>
        <v>88258005.175961077</v>
      </c>
      <c r="Q84" s="2"/>
      <c r="S84" s="2"/>
    </row>
    <row r="85" spans="2:19" x14ac:dyDescent="0.15">
      <c r="B85" s="340">
        <v>8</v>
      </c>
      <c r="C85" s="12" t="s">
        <v>297</v>
      </c>
      <c r="D85" s="67">
        <f t="shared" si="59"/>
        <v>0</v>
      </c>
      <c r="E85" s="67">
        <f>-E84*$D$3</f>
        <v>-11919750</v>
      </c>
      <c r="F85" s="67">
        <f t="shared" ref="F85:N85" si="65">-F84*$D$3</f>
        <v>-8507493.375</v>
      </c>
      <c r="G85" s="67">
        <f t="shared" si="65"/>
        <v>-5863774.7524312558</v>
      </c>
      <c r="H85" s="67">
        <f t="shared" si="65"/>
        <v>-2273143.1489268779</v>
      </c>
      <c r="I85" s="67">
        <f t="shared" si="65"/>
        <v>2086759.7235698104</v>
      </c>
      <c r="J85" s="67">
        <f t="shared" si="65"/>
        <v>0</v>
      </c>
      <c r="K85" s="67">
        <f t="shared" si="65"/>
        <v>0</v>
      </c>
      <c r="L85" s="67">
        <f t="shared" si="65"/>
        <v>0</v>
      </c>
      <c r="M85" s="67">
        <f t="shared" si="65"/>
        <v>0</v>
      </c>
      <c r="N85" s="67">
        <f t="shared" si="65"/>
        <v>0</v>
      </c>
      <c r="O85" s="67">
        <v>0</v>
      </c>
      <c r="P85" s="326">
        <f t="shared" si="56"/>
        <v>-26477401.552788321</v>
      </c>
      <c r="Q85" s="2"/>
      <c r="S85" s="2"/>
    </row>
    <row r="86" spans="2:19" x14ac:dyDescent="0.15">
      <c r="B86" s="340">
        <v>9</v>
      </c>
      <c r="C86" s="12" t="s">
        <v>298</v>
      </c>
      <c r="D86" s="67">
        <f t="shared" si="59"/>
        <v>0</v>
      </c>
      <c r="E86" s="67">
        <f>E170</f>
        <v>0</v>
      </c>
      <c r="F86" s="67">
        <f t="shared" ref="F86:N86" si="66">F170</f>
        <v>0</v>
      </c>
      <c r="G86" s="67">
        <f t="shared" si="66"/>
        <v>0</v>
      </c>
      <c r="H86" s="67">
        <f t="shared" si="66"/>
        <v>0</v>
      </c>
      <c r="I86" s="67">
        <f t="shared" si="66"/>
        <v>0</v>
      </c>
      <c r="J86" s="67">
        <f t="shared" si="66"/>
        <v>0</v>
      </c>
      <c r="K86" s="67">
        <f t="shared" si="66"/>
        <v>0</v>
      </c>
      <c r="L86" s="67">
        <f t="shared" si="66"/>
        <v>0</v>
      </c>
      <c r="M86" s="67">
        <f t="shared" si="66"/>
        <v>0</v>
      </c>
      <c r="N86" s="67">
        <f t="shared" si="66"/>
        <v>0</v>
      </c>
      <c r="O86" s="67">
        <v>0</v>
      </c>
      <c r="P86" s="326">
        <f t="shared" si="56"/>
        <v>0</v>
      </c>
      <c r="Q86" s="2"/>
      <c r="S86" s="2"/>
    </row>
    <row r="87" spans="2:19" x14ac:dyDescent="0.15">
      <c r="B87" s="340">
        <v>10</v>
      </c>
      <c r="C87" s="12" t="s">
        <v>299</v>
      </c>
      <c r="D87" s="67">
        <f t="shared" si="59"/>
        <v>0</v>
      </c>
      <c r="E87" s="67">
        <f>E84+E85+E86</f>
        <v>27812750</v>
      </c>
      <c r="F87" s="67">
        <f t="shared" ref="F87:N87" si="67">F84+F85+F86</f>
        <v>19850817.875</v>
      </c>
      <c r="G87" s="67">
        <f t="shared" si="67"/>
        <v>13682141.089006264</v>
      </c>
      <c r="H87" s="67">
        <f t="shared" si="67"/>
        <v>5304000.6808293816</v>
      </c>
      <c r="I87" s="67">
        <f t="shared" si="67"/>
        <v>-4869106.0216628909</v>
      </c>
      <c r="J87" s="67">
        <f t="shared" si="67"/>
        <v>0</v>
      </c>
      <c r="K87" s="67">
        <f t="shared" si="67"/>
        <v>0</v>
      </c>
      <c r="L87" s="67">
        <f t="shared" si="67"/>
        <v>0</v>
      </c>
      <c r="M87" s="67">
        <f t="shared" si="67"/>
        <v>0</v>
      </c>
      <c r="N87" s="67">
        <f t="shared" si="67"/>
        <v>0</v>
      </c>
      <c r="O87" s="67">
        <v>0</v>
      </c>
      <c r="P87" s="326">
        <f t="shared" si="56"/>
        <v>61780603.623172753</v>
      </c>
      <c r="Q87" s="2"/>
      <c r="S87" s="2"/>
    </row>
    <row r="88" spans="2:19" x14ac:dyDescent="0.15">
      <c r="B88" s="340" t="s">
        <v>699</v>
      </c>
      <c r="C88" s="12" t="s">
        <v>292</v>
      </c>
      <c r="D88" s="67">
        <f t="shared" si="59"/>
        <v>0</v>
      </c>
      <c r="E88" s="67">
        <f>E172</f>
        <v>3772500</v>
      </c>
      <c r="F88" s="67">
        <f t="shared" ref="F88:N88" si="68">F172</f>
        <v>6218850</v>
      </c>
      <c r="G88" s="67">
        <f t="shared" si="68"/>
        <v>4083150</v>
      </c>
      <c r="H88" s="67">
        <f t="shared" si="68"/>
        <v>2775510</v>
      </c>
      <c r="I88" s="67">
        <f t="shared" si="68"/>
        <v>1352955</v>
      </c>
      <c r="J88" s="67">
        <f t="shared" si="68"/>
        <v>0</v>
      </c>
      <c r="K88" s="67">
        <f t="shared" si="68"/>
        <v>0</v>
      </c>
      <c r="L88" s="67">
        <f t="shared" si="68"/>
        <v>0</v>
      </c>
      <c r="M88" s="67">
        <f t="shared" si="68"/>
        <v>0</v>
      </c>
      <c r="N88" s="67">
        <f t="shared" si="68"/>
        <v>0</v>
      </c>
      <c r="O88" s="67">
        <v>0</v>
      </c>
      <c r="P88" s="326">
        <f t="shared" si="56"/>
        <v>18202965</v>
      </c>
      <c r="Q88" s="2"/>
      <c r="S88" s="2"/>
    </row>
    <row r="89" spans="2:19" x14ac:dyDescent="0.15">
      <c r="B89" s="340">
        <v>12</v>
      </c>
      <c r="C89" s="12" t="s">
        <v>301</v>
      </c>
      <c r="D89" s="67">
        <f t="shared" si="59"/>
        <v>0</v>
      </c>
      <c r="E89" s="67">
        <f>E87+E88</f>
        <v>31585250</v>
      </c>
      <c r="F89" s="67">
        <f t="shared" ref="F89:N89" si="69">F87+F88</f>
        <v>26069667.875</v>
      </c>
      <c r="G89" s="67">
        <f t="shared" si="69"/>
        <v>17765291.089006264</v>
      </c>
      <c r="H89" s="67">
        <f t="shared" si="69"/>
        <v>8079510.6808293816</v>
      </c>
      <c r="I89" s="67">
        <f t="shared" si="69"/>
        <v>-3516151.0216628909</v>
      </c>
      <c r="J89" s="67">
        <f t="shared" si="69"/>
        <v>0</v>
      </c>
      <c r="K89" s="67">
        <f t="shared" si="69"/>
        <v>0</v>
      </c>
      <c r="L89" s="67">
        <f t="shared" si="69"/>
        <v>0</v>
      </c>
      <c r="M89" s="67">
        <f t="shared" si="69"/>
        <v>0</v>
      </c>
      <c r="N89" s="67">
        <f t="shared" si="69"/>
        <v>0</v>
      </c>
      <c r="O89" s="67">
        <v>0</v>
      </c>
      <c r="P89" s="326">
        <f t="shared" si="56"/>
        <v>79983568.623172745</v>
      </c>
      <c r="Q89" s="2"/>
      <c r="S89" s="2"/>
    </row>
    <row r="90" spans="2:19" x14ac:dyDescent="0.15">
      <c r="B90" s="340" t="s">
        <v>700</v>
      </c>
      <c r="C90" s="12" t="s">
        <v>303</v>
      </c>
      <c r="D90" s="67">
        <f t="shared" si="59"/>
        <v>0</v>
      </c>
      <c r="E90" s="67">
        <f t="shared" ref="E90:N90" si="70">E174</f>
        <v>0</v>
      </c>
      <c r="F90" s="67">
        <f t="shared" si="70"/>
        <v>0</v>
      </c>
      <c r="G90" s="67">
        <f t="shared" si="70"/>
        <v>0</v>
      </c>
      <c r="H90" s="67">
        <f t="shared" si="70"/>
        <v>0</v>
      </c>
      <c r="I90" s="67">
        <f t="shared" si="70"/>
        <v>0</v>
      </c>
      <c r="J90" s="67">
        <f t="shared" si="70"/>
        <v>0</v>
      </c>
      <c r="K90" s="67">
        <f t="shared" si="70"/>
        <v>0</v>
      </c>
      <c r="L90" s="67">
        <f t="shared" si="70"/>
        <v>0</v>
      </c>
      <c r="M90" s="67">
        <f t="shared" si="70"/>
        <v>0</v>
      </c>
      <c r="N90" s="67">
        <f t="shared" si="70"/>
        <v>0</v>
      </c>
      <c r="O90" s="67">
        <v>0</v>
      </c>
      <c r="P90" s="326">
        <f t="shared" si="56"/>
        <v>0</v>
      </c>
      <c r="Q90" s="2"/>
      <c r="S90" s="2"/>
    </row>
    <row r="91" spans="2:19" x14ac:dyDescent="0.15">
      <c r="B91" s="340">
        <v>14</v>
      </c>
      <c r="C91" s="12" t="s">
        <v>304</v>
      </c>
      <c r="D91" s="67">
        <f t="shared" si="59"/>
        <v>-32550000</v>
      </c>
      <c r="E91" s="67">
        <f t="shared" ref="E91:N91" si="71">E175</f>
        <v>0</v>
      </c>
      <c r="F91" s="67">
        <f t="shared" si="71"/>
        <v>0</v>
      </c>
      <c r="G91" s="67">
        <f t="shared" si="71"/>
        <v>0</v>
      </c>
      <c r="H91" s="67">
        <f t="shared" si="71"/>
        <v>0</v>
      </c>
      <c r="I91" s="67">
        <f t="shared" si="71"/>
        <v>14347035</v>
      </c>
      <c r="J91" s="67">
        <f t="shared" si="71"/>
        <v>0</v>
      </c>
      <c r="K91" s="67">
        <f t="shared" si="71"/>
        <v>0</v>
      </c>
      <c r="L91" s="67">
        <f t="shared" si="71"/>
        <v>0</v>
      </c>
      <c r="M91" s="67">
        <f t="shared" si="71"/>
        <v>0</v>
      </c>
      <c r="N91" s="67">
        <f t="shared" si="71"/>
        <v>0</v>
      </c>
      <c r="O91" s="67">
        <v>0</v>
      </c>
      <c r="P91" s="326">
        <f t="shared" si="56"/>
        <v>14347035</v>
      </c>
      <c r="Q91" s="2"/>
      <c r="S91" s="2"/>
    </row>
    <row r="92" spans="2:19" x14ac:dyDescent="0.15">
      <c r="B92" s="340" t="s">
        <v>701</v>
      </c>
      <c r="C92" s="12" t="s">
        <v>207</v>
      </c>
      <c r="D92" s="67">
        <f t="shared" si="59"/>
        <v>-31050000</v>
      </c>
      <c r="E92" s="67">
        <f t="shared" ref="E92:N92" si="72">E176</f>
        <v>0</v>
      </c>
      <c r="F92" s="67">
        <f t="shared" si="72"/>
        <v>0</v>
      </c>
      <c r="G92" s="67">
        <f t="shared" si="72"/>
        <v>0</v>
      </c>
      <c r="H92" s="67">
        <f t="shared" si="72"/>
        <v>0</v>
      </c>
      <c r="I92" s="67">
        <f t="shared" si="72"/>
        <v>12847035</v>
      </c>
      <c r="J92" s="67">
        <f t="shared" si="72"/>
        <v>0</v>
      </c>
      <c r="K92" s="67">
        <f t="shared" si="72"/>
        <v>0</v>
      </c>
      <c r="L92" s="67">
        <f t="shared" si="72"/>
        <v>0</v>
      </c>
      <c r="M92" s="67">
        <f t="shared" si="72"/>
        <v>0</v>
      </c>
      <c r="N92" s="67">
        <f t="shared" si="72"/>
        <v>0</v>
      </c>
      <c r="O92" s="67">
        <v>0</v>
      </c>
      <c r="P92" s="326">
        <f t="shared" si="56"/>
        <v>12847035</v>
      </c>
      <c r="Q92" s="2"/>
      <c r="S92" s="2"/>
    </row>
    <row r="93" spans="2:19" x14ac:dyDescent="0.15">
      <c r="B93" s="340" t="s">
        <v>702</v>
      </c>
      <c r="C93" s="12" t="s">
        <v>307</v>
      </c>
      <c r="D93" s="67">
        <f t="shared" si="59"/>
        <v>-1500000</v>
      </c>
      <c r="E93" s="67">
        <f t="shared" ref="E93:N93" si="73">E177</f>
        <v>0</v>
      </c>
      <c r="F93" s="67">
        <f t="shared" si="73"/>
        <v>0</v>
      </c>
      <c r="G93" s="67">
        <f t="shared" si="73"/>
        <v>0</v>
      </c>
      <c r="H93" s="67">
        <f t="shared" si="73"/>
        <v>0</v>
      </c>
      <c r="I93" s="67">
        <f t="shared" si="73"/>
        <v>1500000</v>
      </c>
      <c r="J93" s="67">
        <f t="shared" si="73"/>
        <v>0</v>
      </c>
      <c r="K93" s="67">
        <f t="shared" si="73"/>
        <v>0</v>
      </c>
      <c r="L93" s="67">
        <f t="shared" si="73"/>
        <v>0</v>
      </c>
      <c r="M93" s="67">
        <f t="shared" si="73"/>
        <v>0</v>
      </c>
      <c r="N93" s="67">
        <f t="shared" si="73"/>
        <v>0</v>
      </c>
      <c r="O93" s="67">
        <v>0</v>
      </c>
      <c r="P93" s="326">
        <f t="shared" si="56"/>
        <v>1500000</v>
      </c>
      <c r="Q93" s="2"/>
      <c r="S93" s="2"/>
    </row>
    <row r="94" spans="2:19" x14ac:dyDescent="0.15">
      <c r="B94" s="340" t="s">
        <v>703</v>
      </c>
      <c r="C94" s="12" t="s">
        <v>309</v>
      </c>
      <c r="D94" s="67">
        <f t="shared" si="59"/>
        <v>0</v>
      </c>
      <c r="E94" s="67">
        <f t="shared" ref="E94:N94" si="74">E178</f>
        <v>0</v>
      </c>
      <c r="F94" s="67">
        <f t="shared" si="74"/>
        <v>0</v>
      </c>
      <c r="G94" s="67">
        <f t="shared" si="74"/>
        <v>0</v>
      </c>
      <c r="H94" s="67">
        <f t="shared" si="74"/>
        <v>0</v>
      </c>
      <c r="I94" s="67">
        <f t="shared" si="74"/>
        <v>0</v>
      </c>
      <c r="J94" s="67">
        <f t="shared" si="74"/>
        <v>0</v>
      </c>
      <c r="K94" s="67">
        <f t="shared" si="74"/>
        <v>0</v>
      </c>
      <c r="L94" s="67">
        <f t="shared" si="74"/>
        <v>0</v>
      </c>
      <c r="M94" s="67">
        <f t="shared" si="74"/>
        <v>0</v>
      </c>
      <c r="N94" s="67">
        <f t="shared" si="74"/>
        <v>0</v>
      </c>
      <c r="O94" s="67">
        <v>0</v>
      </c>
      <c r="P94" s="326">
        <f t="shared" si="56"/>
        <v>0</v>
      </c>
      <c r="Q94" s="2"/>
      <c r="S94" s="2"/>
    </row>
    <row r="95" spans="2:19" x14ac:dyDescent="0.15">
      <c r="B95" s="340" t="s">
        <v>704</v>
      </c>
      <c r="C95" s="12" t="s">
        <v>311</v>
      </c>
      <c r="D95" s="67">
        <f t="shared" si="59"/>
        <v>0</v>
      </c>
      <c r="E95" s="67">
        <f t="shared" ref="E95:N95" si="75">E179</f>
        <v>0</v>
      </c>
      <c r="F95" s="67">
        <f t="shared" si="75"/>
        <v>0</v>
      </c>
      <c r="G95" s="67">
        <f t="shared" si="75"/>
        <v>0</v>
      </c>
      <c r="H95" s="67">
        <f t="shared" si="75"/>
        <v>0</v>
      </c>
      <c r="I95" s="67">
        <f t="shared" si="75"/>
        <v>-2596968.7000000002</v>
      </c>
      <c r="J95" s="67">
        <f t="shared" si="75"/>
        <v>0</v>
      </c>
      <c r="K95" s="67">
        <f t="shared" si="75"/>
        <v>0</v>
      </c>
      <c r="L95" s="67">
        <f t="shared" si="75"/>
        <v>0</v>
      </c>
      <c r="M95" s="67">
        <f t="shared" si="75"/>
        <v>0</v>
      </c>
      <c r="N95" s="67">
        <f t="shared" si="75"/>
        <v>0</v>
      </c>
      <c r="O95" s="67">
        <v>0</v>
      </c>
      <c r="P95" s="326">
        <f t="shared" si="56"/>
        <v>-2596968.7000000002</v>
      </c>
      <c r="Q95" s="2"/>
      <c r="S95" s="2"/>
    </row>
    <row r="96" spans="2:19" ht="14" thickBot="1" x14ac:dyDescent="0.2">
      <c r="B96" s="340" t="s">
        <v>705</v>
      </c>
      <c r="C96" s="12" t="s">
        <v>115</v>
      </c>
      <c r="D96" s="67">
        <f t="shared" si="59"/>
        <v>-60000000</v>
      </c>
      <c r="E96" s="67">
        <f t="shared" ref="E96:N96" si="76">E180</f>
        <v>0</v>
      </c>
      <c r="F96" s="67">
        <f t="shared" si="76"/>
        <v>0</v>
      </c>
      <c r="G96" s="67">
        <f t="shared" si="76"/>
        <v>0</v>
      </c>
      <c r="H96" s="67">
        <f t="shared" si="76"/>
        <v>0</v>
      </c>
      <c r="I96" s="67">
        <f t="shared" si="76"/>
        <v>60000000</v>
      </c>
      <c r="J96" s="67">
        <f t="shared" si="76"/>
        <v>0</v>
      </c>
      <c r="K96" s="67">
        <f t="shared" si="76"/>
        <v>0</v>
      </c>
      <c r="L96" s="67">
        <f t="shared" si="76"/>
        <v>0</v>
      </c>
      <c r="M96" s="67">
        <f t="shared" si="76"/>
        <v>0</v>
      </c>
      <c r="N96" s="67">
        <f t="shared" si="76"/>
        <v>0</v>
      </c>
      <c r="O96" s="67">
        <v>0</v>
      </c>
      <c r="P96" s="326">
        <f t="shared" si="56"/>
        <v>60000000</v>
      </c>
      <c r="Q96" s="2"/>
      <c r="S96" s="2"/>
    </row>
    <row r="97" spans="1:19" x14ac:dyDescent="0.15">
      <c r="B97" s="340">
        <v>17</v>
      </c>
      <c r="C97" s="12" t="s">
        <v>313</v>
      </c>
      <c r="D97" s="67">
        <f t="shared" si="59"/>
        <v>-92550000</v>
      </c>
      <c r="E97" s="67">
        <f t="shared" ref="E97:N97" si="77">E181</f>
        <v>0</v>
      </c>
      <c r="F97" s="67">
        <f t="shared" si="77"/>
        <v>0</v>
      </c>
      <c r="G97" s="67">
        <f t="shared" si="77"/>
        <v>0</v>
      </c>
      <c r="H97" s="67">
        <f t="shared" si="77"/>
        <v>0</v>
      </c>
      <c r="I97" s="67">
        <f t="shared" si="77"/>
        <v>71750066.299999997</v>
      </c>
      <c r="J97" s="67">
        <f t="shared" si="77"/>
        <v>0</v>
      </c>
      <c r="K97" s="67">
        <f t="shared" si="77"/>
        <v>0</v>
      </c>
      <c r="L97" s="67">
        <f t="shared" si="77"/>
        <v>0</v>
      </c>
      <c r="M97" s="67">
        <f t="shared" si="77"/>
        <v>0</v>
      </c>
      <c r="N97" s="67">
        <f t="shared" si="77"/>
        <v>0</v>
      </c>
      <c r="O97" s="67">
        <v>0</v>
      </c>
      <c r="P97" s="326">
        <f t="shared" si="56"/>
        <v>71750066.299999997</v>
      </c>
      <c r="Q97" s="461"/>
      <c r="R97" s="357" t="s">
        <v>693</v>
      </c>
      <c r="S97" s="2"/>
    </row>
    <row r="98" spans="1:19" ht="14" thickBot="1" x14ac:dyDescent="0.2">
      <c r="A98" s="1" t="s">
        <v>706</v>
      </c>
      <c r="B98" s="355">
        <v>18</v>
      </c>
      <c r="C98" s="335" t="s">
        <v>314</v>
      </c>
      <c r="D98" s="331">
        <f t="shared" si="59"/>
        <v>-92550000</v>
      </c>
      <c r="E98" s="331">
        <f t="shared" ref="E98:N98" si="78">E97+E89</f>
        <v>31585250</v>
      </c>
      <c r="F98" s="331">
        <f t="shared" si="78"/>
        <v>26069667.875</v>
      </c>
      <c r="G98" s="331">
        <f t="shared" si="78"/>
        <v>17765291.089006264</v>
      </c>
      <c r="H98" s="331">
        <f t="shared" si="78"/>
        <v>8079510.6808293816</v>
      </c>
      <c r="I98" s="331">
        <f t="shared" si="78"/>
        <v>68233915.278337106</v>
      </c>
      <c r="J98" s="331">
        <f t="shared" si="78"/>
        <v>0</v>
      </c>
      <c r="K98" s="331">
        <f t="shared" si="78"/>
        <v>0</v>
      </c>
      <c r="L98" s="331">
        <f t="shared" si="78"/>
        <v>0</v>
      </c>
      <c r="M98" s="331">
        <f t="shared" si="78"/>
        <v>0</v>
      </c>
      <c r="N98" s="331">
        <f t="shared" si="78"/>
        <v>0</v>
      </c>
      <c r="O98" s="331">
        <v>0</v>
      </c>
      <c r="P98" s="326">
        <f t="shared" si="56"/>
        <v>151733634.92317274</v>
      </c>
      <c r="Q98" s="462"/>
      <c r="R98" s="358">
        <f>IF(ISNUMBER(IRR(D98:N98)),IRR(D98:N98),"NMF")</f>
        <v>0.1700698580721911</v>
      </c>
      <c r="S98" s="1" t="s">
        <v>706</v>
      </c>
    </row>
    <row r="99" spans="1:19" x14ac:dyDescent="0.15">
      <c r="B99" s="145"/>
      <c r="S99" s="2"/>
    </row>
    <row r="100" spans="1:19" ht="14" thickBot="1" x14ac:dyDescent="0.2">
      <c r="B100" s="145"/>
      <c r="S100" s="2"/>
    </row>
    <row r="101" spans="1:19" ht="14" thickBot="1" x14ac:dyDescent="0.2">
      <c r="B101" s="359" t="s">
        <v>282</v>
      </c>
      <c r="C101" s="360" t="s">
        <v>283</v>
      </c>
      <c r="D101" s="360"/>
      <c r="E101" s="360">
        <v>1</v>
      </c>
      <c r="F101" s="360">
        <v>2</v>
      </c>
      <c r="G101" s="360">
        <v>3</v>
      </c>
      <c r="H101" s="360">
        <v>4</v>
      </c>
      <c r="I101" s="360">
        <v>5</v>
      </c>
      <c r="J101" s="360">
        <v>6</v>
      </c>
      <c r="K101" s="360">
        <v>7</v>
      </c>
      <c r="L101" s="360">
        <v>8</v>
      </c>
      <c r="M101" s="360">
        <v>9</v>
      </c>
      <c r="N101" s="360">
        <v>10</v>
      </c>
      <c r="O101" s="360" t="s">
        <v>284</v>
      </c>
      <c r="P101" s="361" t="s">
        <v>285</v>
      </c>
      <c r="S101" s="2"/>
    </row>
    <row r="102" spans="1:19" x14ac:dyDescent="0.15">
      <c r="B102" s="339" t="s">
        <v>687</v>
      </c>
      <c r="C102" s="302" t="s">
        <v>287</v>
      </c>
      <c r="D102" s="322">
        <f t="shared" ref="D102:D107" si="79">D158</f>
        <v>0</v>
      </c>
      <c r="E102" s="322">
        <f t="shared" ref="E102:N102" si="80">E158</f>
        <v>300000000</v>
      </c>
      <c r="F102" s="322">
        <f t="shared" si="80"/>
        <v>313500000.00000006</v>
      </c>
      <c r="G102" s="322">
        <f t="shared" si="80"/>
        <v>327607500.00000006</v>
      </c>
      <c r="H102" s="322">
        <f t="shared" si="80"/>
        <v>342349837.50000012</v>
      </c>
      <c r="I102" s="322">
        <f t="shared" si="80"/>
        <v>357755580.18750012</v>
      </c>
      <c r="J102" s="322">
        <f t="shared" si="80"/>
        <v>0</v>
      </c>
      <c r="K102" s="322">
        <f t="shared" si="80"/>
        <v>0</v>
      </c>
      <c r="L102" s="322">
        <f t="shared" si="80"/>
        <v>0</v>
      </c>
      <c r="M102" s="322">
        <f t="shared" si="80"/>
        <v>0</v>
      </c>
      <c r="N102" s="322">
        <f t="shared" si="80"/>
        <v>0</v>
      </c>
      <c r="O102" s="322">
        <v>0</v>
      </c>
      <c r="P102" s="325">
        <f>SUM(E102:N102)</f>
        <v>1641212917.6875</v>
      </c>
      <c r="Q102" s="2"/>
      <c r="S102" s="2"/>
    </row>
    <row r="103" spans="1:19" x14ac:dyDescent="0.15">
      <c r="A103" s="1" t="s">
        <v>707</v>
      </c>
      <c r="B103" s="355" t="s">
        <v>689</v>
      </c>
      <c r="C103" s="362" t="s">
        <v>689</v>
      </c>
      <c r="D103" s="331">
        <f t="shared" si="79"/>
        <v>0</v>
      </c>
      <c r="E103" s="331">
        <f>Revenues!D7*Revenues!D8*0.9</f>
        <v>270000000</v>
      </c>
      <c r="F103" s="331">
        <f>Revenues!E7*Revenues!E8*0.9</f>
        <v>282150000.00000006</v>
      </c>
      <c r="G103" s="331">
        <f>Revenues!F7*Revenues!F8*0.9</f>
        <v>294846750.00000006</v>
      </c>
      <c r="H103" s="331">
        <f>Revenues!G7*Revenues!G8*0.9</f>
        <v>308114853.75000012</v>
      </c>
      <c r="I103" s="331">
        <f>Revenues!H7*Revenues!H8*0.9</f>
        <v>321980022.16875011</v>
      </c>
      <c r="J103" s="331">
        <f>Revenues!I7*Revenues!I8*0.9</f>
        <v>0</v>
      </c>
      <c r="K103" s="331">
        <f>Revenues!J7*Revenues!J8*0.9</f>
        <v>0</v>
      </c>
      <c r="L103" s="331">
        <f>Revenues!K7*Revenues!K8*0.9</f>
        <v>0</v>
      </c>
      <c r="M103" s="331">
        <f>Revenues!L7*Revenues!L8*0.9</f>
        <v>0</v>
      </c>
      <c r="N103" s="331">
        <f>Revenues!M7*Revenues!M8*0.9</f>
        <v>0</v>
      </c>
      <c r="O103" s="331"/>
      <c r="P103" s="356">
        <f>SUM(E103:N103)</f>
        <v>1477091625.91875</v>
      </c>
      <c r="Q103" s="460"/>
      <c r="S103" s="2"/>
    </row>
    <row r="104" spans="1:19" x14ac:dyDescent="0.15">
      <c r="B104" s="340" t="s">
        <v>690</v>
      </c>
      <c r="C104" s="354" t="s">
        <v>690</v>
      </c>
      <c r="D104" s="67">
        <f t="shared" si="79"/>
        <v>0</v>
      </c>
      <c r="E104" s="67">
        <f>E160</f>
        <v>0</v>
      </c>
      <c r="F104" s="67">
        <f t="shared" ref="F104:N104" si="81">F160</f>
        <v>0</v>
      </c>
      <c r="G104" s="67">
        <f t="shared" si="81"/>
        <v>0</v>
      </c>
      <c r="H104" s="67">
        <f t="shared" si="81"/>
        <v>0</v>
      </c>
      <c r="I104" s="67">
        <f t="shared" si="81"/>
        <v>0</v>
      </c>
      <c r="J104" s="67">
        <f t="shared" si="81"/>
        <v>0</v>
      </c>
      <c r="K104" s="67">
        <f t="shared" si="81"/>
        <v>0</v>
      </c>
      <c r="L104" s="67">
        <f t="shared" si="81"/>
        <v>0</v>
      </c>
      <c r="M104" s="67">
        <f t="shared" si="81"/>
        <v>0</v>
      </c>
      <c r="N104" s="67">
        <f t="shared" si="81"/>
        <v>0</v>
      </c>
      <c r="O104" s="289"/>
      <c r="P104" s="326">
        <f>SUM(E104:N104)</f>
        <v>0</v>
      </c>
      <c r="Q104" s="2"/>
      <c r="S104" s="2"/>
    </row>
    <row r="105" spans="1:19" x14ac:dyDescent="0.15">
      <c r="B105" s="340" t="s">
        <v>691</v>
      </c>
      <c r="C105" s="354" t="s">
        <v>691</v>
      </c>
      <c r="D105" s="67">
        <f t="shared" si="79"/>
        <v>0</v>
      </c>
      <c r="E105" s="67">
        <f>E161</f>
        <v>0</v>
      </c>
      <c r="F105" s="67">
        <f t="shared" ref="F105:N105" si="82">F161</f>
        <v>0</v>
      </c>
      <c r="G105" s="67">
        <f t="shared" si="82"/>
        <v>0</v>
      </c>
      <c r="H105" s="67">
        <f t="shared" si="82"/>
        <v>0</v>
      </c>
      <c r="I105" s="67">
        <f t="shared" si="82"/>
        <v>0</v>
      </c>
      <c r="J105" s="67">
        <f t="shared" si="82"/>
        <v>0</v>
      </c>
      <c r="K105" s="67">
        <f t="shared" si="82"/>
        <v>0</v>
      </c>
      <c r="L105" s="67">
        <f t="shared" si="82"/>
        <v>0</v>
      </c>
      <c r="M105" s="67">
        <f t="shared" si="82"/>
        <v>0</v>
      </c>
      <c r="N105" s="67">
        <f t="shared" si="82"/>
        <v>0</v>
      </c>
      <c r="O105" s="67"/>
      <c r="P105" s="326">
        <f>SUM(E105:N105)</f>
        <v>0</v>
      </c>
      <c r="Q105" s="2"/>
      <c r="S105" s="2"/>
    </row>
    <row r="106" spans="1:19" x14ac:dyDescent="0.15">
      <c r="B106" s="340" t="s">
        <v>695</v>
      </c>
      <c r="C106" s="12"/>
      <c r="D106" s="67">
        <f t="shared" si="79"/>
        <v>0</v>
      </c>
      <c r="E106" s="67">
        <f>E105+E104+E103</f>
        <v>270000000</v>
      </c>
      <c r="F106" s="67">
        <f t="shared" ref="F106:N106" si="83">F105+F104+F103</f>
        <v>282150000.00000006</v>
      </c>
      <c r="G106" s="67">
        <f t="shared" si="83"/>
        <v>294846750.00000006</v>
      </c>
      <c r="H106" s="67">
        <f t="shared" si="83"/>
        <v>308114853.75000012</v>
      </c>
      <c r="I106" s="67">
        <f t="shared" si="83"/>
        <v>321980022.16875011</v>
      </c>
      <c r="J106" s="67">
        <f t="shared" si="83"/>
        <v>0</v>
      </c>
      <c r="K106" s="67">
        <f t="shared" si="83"/>
        <v>0</v>
      </c>
      <c r="L106" s="67">
        <f t="shared" si="83"/>
        <v>0</v>
      </c>
      <c r="M106" s="67">
        <f t="shared" si="83"/>
        <v>0</v>
      </c>
      <c r="N106" s="67">
        <f t="shared" si="83"/>
        <v>0</v>
      </c>
      <c r="O106" s="67"/>
      <c r="P106" s="326">
        <f t="shared" ref="P106:P126" si="84">SUM(E106:N106)</f>
        <v>1477091625.91875</v>
      </c>
      <c r="Q106" s="2"/>
      <c r="S106" s="2"/>
    </row>
    <row r="107" spans="1:19" x14ac:dyDescent="0.15">
      <c r="B107" s="340" t="s">
        <v>696</v>
      </c>
      <c r="C107" s="12" t="s">
        <v>289</v>
      </c>
      <c r="D107" s="67">
        <f t="shared" si="79"/>
        <v>0</v>
      </c>
      <c r="E107" s="67">
        <f>(Expenses!D18*0.9)+Expenses!D25+Expenses!D32+(Expenses!D39*0.9)+Expenses!D44+Expenses!D49+Expenses!D56+Expenses!D95-Expenses!D77</f>
        <v>217720000</v>
      </c>
      <c r="F107" s="67">
        <f>(Expenses!E18*0.9)+Expenses!E25+Expenses!E32+(Expenses!E39*0.9)+Expenses!E44+Expenses!E49+Expenses!E56+Expenses!E95-Expenses!E77</f>
        <v>238938017.50000003</v>
      </c>
      <c r="G107" s="67">
        <f>(Expenses!F18*0.9)+Expenses!F25+Expenses!F32+(Expenses!F39*0.9)+Expenses!F44+Expenses!F49+Expenses!F56+Expenses!F95-Expenses!F77</f>
        <v>262800112.25612509</v>
      </c>
      <c r="H107" s="67">
        <f>(Expenses!G18*0.9)+Expenses!G25+Expenses!G32+(Expenses!G39*0.9)+Expenses!G44+Expenses!G49+Expenses!G56+Expenses!G95-Expenses!G77</f>
        <v>289651797.05040526</v>
      </c>
      <c r="I107" s="67">
        <f>(Expenses!H18*0.9)+Expenses!H25+Expenses!H32+(Expenses!H39*0.9)+Expenses!H44+Expenses!H49+Expenses!H56+Expenses!H95-Expenses!H77</f>
        <v>319884291.38992953</v>
      </c>
      <c r="J107" s="67">
        <f>(Expenses!I18*0.9)+Expenses!I25+Expenses!I32+(Expenses!I39*0.9)+Expenses!I44+Expenses!I49+Expenses!I56+Expenses!I95-Expenses!I77</f>
        <v>0</v>
      </c>
      <c r="K107" s="67">
        <f>(Expenses!J18*0.9)+Expenses!J25+Expenses!J32+(Expenses!J39*0.9)+Expenses!J44+Expenses!J49+Expenses!J56+Expenses!J95-Expenses!J77</f>
        <v>0</v>
      </c>
      <c r="L107" s="67">
        <f>(Expenses!K18*0.9)+Expenses!K25+Expenses!K32+(Expenses!K39*0.9)+Expenses!K44+Expenses!K49+Expenses!K56+Expenses!K95-Expenses!K77</f>
        <v>0</v>
      </c>
      <c r="M107" s="67">
        <f>(Expenses!L18*0.9)+Expenses!L25+Expenses!L32+(Expenses!L39*0.9)+Expenses!L44+Expenses!L49+Expenses!L56+Expenses!L95-Expenses!L77</f>
        <v>0</v>
      </c>
      <c r="N107" s="67">
        <f>(Expenses!M18*0.9)+Expenses!M25+Expenses!M32+(Expenses!M39*0.9)+Expenses!M44+Expenses!M49+Expenses!M56+Expenses!M95-Expenses!M77</f>
        <v>0</v>
      </c>
      <c r="O107" s="67">
        <v>0</v>
      </c>
      <c r="P107" s="326">
        <f t="shared" si="84"/>
        <v>1328994218.1964598</v>
      </c>
      <c r="Q107" s="2"/>
      <c r="S107" s="2"/>
    </row>
    <row r="108" spans="1:19" x14ac:dyDescent="0.15">
      <c r="B108" s="340">
        <v>3</v>
      </c>
      <c r="C108" s="12" t="s">
        <v>290</v>
      </c>
      <c r="D108" s="67">
        <f t="shared" ref="D108:D126" si="85">D164</f>
        <v>0</v>
      </c>
      <c r="E108" s="67">
        <f>E106-E107</f>
        <v>52280000</v>
      </c>
      <c r="F108" s="67">
        <f t="shared" ref="F108:N108" si="86">F106-F107</f>
        <v>43211982.50000003</v>
      </c>
      <c r="G108" s="67">
        <f t="shared" si="86"/>
        <v>32046637.743874967</v>
      </c>
      <c r="H108" s="67">
        <f t="shared" si="86"/>
        <v>18463056.699594855</v>
      </c>
      <c r="I108" s="67">
        <f t="shared" si="86"/>
        <v>2095730.7788205743</v>
      </c>
      <c r="J108" s="67">
        <f t="shared" si="86"/>
        <v>0</v>
      </c>
      <c r="K108" s="67">
        <f t="shared" si="86"/>
        <v>0</v>
      </c>
      <c r="L108" s="67">
        <f t="shared" si="86"/>
        <v>0</v>
      </c>
      <c r="M108" s="67">
        <f t="shared" si="86"/>
        <v>0</v>
      </c>
      <c r="N108" s="67">
        <f t="shared" si="86"/>
        <v>0</v>
      </c>
      <c r="O108" s="67">
        <v>0</v>
      </c>
      <c r="P108" s="326">
        <f t="shared" si="84"/>
        <v>148097407.72229043</v>
      </c>
      <c r="Q108" s="2"/>
      <c r="S108" s="2"/>
    </row>
    <row r="109" spans="1:19" x14ac:dyDescent="0.15">
      <c r="B109" s="340" t="s">
        <v>697</v>
      </c>
      <c r="C109" s="12" t="s">
        <v>292</v>
      </c>
      <c r="D109" s="67">
        <f t="shared" si="85"/>
        <v>0</v>
      </c>
      <c r="E109" s="67">
        <f>E165</f>
        <v>3772500</v>
      </c>
      <c r="F109" s="67">
        <f t="shared" ref="F109:N109" si="87">F165</f>
        <v>6218850</v>
      </c>
      <c r="G109" s="67">
        <f t="shared" si="87"/>
        <v>4083150</v>
      </c>
      <c r="H109" s="67">
        <f t="shared" si="87"/>
        <v>2775510</v>
      </c>
      <c r="I109" s="67">
        <f t="shared" si="87"/>
        <v>1352955</v>
      </c>
      <c r="J109" s="67">
        <f t="shared" si="87"/>
        <v>0</v>
      </c>
      <c r="K109" s="67">
        <f t="shared" si="87"/>
        <v>0</v>
      </c>
      <c r="L109" s="67">
        <f t="shared" si="87"/>
        <v>0</v>
      </c>
      <c r="M109" s="67">
        <f t="shared" si="87"/>
        <v>0</v>
      </c>
      <c r="N109" s="67">
        <f t="shared" si="87"/>
        <v>0</v>
      </c>
      <c r="O109" s="67">
        <v>0</v>
      </c>
      <c r="P109" s="326">
        <f t="shared" si="84"/>
        <v>18202965</v>
      </c>
      <c r="Q109" s="2"/>
      <c r="S109" s="2"/>
    </row>
    <row r="110" spans="1:19" x14ac:dyDescent="0.15">
      <c r="B110" s="340">
        <v>5</v>
      </c>
      <c r="C110" s="12" t="s">
        <v>293</v>
      </c>
      <c r="D110" s="67">
        <f t="shared" si="85"/>
        <v>0</v>
      </c>
      <c r="E110" s="67">
        <f>E108-E109</f>
        <v>48507500</v>
      </c>
      <c r="F110" s="67">
        <f t="shared" ref="F110:N110" si="88">F108-F109</f>
        <v>36993132.50000003</v>
      </c>
      <c r="G110" s="67">
        <f t="shared" si="88"/>
        <v>27963487.743874967</v>
      </c>
      <c r="H110" s="67">
        <f t="shared" si="88"/>
        <v>15687546.699594855</v>
      </c>
      <c r="I110" s="67">
        <f t="shared" si="88"/>
        <v>742775.77882057428</v>
      </c>
      <c r="J110" s="67">
        <f t="shared" si="88"/>
        <v>0</v>
      </c>
      <c r="K110" s="67">
        <f t="shared" si="88"/>
        <v>0</v>
      </c>
      <c r="L110" s="67">
        <f t="shared" si="88"/>
        <v>0</v>
      </c>
      <c r="M110" s="67">
        <f t="shared" si="88"/>
        <v>0</v>
      </c>
      <c r="N110" s="67">
        <f t="shared" si="88"/>
        <v>0</v>
      </c>
      <c r="O110" s="67">
        <v>0</v>
      </c>
      <c r="P110" s="326">
        <f t="shared" si="84"/>
        <v>129894442.72229043</v>
      </c>
      <c r="Q110" s="2"/>
      <c r="S110" s="2"/>
    </row>
    <row r="111" spans="1:19" x14ac:dyDescent="0.15">
      <c r="B111" s="340" t="s">
        <v>698</v>
      </c>
      <c r="C111" s="12" t="s">
        <v>295</v>
      </c>
      <c r="D111" s="67">
        <f t="shared" si="85"/>
        <v>0</v>
      </c>
      <c r="E111" s="67">
        <f>E167</f>
        <v>0</v>
      </c>
      <c r="F111" s="67">
        <f t="shared" ref="F111:N111" si="89">F167</f>
        <v>0</v>
      </c>
      <c r="G111" s="67">
        <f t="shared" si="89"/>
        <v>0</v>
      </c>
      <c r="H111" s="67">
        <f t="shared" si="89"/>
        <v>0</v>
      </c>
      <c r="I111" s="67">
        <f t="shared" si="89"/>
        <v>0</v>
      </c>
      <c r="J111" s="67">
        <f t="shared" si="89"/>
        <v>0</v>
      </c>
      <c r="K111" s="67">
        <f t="shared" si="89"/>
        <v>0</v>
      </c>
      <c r="L111" s="67">
        <f t="shared" si="89"/>
        <v>0</v>
      </c>
      <c r="M111" s="67">
        <f t="shared" si="89"/>
        <v>0</v>
      </c>
      <c r="N111" s="67">
        <f t="shared" si="89"/>
        <v>0</v>
      </c>
      <c r="O111" s="67">
        <v>0</v>
      </c>
      <c r="P111" s="326">
        <f t="shared" si="84"/>
        <v>0</v>
      </c>
      <c r="Q111" s="2"/>
      <c r="S111" s="2"/>
    </row>
    <row r="112" spans="1:19" x14ac:dyDescent="0.15">
      <c r="B112" s="340">
        <v>7</v>
      </c>
      <c r="C112" s="12" t="s">
        <v>296</v>
      </c>
      <c r="D112" s="67">
        <f t="shared" si="85"/>
        <v>0</v>
      </c>
      <c r="E112" s="67">
        <f>E110-E111</f>
        <v>48507500</v>
      </c>
      <c r="F112" s="67">
        <f t="shared" ref="F112:N112" si="90">F110-F111</f>
        <v>36993132.50000003</v>
      </c>
      <c r="G112" s="67">
        <f t="shared" si="90"/>
        <v>27963487.743874967</v>
      </c>
      <c r="H112" s="67">
        <f t="shared" si="90"/>
        <v>15687546.699594855</v>
      </c>
      <c r="I112" s="67">
        <f t="shared" si="90"/>
        <v>742775.77882057428</v>
      </c>
      <c r="J112" s="67">
        <f t="shared" si="90"/>
        <v>0</v>
      </c>
      <c r="K112" s="67">
        <f t="shared" si="90"/>
        <v>0</v>
      </c>
      <c r="L112" s="67">
        <f t="shared" si="90"/>
        <v>0</v>
      </c>
      <c r="M112" s="67">
        <f t="shared" si="90"/>
        <v>0</v>
      </c>
      <c r="N112" s="67">
        <f t="shared" si="90"/>
        <v>0</v>
      </c>
      <c r="O112" s="67">
        <v>0</v>
      </c>
      <c r="P112" s="326">
        <f t="shared" si="84"/>
        <v>129894442.72229043</v>
      </c>
      <c r="Q112" s="2"/>
      <c r="S112" s="2"/>
    </row>
    <row r="113" spans="1:19" x14ac:dyDescent="0.15">
      <c r="B113" s="340">
        <v>8</v>
      </c>
      <c r="C113" s="12" t="s">
        <v>297</v>
      </c>
      <c r="D113" s="67">
        <f t="shared" si="85"/>
        <v>0</v>
      </c>
      <c r="E113" s="67">
        <f>-E112*$D$3</f>
        <v>-14552250</v>
      </c>
      <c r="F113" s="67">
        <f t="shared" ref="F113:N113" si="91">-F112*$D$3</f>
        <v>-11097939.750000009</v>
      </c>
      <c r="G113" s="67">
        <f t="shared" si="91"/>
        <v>-8389046.3231624905</v>
      </c>
      <c r="H113" s="67">
        <f t="shared" si="91"/>
        <v>-4706264.0098784566</v>
      </c>
      <c r="I113" s="67">
        <f t="shared" si="91"/>
        <v>-222832.73364617227</v>
      </c>
      <c r="J113" s="67">
        <f t="shared" si="91"/>
        <v>0</v>
      </c>
      <c r="K113" s="67">
        <f t="shared" si="91"/>
        <v>0</v>
      </c>
      <c r="L113" s="67">
        <f t="shared" si="91"/>
        <v>0</v>
      </c>
      <c r="M113" s="67">
        <f t="shared" si="91"/>
        <v>0</v>
      </c>
      <c r="N113" s="67">
        <f t="shared" si="91"/>
        <v>0</v>
      </c>
      <c r="O113" s="67">
        <v>0</v>
      </c>
      <c r="P113" s="326">
        <f t="shared" si="84"/>
        <v>-38968332.816687122</v>
      </c>
      <c r="Q113" s="2"/>
      <c r="S113" s="2"/>
    </row>
    <row r="114" spans="1:19" x14ac:dyDescent="0.15">
      <c r="B114" s="340">
        <v>9</v>
      </c>
      <c r="C114" s="12" t="s">
        <v>298</v>
      </c>
      <c r="D114" s="67">
        <f t="shared" si="85"/>
        <v>0</v>
      </c>
      <c r="E114" s="67">
        <f>E170</f>
        <v>0</v>
      </c>
      <c r="F114" s="67">
        <f t="shared" ref="F114:N114" si="92">F170</f>
        <v>0</v>
      </c>
      <c r="G114" s="67">
        <f t="shared" si="92"/>
        <v>0</v>
      </c>
      <c r="H114" s="67">
        <f t="shared" si="92"/>
        <v>0</v>
      </c>
      <c r="I114" s="67">
        <f t="shared" si="92"/>
        <v>0</v>
      </c>
      <c r="J114" s="67">
        <f t="shared" si="92"/>
        <v>0</v>
      </c>
      <c r="K114" s="67">
        <f t="shared" si="92"/>
        <v>0</v>
      </c>
      <c r="L114" s="67">
        <f t="shared" si="92"/>
        <v>0</v>
      </c>
      <c r="M114" s="67">
        <f t="shared" si="92"/>
        <v>0</v>
      </c>
      <c r="N114" s="67">
        <f t="shared" si="92"/>
        <v>0</v>
      </c>
      <c r="O114" s="67">
        <v>0</v>
      </c>
      <c r="P114" s="326">
        <f t="shared" si="84"/>
        <v>0</v>
      </c>
      <c r="Q114" s="2"/>
      <c r="S114" s="2"/>
    </row>
    <row r="115" spans="1:19" x14ac:dyDescent="0.15">
      <c r="B115" s="340">
        <v>10</v>
      </c>
      <c r="C115" s="12" t="s">
        <v>299</v>
      </c>
      <c r="D115" s="67">
        <f t="shared" si="85"/>
        <v>0</v>
      </c>
      <c r="E115" s="67">
        <f>E112+E113+E114</f>
        <v>33955250</v>
      </c>
      <c r="F115" s="67">
        <f t="shared" ref="F115:N115" si="93">F112+F113+F114</f>
        <v>25895192.750000022</v>
      </c>
      <c r="G115" s="67">
        <f t="shared" si="93"/>
        <v>19574441.420712478</v>
      </c>
      <c r="H115" s="67">
        <f t="shared" si="93"/>
        <v>10981282.689716399</v>
      </c>
      <c r="I115" s="67">
        <f t="shared" si="93"/>
        <v>519943.04517440201</v>
      </c>
      <c r="J115" s="67">
        <f t="shared" si="93"/>
        <v>0</v>
      </c>
      <c r="K115" s="67">
        <f t="shared" si="93"/>
        <v>0</v>
      </c>
      <c r="L115" s="67">
        <f t="shared" si="93"/>
        <v>0</v>
      </c>
      <c r="M115" s="67">
        <f t="shared" si="93"/>
        <v>0</v>
      </c>
      <c r="N115" s="67">
        <f t="shared" si="93"/>
        <v>0</v>
      </c>
      <c r="O115" s="67">
        <v>0</v>
      </c>
      <c r="P115" s="326">
        <f t="shared" si="84"/>
        <v>90926109.905603305</v>
      </c>
      <c r="Q115" s="2"/>
      <c r="S115" s="2"/>
    </row>
    <row r="116" spans="1:19" x14ac:dyDescent="0.15">
      <c r="B116" s="340" t="s">
        <v>699</v>
      </c>
      <c r="C116" s="12" t="s">
        <v>292</v>
      </c>
      <c r="D116" s="67">
        <f t="shared" si="85"/>
        <v>0</v>
      </c>
      <c r="E116" s="67">
        <f>E172</f>
        <v>3772500</v>
      </c>
      <c r="F116" s="67">
        <f t="shared" ref="F116:N116" si="94">F172</f>
        <v>6218850</v>
      </c>
      <c r="G116" s="67">
        <f t="shared" si="94"/>
        <v>4083150</v>
      </c>
      <c r="H116" s="67">
        <f t="shared" si="94"/>
        <v>2775510</v>
      </c>
      <c r="I116" s="67">
        <f t="shared" si="94"/>
        <v>1352955</v>
      </c>
      <c r="J116" s="67">
        <f t="shared" si="94"/>
        <v>0</v>
      </c>
      <c r="K116" s="67">
        <f t="shared" si="94"/>
        <v>0</v>
      </c>
      <c r="L116" s="67">
        <f t="shared" si="94"/>
        <v>0</v>
      </c>
      <c r="M116" s="67">
        <f t="shared" si="94"/>
        <v>0</v>
      </c>
      <c r="N116" s="67">
        <f t="shared" si="94"/>
        <v>0</v>
      </c>
      <c r="O116" s="67">
        <v>0</v>
      </c>
      <c r="P116" s="326">
        <f t="shared" si="84"/>
        <v>18202965</v>
      </c>
      <c r="Q116" s="2"/>
      <c r="S116" s="2"/>
    </row>
    <row r="117" spans="1:19" x14ac:dyDescent="0.15">
      <c r="B117" s="340">
        <v>12</v>
      </c>
      <c r="C117" s="12" t="s">
        <v>301</v>
      </c>
      <c r="D117" s="67">
        <f t="shared" si="85"/>
        <v>0</v>
      </c>
      <c r="E117" s="67">
        <f>E115+E116</f>
        <v>37727750</v>
      </c>
      <c r="F117" s="67">
        <f t="shared" ref="F117:N117" si="95">F115+F116</f>
        <v>32114042.750000022</v>
      </c>
      <c r="G117" s="67">
        <f t="shared" si="95"/>
        <v>23657591.420712478</v>
      </c>
      <c r="H117" s="67">
        <f t="shared" si="95"/>
        <v>13756792.689716399</v>
      </c>
      <c r="I117" s="67">
        <f t="shared" si="95"/>
        <v>1872898.045174402</v>
      </c>
      <c r="J117" s="67">
        <f t="shared" si="95"/>
        <v>0</v>
      </c>
      <c r="K117" s="67">
        <f t="shared" si="95"/>
        <v>0</v>
      </c>
      <c r="L117" s="67">
        <f t="shared" si="95"/>
        <v>0</v>
      </c>
      <c r="M117" s="67">
        <f t="shared" si="95"/>
        <v>0</v>
      </c>
      <c r="N117" s="67">
        <f t="shared" si="95"/>
        <v>0</v>
      </c>
      <c r="O117" s="67">
        <v>0</v>
      </c>
      <c r="P117" s="326">
        <f t="shared" si="84"/>
        <v>109129074.9056033</v>
      </c>
      <c r="Q117" s="2"/>
      <c r="S117" s="2"/>
    </row>
    <row r="118" spans="1:19" x14ac:dyDescent="0.15">
      <c r="B118" s="340" t="s">
        <v>700</v>
      </c>
      <c r="C118" s="12" t="s">
        <v>303</v>
      </c>
      <c r="D118" s="67">
        <f t="shared" si="85"/>
        <v>0</v>
      </c>
      <c r="E118" s="67">
        <f t="shared" ref="E118:N118" si="96">E174</f>
        <v>0</v>
      </c>
      <c r="F118" s="67">
        <f t="shared" si="96"/>
        <v>0</v>
      </c>
      <c r="G118" s="67">
        <f t="shared" si="96"/>
        <v>0</v>
      </c>
      <c r="H118" s="67">
        <f t="shared" si="96"/>
        <v>0</v>
      </c>
      <c r="I118" s="67">
        <f t="shared" si="96"/>
        <v>0</v>
      </c>
      <c r="J118" s="67">
        <f t="shared" si="96"/>
        <v>0</v>
      </c>
      <c r="K118" s="67">
        <f t="shared" si="96"/>
        <v>0</v>
      </c>
      <c r="L118" s="67">
        <f t="shared" si="96"/>
        <v>0</v>
      </c>
      <c r="M118" s="67">
        <f t="shared" si="96"/>
        <v>0</v>
      </c>
      <c r="N118" s="67">
        <f t="shared" si="96"/>
        <v>0</v>
      </c>
      <c r="O118" s="67">
        <v>0</v>
      </c>
      <c r="P118" s="326">
        <f t="shared" si="84"/>
        <v>0</v>
      </c>
      <c r="Q118" s="2"/>
      <c r="S118" s="2"/>
    </row>
    <row r="119" spans="1:19" x14ac:dyDescent="0.15">
      <c r="B119" s="340">
        <v>14</v>
      </c>
      <c r="C119" s="12" t="s">
        <v>304</v>
      </c>
      <c r="D119" s="67">
        <f t="shared" si="85"/>
        <v>-32550000</v>
      </c>
      <c r="E119" s="67">
        <f t="shared" ref="E119:N119" si="97">E175</f>
        <v>0</v>
      </c>
      <c r="F119" s="67">
        <f t="shared" si="97"/>
        <v>0</v>
      </c>
      <c r="G119" s="67">
        <f t="shared" si="97"/>
        <v>0</v>
      </c>
      <c r="H119" s="67">
        <f t="shared" si="97"/>
        <v>0</v>
      </c>
      <c r="I119" s="67">
        <f t="shared" si="97"/>
        <v>14347035</v>
      </c>
      <c r="J119" s="67">
        <f t="shared" si="97"/>
        <v>0</v>
      </c>
      <c r="K119" s="67">
        <f t="shared" si="97"/>
        <v>0</v>
      </c>
      <c r="L119" s="67">
        <f t="shared" si="97"/>
        <v>0</v>
      </c>
      <c r="M119" s="67">
        <f t="shared" si="97"/>
        <v>0</v>
      </c>
      <c r="N119" s="67">
        <f t="shared" si="97"/>
        <v>0</v>
      </c>
      <c r="O119" s="67">
        <v>0</v>
      </c>
      <c r="P119" s="326">
        <f t="shared" si="84"/>
        <v>14347035</v>
      </c>
      <c r="Q119" s="2"/>
      <c r="S119" s="2"/>
    </row>
    <row r="120" spans="1:19" x14ac:dyDescent="0.15">
      <c r="B120" s="340" t="s">
        <v>701</v>
      </c>
      <c r="C120" s="12" t="s">
        <v>207</v>
      </c>
      <c r="D120" s="67">
        <f t="shared" si="85"/>
        <v>-31050000</v>
      </c>
      <c r="E120" s="67">
        <f t="shared" ref="E120:N120" si="98">E176</f>
        <v>0</v>
      </c>
      <c r="F120" s="67">
        <f t="shared" si="98"/>
        <v>0</v>
      </c>
      <c r="G120" s="67">
        <f t="shared" si="98"/>
        <v>0</v>
      </c>
      <c r="H120" s="67">
        <f t="shared" si="98"/>
        <v>0</v>
      </c>
      <c r="I120" s="67">
        <f t="shared" si="98"/>
        <v>12847035</v>
      </c>
      <c r="J120" s="67">
        <f t="shared" si="98"/>
        <v>0</v>
      </c>
      <c r="K120" s="67">
        <f t="shared" si="98"/>
        <v>0</v>
      </c>
      <c r="L120" s="67">
        <f t="shared" si="98"/>
        <v>0</v>
      </c>
      <c r="M120" s="67">
        <f t="shared" si="98"/>
        <v>0</v>
      </c>
      <c r="N120" s="67">
        <f t="shared" si="98"/>
        <v>0</v>
      </c>
      <c r="O120" s="67">
        <v>0</v>
      </c>
      <c r="P120" s="326">
        <f t="shared" si="84"/>
        <v>12847035</v>
      </c>
      <c r="Q120" s="2"/>
      <c r="S120" s="2"/>
    </row>
    <row r="121" spans="1:19" x14ac:dyDescent="0.15">
      <c r="B121" s="340" t="s">
        <v>702</v>
      </c>
      <c r="C121" s="12" t="s">
        <v>307</v>
      </c>
      <c r="D121" s="67">
        <f t="shared" si="85"/>
        <v>-1500000</v>
      </c>
      <c r="E121" s="67">
        <f t="shared" ref="E121:N121" si="99">E177</f>
        <v>0</v>
      </c>
      <c r="F121" s="67">
        <f t="shared" si="99"/>
        <v>0</v>
      </c>
      <c r="G121" s="67">
        <f t="shared" si="99"/>
        <v>0</v>
      </c>
      <c r="H121" s="67">
        <f t="shared" si="99"/>
        <v>0</v>
      </c>
      <c r="I121" s="67">
        <f t="shared" si="99"/>
        <v>1500000</v>
      </c>
      <c r="J121" s="67">
        <f t="shared" si="99"/>
        <v>0</v>
      </c>
      <c r="K121" s="67">
        <f t="shared" si="99"/>
        <v>0</v>
      </c>
      <c r="L121" s="67">
        <f t="shared" si="99"/>
        <v>0</v>
      </c>
      <c r="M121" s="67">
        <f t="shared" si="99"/>
        <v>0</v>
      </c>
      <c r="N121" s="67">
        <f t="shared" si="99"/>
        <v>0</v>
      </c>
      <c r="O121" s="67">
        <v>0</v>
      </c>
      <c r="P121" s="326">
        <f t="shared" si="84"/>
        <v>1500000</v>
      </c>
      <c r="Q121" s="2"/>
      <c r="S121" s="2"/>
    </row>
    <row r="122" spans="1:19" x14ac:dyDescent="0.15">
      <c r="B122" s="340" t="s">
        <v>703</v>
      </c>
      <c r="C122" s="12" t="s">
        <v>309</v>
      </c>
      <c r="D122" s="67">
        <f t="shared" si="85"/>
        <v>0</v>
      </c>
      <c r="E122" s="67">
        <f t="shared" ref="E122:N122" si="100">E178</f>
        <v>0</v>
      </c>
      <c r="F122" s="67">
        <f t="shared" si="100"/>
        <v>0</v>
      </c>
      <c r="G122" s="67">
        <f t="shared" si="100"/>
        <v>0</v>
      </c>
      <c r="H122" s="67">
        <f t="shared" si="100"/>
        <v>0</v>
      </c>
      <c r="I122" s="67">
        <f t="shared" si="100"/>
        <v>0</v>
      </c>
      <c r="J122" s="67">
        <f t="shared" si="100"/>
        <v>0</v>
      </c>
      <c r="K122" s="67">
        <f t="shared" si="100"/>
        <v>0</v>
      </c>
      <c r="L122" s="67">
        <f t="shared" si="100"/>
        <v>0</v>
      </c>
      <c r="M122" s="67">
        <f t="shared" si="100"/>
        <v>0</v>
      </c>
      <c r="N122" s="67">
        <f t="shared" si="100"/>
        <v>0</v>
      </c>
      <c r="O122" s="67">
        <v>0</v>
      </c>
      <c r="P122" s="326">
        <f t="shared" si="84"/>
        <v>0</v>
      </c>
      <c r="Q122" s="2"/>
      <c r="S122" s="2"/>
    </row>
    <row r="123" spans="1:19" x14ac:dyDescent="0.15">
      <c r="B123" s="340" t="s">
        <v>704</v>
      </c>
      <c r="C123" s="12" t="s">
        <v>311</v>
      </c>
      <c r="D123" s="67">
        <f t="shared" si="85"/>
        <v>0</v>
      </c>
      <c r="E123" s="67">
        <f t="shared" ref="E123:N123" si="101">E179</f>
        <v>0</v>
      </c>
      <c r="F123" s="67">
        <f t="shared" si="101"/>
        <v>0</v>
      </c>
      <c r="G123" s="67">
        <f t="shared" si="101"/>
        <v>0</v>
      </c>
      <c r="H123" s="67">
        <f t="shared" si="101"/>
        <v>0</v>
      </c>
      <c r="I123" s="67">
        <f t="shared" si="101"/>
        <v>-2596968.7000000002</v>
      </c>
      <c r="J123" s="67">
        <f t="shared" si="101"/>
        <v>0</v>
      </c>
      <c r="K123" s="67">
        <f t="shared" si="101"/>
        <v>0</v>
      </c>
      <c r="L123" s="67">
        <f t="shared" si="101"/>
        <v>0</v>
      </c>
      <c r="M123" s="67">
        <f t="shared" si="101"/>
        <v>0</v>
      </c>
      <c r="N123" s="67">
        <f t="shared" si="101"/>
        <v>0</v>
      </c>
      <c r="O123" s="67">
        <v>0</v>
      </c>
      <c r="P123" s="326">
        <f t="shared" si="84"/>
        <v>-2596968.7000000002</v>
      </c>
      <c r="Q123" s="2"/>
      <c r="S123" s="2"/>
    </row>
    <row r="124" spans="1:19" ht="14" thickBot="1" x14ac:dyDescent="0.2">
      <c r="B124" s="340" t="s">
        <v>705</v>
      </c>
      <c r="C124" s="12" t="s">
        <v>115</v>
      </c>
      <c r="D124" s="67">
        <f t="shared" si="85"/>
        <v>-60000000</v>
      </c>
      <c r="E124" s="67">
        <f t="shared" ref="E124:N124" si="102">E180</f>
        <v>0</v>
      </c>
      <c r="F124" s="67">
        <f t="shared" si="102"/>
        <v>0</v>
      </c>
      <c r="G124" s="67">
        <f t="shared" si="102"/>
        <v>0</v>
      </c>
      <c r="H124" s="67">
        <f t="shared" si="102"/>
        <v>0</v>
      </c>
      <c r="I124" s="67">
        <f t="shared" si="102"/>
        <v>60000000</v>
      </c>
      <c r="J124" s="67">
        <f t="shared" si="102"/>
        <v>0</v>
      </c>
      <c r="K124" s="67">
        <f t="shared" si="102"/>
        <v>0</v>
      </c>
      <c r="L124" s="67">
        <f t="shared" si="102"/>
        <v>0</v>
      </c>
      <c r="M124" s="67">
        <f t="shared" si="102"/>
        <v>0</v>
      </c>
      <c r="N124" s="67">
        <f t="shared" si="102"/>
        <v>0</v>
      </c>
      <c r="O124" s="67">
        <v>0</v>
      </c>
      <c r="P124" s="326">
        <f t="shared" si="84"/>
        <v>60000000</v>
      </c>
      <c r="Q124" s="2"/>
      <c r="S124" s="2"/>
    </row>
    <row r="125" spans="1:19" x14ac:dyDescent="0.15">
      <c r="B125" s="340">
        <v>17</v>
      </c>
      <c r="C125" s="12" t="s">
        <v>313</v>
      </c>
      <c r="D125" s="67">
        <f t="shared" si="85"/>
        <v>-92550000</v>
      </c>
      <c r="E125" s="67">
        <f t="shared" ref="E125:N125" si="103">E181</f>
        <v>0</v>
      </c>
      <c r="F125" s="67">
        <f t="shared" si="103"/>
        <v>0</v>
      </c>
      <c r="G125" s="67">
        <f t="shared" si="103"/>
        <v>0</v>
      </c>
      <c r="H125" s="67">
        <f t="shared" si="103"/>
        <v>0</v>
      </c>
      <c r="I125" s="67">
        <f t="shared" si="103"/>
        <v>71750066.299999997</v>
      </c>
      <c r="J125" s="67">
        <f t="shared" si="103"/>
        <v>0</v>
      </c>
      <c r="K125" s="67">
        <f t="shared" si="103"/>
        <v>0</v>
      </c>
      <c r="L125" s="67">
        <f t="shared" si="103"/>
        <v>0</v>
      </c>
      <c r="M125" s="67">
        <f t="shared" si="103"/>
        <v>0</v>
      </c>
      <c r="N125" s="67">
        <f t="shared" si="103"/>
        <v>0</v>
      </c>
      <c r="O125" s="67">
        <v>0</v>
      </c>
      <c r="P125" s="326">
        <f t="shared" si="84"/>
        <v>71750066.299999997</v>
      </c>
      <c r="Q125" s="461"/>
      <c r="R125" s="357" t="s">
        <v>693</v>
      </c>
      <c r="S125" s="2"/>
    </row>
    <row r="126" spans="1:19" ht="14" thickBot="1" x14ac:dyDescent="0.2">
      <c r="A126" s="1" t="s">
        <v>707</v>
      </c>
      <c r="B126" s="355">
        <v>18</v>
      </c>
      <c r="C126" s="335" t="s">
        <v>314</v>
      </c>
      <c r="D126" s="67">
        <f t="shared" si="85"/>
        <v>-92550000</v>
      </c>
      <c r="E126" s="331">
        <f t="shared" ref="E126:N126" si="104">E125+E117</f>
        <v>37727750</v>
      </c>
      <c r="F126" s="331">
        <f t="shared" si="104"/>
        <v>32114042.750000022</v>
      </c>
      <c r="G126" s="331">
        <f t="shared" si="104"/>
        <v>23657591.420712478</v>
      </c>
      <c r="H126" s="331">
        <f t="shared" si="104"/>
        <v>13756792.689716399</v>
      </c>
      <c r="I126" s="331">
        <f t="shared" si="104"/>
        <v>73622964.345174402</v>
      </c>
      <c r="J126" s="331">
        <f t="shared" si="104"/>
        <v>0</v>
      </c>
      <c r="K126" s="331">
        <f t="shared" si="104"/>
        <v>0</v>
      </c>
      <c r="L126" s="331">
        <f t="shared" si="104"/>
        <v>0</v>
      </c>
      <c r="M126" s="331">
        <f t="shared" si="104"/>
        <v>0</v>
      </c>
      <c r="N126" s="331">
        <f t="shared" si="104"/>
        <v>0</v>
      </c>
      <c r="O126" s="331">
        <v>0</v>
      </c>
      <c r="P126" s="356">
        <f t="shared" si="84"/>
        <v>180879141.2056033</v>
      </c>
      <c r="Q126" s="463"/>
      <c r="R126" s="358">
        <f>IF(ISNUMBER(IRR(D126:N126)),IRR(D126:N126),"NMF")</f>
        <v>0.25028639580173251</v>
      </c>
      <c r="S126" s="1" t="s">
        <v>707</v>
      </c>
    </row>
    <row r="127" spans="1:19" x14ac:dyDescent="0.15">
      <c r="S127" s="2"/>
    </row>
    <row r="128" spans="1:19" ht="14" thickBot="1" x14ac:dyDescent="0.2">
      <c r="S128" s="2"/>
    </row>
    <row r="129" spans="1:19" ht="14" thickBot="1" x14ac:dyDescent="0.2">
      <c r="B129" s="359" t="s">
        <v>282</v>
      </c>
      <c r="C129" s="360" t="s">
        <v>283</v>
      </c>
      <c r="D129" s="360"/>
      <c r="E129" s="360">
        <v>1</v>
      </c>
      <c r="F129" s="360">
        <v>2</v>
      </c>
      <c r="G129" s="360">
        <v>3</v>
      </c>
      <c r="H129" s="360">
        <v>4</v>
      </c>
      <c r="I129" s="360">
        <v>5</v>
      </c>
      <c r="J129" s="360">
        <v>6</v>
      </c>
      <c r="K129" s="360">
        <v>7</v>
      </c>
      <c r="L129" s="360">
        <v>8</v>
      </c>
      <c r="M129" s="360">
        <v>9</v>
      </c>
      <c r="N129" s="360">
        <v>10</v>
      </c>
      <c r="O129" s="360" t="s">
        <v>284</v>
      </c>
      <c r="P129" s="361" t="s">
        <v>285</v>
      </c>
      <c r="S129" s="2"/>
    </row>
    <row r="130" spans="1:19" x14ac:dyDescent="0.15">
      <c r="B130" s="339" t="s">
        <v>687</v>
      </c>
      <c r="C130" s="302" t="s">
        <v>287</v>
      </c>
      <c r="D130" s="322">
        <f t="shared" ref="D130:D135" si="105">D158</f>
        <v>0</v>
      </c>
      <c r="E130" s="322">
        <f t="shared" ref="E130:N130" si="106">E158</f>
        <v>300000000</v>
      </c>
      <c r="F130" s="322">
        <f t="shared" si="106"/>
        <v>313500000.00000006</v>
      </c>
      <c r="G130" s="322">
        <f t="shared" si="106"/>
        <v>327607500.00000006</v>
      </c>
      <c r="H130" s="322">
        <f t="shared" si="106"/>
        <v>342349837.50000012</v>
      </c>
      <c r="I130" s="322">
        <f t="shared" si="106"/>
        <v>357755580.18750012</v>
      </c>
      <c r="J130" s="322">
        <f t="shared" si="106"/>
        <v>0</v>
      </c>
      <c r="K130" s="322">
        <f t="shared" si="106"/>
        <v>0</v>
      </c>
      <c r="L130" s="322">
        <f t="shared" si="106"/>
        <v>0</v>
      </c>
      <c r="M130" s="322">
        <f t="shared" si="106"/>
        <v>0</v>
      </c>
      <c r="N130" s="322">
        <f t="shared" si="106"/>
        <v>0</v>
      </c>
      <c r="O130" s="322">
        <v>0</v>
      </c>
      <c r="P130" s="325">
        <f>SUM(E130:N130)</f>
        <v>1641212917.6875</v>
      </c>
      <c r="Q130" s="2"/>
      <c r="S130" s="2"/>
    </row>
    <row r="131" spans="1:19" x14ac:dyDescent="0.15">
      <c r="A131" s="1" t="s">
        <v>708</v>
      </c>
      <c r="B131" s="355" t="s">
        <v>689</v>
      </c>
      <c r="C131" s="362" t="s">
        <v>689</v>
      </c>
      <c r="D131" s="331">
        <f t="shared" si="105"/>
        <v>0</v>
      </c>
      <c r="E131" s="331">
        <f>Revenues!D7*Revenues!D8*0.95</f>
        <v>285000000</v>
      </c>
      <c r="F131" s="331">
        <f>Revenues!E7*Revenues!E8*0.95</f>
        <v>297825000.00000006</v>
      </c>
      <c r="G131" s="331">
        <f>Revenues!F7*Revenues!F8*0.95</f>
        <v>311227125.00000006</v>
      </c>
      <c r="H131" s="331">
        <f>Revenues!G7*Revenues!G8*0.95</f>
        <v>325232345.62500012</v>
      </c>
      <c r="I131" s="331">
        <f>Revenues!H7*Revenues!H8*0.95</f>
        <v>339867801.17812508</v>
      </c>
      <c r="J131" s="331">
        <f>Revenues!I7*Revenues!I8*0.95</f>
        <v>0</v>
      </c>
      <c r="K131" s="331">
        <f>Revenues!J7*Revenues!J8*0.95</f>
        <v>0</v>
      </c>
      <c r="L131" s="331">
        <f>Revenues!K7*Revenues!K8*0.95</f>
        <v>0</v>
      </c>
      <c r="M131" s="331">
        <f>Revenues!L7*Revenues!L8*0.95</f>
        <v>0</v>
      </c>
      <c r="N131" s="331">
        <f>Revenues!M7*Revenues!M8*0.95</f>
        <v>0</v>
      </c>
      <c r="O131" s="331"/>
      <c r="P131" s="356">
        <f>SUM(E131:N131)</f>
        <v>1559152271.8031251</v>
      </c>
      <c r="Q131" s="460"/>
      <c r="S131" s="2"/>
    </row>
    <row r="132" spans="1:19" x14ac:dyDescent="0.15">
      <c r="B132" s="340" t="s">
        <v>690</v>
      </c>
      <c r="C132" s="354" t="s">
        <v>690</v>
      </c>
      <c r="D132" s="67">
        <f t="shared" si="105"/>
        <v>0</v>
      </c>
      <c r="E132" s="67">
        <f>E160</f>
        <v>0</v>
      </c>
      <c r="F132" s="67">
        <f t="shared" ref="F132:N132" si="107">F160</f>
        <v>0</v>
      </c>
      <c r="G132" s="67">
        <f t="shared" si="107"/>
        <v>0</v>
      </c>
      <c r="H132" s="67">
        <f t="shared" si="107"/>
        <v>0</v>
      </c>
      <c r="I132" s="67">
        <f t="shared" si="107"/>
        <v>0</v>
      </c>
      <c r="J132" s="67">
        <f t="shared" si="107"/>
        <v>0</v>
      </c>
      <c r="K132" s="67">
        <f t="shared" si="107"/>
        <v>0</v>
      </c>
      <c r="L132" s="67">
        <f t="shared" si="107"/>
        <v>0</v>
      </c>
      <c r="M132" s="67">
        <f t="shared" si="107"/>
        <v>0</v>
      </c>
      <c r="N132" s="67">
        <f t="shared" si="107"/>
        <v>0</v>
      </c>
      <c r="O132" s="289"/>
      <c r="P132" s="326">
        <f>SUM(E132:N132)</f>
        <v>0</v>
      </c>
      <c r="Q132" s="2"/>
      <c r="S132" s="2"/>
    </row>
    <row r="133" spans="1:19" x14ac:dyDescent="0.15">
      <c r="B133" s="340" t="s">
        <v>691</v>
      </c>
      <c r="C133" s="354" t="s">
        <v>691</v>
      </c>
      <c r="D133" s="67">
        <f t="shared" si="105"/>
        <v>0</v>
      </c>
      <c r="E133" s="67">
        <f>E161</f>
        <v>0</v>
      </c>
      <c r="F133" s="67">
        <f t="shared" ref="F133:N133" si="108">F161</f>
        <v>0</v>
      </c>
      <c r="G133" s="67">
        <f t="shared" si="108"/>
        <v>0</v>
      </c>
      <c r="H133" s="67">
        <f t="shared" si="108"/>
        <v>0</v>
      </c>
      <c r="I133" s="67">
        <f t="shared" si="108"/>
        <v>0</v>
      </c>
      <c r="J133" s="67">
        <f t="shared" si="108"/>
        <v>0</v>
      </c>
      <c r="K133" s="67">
        <f t="shared" si="108"/>
        <v>0</v>
      </c>
      <c r="L133" s="67">
        <f t="shared" si="108"/>
        <v>0</v>
      </c>
      <c r="M133" s="67">
        <f t="shared" si="108"/>
        <v>0</v>
      </c>
      <c r="N133" s="67">
        <f t="shared" si="108"/>
        <v>0</v>
      </c>
      <c r="O133" s="67"/>
      <c r="P133" s="326">
        <f>SUM(E133:N133)</f>
        <v>0</v>
      </c>
      <c r="Q133" s="2"/>
      <c r="S133" s="2"/>
    </row>
    <row r="134" spans="1:19" x14ac:dyDescent="0.15">
      <c r="B134" s="340" t="s">
        <v>695</v>
      </c>
      <c r="C134" s="12"/>
      <c r="D134" s="67">
        <f t="shared" si="105"/>
        <v>0</v>
      </c>
      <c r="E134" s="67">
        <f>E133+E132+E131</f>
        <v>285000000</v>
      </c>
      <c r="F134" s="67">
        <f t="shared" ref="F134:N134" si="109">F133+F132+F131</f>
        <v>297825000.00000006</v>
      </c>
      <c r="G134" s="67">
        <f t="shared" si="109"/>
        <v>311227125.00000006</v>
      </c>
      <c r="H134" s="67">
        <f t="shared" si="109"/>
        <v>325232345.62500012</v>
      </c>
      <c r="I134" s="67">
        <f t="shared" si="109"/>
        <v>339867801.17812508</v>
      </c>
      <c r="J134" s="67">
        <f t="shared" si="109"/>
        <v>0</v>
      </c>
      <c r="K134" s="67">
        <f t="shared" si="109"/>
        <v>0</v>
      </c>
      <c r="L134" s="67">
        <f t="shared" si="109"/>
        <v>0</v>
      </c>
      <c r="M134" s="67">
        <f t="shared" si="109"/>
        <v>0</v>
      </c>
      <c r="N134" s="67">
        <f t="shared" si="109"/>
        <v>0</v>
      </c>
      <c r="O134" s="67"/>
      <c r="P134" s="326">
        <f t="shared" ref="P134:P154" si="110">SUM(E134:N134)</f>
        <v>1559152271.8031251</v>
      </c>
      <c r="Q134" s="2"/>
      <c r="S134" s="2"/>
    </row>
    <row r="135" spans="1:19" x14ac:dyDescent="0.15">
      <c r="B135" s="340" t="s">
        <v>696</v>
      </c>
      <c r="C135" s="12" t="s">
        <v>289</v>
      </c>
      <c r="D135" s="67">
        <f t="shared" si="105"/>
        <v>0</v>
      </c>
      <c r="E135" s="67">
        <f>(Expenses!D18*0.95)+Expenses!D25+Expenses!D32+(Expenses!D39*0.95)+Expenses!D44+Expenses!D49+Expenses!D56+Expenses!D95-Expenses!D77</f>
        <v>223945000</v>
      </c>
      <c r="F135" s="67">
        <f>(Expenses!E18*0.95)+Expenses!E25+Expenses!E32+(Expenses!E39*0.95)+Expenses!E44+Expenses!E49+Expenses!E56+Expenses!E95-Expenses!E77</f>
        <v>245978196.25000003</v>
      </c>
      <c r="G135" s="67">
        <f>(Expenses!F18*0.95)+Expenses!F25+Expenses!F32+(Expenses!F39*0.95)+Expenses!F44+Expenses!F49+Expenses!F56+Expenses!F95-Expenses!F77</f>
        <v>270762915.35368758</v>
      </c>
      <c r="H135" s="67">
        <f>(Expenses!G18*0.95)+Expenses!G25+Expenses!G32+(Expenses!G39*0.95)+Expenses!G44+Expenses!G49+Expenses!G56+Expenses!G95-Expenses!G77</f>
        <v>298658886.05556661</v>
      </c>
      <c r="I135" s="67">
        <f>(Expenses!H18*0.95)+Expenses!H25+Expenses!H32+(Expenses!H39*0.95)+Expenses!H44+Expenses!H49+Expenses!H56+Expenses!H95-Expenses!H77</f>
        <v>330073428.87525129</v>
      </c>
      <c r="J135" s="67">
        <f>(Expenses!I18*0.95)+Expenses!I25+Expenses!I32+(Expenses!I39*0.95)+Expenses!I44+Expenses!I49+Expenses!I56+Expenses!I95-Expenses!I77</f>
        <v>0</v>
      </c>
      <c r="K135" s="67">
        <f>(Expenses!J18*0.95)+Expenses!J25+Expenses!J32+(Expenses!J39*0.95)+Expenses!J44+Expenses!J49+Expenses!J56+Expenses!J95-Expenses!J77</f>
        <v>0</v>
      </c>
      <c r="L135" s="67">
        <f>(Expenses!K18*0.95)+Expenses!K25+Expenses!K32+(Expenses!K39*0.95)+Expenses!K44+Expenses!K49+Expenses!K56+Expenses!K95-Expenses!K77</f>
        <v>0</v>
      </c>
      <c r="M135" s="67">
        <f>(Expenses!L18*0.95)+Expenses!L25+Expenses!L32+(Expenses!L39*0.95)+Expenses!L44+Expenses!L49+Expenses!L56+Expenses!L95-Expenses!L77</f>
        <v>0</v>
      </c>
      <c r="N135" s="67">
        <f>(Expenses!M18*0.95)+Expenses!M25+Expenses!M32+(Expenses!M39*0.95)+Expenses!M44+Expenses!M49+Expenses!M56+Expenses!M95-Expenses!M77</f>
        <v>0</v>
      </c>
      <c r="O135" s="67">
        <v>0</v>
      </c>
      <c r="P135" s="326">
        <f t="shared" si="110"/>
        <v>1369418426.5345054</v>
      </c>
      <c r="Q135" s="2"/>
      <c r="S135" s="2"/>
    </row>
    <row r="136" spans="1:19" x14ac:dyDescent="0.15">
      <c r="B136" s="340">
        <v>3</v>
      </c>
      <c r="C136" s="12" t="s">
        <v>290</v>
      </c>
      <c r="D136" s="67">
        <f t="shared" ref="D136:D154" si="111">D164</f>
        <v>0</v>
      </c>
      <c r="E136" s="67">
        <f>E134-E135</f>
        <v>61055000</v>
      </c>
      <c r="F136" s="67">
        <f t="shared" ref="F136:N136" si="112">F134-F135</f>
        <v>51846803.75000003</v>
      </c>
      <c r="G136" s="67">
        <f t="shared" si="112"/>
        <v>40464209.646312475</v>
      </c>
      <c r="H136" s="67">
        <f t="shared" si="112"/>
        <v>26573459.56943351</v>
      </c>
      <c r="I136" s="67">
        <f t="shared" si="112"/>
        <v>9794372.3028737903</v>
      </c>
      <c r="J136" s="67">
        <f t="shared" si="112"/>
        <v>0</v>
      </c>
      <c r="K136" s="67">
        <f t="shared" si="112"/>
        <v>0</v>
      </c>
      <c r="L136" s="67">
        <f t="shared" si="112"/>
        <v>0</v>
      </c>
      <c r="M136" s="67">
        <f t="shared" si="112"/>
        <v>0</v>
      </c>
      <c r="N136" s="67">
        <f t="shared" si="112"/>
        <v>0</v>
      </c>
      <c r="O136" s="67">
        <v>0</v>
      </c>
      <c r="P136" s="326">
        <f t="shared" si="110"/>
        <v>189733845.26861981</v>
      </c>
      <c r="Q136" s="2"/>
      <c r="S136" s="2"/>
    </row>
    <row r="137" spans="1:19" x14ac:dyDescent="0.15">
      <c r="B137" s="340" t="s">
        <v>697</v>
      </c>
      <c r="C137" s="12" t="s">
        <v>292</v>
      </c>
      <c r="D137" s="67">
        <f t="shared" si="111"/>
        <v>0</v>
      </c>
      <c r="E137" s="67">
        <f>E165</f>
        <v>3772500</v>
      </c>
      <c r="F137" s="67">
        <f t="shared" ref="F137:N137" si="113">F165</f>
        <v>6218850</v>
      </c>
      <c r="G137" s="67">
        <f t="shared" si="113"/>
        <v>4083150</v>
      </c>
      <c r="H137" s="67">
        <f t="shared" si="113"/>
        <v>2775510</v>
      </c>
      <c r="I137" s="67">
        <f t="shared" si="113"/>
        <v>1352955</v>
      </c>
      <c r="J137" s="67">
        <f t="shared" si="113"/>
        <v>0</v>
      </c>
      <c r="K137" s="67">
        <f t="shared" si="113"/>
        <v>0</v>
      </c>
      <c r="L137" s="67">
        <f t="shared" si="113"/>
        <v>0</v>
      </c>
      <c r="M137" s="67">
        <f t="shared" si="113"/>
        <v>0</v>
      </c>
      <c r="N137" s="67">
        <f t="shared" si="113"/>
        <v>0</v>
      </c>
      <c r="O137" s="67">
        <v>0</v>
      </c>
      <c r="P137" s="326">
        <f t="shared" si="110"/>
        <v>18202965</v>
      </c>
      <c r="Q137" s="2"/>
      <c r="S137" s="2"/>
    </row>
    <row r="138" spans="1:19" x14ac:dyDescent="0.15">
      <c r="B138" s="340">
        <v>5</v>
      </c>
      <c r="C138" s="12" t="s">
        <v>293</v>
      </c>
      <c r="D138" s="67">
        <f t="shared" si="111"/>
        <v>0</v>
      </c>
      <c r="E138" s="67">
        <f>E136-E137</f>
        <v>57282500</v>
      </c>
      <c r="F138" s="67">
        <f t="shared" ref="F138:N138" si="114">F136-F137</f>
        <v>45627953.75000003</v>
      </c>
      <c r="G138" s="67">
        <f t="shared" si="114"/>
        <v>36381059.646312475</v>
      </c>
      <c r="H138" s="67">
        <f t="shared" si="114"/>
        <v>23797949.56943351</v>
      </c>
      <c r="I138" s="67">
        <f t="shared" si="114"/>
        <v>8441417.3028737903</v>
      </c>
      <c r="J138" s="67">
        <f t="shared" si="114"/>
        <v>0</v>
      </c>
      <c r="K138" s="67">
        <f t="shared" si="114"/>
        <v>0</v>
      </c>
      <c r="L138" s="67">
        <f t="shared" si="114"/>
        <v>0</v>
      </c>
      <c r="M138" s="67">
        <f t="shared" si="114"/>
        <v>0</v>
      </c>
      <c r="N138" s="67">
        <f t="shared" si="114"/>
        <v>0</v>
      </c>
      <c r="O138" s="67">
        <v>0</v>
      </c>
      <c r="P138" s="326">
        <f t="shared" si="110"/>
        <v>171530880.26861981</v>
      </c>
      <c r="Q138" s="2"/>
      <c r="S138" s="2"/>
    </row>
    <row r="139" spans="1:19" x14ac:dyDescent="0.15">
      <c r="B139" s="340" t="s">
        <v>698</v>
      </c>
      <c r="C139" s="12" t="s">
        <v>295</v>
      </c>
      <c r="D139" s="67">
        <f t="shared" si="111"/>
        <v>0</v>
      </c>
      <c r="E139" s="67">
        <f>E167</f>
        <v>0</v>
      </c>
      <c r="F139" s="67">
        <f t="shared" ref="F139:N139" si="115">F167</f>
        <v>0</v>
      </c>
      <c r="G139" s="67">
        <f t="shared" si="115"/>
        <v>0</v>
      </c>
      <c r="H139" s="67">
        <f t="shared" si="115"/>
        <v>0</v>
      </c>
      <c r="I139" s="67">
        <f t="shared" si="115"/>
        <v>0</v>
      </c>
      <c r="J139" s="67">
        <f t="shared" si="115"/>
        <v>0</v>
      </c>
      <c r="K139" s="67">
        <f t="shared" si="115"/>
        <v>0</v>
      </c>
      <c r="L139" s="67">
        <f t="shared" si="115"/>
        <v>0</v>
      </c>
      <c r="M139" s="67">
        <f t="shared" si="115"/>
        <v>0</v>
      </c>
      <c r="N139" s="67">
        <f t="shared" si="115"/>
        <v>0</v>
      </c>
      <c r="O139" s="67">
        <v>0</v>
      </c>
      <c r="P139" s="326">
        <f t="shared" si="110"/>
        <v>0</v>
      </c>
      <c r="Q139" s="2"/>
      <c r="S139" s="2"/>
    </row>
    <row r="140" spans="1:19" x14ac:dyDescent="0.15">
      <c r="B140" s="340">
        <v>7</v>
      </c>
      <c r="C140" s="12" t="s">
        <v>296</v>
      </c>
      <c r="D140" s="67">
        <f t="shared" si="111"/>
        <v>0</v>
      </c>
      <c r="E140" s="67">
        <f>E138-E139</f>
        <v>57282500</v>
      </c>
      <c r="F140" s="67">
        <f t="shared" ref="F140:N140" si="116">F138-F139</f>
        <v>45627953.75000003</v>
      </c>
      <c r="G140" s="67">
        <f t="shared" si="116"/>
        <v>36381059.646312475</v>
      </c>
      <c r="H140" s="67">
        <f t="shared" si="116"/>
        <v>23797949.56943351</v>
      </c>
      <c r="I140" s="67">
        <f t="shared" si="116"/>
        <v>8441417.3028737903</v>
      </c>
      <c r="J140" s="67">
        <f t="shared" si="116"/>
        <v>0</v>
      </c>
      <c r="K140" s="67">
        <f t="shared" si="116"/>
        <v>0</v>
      </c>
      <c r="L140" s="67">
        <f t="shared" si="116"/>
        <v>0</v>
      </c>
      <c r="M140" s="67">
        <f t="shared" si="116"/>
        <v>0</v>
      </c>
      <c r="N140" s="67">
        <f t="shared" si="116"/>
        <v>0</v>
      </c>
      <c r="O140" s="67">
        <v>0</v>
      </c>
      <c r="P140" s="326">
        <f t="shared" si="110"/>
        <v>171530880.26861981</v>
      </c>
      <c r="Q140" s="2"/>
      <c r="S140" s="2"/>
    </row>
    <row r="141" spans="1:19" x14ac:dyDescent="0.15">
      <c r="B141" s="340">
        <v>8</v>
      </c>
      <c r="C141" s="12" t="s">
        <v>297</v>
      </c>
      <c r="D141" s="67">
        <f t="shared" si="111"/>
        <v>0</v>
      </c>
      <c r="E141" s="67">
        <f>-E140*$D$3</f>
        <v>-17184750</v>
      </c>
      <c r="F141" s="67">
        <f t="shared" ref="F141:N141" si="117">-F140*$D$3</f>
        <v>-13688386.125000009</v>
      </c>
      <c r="G141" s="67">
        <f t="shared" si="117"/>
        <v>-10914317.893893743</v>
      </c>
      <c r="H141" s="67">
        <f t="shared" si="117"/>
        <v>-7139384.8708300525</v>
      </c>
      <c r="I141" s="67">
        <f t="shared" si="117"/>
        <v>-2532425.1908621369</v>
      </c>
      <c r="J141" s="67">
        <f t="shared" si="117"/>
        <v>0</v>
      </c>
      <c r="K141" s="67">
        <f t="shared" si="117"/>
        <v>0</v>
      </c>
      <c r="L141" s="67">
        <f t="shared" si="117"/>
        <v>0</v>
      </c>
      <c r="M141" s="67">
        <f t="shared" si="117"/>
        <v>0</v>
      </c>
      <c r="N141" s="67">
        <f t="shared" si="117"/>
        <v>0</v>
      </c>
      <c r="O141" s="67">
        <v>0</v>
      </c>
      <c r="P141" s="326">
        <f t="shared" si="110"/>
        <v>-51459264.080585934</v>
      </c>
      <c r="Q141" s="2"/>
      <c r="S141" s="2"/>
    </row>
    <row r="142" spans="1:19" x14ac:dyDescent="0.15">
      <c r="B142" s="340">
        <v>9</v>
      </c>
      <c r="C142" s="12" t="s">
        <v>298</v>
      </c>
      <c r="D142" s="67">
        <f t="shared" si="111"/>
        <v>0</v>
      </c>
      <c r="E142" s="67">
        <f>E170</f>
        <v>0</v>
      </c>
      <c r="F142" s="67">
        <f t="shared" ref="F142:N142" si="118">F170</f>
        <v>0</v>
      </c>
      <c r="G142" s="67">
        <f t="shared" si="118"/>
        <v>0</v>
      </c>
      <c r="H142" s="67">
        <f t="shared" si="118"/>
        <v>0</v>
      </c>
      <c r="I142" s="67">
        <f t="shared" si="118"/>
        <v>0</v>
      </c>
      <c r="J142" s="67">
        <f t="shared" si="118"/>
        <v>0</v>
      </c>
      <c r="K142" s="67">
        <f t="shared" si="118"/>
        <v>0</v>
      </c>
      <c r="L142" s="67">
        <f t="shared" si="118"/>
        <v>0</v>
      </c>
      <c r="M142" s="67">
        <f t="shared" si="118"/>
        <v>0</v>
      </c>
      <c r="N142" s="67">
        <f t="shared" si="118"/>
        <v>0</v>
      </c>
      <c r="O142" s="67">
        <v>0</v>
      </c>
      <c r="P142" s="326">
        <f t="shared" si="110"/>
        <v>0</v>
      </c>
      <c r="Q142" s="2"/>
      <c r="S142" s="2"/>
    </row>
    <row r="143" spans="1:19" x14ac:dyDescent="0.15">
      <c r="B143" s="340">
        <v>10</v>
      </c>
      <c r="C143" s="12" t="s">
        <v>299</v>
      </c>
      <c r="D143" s="67">
        <f t="shared" si="111"/>
        <v>0</v>
      </c>
      <c r="E143" s="67">
        <f>E140+E141+E142</f>
        <v>40097750</v>
      </c>
      <c r="F143" s="67">
        <f t="shared" ref="F143:N143" si="119">F140+F141+F142</f>
        <v>31939567.625000022</v>
      </c>
      <c r="G143" s="67">
        <f t="shared" si="119"/>
        <v>25466741.752418734</v>
      </c>
      <c r="H143" s="67">
        <f t="shared" si="119"/>
        <v>16658564.698603459</v>
      </c>
      <c r="I143" s="67">
        <f t="shared" si="119"/>
        <v>5908992.1120116534</v>
      </c>
      <c r="J143" s="67">
        <f t="shared" si="119"/>
        <v>0</v>
      </c>
      <c r="K143" s="67">
        <f t="shared" si="119"/>
        <v>0</v>
      </c>
      <c r="L143" s="67">
        <f t="shared" si="119"/>
        <v>0</v>
      </c>
      <c r="M143" s="67">
        <f t="shared" si="119"/>
        <v>0</v>
      </c>
      <c r="N143" s="67">
        <f t="shared" si="119"/>
        <v>0</v>
      </c>
      <c r="O143" s="67">
        <v>0</v>
      </c>
      <c r="P143" s="326">
        <f t="shared" si="110"/>
        <v>120071616.18803386</v>
      </c>
      <c r="Q143" s="2"/>
      <c r="S143" s="2"/>
    </row>
    <row r="144" spans="1:19" x14ac:dyDescent="0.15">
      <c r="B144" s="340" t="s">
        <v>699</v>
      </c>
      <c r="C144" s="12" t="s">
        <v>292</v>
      </c>
      <c r="D144" s="67">
        <f t="shared" si="111"/>
        <v>0</v>
      </c>
      <c r="E144" s="67">
        <f>E172</f>
        <v>3772500</v>
      </c>
      <c r="F144" s="67">
        <f t="shared" ref="F144:N144" si="120">F172</f>
        <v>6218850</v>
      </c>
      <c r="G144" s="67">
        <f t="shared" si="120"/>
        <v>4083150</v>
      </c>
      <c r="H144" s="67">
        <f t="shared" si="120"/>
        <v>2775510</v>
      </c>
      <c r="I144" s="67">
        <f t="shared" si="120"/>
        <v>1352955</v>
      </c>
      <c r="J144" s="67">
        <f t="shared" si="120"/>
        <v>0</v>
      </c>
      <c r="K144" s="67">
        <f t="shared" si="120"/>
        <v>0</v>
      </c>
      <c r="L144" s="67">
        <f t="shared" si="120"/>
        <v>0</v>
      </c>
      <c r="M144" s="67">
        <f t="shared" si="120"/>
        <v>0</v>
      </c>
      <c r="N144" s="67">
        <f t="shared" si="120"/>
        <v>0</v>
      </c>
      <c r="O144" s="67">
        <v>0</v>
      </c>
      <c r="P144" s="326">
        <f t="shared" si="110"/>
        <v>18202965</v>
      </c>
      <c r="Q144" s="2"/>
      <c r="S144" s="2"/>
    </row>
    <row r="145" spans="1:19" x14ac:dyDescent="0.15">
      <c r="B145" s="340">
        <v>12</v>
      </c>
      <c r="C145" s="12" t="s">
        <v>301</v>
      </c>
      <c r="D145" s="67">
        <f t="shared" si="111"/>
        <v>0</v>
      </c>
      <c r="E145" s="67">
        <f>E143+E144</f>
        <v>43870250</v>
      </c>
      <c r="F145" s="67">
        <f t="shared" ref="F145:N145" si="121">F143+F144</f>
        <v>38158417.625000022</v>
      </c>
      <c r="G145" s="67">
        <f t="shared" si="121"/>
        <v>29549891.752418734</v>
      </c>
      <c r="H145" s="67">
        <f t="shared" si="121"/>
        <v>19434074.698603459</v>
      </c>
      <c r="I145" s="67">
        <f t="shared" si="121"/>
        <v>7261947.1120116534</v>
      </c>
      <c r="J145" s="67">
        <f t="shared" si="121"/>
        <v>0</v>
      </c>
      <c r="K145" s="67">
        <f t="shared" si="121"/>
        <v>0</v>
      </c>
      <c r="L145" s="67">
        <f t="shared" si="121"/>
        <v>0</v>
      </c>
      <c r="M145" s="67">
        <f t="shared" si="121"/>
        <v>0</v>
      </c>
      <c r="N145" s="67">
        <f t="shared" si="121"/>
        <v>0</v>
      </c>
      <c r="O145" s="67">
        <v>0</v>
      </c>
      <c r="P145" s="326">
        <f t="shared" si="110"/>
        <v>138274581.18803385</v>
      </c>
      <c r="Q145" s="2"/>
      <c r="S145" s="2"/>
    </row>
    <row r="146" spans="1:19" x14ac:dyDescent="0.15">
      <c r="B146" s="340" t="s">
        <v>700</v>
      </c>
      <c r="C146" s="12" t="s">
        <v>303</v>
      </c>
      <c r="D146" s="67">
        <f t="shared" si="111"/>
        <v>0</v>
      </c>
      <c r="E146" s="67">
        <f t="shared" ref="E146:N146" si="122">E174</f>
        <v>0</v>
      </c>
      <c r="F146" s="67">
        <f t="shared" si="122"/>
        <v>0</v>
      </c>
      <c r="G146" s="67">
        <f t="shared" si="122"/>
        <v>0</v>
      </c>
      <c r="H146" s="67">
        <f t="shared" si="122"/>
        <v>0</v>
      </c>
      <c r="I146" s="67">
        <f t="shared" si="122"/>
        <v>0</v>
      </c>
      <c r="J146" s="67">
        <f t="shared" si="122"/>
        <v>0</v>
      </c>
      <c r="K146" s="67">
        <f t="shared" si="122"/>
        <v>0</v>
      </c>
      <c r="L146" s="67">
        <f t="shared" si="122"/>
        <v>0</v>
      </c>
      <c r="M146" s="67">
        <f t="shared" si="122"/>
        <v>0</v>
      </c>
      <c r="N146" s="67">
        <f t="shared" si="122"/>
        <v>0</v>
      </c>
      <c r="O146" s="67">
        <v>0</v>
      </c>
      <c r="P146" s="326">
        <f t="shared" si="110"/>
        <v>0</v>
      </c>
      <c r="Q146" s="2"/>
      <c r="S146" s="2"/>
    </row>
    <row r="147" spans="1:19" x14ac:dyDescent="0.15">
      <c r="B147" s="340">
        <v>14</v>
      </c>
      <c r="C147" s="12" t="s">
        <v>304</v>
      </c>
      <c r="D147" s="67">
        <f t="shared" si="111"/>
        <v>-32550000</v>
      </c>
      <c r="E147" s="67">
        <f t="shared" ref="E147:N147" si="123">E175</f>
        <v>0</v>
      </c>
      <c r="F147" s="67">
        <f t="shared" si="123"/>
        <v>0</v>
      </c>
      <c r="G147" s="67">
        <f t="shared" si="123"/>
        <v>0</v>
      </c>
      <c r="H147" s="67">
        <f t="shared" si="123"/>
        <v>0</v>
      </c>
      <c r="I147" s="67">
        <f t="shared" si="123"/>
        <v>14347035</v>
      </c>
      <c r="J147" s="67">
        <f t="shared" si="123"/>
        <v>0</v>
      </c>
      <c r="K147" s="67">
        <f t="shared" si="123"/>
        <v>0</v>
      </c>
      <c r="L147" s="67">
        <f t="shared" si="123"/>
        <v>0</v>
      </c>
      <c r="M147" s="67">
        <f t="shared" si="123"/>
        <v>0</v>
      </c>
      <c r="N147" s="67">
        <f t="shared" si="123"/>
        <v>0</v>
      </c>
      <c r="O147" s="67">
        <v>0</v>
      </c>
      <c r="P147" s="326">
        <f t="shared" si="110"/>
        <v>14347035</v>
      </c>
      <c r="Q147" s="2"/>
      <c r="S147" s="2"/>
    </row>
    <row r="148" spans="1:19" x14ac:dyDescent="0.15">
      <c r="B148" s="340" t="s">
        <v>701</v>
      </c>
      <c r="C148" s="12" t="s">
        <v>207</v>
      </c>
      <c r="D148" s="67">
        <f t="shared" si="111"/>
        <v>-31050000</v>
      </c>
      <c r="E148" s="67">
        <f t="shared" ref="E148:N148" si="124">E176</f>
        <v>0</v>
      </c>
      <c r="F148" s="67">
        <f t="shared" si="124"/>
        <v>0</v>
      </c>
      <c r="G148" s="67">
        <f t="shared" si="124"/>
        <v>0</v>
      </c>
      <c r="H148" s="67">
        <f t="shared" si="124"/>
        <v>0</v>
      </c>
      <c r="I148" s="67">
        <f t="shared" si="124"/>
        <v>12847035</v>
      </c>
      <c r="J148" s="67">
        <f t="shared" si="124"/>
        <v>0</v>
      </c>
      <c r="K148" s="67">
        <f t="shared" si="124"/>
        <v>0</v>
      </c>
      <c r="L148" s="67">
        <f t="shared" si="124"/>
        <v>0</v>
      </c>
      <c r="M148" s="67">
        <f t="shared" si="124"/>
        <v>0</v>
      </c>
      <c r="N148" s="67">
        <f t="shared" si="124"/>
        <v>0</v>
      </c>
      <c r="O148" s="67">
        <v>0</v>
      </c>
      <c r="P148" s="326">
        <f t="shared" si="110"/>
        <v>12847035</v>
      </c>
      <c r="Q148" s="2"/>
      <c r="S148" s="2"/>
    </row>
    <row r="149" spans="1:19" x14ac:dyDescent="0.15">
      <c r="B149" s="340" t="s">
        <v>702</v>
      </c>
      <c r="C149" s="12" t="s">
        <v>307</v>
      </c>
      <c r="D149" s="67">
        <f t="shared" si="111"/>
        <v>-1500000</v>
      </c>
      <c r="E149" s="67">
        <f t="shared" ref="E149:N149" si="125">E177</f>
        <v>0</v>
      </c>
      <c r="F149" s="67">
        <f t="shared" si="125"/>
        <v>0</v>
      </c>
      <c r="G149" s="67">
        <f t="shared" si="125"/>
        <v>0</v>
      </c>
      <c r="H149" s="67">
        <f t="shared" si="125"/>
        <v>0</v>
      </c>
      <c r="I149" s="67">
        <f t="shared" si="125"/>
        <v>1500000</v>
      </c>
      <c r="J149" s="67">
        <f t="shared" si="125"/>
        <v>0</v>
      </c>
      <c r="K149" s="67">
        <f t="shared" si="125"/>
        <v>0</v>
      </c>
      <c r="L149" s="67">
        <f t="shared" si="125"/>
        <v>0</v>
      </c>
      <c r="M149" s="67">
        <f t="shared" si="125"/>
        <v>0</v>
      </c>
      <c r="N149" s="67">
        <f t="shared" si="125"/>
        <v>0</v>
      </c>
      <c r="O149" s="67">
        <v>0</v>
      </c>
      <c r="P149" s="326">
        <f t="shared" si="110"/>
        <v>1500000</v>
      </c>
      <c r="Q149" s="2"/>
      <c r="S149" s="2"/>
    </row>
    <row r="150" spans="1:19" x14ac:dyDescent="0.15">
      <c r="B150" s="340" t="s">
        <v>703</v>
      </c>
      <c r="C150" s="12" t="s">
        <v>309</v>
      </c>
      <c r="D150" s="67">
        <f t="shared" si="111"/>
        <v>0</v>
      </c>
      <c r="E150" s="67">
        <f t="shared" ref="E150:N150" si="126">E178</f>
        <v>0</v>
      </c>
      <c r="F150" s="67">
        <f t="shared" si="126"/>
        <v>0</v>
      </c>
      <c r="G150" s="67">
        <f t="shared" si="126"/>
        <v>0</v>
      </c>
      <c r="H150" s="67">
        <f t="shared" si="126"/>
        <v>0</v>
      </c>
      <c r="I150" s="67">
        <f t="shared" si="126"/>
        <v>0</v>
      </c>
      <c r="J150" s="67">
        <f t="shared" si="126"/>
        <v>0</v>
      </c>
      <c r="K150" s="67">
        <f t="shared" si="126"/>
        <v>0</v>
      </c>
      <c r="L150" s="67">
        <f t="shared" si="126"/>
        <v>0</v>
      </c>
      <c r="M150" s="67">
        <f t="shared" si="126"/>
        <v>0</v>
      </c>
      <c r="N150" s="67">
        <f t="shared" si="126"/>
        <v>0</v>
      </c>
      <c r="O150" s="67">
        <v>0</v>
      </c>
      <c r="P150" s="326">
        <f t="shared" si="110"/>
        <v>0</v>
      </c>
      <c r="Q150" s="2"/>
      <c r="S150" s="2"/>
    </row>
    <row r="151" spans="1:19" x14ac:dyDescent="0.15">
      <c r="B151" s="340" t="s">
        <v>704</v>
      </c>
      <c r="C151" s="12" t="s">
        <v>311</v>
      </c>
      <c r="D151" s="67">
        <f t="shared" si="111"/>
        <v>0</v>
      </c>
      <c r="E151" s="67">
        <f t="shared" ref="E151:N151" si="127">E179</f>
        <v>0</v>
      </c>
      <c r="F151" s="67">
        <f t="shared" si="127"/>
        <v>0</v>
      </c>
      <c r="G151" s="67">
        <f t="shared" si="127"/>
        <v>0</v>
      </c>
      <c r="H151" s="67">
        <f t="shared" si="127"/>
        <v>0</v>
      </c>
      <c r="I151" s="67">
        <f t="shared" si="127"/>
        <v>-2596968.7000000002</v>
      </c>
      <c r="J151" s="67">
        <f t="shared" si="127"/>
        <v>0</v>
      </c>
      <c r="K151" s="67">
        <f t="shared" si="127"/>
        <v>0</v>
      </c>
      <c r="L151" s="67">
        <f t="shared" si="127"/>
        <v>0</v>
      </c>
      <c r="M151" s="67">
        <f t="shared" si="127"/>
        <v>0</v>
      </c>
      <c r="N151" s="67">
        <f t="shared" si="127"/>
        <v>0</v>
      </c>
      <c r="O151" s="67">
        <v>0</v>
      </c>
      <c r="P151" s="326">
        <f t="shared" si="110"/>
        <v>-2596968.7000000002</v>
      </c>
      <c r="Q151" s="2"/>
      <c r="S151" s="2"/>
    </row>
    <row r="152" spans="1:19" ht="14" thickBot="1" x14ac:dyDescent="0.2">
      <c r="B152" s="340" t="s">
        <v>705</v>
      </c>
      <c r="C152" s="12" t="s">
        <v>115</v>
      </c>
      <c r="D152" s="67">
        <f t="shared" si="111"/>
        <v>-60000000</v>
      </c>
      <c r="E152" s="67">
        <f t="shared" ref="E152:N152" si="128">E180</f>
        <v>0</v>
      </c>
      <c r="F152" s="67">
        <f t="shared" si="128"/>
        <v>0</v>
      </c>
      <c r="G152" s="67">
        <f t="shared" si="128"/>
        <v>0</v>
      </c>
      <c r="H152" s="67">
        <f t="shared" si="128"/>
        <v>0</v>
      </c>
      <c r="I152" s="67">
        <f t="shared" si="128"/>
        <v>60000000</v>
      </c>
      <c r="J152" s="67">
        <f t="shared" si="128"/>
        <v>0</v>
      </c>
      <c r="K152" s="67">
        <f t="shared" si="128"/>
        <v>0</v>
      </c>
      <c r="L152" s="67">
        <f t="shared" si="128"/>
        <v>0</v>
      </c>
      <c r="M152" s="67">
        <f t="shared" si="128"/>
        <v>0</v>
      </c>
      <c r="N152" s="67">
        <f t="shared" si="128"/>
        <v>0</v>
      </c>
      <c r="O152" s="67">
        <v>0</v>
      </c>
      <c r="P152" s="326">
        <f t="shared" si="110"/>
        <v>60000000</v>
      </c>
      <c r="Q152" s="2"/>
      <c r="S152" s="2"/>
    </row>
    <row r="153" spans="1:19" x14ac:dyDescent="0.15">
      <c r="B153" s="340">
        <v>17</v>
      </c>
      <c r="C153" s="12" t="s">
        <v>313</v>
      </c>
      <c r="D153" s="67">
        <f t="shared" si="111"/>
        <v>-92550000</v>
      </c>
      <c r="E153" s="67">
        <f t="shared" ref="E153:N153" si="129">E181</f>
        <v>0</v>
      </c>
      <c r="F153" s="67">
        <f t="shared" si="129"/>
        <v>0</v>
      </c>
      <c r="G153" s="67">
        <f t="shared" si="129"/>
        <v>0</v>
      </c>
      <c r="H153" s="67">
        <f t="shared" si="129"/>
        <v>0</v>
      </c>
      <c r="I153" s="67">
        <f t="shared" si="129"/>
        <v>71750066.299999997</v>
      </c>
      <c r="J153" s="67">
        <f t="shared" si="129"/>
        <v>0</v>
      </c>
      <c r="K153" s="67">
        <f t="shared" si="129"/>
        <v>0</v>
      </c>
      <c r="L153" s="67">
        <f t="shared" si="129"/>
        <v>0</v>
      </c>
      <c r="M153" s="67">
        <f t="shared" si="129"/>
        <v>0</v>
      </c>
      <c r="N153" s="67">
        <f t="shared" si="129"/>
        <v>0</v>
      </c>
      <c r="O153" s="67">
        <v>0</v>
      </c>
      <c r="P153" s="326">
        <f t="shared" si="110"/>
        <v>71750066.299999997</v>
      </c>
      <c r="Q153" s="461"/>
      <c r="R153" s="357" t="s">
        <v>693</v>
      </c>
      <c r="S153" s="2"/>
    </row>
    <row r="154" spans="1:19" ht="14" thickBot="1" x14ac:dyDescent="0.2">
      <c r="A154" s="1" t="s">
        <v>708</v>
      </c>
      <c r="B154" s="355">
        <v>18</v>
      </c>
      <c r="C154" s="335" t="s">
        <v>314</v>
      </c>
      <c r="D154" s="331">
        <f t="shared" si="111"/>
        <v>-92550000</v>
      </c>
      <c r="E154" s="331">
        <f t="shared" ref="E154:N154" si="130">E153+E145</f>
        <v>43870250</v>
      </c>
      <c r="F154" s="331">
        <f t="shared" si="130"/>
        <v>38158417.625000022</v>
      </c>
      <c r="G154" s="331">
        <f t="shared" si="130"/>
        <v>29549891.752418734</v>
      </c>
      <c r="H154" s="331">
        <f t="shared" si="130"/>
        <v>19434074.698603459</v>
      </c>
      <c r="I154" s="331">
        <f t="shared" si="130"/>
        <v>79012013.412011653</v>
      </c>
      <c r="J154" s="331">
        <f t="shared" si="130"/>
        <v>0</v>
      </c>
      <c r="K154" s="331">
        <f t="shared" si="130"/>
        <v>0</v>
      </c>
      <c r="L154" s="331">
        <f t="shared" si="130"/>
        <v>0</v>
      </c>
      <c r="M154" s="331">
        <f t="shared" si="130"/>
        <v>0</v>
      </c>
      <c r="N154" s="331">
        <f t="shared" si="130"/>
        <v>0</v>
      </c>
      <c r="O154" s="331">
        <v>0</v>
      </c>
      <c r="P154" s="356">
        <f t="shared" si="110"/>
        <v>210024647.48803386</v>
      </c>
      <c r="Q154" s="463"/>
      <c r="R154" s="358">
        <f>IF(ISNUMBER(IRR(D154:N154)),IRR(D154:N154),"NMF")</f>
        <v>0.32866104430381071</v>
      </c>
      <c r="S154" s="1" t="s">
        <v>708</v>
      </c>
    </row>
    <row r="155" spans="1:19" x14ac:dyDescent="0.15">
      <c r="S155" s="2"/>
    </row>
    <row r="156" spans="1:19" ht="14" thickBot="1" x14ac:dyDescent="0.2">
      <c r="S156" s="2"/>
    </row>
    <row r="157" spans="1:19" ht="14" thickBot="1" x14ac:dyDescent="0.2">
      <c r="B157" s="339" t="s">
        <v>282</v>
      </c>
      <c r="C157" s="302" t="s">
        <v>283</v>
      </c>
      <c r="D157" s="302"/>
      <c r="E157" s="302">
        <v>1</v>
      </c>
      <c r="F157" s="302">
        <v>2</v>
      </c>
      <c r="G157" s="302">
        <v>3</v>
      </c>
      <c r="H157" s="302">
        <v>4</v>
      </c>
      <c r="I157" s="302">
        <v>5</v>
      </c>
      <c r="J157" s="302">
        <v>6</v>
      </c>
      <c r="K157" s="302">
        <v>7</v>
      </c>
      <c r="L157" s="302">
        <v>8</v>
      </c>
      <c r="M157" s="302">
        <v>9</v>
      </c>
      <c r="N157" s="302">
        <v>10</v>
      </c>
      <c r="O157" s="420" t="s">
        <v>284</v>
      </c>
      <c r="P157" s="334" t="s">
        <v>285</v>
      </c>
      <c r="S157" s="2"/>
    </row>
    <row r="158" spans="1:19" x14ac:dyDescent="0.15">
      <c r="B158" s="340" t="s">
        <v>687</v>
      </c>
      <c r="C158" s="12" t="s">
        <v>287</v>
      </c>
      <c r="D158" s="321">
        <f>'After Tax Analysis'!D8</f>
        <v>0</v>
      </c>
      <c r="E158" s="321">
        <f>'After Tax Analysis'!E8</f>
        <v>300000000</v>
      </c>
      <c r="F158" s="321">
        <f>'After Tax Analysis'!F8</f>
        <v>313500000.00000006</v>
      </c>
      <c r="G158" s="321">
        <f>'After Tax Analysis'!G8</f>
        <v>327607500.00000006</v>
      </c>
      <c r="H158" s="321">
        <f>'After Tax Analysis'!H8</f>
        <v>342349837.50000012</v>
      </c>
      <c r="I158" s="321">
        <f>'After Tax Analysis'!I8</f>
        <v>357755580.18750012</v>
      </c>
      <c r="J158" s="321">
        <f>'After Tax Analysis'!J8</f>
        <v>0</v>
      </c>
      <c r="K158" s="321">
        <f>'After Tax Analysis'!K8</f>
        <v>0</v>
      </c>
      <c r="L158" s="321">
        <f>'After Tax Analysis'!L8</f>
        <v>0</v>
      </c>
      <c r="M158" s="321">
        <f>'After Tax Analysis'!M8</f>
        <v>0</v>
      </c>
      <c r="N158" s="321">
        <f>'After Tax Analysis'!N8</f>
        <v>0</v>
      </c>
      <c r="O158" s="67">
        <v>0</v>
      </c>
      <c r="P158" s="458">
        <f>SUM(D158:N158)</f>
        <v>1641212917.6875</v>
      </c>
      <c r="Q158" s="2"/>
      <c r="S158" s="2"/>
    </row>
    <row r="159" spans="1:19" x14ac:dyDescent="0.15">
      <c r="A159" s="1" t="s">
        <v>417</v>
      </c>
      <c r="B159" s="355" t="s">
        <v>689</v>
      </c>
      <c r="C159" s="355" t="s">
        <v>689</v>
      </c>
      <c r="D159" s="337"/>
      <c r="E159" s="337">
        <f>Revenues!D9</f>
        <v>300000000</v>
      </c>
      <c r="F159" s="337">
        <f>Revenues!E9</f>
        <v>313500000.00000006</v>
      </c>
      <c r="G159" s="337">
        <f>Revenues!F9</f>
        <v>327607500.00000006</v>
      </c>
      <c r="H159" s="337">
        <f>Revenues!G9</f>
        <v>342349837.50000012</v>
      </c>
      <c r="I159" s="337">
        <f>Revenues!H9</f>
        <v>357755580.18750012</v>
      </c>
      <c r="J159" s="337">
        <f>Revenues!I9</f>
        <v>0</v>
      </c>
      <c r="K159" s="337">
        <f>Revenues!J9</f>
        <v>0</v>
      </c>
      <c r="L159" s="337">
        <f>Revenues!K9</f>
        <v>0</v>
      </c>
      <c r="M159" s="337">
        <f>Revenues!L9</f>
        <v>0</v>
      </c>
      <c r="N159" s="337">
        <f>Revenues!M9</f>
        <v>0</v>
      </c>
      <c r="O159" s="331"/>
      <c r="P159" s="326">
        <f t="shared" ref="P159:P185" si="131">SUM(D159:N159)</f>
        <v>1641212917.6875</v>
      </c>
      <c r="Q159" s="2"/>
      <c r="S159" s="2"/>
    </row>
    <row r="160" spans="1:19" x14ac:dyDescent="0.15">
      <c r="B160" s="340" t="s">
        <v>690</v>
      </c>
      <c r="C160" s="340" t="s">
        <v>690</v>
      </c>
      <c r="D160" s="329"/>
      <c r="E160" s="329">
        <f>Revenues!D16</f>
        <v>0</v>
      </c>
      <c r="F160" s="329">
        <f>Revenues!E16</f>
        <v>0</v>
      </c>
      <c r="G160" s="329">
        <f>Revenues!F16</f>
        <v>0</v>
      </c>
      <c r="H160" s="329">
        <f>Revenues!G16</f>
        <v>0</v>
      </c>
      <c r="I160" s="329">
        <f>Revenues!H16</f>
        <v>0</v>
      </c>
      <c r="J160" s="329">
        <f>Revenues!I16</f>
        <v>0</v>
      </c>
      <c r="K160" s="329">
        <f>Revenues!J16</f>
        <v>0</v>
      </c>
      <c r="L160" s="329">
        <f>Revenues!K16</f>
        <v>0</v>
      </c>
      <c r="M160" s="329">
        <f>Revenues!L16</f>
        <v>0</v>
      </c>
      <c r="N160" s="329">
        <f>Revenues!M16</f>
        <v>0</v>
      </c>
      <c r="O160" s="67"/>
      <c r="P160" s="326">
        <f t="shared" si="131"/>
        <v>0</v>
      </c>
      <c r="Q160" s="2"/>
      <c r="S160" s="2"/>
    </row>
    <row r="161" spans="2:19" x14ac:dyDescent="0.15">
      <c r="B161" s="340" t="s">
        <v>691</v>
      </c>
      <c r="C161" s="340" t="s">
        <v>691</v>
      </c>
      <c r="D161" s="329"/>
      <c r="E161" s="329">
        <f>Revenues!D23</f>
        <v>0</v>
      </c>
      <c r="F161" s="329">
        <f>Revenues!E23</f>
        <v>0</v>
      </c>
      <c r="G161" s="329">
        <f>Revenues!F23</f>
        <v>0</v>
      </c>
      <c r="H161" s="329">
        <f>Revenues!G23</f>
        <v>0</v>
      </c>
      <c r="I161" s="329">
        <f>Revenues!H23</f>
        <v>0</v>
      </c>
      <c r="J161" s="329">
        <f>Revenues!I23</f>
        <v>0</v>
      </c>
      <c r="K161" s="329">
        <f>Revenues!J23</f>
        <v>0</v>
      </c>
      <c r="L161" s="329">
        <f>Revenues!K23</f>
        <v>0</v>
      </c>
      <c r="M161" s="329">
        <f>Revenues!L23</f>
        <v>0</v>
      </c>
      <c r="N161" s="329">
        <f>Revenues!M23</f>
        <v>0</v>
      </c>
      <c r="O161" s="67"/>
      <c r="P161" s="326">
        <f t="shared" si="131"/>
        <v>0</v>
      </c>
      <c r="Q161" s="2"/>
      <c r="S161" s="2"/>
    </row>
    <row r="162" spans="2:19" x14ac:dyDescent="0.15">
      <c r="B162" s="340" t="s">
        <v>695</v>
      </c>
      <c r="C162" s="12"/>
      <c r="D162" s="329"/>
      <c r="E162" s="67">
        <f>SUM(E159:E161)</f>
        <v>300000000</v>
      </c>
      <c r="F162" s="67">
        <f t="shared" ref="F162:N162" si="132">SUM(F159:F161)</f>
        <v>313500000.00000006</v>
      </c>
      <c r="G162" s="67">
        <f t="shared" si="132"/>
        <v>327607500.00000006</v>
      </c>
      <c r="H162" s="67">
        <f t="shared" si="132"/>
        <v>342349837.50000012</v>
      </c>
      <c r="I162" s="67">
        <f t="shared" si="132"/>
        <v>357755580.18750012</v>
      </c>
      <c r="J162" s="67">
        <f t="shared" si="132"/>
        <v>0</v>
      </c>
      <c r="K162" s="67">
        <f t="shared" si="132"/>
        <v>0</v>
      </c>
      <c r="L162" s="67">
        <f t="shared" si="132"/>
        <v>0</v>
      </c>
      <c r="M162" s="67">
        <f t="shared" si="132"/>
        <v>0</v>
      </c>
      <c r="N162" s="67">
        <f t="shared" si="132"/>
        <v>0</v>
      </c>
      <c r="O162" s="67"/>
      <c r="P162" s="326">
        <f t="shared" si="131"/>
        <v>1641212917.6875</v>
      </c>
      <c r="Q162" s="2">
        <f>'After Tax Analysis'!P8</f>
        <v>1641212917.6875</v>
      </c>
      <c r="S162" s="2"/>
    </row>
    <row r="163" spans="2:19" x14ac:dyDescent="0.15">
      <c r="B163" s="340" t="s">
        <v>696</v>
      </c>
      <c r="C163" s="12" t="s">
        <v>289</v>
      </c>
      <c r="D163" s="388">
        <f>'After Tax Analysis'!D9</f>
        <v>0</v>
      </c>
      <c r="E163" s="388">
        <f>'After Tax Analysis'!E9</f>
        <v>230170000</v>
      </c>
      <c r="F163" s="388">
        <f>'After Tax Analysis'!F9</f>
        <v>253018375.00000003</v>
      </c>
      <c r="G163" s="388">
        <f>'After Tax Analysis'!G9</f>
        <v>278725718.45125008</v>
      </c>
      <c r="H163" s="388">
        <f>'After Tax Analysis'!H9</f>
        <v>307665975.06072807</v>
      </c>
      <c r="I163" s="388">
        <f>'After Tax Analysis'!I9</f>
        <v>340262566.36057305</v>
      </c>
      <c r="J163" s="388">
        <f>'After Tax Analysis'!J9</f>
        <v>0</v>
      </c>
      <c r="K163" s="388">
        <f>'After Tax Analysis'!K9</f>
        <v>0</v>
      </c>
      <c r="L163" s="388">
        <f>'After Tax Analysis'!L9</f>
        <v>0</v>
      </c>
      <c r="M163" s="388">
        <f>'After Tax Analysis'!M9</f>
        <v>0</v>
      </c>
      <c r="N163" s="388">
        <f>'After Tax Analysis'!N9</f>
        <v>0</v>
      </c>
      <c r="O163" s="67">
        <v>0</v>
      </c>
      <c r="P163" s="326">
        <f t="shared" si="131"/>
        <v>1409842634.8725512</v>
      </c>
      <c r="Q163" s="2">
        <f>'After Tax Analysis'!P9</f>
        <v>1409842634.8725512</v>
      </c>
      <c r="S163" s="2"/>
    </row>
    <row r="164" spans="2:19" x14ac:dyDescent="0.15">
      <c r="B164" s="340">
        <v>3</v>
      </c>
      <c r="C164" s="12" t="s">
        <v>290</v>
      </c>
      <c r="D164" s="387">
        <v>0</v>
      </c>
      <c r="E164" s="67">
        <f t="shared" ref="E164:N164" si="133">E162-E163</f>
        <v>69830000</v>
      </c>
      <c r="F164" s="67">
        <f t="shared" si="133"/>
        <v>60481625.00000003</v>
      </c>
      <c r="G164" s="67">
        <f t="shared" si="133"/>
        <v>48881781.548749983</v>
      </c>
      <c r="H164" s="67">
        <f t="shared" si="133"/>
        <v>34683862.439272046</v>
      </c>
      <c r="I164" s="67">
        <f t="shared" si="133"/>
        <v>17493013.826927066</v>
      </c>
      <c r="J164" s="67">
        <f t="shared" si="133"/>
        <v>0</v>
      </c>
      <c r="K164" s="67">
        <f t="shared" si="133"/>
        <v>0</v>
      </c>
      <c r="L164" s="67">
        <f t="shared" si="133"/>
        <v>0</v>
      </c>
      <c r="M164" s="67">
        <f t="shared" si="133"/>
        <v>0</v>
      </c>
      <c r="N164" s="67">
        <f t="shared" si="133"/>
        <v>0</v>
      </c>
      <c r="O164" s="67">
        <v>0</v>
      </c>
      <c r="P164" s="326">
        <f t="shared" si="131"/>
        <v>231370282.81494913</v>
      </c>
      <c r="Q164" s="2">
        <f>'After Tax Analysis'!P10</f>
        <v>231370282.81494913</v>
      </c>
      <c r="S164" s="2"/>
    </row>
    <row r="165" spans="2:19" x14ac:dyDescent="0.15">
      <c r="B165" s="340" t="s">
        <v>697</v>
      </c>
      <c r="C165" s="12" t="s">
        <v>292</v>
      </c>
      <c r="D165" s="388">
        <f>'After Tax Analysis'!D11</f>
        <v>0</v>
      </c>
      <c r="E165" s="388">
        <f>'After Tax Analysis'!E11</f>
        <v>3772500</v>
      </c>
      <c r="F165" s="388">
        <f>'After Tax Analysis'!F11</f>
        <v>6218850</v>
      </c>
      <c r="G165" s="388">
        <f>'After Tax Analysis'!G11</f>
        <v>4083150</v>
      </c>
      <c r="H165" s="388">
        <f>'After Tax Analysis'!H11</f>
        <v>2775510</v>
      </c>
      <c r="I165" s="388">
        <f>'After Tax Analysis'!I11</f>
        <v>1352955</v>
      </c>
      <c r="J165" s="388">
        <f>'After Tax Analysis'!J11</f>
        <v>0</v>
      </c>
      <c r="K165" s="388">
        <f>'After Tax Analysis'!K11</f>
        <v>0</v>
      </c>
      <c r="L165" s="388">
        <f>'After Tax Analysis'!L11</f>
        <v>0</v>
      </c>
      <c r="M165" s="388">
        <f>'After Tax Analysis'!M11</f>
        <v>0</v>
      </c>
      <c r="N165" s="388">
        <f>'After Tax Analysis'!N11</f>
        <v>0</v>
      </c>
      <c r="O165" s="67">
        <v>0</v>
      </c>
      <c r="P165" s="326">
        <f t="shared" si="131"/>
        <v>18202965</v>
      </c>
      <c r="Q165" s="2">
        <f>'After Tax Analysis'!P11</f>
        <v>18202965</v>
      </c>
      <c r="S165" s="2"/>
    </row>
    <row r="166" spans="2:19" x14ac:dyDescent="0.15">
      <c r="B166" s="340">
        <v>5</v>
      </c>
      <c r="C166" s="12" t="s">
        <v>293</v>
      </c>
      <c r="D166" s="387">
        <v>0</v>
      </c>
      <c r="E166" s="67">
        <f t="shared" ref="E166:N166" si="134">E164-E165</f>
        <v>66057500</v>
      </c>
      <c r="F166" s="67">
        <f t="shared" si="134"/>
        <v>54262775.00000003</v>
      </c>
      <c r="G166" s="67">
        <f t="shared" si="134"/>
        <v>44798631.548749983</v>
      </c>
      <c r="H166" s="67">
        <f t="shared" si="134"/>
        <v>31908352.439272046</v>
      </c>
      <c r="I166" s="67">
        <f t="shared" si="134"/>
        <v>16140058.826927066</v>
      </c>
      <c r="J166" s="67">
        <f t="shared" si="134"/>
        <v>0</v>
      </c>
      <c r="K166" s="67">
        <f t="shared" si="134"/>
        <v>0</v>
      </c>
      <c r="L166" s="67">
        <f t="shared" si="134"/>
        <v>0</v>
      </c>
      <c r="M166" s="67">
        <f t="shared" si="134"/>
        <v>0</v>
      </c>
      <c r="N166" s="67">
        <f t="shared" si="134"/>
        <v>0</v>
      </c>
      <c r="O166" s="67">
        <v>0</v>
      </c>
      <c r="P166" s="326">
        <f t="shared" si="131"/>
        <v>213167317.81494913</v>
      </c>
      <c r="Q166" s="2">
        <f>'After Tax Analysis'!P12</f>
        <v>213167317.81494913</v>
      </c>
      <c r="S166" s="2"/>
    </row>
    <row r="167" spans="2:19" x14ac:dyDescent="0.15">
      <c r="B167" s="340" t="s">
        <v>698</v>
      </c>
      <c r="C167" s="12" t="s">
        <v>295</v>
      </c>
      <c r="D167" s="388">
        <f>'After Tax Analysis'!D13</f>
        <v>0</v>
      </c>
      <c r="E167" s="388">
        <f>'After Tax Analysis'!E13</f>
        <v>0</v>
      </c>
      <c r="F167" s="388">
        <f>'After Tax Analysis'!F13</f>
        <v>0</v>
      </c>
      <c r="G167" s="388">
        <f>'After Tax Analysis'!G13</f>
        <v>0</v>
      </c>
      <c r="H167" s="388">
        <f>'After Tax Analysis'!H13</f>
        <v>0</v>
      </c>
      <c r="I167" s="388">
        <f>'After Tax Analysis'!I13</f>
        <v>0</v>
      </c>
      <c r="J167" s="388">
        <f>'After Tax Analysis'!J13</f>
        <v>0</v>
      </c>
      <c r="K167" s="388">
        <f>'After Tax Analysis'!K13</f>
        <v>0</v>
      </c>
      <c r="L167" s="388">
        <f>'After Tax Analysis'!L13</f>
        <v>0</v>
      </c>
      <c r="M167" s="388">
        <f>'After Tax Analysis'!M13</f>
        <v>0</v>
      </c>
      <c r="N167" s="388">
        <f>'After Tax Analysis'!N13</f>
        <v>0</v>
      </c>
      <c r="O167" s="67">
        <v>0</v>
      </c>
      <c r="P167" s="326">
        <f t="shared" si="131"/>
        <v>0</v>
      </c>
      <c r="Q167" s="2">
        <f>'After Tax Analysis'!P13</f>
        <v>0</v>
      </c>
      <c r="S167" s="2"/>
    </row>
    <row r="168" spans="2:19" x14ac:dyDescent="0.15">
      <c r="B168" s="340">
        <v>7</v>
      </c>
      <c r="C168" s="12" t="s">
        <v>296</v>
      </c>
      <c r="D168" s="387">
        <v>0</v>
      </c>
      <c r="E168" s="67">
        <f>E166-E167</f>
        <v>66057500</v>
      </c>
      <c r="F168" s="67">
        <f t="shared" ref="F168:N168" si="135">F166-F167</f>
        <v>54262775.00000003</v>
      </c>
      <c r="G168" s="67">
        <f t="shared" si="135"/>
        <v>44798631.548749983</v>
      </c>
      <c r="H168" s="67">
        <f t="shared" si="135"/>
        <v>31908352.439272046</v>
      </c>
      <c r="I168" s="67">
        <f t="shared" si="135"/>
        <v>16140058.826927066</v>
      </c>
      <c r="J168" s="67">
        <f t="shared" si="135"/>
        <v>0</v>
      </c>
      <c r="K168" s="67">
        <f t="shared" si="135"/>
        <v>0</v>
      </c>
      <c r="L168" s="67">
        <f t="shared" si="135"/>
        <v>0</v>
      </c>
      <c r="M168" s="67">
        <f t="shared" si="135"/>
        <v>0</v>
      </c>
      <c r="N168" s="67">
        <f t="shared" si="135"/>
        <v>0</v>
      </c>
      <c r="O168" s="67">
        <v>0</v>
      </c>
      <c r="P168" s="326">
        <f t="shared" si="131"/>
        <v>213167317.81494913</v>
      </c>
      <c r="Q168" s="2">
        <f>'After Tax Analysis'!P14</f>
        <v>213167317.81494913</v>
      </c>
      <c r="S168" s="2"/>
    </row>
    <row r="169" spans="2:19" x14ac:dyDescent="0.15">
      <c r="B169" s="340">
        <v>8</v>
      </c>
      <c r="C169" s="12" t="s">
        <v>297</v>
      </c>
      <c r="D169" s="387">
        <v>0</v>
      </c>
      <c r="E169" s="67">
        <f t="shared" ref="E169:N169" si="136">E168*$D$3</f>
        <v>19817250</v>
      </c>
      <c r="F169" s="67">
        <f t="shared" si="136"/>
        <v>16278832.500000007</v>
      </c>
      <c r="G169" s="67">
        <f t="shared" si="136"/>
        <v>13439589.464624995</v>
      </c>
      <c r="H169" s="67">
        <f t="shared" si="136"/>
        <v>9572505.7317816131</v>
      </c>
      <c r="I169" s="67">
        <f t="shared" si="136"/>
        <v>4842017.6480781194</v>
      </c>
      <c r="J169" s="67">
        <f t="shared" si="136"/>
        <v>0</v>
      </c>
      <c r="K169" s="67">
        <f t="shared" si="136"/>
        <v>0</v>
      </c>
      <c r="L169" s="67">
        <f t="shared" si="136"/>
        <v>0</v>
      </c>
      <c r="M169" s="67">
        <f t="shared" si="136"/>
        <v>0</v>
      </c>
      <c r="N169" s="67">
        <f t="shared" si="136"/>
        <v>0</v>
      </c>
      <c r="O169" s="67">
        <v>0</v>
      </c>
      <c r="P169" s="326">
        <f t="shared" si="131"/>
        <v>63950195.344484739</v>
      </c>
      <c r="Q169" s="2">
        <f>'After Tax Analysis'!P15</f>
        <v>63950195.344484739</v>
      </c>
      <c r="S169" s="2"/>
    </row>
    <row r="170" spans="2:19" x14ac:dyDescent="0.15">
      <c r="B170" s="340">
        <v>9</v>
      </c>
      <c r="C170" s="12" t="s">
        <v>298</v>
      </c>
      <c r="D170" s="388">
        <f>'After Tax Analysis'!D16</f>
        <v>0</v>
      </c>
      <c r="E170" s="388">
        <f>'After Tax Analysis'!E16</f>
        <v>0</v>
      </c>
      <c r="F170" s="388">
        <f>'After Tax Analysis'!F16</f>
        <v>0</v>
      </c>
      <c r="G170" s="388">
        <f>'After Tax Analysis'!G16</f>
        <v>0</v>
      </c>
      <c r="H170" s="388">
        <f>'After Tax Analysis'!H16</f>
        <v>0</v>
      </c>
      <c r="I170" s="388">
        <f>'After Tax Analysis'!I16</f>
        <v>0</v>
      </c>
      <c r="J170" s="388">
        <f>'After Tax Analysis'!J16</f>
        <v>0</v>
      </c>
      <c r="K170" s="388">
        <f>'After Tax Analysis'!K16</f>
        <v>0</v>
      </c>
      <c r="L170" s="388">
        <f>'After Tax Analysis'!L16</f>
        <v>0</v>
      </c>
      <c r="M170" s="388">
        <f>'After Tax Analysis'!M16</f>
        <v>0</v>
      </c>
      <c r="N170" s="388">
        <f>'After Tax Analysis'!N16</f>
        <v>0</v>
      </c>
      <c r="O170" s="67">
        <v>0</v>
      </c>
      <c r="P170" s="326">
        <f t="shared" si="131"/>
        <v>0</v>
      </c>
      <c r="Q170" s="2">
        <f>'After Tax Analysis'!P16</f>
        <v>0</v>
      </c>
      <c r="S170" s="2"/>
    </row>
    <row r="171" spans="2:19" x14ac:dyDescent="0.15">
      <c r="B171" s="340">
        <v>10</v>
      </c>
      <c r="C171" s="12" t="s">
        <v>299</v>
      </c>
      <c r="D171" s="387">
        <v>0</v>
      </c>
      <c r="E171" s="67">
        <f t="shared" ref="E171:N171" si="137">E168-E169+E170</f>
        <v>46240250</v>
      </c>
      <c r="F171" s="67">
        <f t="shared" si="137"/>
        <v>37983942.500000022</v>
      </c>
      <c r="G171" s="67">
        <f t="shared" si="137"/>
        <v>31359042.08412499</v>
      </c>
      <c r="H171" s="67">
        <f t="shared" si="137"/>
        <v>22335846.707490433</v>
      </c>
      <c r="I171" s="67">
        <f t="shared" si="137"/>
        <v>11298041.178848946</v>
      </c>
      <c r="J171" s="67">
        <f t="shared" si="137"/>
        <v>0</v>
      </c>
      <c r="K171" s="67">
        <f t="shared" si="137"/>
        <v>0</v>
      </c>
      <c r="L171" s="67">
        <f t="shared" si="137"/>
        <v>0</v>
      </c>
      <c r="M171" s="67">
        <f t="shared" si="137"/>
        <v>0</v>
      </c>
      <c r="N171" s="67">
        <f t="shared" si="137"/>
        <v>0</v>
      </c>
      <c r="O171" s="67">
        <v>0</v>
      </c>
      <c r="P171" s="326">
        <f t="shared" si="131"/>
        <v>149217122.47046441</v>
      </c>
      <c r="Q171" s="2">
        <f>'After Tax Analysis'!P17</f>
        <v>149217122.47046441</v>
      </c>
      <c r="S171" s="2"/>
    </row>
    <row r="172" spans="2:19" x14ac:dyDescent="0.15">
      <c r="B172" s="340" t="s">
        <v>699</v>
      </c>
      <c r="C172" s="12" t="s">
        <v>292</v>
      </c>
      <c r="D172" s="388">
        <f>D165</f>
        <v>0</v>
      </c>
      <c r="E172" s="388">
        <f t="shared" ref="E172:N172" si="138">E165</f>
        <v>3772500</v>
      </c>
      <c r="F172" s="388">
        <f t="shared" si="138"/>
        <v>6218850</v>
      </c>
      <c r="G172" s="388">
        <f t="shared" si="138"/>
        <v>4083150</v>
      </c>
      <c r="H172" s="388">
        <f t="shared" si="138"/>
        <v>2775510</v>
      </c>
      <c r="I172" s="388">
        <f t="shared" si="138"/>
        <v>1352955</v>
      </c>
      <c r="J172" s="388">
        <f t="shared" si="138"/>
        <v>0</v>
      </c>
      <c r="K172" s="388">
        <f t="shared" si="138"/>
        <v>0</v>
      </c>
      <c r="L172" s="388">
        <f t="shared" si="138"/>
        <v>0</v>
      </c>
      <c r="M172" s="388">
        <f t="shared" si="138"/>
        <v>0</v>
      </c>
      <c r="N172" s="388">
        <f t="shared" si="138"/>
        <v>0</v>
      </c>
      <c r="O172" s="67">
        <v>0</v>
      </c>
      <c r="P172" s="326">
        <f t="shared" si="131"/>
        <v>18202965</v>
      </c>
      <c r="Q172" s="2">
        <f>'After Tax Analysis'!P18</f>
        <v>18202965</v>
      </c>
      <c r="S172" s="2"/>
    </row>
    <row r="173" spans="2:19" x14ac:dyDescent="0.15">
      <c r="B173" s="340">
        <v>12</v>
      </c>
      <c r="C173" s="12" t="s">
        <v>301</v>
      </c>
      <c r="D173" s="387">
        <v>0</v>
      </c>
      <c r="E173" s="67">
        <f t="shared" ref="E173:N173" si="139">E171+E172</f>
        <v>50012750</v>
      </c>
      <c r="F173" s="67">
        <f t="shared" si="139"/>
        <v>44202792.500000022</v>
      </c>
      <c r="G173" s="67">
        <f t="shared" si="139"/>
        <v>35442192.08412499</v>
      </c>
      <c r="H173" s="67">
        <f t="shared" si="139"/>
        <v>25111356.707490433</v>
      </c>
      <c r="I173" s="67">
        <f t="shared" si="139"/>
        <v>12650996.178848946</v>
      </c>
      <c r="J173" s="67">
        <f t="shared" si="139"/>
        <v>0</v>
      </c>
      <c r="K173" s="67">
        <f t="shared" si="139"/>
        <v>0</v>
      </c>
      <c r="L173" s="67">
        <f t="shared" si="139"/>
        <v>0</v>
      </c>
      <c r="M173" s="67">
        <f t="shared" si="139"/>
        <v>0</v>
      </c>
      <c r="N173" s="67">
        <f t="shared" si="139"/>
        <v>0</v>
      </c>
      <c r="O173" s="67">
        <v>0</v>
      </c>
      <c r="P173" s="326">
        <f t="shared" si="131"/>
        <v>167420087.47046441</v>
      </c>
      <c r="Q173" s="2">
        <f>'After Tax Analysis'!P19</f>
        <v>167420087.47046441</v>
      </c>
      <c r="S173" s="2"/>
    </row>
    <row r="174" spans="2:19" x14ac:dyDescent="0.15">
      <c r="B174" s="340" t="s">
        <v>700</v>
      </c>
      <c r="C174" s="12" t="s">
        <v>303</v>
      </c>
      <c r="D174" s="67">
        <f>'After Tax Analysis'!D20</f>
        <v>0</v>
      </c>
      <c r="E174" s="67">
        <f>'After Tax Analysis'!E20</f>
        <v>0</v>
      </c>
      <c r="F174" s="67">
        <f>'After Tax Analysis'!F20</f>
        <v>0</v>
      </c>
      <c r="G174" s="67">
        <f>'After Tax Analysis'!G20</f>
        <v>0</v>
      </c>
      <c r="H174" s="67">
        <f>'After Tax Analysis'!H20</f>
        <v>0</v>
      </c>
      <c r="I174" s="67">
        <f>'After Tax Analysis'!I20</f>
        <v>0</v>
      </c>
      <c r="J174" s="67">
        <f>'After Tax Analysis'!J20</f>
        <v>0</v>
      </c>
      <c r="K174" s="67">
        <f>'After Tax Analysis'!K20</f>
        <v>0</v>
      </c>
      <c r="L174" s="67">
        <f>'After Tax Analysis'!L20</f>
        <v>0</v>
      </c>
      <c r="M174" s="67">
        <f>'After Tax Analysis'!M20</f>
        <v>0</v>
      </c>
      <c r="N174" s="67">
        <f>'After Tax Analysis'!N20</f>
        <v>0</v>
      </c>
      <c r="O174" s="67">
        <v>0</v>
      </c>
      <c r="P174" s="326">
        <f t="shared" si="131"/>
        <v>0</v>
      </c>
      <c r="Q174" s="2">
        <f>'After Tax Analysis'!P20</f>
        <v>0</v>
      </c>
      <c r="S174" s="2"/>
    </row>
    <row r="175" spans="2:19" x14ac:dyDescent="0.15">
      <c r="B175" s="340">
        <v>14</v>
      </c>
      <c r="C175" s="12" t="s">
        <v>304</v>
      </c>
      <c r="D175" s="67">
        <f>D176+D177+D178</f>
        <v>-32550000</v>
      </c>
      <c r="E175" s="67">
        <f t="shared" ref="E175:N175" si="140">E176+E177+E178</f>
        <v>0</v>
      </c>
      <c r="F175" s="67">
        <f t="shared" si="140"/>
        <v>0</v>
      </c>
      <c r="G175" s="67">
        <f t="shared" si="140"/>
        <v>0</v>
      </c>
      <c r="H175" s="67">
        <f t="shared" si="140"/>
        <v>0</v>
      </c>
      <c r="I175" s="67">
        <f t="shared" si="140"/>
        <v>14347035</v>
      </c>
      <c r="J175" s="67">
        <f t="shared" si="140"/>
        <v>0</v>
      </c>
      <c r="K175" s="67">
        <f t="shared" si="140"/>
        <v>0</v>
      </c>
      <c r="L175" s="67">
        <f t="shared" si="140"/>
        <v>0</v>
      </c>
      <c r="M175" s="67">
        <f t="shared" si="140"/>
        <v>0</v>
      </c>
      <c r="N175" s="67">
        <f t="shared" si="140"/>
        <v>0</v>
      </c>
      <c r="O175" s="67">
        <v>0</v>
      </c>
      <c r="P175" s="326">
        <f t="shared" si="131"/>
        <v>-18202965</v>
      </c>
      <c r="Q175" s="2">
        <f>'After Tax Analysis'!P21</f>
        <v>-18202965</v>
      </c>
      <c r="S175" s="2"/>
    </row>
    <row r="176" spans="2:19" x14ac:dyDescent="0.15">
      <c r="B176" s="340" t="s">
        <v>701</v>
      </c>
      <c r="C176" s="12" t="s">
        <v>207</v>
      </c>
      <c r="D176" s="396">
        <f>'After Tax Analysis'!D22</f>
        <v>-31050000</v>
      </c>
      <c r="E176" s="396">
        <f>'After Tax Analysis'!E22</f>
        <v>0</v>
      </c>
      <c r="F176" s="396">
        <f>'After Tax Analysis'!F22</f>
        <v>0</v>
      </c>
      <c r="G176" s="396">
        <f>'After Tax Analysis'!G22</f>
        <v>0</v>
      </c>
      <c r="H176" s="396">
        <f>'After Tax Analysis'!H22</f>
        <v>0</v>
      </c>
      <c r="I176" s="396">
        <f>'After Tax Analysis'!I22</f>
        <v>12847035</v>
      </c>
      <c r="J176" s="396">
        <f>'After Tax Analysis'!J22</f>
        <v>0</v>
      </c>
      <c r="K176" s="396">
        <f>'After Tax Analysis'!K22</f>
        <v>0</v>
      </c>
      <c r="L176" s="396">
        <f>'After Tax Analysis'!L22</f>
        <v>0</v>
      </c>
      <c r="M176" s="396">
        <f>'After Tax Analysis'!M22</f>
        <v>0</v>
      </c>
      <c r="N176" s="396">
        <f>'After Tax Analysis'!N22</f>
        <v>0</v>
      </c>
      <c r="O176" s="67">
        <v>0</v>
      </c>
      <c r="P176" s="326">
        <f t="shared" si="131"/>
        <v>-18202965</v>
      </c>
      <c r="Q176" s="2">
        <f>'After Tax Analysis'!P22</f>
        <v>-18202965</v>
      </c>
      <c r="S176" s="2"/>
    </row>
    <row r="177" spans="1:19" x14ac:dyDescent="0.15">
      <c r="B177" s="340" t="s">
        <v>702</v>
      </c>
      <c r="C177" s="12" t="s">
        <v>307</v>
      </c>
      <c r="D177" s="396">
        <f>'After Tax Analysis'!D23</f>
        <v>-1500000</v>
      </c>
      <c r="E177" s="396">
        <f>'After Tax Analysis'!E23</f>
        <v>0</v>
      </c>
      <c r="F177" s="396">
        <f>'After Tax Analysis'!F23</f>
        <v>0</v>
      </c>
      <c r="G177" s="396">
        <f>'After Tax Analysis'!G23</f>
        <v>0</v>
      </c>
      <c r="H177" s="396">
        <f>'After Tax Analysis'!H23</f>
        <v>0</v>
      </c>
      <c r="I177" s="396">
        <f>'After Tax Analysis'!I23</f>
        <v>1500000</v>
      </c>
      <c r="J177" s="396">
        <f>'After Tax Analysis'!J23</f>
        <v>0</v>
      </c>
      <c r="K177" s="396">
        <f>'After Tax Analysis'!K23</f>
        <v>0</v>
      </c>
      <c r="L177" s="396">
        <f>'After Tax Analysis'!L23</f>
        <v>0</v>
      </c>
      <c r="M177" s="396">
        <f>'After Tax Analysis'!M23</f>
        <v>0</v>
      </c>
      <c r="N177" s="396">
        <f>'After Tax Analysis'!N23</f>
        <v>0</v>
      </c>
      <c r="O177" s="67">
        <v>0</v>
      </c>
      <c r="P177" s="326">
        <f t="shared" si="131"/>
        <v>0</v>
      </c>
      <c r="Q177" s="2">
        <f>'After Tax Analysis'!P23</f>
        <v>0</v>
      </c>
      <c r="S177" s="2"/>
    </row>
    <row r="178" spans="1:19" x14ac:dyDescent="0.15">
      <c r="B178" s="340" t="s">
        <v>703</v>
      </c>
      <c r="C178" s="12" t="s">
        <v>309</v>
      </c>
      <c r="D178" s="396">
        <f>'After Tax Analysis'!D24</f>
        <v>0</v>
      </c>
      <c r="E178" s="396">
        <f>'After Tax Analysis'!E24</f>
        <v>0</v>
      </c>
      <c r="F178" s="396">
        <f>'After Tax Analysis'!F24</f>
        <v>0</v>
      </c>
      <c r="G178" s="396">
        <f>'After Tax Analysis'!G24</f>
        <v>0</v>
      </c>
      <c r="H178" s="396">
        <f>'After Tax Analysis'!H24</f>
        <v>0</v>
      </c>
      <c r="I178" s="396">
        <f>'After Tax Analysis'!I24</f>
        <v>0</v>
      </c>
      <c r="J178" s="396">
        <f>'After Tax Analysis'!J24</f>
        <v>0</v>
      </c>
      <c r="K178" s="396">
        <f>'After Tax Analysis'!K24</f>
        <v>0</v>
      </c>
      <c r="L178" s="396">
        <f>'After Tax Analysis'!L24</f>
        <v>0</v>
      </c>
      <c r="M178" s="396">
        <f>'After Tax Analysis'!M24</f>
        <v>0</v>
      </c>
      <c r="N178" s="396">
        <f>'After Tax Analysis'!N24</f>
        <v>0</v>
      </c>
      <c r="O178" s="67">
        <v>0</v>
      </c>
      <c r="P178" s="326">
        <f t="shared" si="131"/>
        <v>0</v>
      </c>
      <c r="Q178" s="2">
        <f>'After Tax Analysis'!P24</f>
        <v>0</v>
      </c>
      <c r="S178" s="2"/>
    </row>
    <row r="179" spans="1:19" x14ac:dyDescent="0.15">
      <c r="B179" s="340" t="s">
        <v>704</v>
      </c>
      <c r="C179" s="12" t="s">
        <v>311</v>
      </c>
      <c r="D179" s="396">
        <f>'After Tax Analysis'!D25</f>
        <v>0</v>
      </c>
      <c r="E179" s="396">
        <f>'After Tax Analysis'!E25</f>
        <v>0</v>
      </c>
      <c r="F179" s="396">
        <f>'After Tax Analysis'!F25</f>
        <v>0</v>
      </c>
      <c r="G179" s="396">
        <f>'After Tax Analysis'!G25</f>
        <v>0</v>
      </c>
      <c r="H179" s="396">
        <f>'After Tax Analysis'!H25</f>
        <v>0</v>
      </c>
      <c r="I179" s="396">
        <f>'After Tax Analysis'!I25</f>
        <v>-2596968.7000000002</v>
      </c>
      <c r="J179" s="396">
        <f>'After Tax Analysis'!J25</f>
        <v>0</v>
      </c>
      <c r="K179" s="396">
        <f>'After Tax Analysis'!K25</f>
        <v>0</v>
      </c>
      <c r="L179" s="396">
        <f>'After Tax Analysis'!L25</f>
        <v>0</v>
      </c>
      <c r="M179" s="396">
        <f>'After Tax Analysis'!M25</f>
        <v>0</v>
      </c>
      <c r="N179" s="396">
        <f>'After Tax Analysis'!N25</f>
        <v>0</v>
      </c>
      <c r="O179" s="67">
        <v>0</v>
      </c>
      <c r="P179" s="326">
        <f t="shared" si="131"/>
        <v>-2596968.7000000002</v>
      </c>
      <c r="Q179" s="2">
        <f>'After Tax Analysis'!P25</f>
        <v>-2596968.7000000002</v>
      </c>
      <c r="S179" s="2"/>
    </row>
    <row r="180" spans="1:19" ht="14" thickBot="1" x14ac:dyDescent="0.2">
      <c r="B180" s="340" t="s">
        <v>705</v>
      </c>
      <c r="C180" s="12" t="s">
        <v>115</v>
      </c>
      <c r="D180" s="396">
        <f>'After Tax Analysis'!D26</f>
        <v>-60000000</v>
      </c>
      <c r="E180" s="396">
        <f>'After Tax Analysis'!E26</f>
        <v>0</v>
      </c>
      <c r="F180" s="396">
        <f>'After Tax Analysis'!F26</f>
        <v>0</v>
      </c>
      <c r="G180" s="396">
        <f>'After Tax Analysis'!G26</f>
        <v>0</v>
      </c>
      <c r="H180" s="396">
        <f>'After Tax Analysis'!H26</f>
        <v>0</v>
      </c>
      <c r="I180" s="396">
        <f>'After Tax Analysis'!I26</f>
        <v>60000000</v>
      </c>
      <c r="J180" s="396">
        <f>'After Tax Analysis'!J26</f>
        <v>0</v>
      </c>
      <c r="K180" s="396">
        <f>'After Tax Analysis'!K26</f>
        <v>0</v>
      </c>
      <c r="L180" s="396">
        <f>'After Tax Analysis'!L26</f>
        <v>0</v>
      </c>
      <c r="M180" s="396">
        <f>'After Tax Analysis'!M26</f>
        <v>0</v>
      </c>
      <c r="N180" s="396">
        <f>'After Tax Analysis'!N26</f>
        <v>0</v>
      </c>
      <c r="O180" s="67">
        <v>0</v>
      </c>
      <c r="P180" s="326">
        <f t="shared" si="131"/>
        <v>0</v>
      </c>
      <c r="Q180" s="2">
        <f>'After Tax Analysis'!P26</f>
        <v>0</v>
      </c>
      <c r="S180" s="2"/>
    </row>
    <row r="181" spans="1:19" x14ac:dyDescent="0.15">
      <c r="B181" s="340">
        <v>17</v>
      </c>
      <c r="C181" s="12" t="s">
        <v>313</v>
      </c>
      <c r="D181" s="67">
        <f>D175+D174+D179+D180</f>
        <v>-92550000</v>
      </c>
      <c r="E181" s="67">
        <f t="shared" ref="E181:N181" si="141">E175+E174+E179+E180</f>
        <v>0</v>
      </c>
      <c r="F181" s="67">
        <f t="shared" si="141"/>
        <v>0</v>
      </c>
      <c r="G181" s="67">
        <f t="shared" si="141"/>
        <v>0</v>
      </c>
      <c r="H181" s="67">
        <f t="shared" si="141"/>
        <v>0</v>
      </c>
      <c r="I181" s="67">
        <f t="shared" si="141"/>
        <v>71750066.299999997</v>
      </c>
      <c r="J181" s="67">
        <f t="shared" si="141"/>
        <v>0</v>
      </c>
      <c r="K181" s="67">
        <f t="shared" si="141"/>
        <v>0</v>
      </c>
      <c r="L181" s="67">
        <f t="shared" si="141"/>
        <v>0</v>
      </c>
      <c r="M181" s="67">
        <f t="shared" si="141"/>
        <v>0</v>
      </c>
      <c r="N181" s="67">
        <f t="shared" si="141"/>
        <v>0</v>
      </c>
      <c r="O181" s="67">
        <v>0</v>
      </c>
      <c r="P181" s="326">
        <f t="shared" si="131"/>
        <v>-20799933.700000003</v>
      </c>
      <c r="Q181" s="2">
        <f>'After Tax Analysis'!P27</f>
        <v>-20799933.700000003</v>
      </c>
      <c r="R181" s="333" t="s">
        <v>693</v>
      </c>
      <c r="S181" s="2"/>
    </row>
    <row r="182" spans="1:19" ht="14" thickBot="1" x14ac:dyDescent="0.2">
      <c r="A182" s="1" t="s">
        <v>417</v>
      </c>
      <c r="B182" s="355">
        <v>18</v>
      </c>
      <c r="C182" s="335" t="s">
        <v>314</v>
      </c>
      <c r="D182" s="331">
        <f>D181+D173</f>
        <v>-92550000</v>
      </c>
      <c r="E182" s="331">
        <f t="shared" ref="E182:N182" si="142">E181+E173</f>
        <v>50012750</v>
      </c>
      <c r="F182" s="331">
        <f t="shared" si="142"/>
        <v>44202792.500000022</v>
      </c>
      <c r="G182" s="331">
        <f t="shared" si="142"/>
        <v>35442192.08412499</v>
      </c>
      <c r="H182" s="331">
        <f t="shared" si="142"/>
        <v>25111356.707490433</v>
      </c>
      <c r="I182" s="331">
        <f t="shared" si="142"/>
        <v>84401062.478848949</v>
      </c>
      <c r="J182" s="331">
        <f t="shared" si="142"/>
        <v>0</v>
      </c>
      <c r="K182" s="331">
        <f t="shared" si="142"/>
        <v>0</v>
      </c>
      <c r="L182" s="331">
        <f t="shared" si="142"/>
        <v>0</v>
      </c>
      <c r="M182" s="331">
        <f t="shared" si="142"/>
        <v>0</v>
      </c>
      <c r="N182" s="331">
        <f t="shared" si="142"/>
        <v>0</v>
      </c>
      <c r="O182" s="331">
        <v>0</v>
      </c>
      <c r="P182" s="326">
        <f t="shared" si="131"/>
        <v>146620153.77046439</v>
      </c>
      <c r="Q182" s="2">
        <f>'After Tax Analysis'!P28</f>
        <v>146620153.77046439</v>
      </c>
      <c r="R182" s="338">
        <f>IF(ISNUMBER(IRR(D182:N182)),IRR(D182:N182),"NMF")</f>
        <v>0.40549033935008683</v>
      </c>
      <c r="S182" s="353" t="str">
        <f>A159</f>
        <v>Base Case</v>
      </c>
    </row>
    <row r="183" spans="1:19" x14ac:dyDescent="0.15">
      <c r="B183" s="340">
        <v>19</v>
      </c>
      <c r="C183" s="12" t="s">
        <v>315</v>
      </c>
      <c r="D183" s="53">
        <v>1</v>
      </c>
      <c r="E183" s="53">
        <v>0.86956521739130443</v>
      </c>
      <c r="F183" s="53">
        <v>0.7561436672967865</v>
      </c>
      <c r="G183" s="53">
        <v>0.65751623243198831</v>
      </c>
      <c r="H183" s="53">
        <v>0.57175324559303342</v>
      </c>
      <c r="I183" s="53">
        <v>0.49717673529828987</v>
      </c>
      <c r="J183" s="53">
        <v>0.43232759591155645</v>
      </c>
      <c r="K183" s="53">
        <v>0.37593703992309269</v>
      </c>
      <c r="L183" s="53">
        <v>0.32690177384616753</v>
      </c>
      <c r="M183" s="53">
        <v>0.28426241204014574</v>
      </c>
      <c r="N183" s="53">
        <v>0.24718470612186585</v>
      </c>
      <c r="O183" s="67">
        <v>0</v>
      </c>
      <c r="P183" s="326">
        <f t="shared" si="131"/>
        <v>6.0187686258542321</v>
      </c>
      <c r="Q183" s="2">
        <f>'After Tax Analysis'!P30</f>
        <v>5.8332274784574745</v>
      </c>
      <c r="S183" s="2"/>
    </row>
    <row r="184" spans="1:19" x14ac:dyDescent="0.15">
      <c r="B184" s="340">
        <v>20</v>
      </c>
      <c r="C184" s="12" t="s">
        <v>316</v>
      </c>
      <c r="D184" s="67">
        <f>D183+D182</f>
        <v>-92549999</v>
      </c>
      <c r="E184" s="67">
        <f>E183+E182</f>
        <v>50012750.869565219</v>
      </c>
      <c r="F184" s="67">
        <f t="shared" ref="F184:N184" si="143">F183+F182</f>
        <v>44202793.256143689</v>
      </c>
      <c r="G184" s="67">
        <f t="shared" si="143"/>
        <v>35442192.741641223</v>
      </c>
      <c r="H184" s="67">
        <f t="shared" si="143"/>
        <v>25111357.279243678</v>
      </c>
      <c r="I184" s="67">
        <f t="shared" si="143"/>
        <v>84401062.976025686</v>
      </c>
      <c r="J184" s="67">
        <f t="shared" si="143"/>
        <v>0.43232759591155645</v>
      </c>
      <c r="K184" s="67">
        <f t="shared" si="143"/>
        <v>0.37593703992309269</v>
      </c>
      <c r="L184" s="67">
        <f t="shared" si="143"/>
        <v>0.32690177384616753</v>
      </c>
      <c r="M184" s="67">
        <f t="shared" si="143"/>
        <v>0.28426241204014574</v>
      </c>
      <c r="N184" s="67">
        <f t="shared" si="143"/>
        <v>0.24718470612186585</v>
      </c>
      <c r="O184" s="67">
        <v>0</v>
      </c>
      <c r="P184" s="326">
        <f t="shared" si="131"/>
        <v>146620159.78923303</v>
      </c>
      <c r="Q184" s="2">
        <f>'After Tax Analysis'!P31</f>
        <v>60173850.627423033</v>
      </c>
      <c r="S184" s="2"/>
    </row>
    <row r="185" spans="1:19" ht="14" thickBot="1" x14ac:dyDescent="0.2">
      <c r="B185" s="341">
        <v>21</v>
      </c>
      <c r="C185" s="201" t="s">
        <v>317</v>
      </c>
      <c r="D185" s="327">
        <f>D184</f>
        <v>-92549999</v>
      </c>
      <c r="E185" s="327">
        <f>E184+D185</f>
        <v>-42537248.130434781</v>
      </c>
      <c r="F185" s="327">
        <f t="shared" ref="F185:N185" si="144">F184+E185</f>
        <v>1665545.1257089078</v>
      </c>
      <c r="G185" s="327">
        <f t="shared" si="144"/>
        <v>37107737.867350131</v>
      </c>
      <c r="H185" s="327">
        <f t="shared" si="144"/>
        <v>62219095.146593809</v>
      </c>
      <c r="I185" s="327">
        <f t="shared" si="144"/>
        <v>146620158.12261951</v>
      </c>
      <c r="J185" s="327">
        <f t="shared" si="144"/>
        <v>146620158.55494711</v>
      </c>
      <c r="K185" s="327">
        <f t="shared" si="144"/>
        <v>146620158.93088415</v>
      </c>
      <c r="L185" s="327">
        <f t="shared" si="144"/>
        <v>146620159.25778592</v>
      </c>
      <c r="M185" s="327">
        <f t="shared" si="144"/>
        <v>146620159.54204834</v>
      </c>
      <c r="N185" s="327">
        <f t="shared" si="144"/>
        <v>146620159.78923303</v>
      </c>
      <c r="O185" s="327">
        <v>0</v>
      </c>
      <c r="P185" s="326">
        <f t="shared" si="131"/>
        <v>845626085.20673609</v>
      </c>
      <c r="Q185" s="2">
        <f>'After Tax Analysis'!P32</f>
        <v>0</v>
      </c>
      <c r="S185" s="2"/>
    </row>
    <row r="186" spans="1:19" x14ac:dyDescent="0.15">
      <c r="S186" s="2"/>
    </row>
    <row r="187" spans="1:19" ht="14" thickBot="1" x14ac:dyDescent="0.2">
      <c r="S187" s="2"/>
    </row>
    <row r="188" spans="1:19" ht="14" thickBot="1" x14ac:dyDescent="0.2">
      <c r="B188" s="359" t="s">
        <v>282</v>
      </c>
      <c r="C188" s="360" t="s">
        <v>283</v>
      </c>
      <c r="D188" s="360"/>
      <c r="E188" s="360">
        <v>1</v>
      </c>
      <c r="F188" s="360">
        <v>2</v>
      </c>
      <c r="G188" s="360">
        <v>3</v>
      </c>
      <c r="H188" s="360">
        <v>4</v>
      </c>
      <c r="I188" s="360">
        <v>5</v>
      </c>
      <c r="J188" s="360">
        <v>6</v>
      </c>
      <c r="K188" s="360">
        <v>7</v>
      </c>
      <c r="L188" s="360">
        <v>8</v>
      </c>
      <c r="M188" s="360">
        <v>9</v>
      </c>
      <c r="N188" s="360">
        <v>10</v>
      </c>
      <c r="O188" s="360" t="s">
        <v>284</v>
      </c>
      <c r="P188" s="361" t="s">
        <v>285</v>
      </c>
      <c r="S188" s="2"/>
    </row>
    <row r="189" spans="1:19" x14ac:dyDescent="0.15">
      <c r="B189" s="339" t="s">
        <v>687</v>
      </c>
      <c r="C189" s="302" t="s">
        <v>287</v>
      </c>
      <c r="D189" s="322">
        <f t="shared" ref="D189:D194" si="145">D158</f>
        <v>0</v>
      </c>
      <c r="E189" s="322">
        <f t="shared" ref="E189:N189" si="146">E158</f>
        <v>300000000</v>
      </c>
      <c r="F189" s="322">
        <f t="shared" si="146"/>
        <v>313500000.00000006</v>
      </c>
      <c r="G189" s="322">
        <f t="shared" si="146"/>
        <v>327607500.00000006</v>
      </c>
      <c r="H189" s="322">
        <f t="shared" si="146"/>
        <v>342349837.50000012</v>
      </c>
      <c r="I189" s="322">
        <f t="shared" si="146"/>
        <v>357755580.18750012</v>
      </c>
      <c r="J189" s="322">
        <f t="shared" si="146"/>
        <v>0</v>
      </c>
      <c r="K189" s="322">
        <f t="shared" si="146"/>
        <v>0</v>
      </c>
      <c r="L189" s="322">
        <f t="shared" si="146"/>
        <v>0</v>
      </c>
      <c r="M189" s="322">
        <f t="shared" si="146"/>
        <v>0</v>
      </c>
      <c r="N189" s="322">
        <f t="shared" si="146"/>
        <v>0</v>
      </c>
      <c r="O189" s="322">
        <v>0</v>
      </c>
      <c r="P189" s="325">
        <f>SUM(E189:N189)</f>
        <v>1641212917.6875</v>
      </c>
      <c r="Q189" s="2"/>
      <c r="S189" s="2"/>
    </row>
    <row r="190" spans="1:19" x14ac:dyDescent="0.15">
      <c r="A190" s="1" t="s">
        <v>709</v>
      </c>
      <c r="B190" s="355" t="s">
        <v>689</v>
      </c>
      <c r="C190" s="362" t="s">
        <v>689</v>
      </c>
      <c r="D190" s="331">
        <f t="shared" si="145"/>
        <v>0</v>
      </c>
      <c r="E190" s="331">
        <f>Revenues!D7*Revenues!D8*1.05</f>
        <v>315000000</v>
      </c>
      <c r="F190" s="331">
        <f>Revenues!E7*Revenues!E8*1.05</f>
        <v>329175000.00000006</v>
      </c>
      <c r="G190" s="331">
        <f>Revenues!F7*Revenues!F8*1.05</f>
        <v>343987875.00000006</v>
      </c>
      <c r="H190" s="331">
        <f>Revenues!G7*Revenues!G8*1.05</f>
        <v>359467329.37500012</v>
      </c>
      <c r="I190" s="331">
        <f>Revenues!H7*Revenues!H8*1.05</f>
        <v>375643359.19687515</v>
      </c>
      <c r="J190" s="331">
        <f>Revenues!I7*Revenues!I8*1.05</f>
        <v>0</v>
      </c>
      <c r="K190" s="331">
        <f>Revenues!J7*Revenues!J8*1.05</f>
        <v>0</v>
      </c>
      <c r="L190" s="331">
        <f>Revenues!K7*Revenues!K8*1.05</f>
        <v>0</v>
      </c>
      <c r="M190" s="331">
        <f>Revenues!L7*Revenues!L8*1.05</f>
        <v>0</v>
      </c>
      <c r="N190" s="331">
        <f>Revenues!M7*Revenues!M8*1.05</f>
        <v>0</v>
      </c>
      <c r="O190" s="331"/>
      <c r="P190" s="356">
        <f>SUM(E190:N190)</f>
        <v>1723273563.5718751</v>
      </c>
      <c r="Q190" s="460"/>
      <c r="S190" s="2"/>
    </row>
    <row r="191" spans="1:19" x14ac:dyDescent="0.15">
      <c r="B191" s="340" t="s">
        <v>690</v>
      </c>
      <c r="C191" s="354" t="s">
        <v>690</v>
      </c>
      <c r="D191" s="67">
        <f t="shared" si="145"/>
        <v>0</v>
      </c>
      <c r="E191" s="67">
        <f>E160</f>
        <v>0</v>
      </c>
      <c r="F191" s="67">
        <f t="shared" ref="F191:N191" si="147">F160</f>
        <v>0</v>
      </c>
      <c r="G191" s="67">
        <f t="shared" si="147"/>
        <v>0</v>
      </c>
      <c r="H191" s="67">
        <f t="shared" si="147"/>
        <v>0</v>
      </c>
      <c r="I191" s="67">
        <f t="shared" si="147"/>
        <v>0</v>
      </c>
      <c r="J191" s="67">
        <f t="shared" si="147"/>
        <v>0</v>
      </c>
      <c r="K191" s="67">
        <f t="shared" si="147"/>
        <v>0</v>
      </c>
      <c r="L191" s="67">
        <f t="shared" si="147"/>
        <v>0</v>
      </c>
      <c r="M191" s="67">
        <f t="shared" si="147"/>
        <v>0</v>
      </c>
      <c r="N191" s="67">
        <f t="shared" si="147"/>
        <v>0</v>
      </c>
      <c r="O191" s="289"/>
      <c r="P191" s="326">
        <f>SUM(E191:N191)</f>
        <v>0</v>
      </c>
      <c r="Q191" s="2"/>
      <c r="S191" s="2"/>
    </row>
    <row r="192" spans="1:19" x14ac:dyDescent="0.15">
      <c r="B192" s="340" t="s">
        <v>691</v>
      </c>
      <c r="C192" s="354" t="s">
        <v>691</v>
      </c>
      <c r="D192" s="67">
        <f t="shared" si="145"/>
        <v>0</v>
      </c>
      <c r="E192" s="67">
        <f>E161</f>
        <v>0</v>
      </c>
      <c r="F192" s="67">
        <f t="shared" ref="F192:N192" si="148">F161</f>
        <v>0</v>
      </c>
      <c r="G192" s="67">
        <f t="shared" si="148"/>
        <v>0</v>
      </c>
      <c r="H192" s="67">
        <f t="shared" si="148"/>
        <v>0</v>
      </c>
      <c r="I192" s="67">
        <f t="shared" si="148"/>
        <v>0</v>
      </c>
      <c r="J192" s="67">
        <f t="shared" si="148"/>
        <v>0</v>
      </c>
      <c r="K192" s="67">
        <f t="shared" si="148"/>
        <v>0</v>
      </c>
      <c r="L192" s="67">
        <f t="shared" si="148"/>
        <v>0</v>
      </c>
      <c r="M192" s="67">
        <f t="shared" si="148"/>
        <v>0</v>
      </c>
      <c r="N192" s="67">
        <f t="shared" si="148"/>
        <v>0</v>
      </c>
      <c r="O192" s="67"/>
      <c r="P192" s="326">
        <f>SUM(E192:N192)</f>
        <v>0</v>
      </c>
      <c r="Q192" s="2"/>
      <c r="S192" s="2"/>
    </row>
    <row r="193" spans="2:19" x14ac:dyDescent="0.15">
      <c r="B193" s="340" t="s">
        <v>695</v>
      </c>
      <c r="C193" s="12"/>
      <c r="D193" s="67">
        <f t="shared" si="145"/>
        <v>0</v>
      </c>
      <c r="E193" s="67">
        <f>E192+E191+E190</f>
        <v>315000000</v>
      </c>
      <c r="F193" s="67">
        <f t="shared" ref="F193:N193" si="149">F192+F191+F190</f>
        <v>329175000.00000006</v>
      </c>
      <c r="G193" s="67">
        <f t="shared" si="149"/>
        <v>343987875.00000006</v>
      </c>
      <c r="H193" s="67">
        <f t="shared" si="149"/>
        <v>359467329.37500012</v>
      </c>
      <c r="I193" s="67">
        <f t="shared" si="149"/>
        <v>375643359.19687515</v>
      </c>
      <c r="J193" s="67">
        <f t="shared" si="149"/>
        <v>0</v>
      </c>
      <c r="K193" s="67">
        <f t="shared" si="149"/>
        <v>0</v>
      </c>
      <c r="L193" s="67">
        <f t="shared" si="149"/>
        <v>0</v>
      </c>
      <c r="M193" s="67">
        <f t="shared" si="149"/>
        <v>0</v>
      </c>
      <c r="N193" s="67">
        <f t="shared" si="149"/>
        <v>0</v>
      </c>
      <c r="O193" s="67"/>
      <c r="P193" s="326">
        <f t="shared" ref="P193:P213" si="150">SUM(E193:N193)</f>
        <v>1723273563.5718751</v>
      </c>
      <c r="Q193" s="2"/>
      <c r="S193" s="2"/>
    </row>
    <row r="194" spans="2:19" x14ac:dyDescent="0.15">
      <c r="B194" s="340" t="s">
        <v>696</v>
      </c>
      <c r="C194" s="12" t="s">
        <v>289</v>
      </c>
      <c r="D194" s="67">
        <f t="shared" si="145"/>
        <v>0</v>
      </c>
      <c r="E194" s="67">
        <f>(Expenses!D18*1.05)+Expenses!D25+Expenses!D32+(Expenses!D39*1.05)+Expenses!D44+Expenses!D49+Expenses!D56+Expenses!D95-Expenses!D77</f>
        <v>236395000</v>
      </c>
      <c r="F194" s="67">
        <f>(Expenses!E18*1.05)+Expenses!E25+Expenses!E32+(Expenses!E39*1.05)+Expenses!E44+Expenses!E49+Expenses!E56+Expenses!E95-Expenses!E77</f>
        <v>260058553.75000003</v>
      </c>
      <c r="G194" s="67">
        <f>(Expenses!F18*1.05)+Expenses!F25+Expenses!F32+(Expenses!F39*1.05)+Expenses!F44+Expenses!F49+Expenses!F56+Expenses!F95-Expenses!F77</f>
        <v>286688521.54881257</v>
      </c>
      <c r="H194" s="67">
        <f>(Expenses!G18*1.05)+Expenses!G25+Expenses!G32+(Expenses!G39*1.05)+Expenses!G44+Expenses!G49+Expenses!G56+Expenses!G95-Expenses!G77</f>
        <v>316673064.06588948</v>
      </c>
      <c r="I194" s="67">
        <f>(Expenses!H18*1.05)+Expenses!H25+Expenses!H32+(Expenses!H39*1.05)+Expenses!H44+Expenses!H49+Expenses!H56+Expenses!H95-Expenses!H77</f>
        <v>350451703.84589481</v>
      </c>
      <c r="J194" s="67">
        <f>(Expenses!I18*1.05)+Expenses!I25+Expenses!I32+(Expenses!I39*1.05)+Expenses!I44+Expenses!I49+Expenses!I56+Expenses!I95-Expenses!I77</f>
        <v>0</v>
      </c>
      <c r="K194" s="67">
        <f>(Expenses!J18*1.05)+Expenses!J25+Expenses!J32+(Expenses!J39*1.05)+Expenses!J44+Expenses!J49+Expenses!J56+Expenses!J95-Expenses!J77</f>
        <v>0</v>
      </c>
      <c r="L194" s="67">
        <f>(Expenses!K18*1.05)+Expenses!K25+Expenses!K32+(Expenses!K39*1.05)+Expenses!K44+Expenses!K49+Expenses!K56+Expenses!K95-Expenses!K77</f>
        <v>0</v>
      </c>
      <c r="M194" s="67">
        <f>(Expenses!L18*1.05)+Expenses!L25+Expenses!L32+(Expenses!L39*1.05)+Expenses!L44+Expenses!L49+Expenses!L56+Expenses!L95-Expenses!L77</f>
        <v>0</v>
      </c>
      <c r="N194" s="67">
        <f>(Expenses!M18*1.05)+Expenses!M25+Expenses!M32+(Expenses!M39*1.05)+Expenses!M44+Expenses!M49+Expenses!M56+Expenses!M95-Expenses!M77</f>
        <v>0</v>
      </c>
      <c r="O194" s="67">
        <v>0</v>
      </c>
      <c r="P194" s="326">
        <f t="shared" si="150"/>
        <v>1450266843.210597</v>
      </c>
      <c r="Q194" s="2"/>
      <c r="S194" s="2"/>
    </row>
    <row r="195" spans="2:19" x14ac:dyDescent="0.15">
      <c r="B195" s="340">
        <v>3</v>
      </c>
      <c r="C195" s="12" t="s">
        <v>290</v>
      </c>
      <c r="D195" s="67">
        <f t="shared" ref="D195:D213" si="151">D164</f>
        <v>0</v>
      </c>
      <c r="E195" s="67">
        <f>E193-E194</f>
        <v>78605000</v>
      </c>
      <c r="F195" s="67">
        <f t="shared" ref="F195:N195" si="152">F193-F194</f>
        <v>69116446.25000003</v>
      </c>
      <c r="G195" s="67">
        <f t="shared" si="152"/>
        <v>57299353.451187491</v>
      </c>
      <c r="H195" s="67">
        <f t="shared" si="152"/>
        <v>42794265.309110641</v>
      </c>
      <c r="I195" s="67">
        <f t="shared" si="152"/>
        <v>25191655.350980341</v>
      </c>
      <c r="J195" s="67">
        <f t="shared" si="152"/>
        <v>0</v>
      </c>
      <c r="K195" s="67">
        <f t="shared" si="152"/>
        <v>0</v>
      </c>
      <c r="L195" s="67">
        <f t="shared" si="152"/>
        <v>0</v>
      </c>
      <c r="M195" s="67">
        <f t="shared" si="152"/>
        <v>0</v>
      </c>
      <c r="N195" s="67">
        <f t="shared" si="152"/>
        <v>0</v>
      </c>
      <c r="O195" s="67">
        <v>0</v>
      </c>
      <c r="P195" s="326">
        <f t="shared" si="150"/>
        <v>273006720.36127853</v>
      </c>
      <c r="Q195" s="2"/>
      <c r="S195" s="2"/>
    </row>
    <row r="196" spans="2:19" x14ac:dyDescent="0.15">
      <c r="B196" s="340" t="s">
        <v>697</v>
      </c>
      <c r="C196" s="12" t="s">
        <v>292</v>
      </c>
      <c r="D196" s="67">
        <f t="shared" si="151"/>
        <v>0</v>
      </c>
      <c r="E196" s="67">
        <f>E165</f>
        <v>3772500</v>
      </c>
      <c r="F196" s="67">
        <f t="shared" ref="F196:N196" si="153">F165</f>
        <v>6218850</v>
      </c>
      <c r="G196" s="67">
        <f t="shared" si="153"/>
        <v>4083150</v>
      </c>
      <c r="H196" s="67">
        <f t="shared" si="153"/>
        <v>2775510</v>
      </c>
      <c r="I196" s="67">
        <f t="shared" si="153"/>
        <v>1352955</v>
      </c>
      <c r="J196" s="67">
        <f t="shared" si="153"/>
        <v>0</v>
      </c>
      <c r="K196" s="67">
        <f t="shared" si="153"/>
        <v>0</v>
      </c>
      <c r="L196" s="67">
        <f t="shared" si="153"/>
        <v>0</v>
      </c>
      <c r="M196" s="67">
        <f t="shared" si="153"/>
        <v>0</v>
      </c>
      <c r="N196" s="67">
        <f t="shared" si="153"/>
        <v>0</v>
      </c>
      <c r="O196" s="67">
        <v>0</v>
      </c>
      <c r="P196" s="326">
        <f t="shared" si="150"/>
        <v>18202965</v>
      </c>
      <c r="Q196" s="2"/>
      <c r="S196" s="2"/>
    </row>
    <row r="197" spans="2:19" x14ac:dyDescent="0.15">
      <c r="B197" s="340">
        <v>5</v>
      </c>
      <c r="C197" s="12" t="s">
        <v>293</v>
      </c>
      <c r="D197" s="67">
        <f t="shared" si="151"/>
        <v>0</v>
      </c>
      <c r="E197" s="67">
        <f>E195-E196</f>
        <v>74832500</v>
      </c>
      <c r="F197" s="67">
        <f t="shared" ref="F197:N197" si="154">F195-F196</f>
        <v>62897596.25000003</v>
      </c>
      <c r="G197" s="67">
        <f t="shared" si="154"/>
        <v>53216203.451187491</v>
      </c>
      <c r="H197" s="67">
        <f t="shared" si="154"/>
        <v>40018755.309110641</v>
      </c>
      <c r="I197" s="67">
        <f t="shared" si="154"/>
        <v>23838700.350980341</v>
      </c>
      <c r="J197" s="67">
        <f t="shared" si="154"/>
        <v>0</v>
      </c>
      <c r="K197" s="67">
        <f t="shared" si="154"/>
        <v>0</v>
      </c>
      <c r="L197" s="67">
        <f t="shared" si="154"/>
        <v>0</v>
      </c>
      <c r="M197" s="67">
        <f t="shared" si="154"/>
        <v>0</v>
      </c>
      <c r="N197" s="67">
        <f t="shared" si="154"/>
        <v>0</v>
      </c>
      <c r="O197" s="67">
        <v>0</v>
      </c>
      <c r="P197" s="326">
        <f t="shared" si="150"/>
        <v>254803755.3612785</v>
      </c>
      <c r="Q197" s="2"/>
      <c r="S197" s="2"/>
    </row>
    <row r="198" spans="2:19" x14ac:dyDescent="0.15">
      <c r="B198" s="340" t="s">
        <v>698</v>
      </c>
      <c r="C198" s="12" t="s">
        <v>295</v>
      </c>
      <c r="D198" s="67">
        <f t="shared" si="151"/>
        <v>0</v>
      </c>
      <c r="E198" s="67">
        <f>E167</f>
        <v>0</v>
      </c>
      <c r="F198" s="67">
        <f t="shared" ref="F198:N198" si="155">F167</f>
        <v>0</v>
      </c>
      <c r="G198" s="67">
        <f t="shared" si="155"/>
        <v>0</v>
      </c>
      <c r="H198" s="67">
        <f t="shared" si="155"/>
        <v>0</v>
      </c>
      <c r="I198" s="67">
        <f t="shared" si="155"/>
        <v>0</v>
      </c>
      <c r="J198" s="67">
        <f t="shared" si="155"/>
        <v>0</v>
      </c>
      <c r="K198" s="67">
        <f t="shared" si="155"/>
        <v>0</v>
      </c>
      <c r="L198" s="67">
        <f t="shared" si="155"/>
        <v>0</v>
      </c>
      <c r="M198" s="67">
        <f t="shared" si="155"/>
        <v>0</v>
      </c>
      <c r="N198" s="67">
        <f t="shared" si="155"/>
        <v>0</v>
      </c>
      <c r="O198" s="67">
        <v>0</v>
      </c>
      <c r="P198" s="326">
        <f t="shared" si="150"/>
        <v>0</v>
      </c>
      <c r="Q198" s="2"/>
      <c r="S198" s="2"/>
    </row>
    <row r="199" spans="2:19" x14ac:dyDescent="0.15">
      <c r="B199" s="340">
        <v>7</v>
      </c>
      <c r="C199" s="12" t="s">
        <v>296</v>
      </c>
      <c r="D199" s="67">
        <f t="shared" si="151"/>
        <v>0</v>
      </c>
      <c r="E199" s="67">
        <f>E197-E198</f>
        <v>74832500</v>
      </c>
      <c r="F199" s="67">
        <f t="shared" ref="F199:N199" si="156">F197-F198</f>
        <v>62897596.25000003</v>
      </c>
      <c r="G199" s="67">
        <f t="shared" si="156"/>
        <v>53216203.451187491</v>
      </c>
      <c r="H199" s="67">
        <f t="shared" si="156"/>
        <v>40018755.309110641</v>
      </c>
      <c r="I199" s="67">
        <f t="shared" si="156"/>
        <v>23838700.350980341</v>
      </c>
      <c r="J199" s="67">
        <f t="shared" si="156"/>
        <v>0</v>
      </c>
      <c r="K199" s="67">
        <f t="shared" si="156"/>
        <v>0</v>
      </c>
      <c r="L199" s="67">
        <f t="shared" si="156"/>
        <v>0</v>
      </c>
      <c r="M199" s="67">
        <f t="shared" si="156"/>
        <v>0</v>
      </c>
      <c r="N199" s="67">
        <f t="shared" si="156"/>
        <v>0</v>
      </c>
      <c r="O199" s="67">
        <v>0</v>
      </c>
      <c r="P199" s="326">
        <f t="shared" si="150"/>
        <v>254803755.3612785</v>
      </c>
      <c r="Q199" s="2"/>
      <c r="S199" s="2"/>
    </row>
    <row r="200" spans="2:19" x14ac:dyDescent="0.15">
      <c r="B200" s="340">
        <v>8</v>
      </c>
      <c r="C200" s="12" t="s">
        <v>297</v>
      </c>
      <c r="D200" s="67">
        <f t="shared" si="151"/>
        <v>0</v>
      </c>
      <c r="E200" s="67">
        <f>-E199*$D$3</f>
        <v>-22449750</v>
      </c>
      <c r="F200" s="67">
        <f t="shared" ref="F200:N200" si="157">-F199*$D$3</f>
        <v>-18869278.875000007</v>
      </c>
      <c r="G200" s="67">
        <f t="shared" si="157"/>
        <v>-15964861.035356246</v>
      </c>
      <c r="H200" s="67">
        <f t="shared" si="157"/>
        <v>-12005626.592733191</v>
      </c>
      <c r="I200" s="67">
        <f t="shared" si="157"/>
        <v>-7151610.1052941019</v>
      </c>
      <c r="J200" s="67">
        <f t="shared" si="157"/>
        <v>0</v>
      </c>
      <c r="K200" s="67">
        <f t="shared" si="157"/>
        <v>0</v>
      </c>
      <c r="L200" s="67">
        <f t="shared" si="157"/>
        <v>0</v>
      </c>
      <c r="M200" s="67">
        <f t="shared" si="157"/>
        <v>0</v>
      </c>
      <c r="N200" s="67">
        <f t="shared" si="157"/>
        <v>0</v>
      </c>
      <c r="O200" s="67">
        <v>0</v>
      </c>
      <c r="P200" s="326">
        <f t="shared" si="150"/>
        <v>-76441126.608383551</v>
      </c>
      <c r="Q200" s="2"/>
      <c r="S200" s="2"/>
    </row>
    <row r="201" spans="2:19" x14ac:dyDescent="0.15">
      <c r="B201" s="340">
        <v>9</v>
      </c>
      <c r="C201" s="12" t="s">
        <v>298</v>
      </c>
      <c r="D201" s="67">
        <f t="shared" si="151"/>
        <v>0</v>
      </c>
      <c r="E201" s="67">
        <f>E170</f>
        <v>0</v>
      </c>
      <c r="F201" s="67">
        <f t="shared" ref="F201:N201" si="158">F170</f>
        <v>0</v>
      </c>
      <c r="G201" s="67">
        <f t="shared" si="158"/>
        <v>0</v>
      </c>
      <c r="H201" s="67">
        <f t="shared" si="158"/>
        <v>0</v>
      </c>
      <c r="I201" s="67">
        <f t="shared" si="158"/>
        <v>0</v>
      </c>
      <c r="J201" s="67">
        <f t="shared" si="158"/>
        <v>0</v>
      </c>
      <c r="K201" s="67">
        <f t="shared" si="158"/>
        <v>0</v>
      </c>
      <c r="L201" s="67">
        <f t="shared" si="158"/>
        <v>0</v>
      </c>
      <c r="M201" s="67">
        <f t="shared" si="158"/>
        <v>0</v>
      </c>
      <c r="N201" s="67">
        <f t="shared" si="158"/>
        <v>0</v>
      </c>
      <c r="O201" s="67">
        <v>0</v>
      </c>
      <c r="P201" s="326">
        <f t="shared" si="150"/>
        <v>0</v>
      </c>
      <c r="Q201" s="2"/>
      <c r="S201" s="2"/>
    </row>
    <row r="202" spans="2:19" x14ac:dyDescent="0.15">
      <c r="B202" s="340">
        <v>10</v>
      </c>
      <c r="C202" s="12" t="s">
        <v>299</v>
      </c>
      <c r="D202" s="67">
        <f t="shared" si="151"/>
        <v>0</v>
      </c>
      <c r="E202" s="67">
        <f>E199+E200+E201</f>
        <v>52382750</v>
      </c>
      <c r="F202" s="67">
        <f t="shared" ref="F202:N202" si="159">F199+F200+F201</f>
        <v>44028317.375000022</v>
      </c>
      <c r="G202" s="67">
        <f t="shared" si="159"/>
        <v>37251342.415831245</v>
      </c>
      <c r="H202" s="67">
        <f t="shared" si="159"/>
        <v>28013128.716377452</v>
      </c>
      <c r="I202" s="67">
        <f t="shared" si="159"/>
        <v>16687090.24568624</v>
      </c>
      <c r="J202" s="67">
        <f t="shared" si="159"/>
        <v>0</v>
      </c>
      <c r="K202" s="67">
        <f t="shared" si="159"/>
        <v>0</v>
      </c>
      <c r="L202" s="67">
        <f t="shared" si="159"/>
        <v>0</v>
      </c>
      <c r="M202" s="67">
        <f t="shared" si="159"/>
        <v>0</v>
      </c>
      <c r="N202" s="67">
        <f t="shared" si="159"/>
        <v>0</v>
      </c>
      <c r="O202" s="67">
        <v>0</v>
      </c>
      <c r="P202" s="326">
        <f t="shared" si="150"/>
        <v>178362628.75289494</v>
      </c>
      <c r="Q202" s="2"/>
      <c r="S202" s="2"/>
    </row>
    <row r="203" spans="2:19" x14ac:dyDescent="0.15">
      <c r="B203" s="340" t="s">
        <v>699</v>
      </c>
      <c r="C203" s="12" t="s">
        <v>292</v>
      </c>
      <c r="D203" s="67">
        <f t="shared" si="151"/>
        <v>0</v>
      </c>
      <c r="E203" s="67">
        <f>E172</f>
        <v>3772500</v>
      </c>
      <c r="F203" s="67">
        <f t="shared" ref="F203:N203" si="160">F172</f>
        <v>6218850</v>
      </c>
      <c r="G203" s="67">
        <f t="shared" si="160"/>
        <v>4083150</v>
      </c>
      <c r="H203" s="67">
        <f t="shared" si="160"/>
        <v>2775510</v>
      </c>
      <c r="I203" s="67">
        <f t="shared" si="160"/>
        <v>1352955</v>
      </c>
      <c r="J203" s="67">
        <f t="shared" si="160"/>
        <v>0</v>
      </c>
      <c r="K203" s="67">
        <f t="shared" si="160"/>
        <v>0</v>
      </c>
      <c r="L203" s="67">
        <f t="shared" si="160"/>
        <v>0</v>
      </c>
      <c r="M203" s="67">
        <f t="shared" si="160"/>
        <v>0</v>
      </c>
      <c r="N203" s="67">
        <f t="shared" si="160"/>
        <v>0</v>
      </c>
      <c r="O203" s="67">
        <v>0</v>
      </c>
      <c r="P203" s="326">
        <f t="shared" si="150"/>
        <v>18202965</v>
      </c>
      <c r="Q203" s="2"/>
      <c r="S203" s="2"/>
    </row>
    <row r="204" spans="2:19" x14ac:dyDescent="0.15">
      <c r="B204" s="340">
        <v>12</v>
      </c>
      <c r="C204" s="12" t="s">
        <v>301</v>
      </c>
      <c r="D204" s="67">
        <f t="shared" si="151"/>
        <v>0</v>
      </c>
      <c r="E204" s="67">
        <f>E202+E203</f>
        <v>56155250</v>
      </c>
      <c r="F204" s="67">
        <f t="shared" ref="F204:N204" si="161">F202+F203</f>
        <v>50247167.375000022</v>
      </c>
      <c r="G204" s="67">
        <f t="shared" si="161"/>
        <v>41334492.415831245</v>
      </c>
      <c r="H204" s="67">
        <f t="shared" si="161"/>
        <v>30788638.716377452</v>
      </c>
      <c r="I204" s="67">
        <f t="shared" si="161"/>
        <v>18040045.24568624</v>
      </c>
      <c r="J204" s="67">
        <f t="shared" si="161"/>
        <v>0</v>
      </c>
      <c r="K204" s="67">
        <f t="shared" si="161"/>
        <v>0</v>
      </c>
      <c r="L204" s="67">
        <f t="shared" si="161"/>
        <v>0</v>
      </c>
      <c r="M204" s="67">
        <f t="shared" si="161"/>
        <v>0</v>
      </c>
      <c r="N204" s="67">
        <f t="shared" si="161"/>
        <v>0</v>
      </c>
      <c r="O204" s="67">
        <v>0</v>
      </c>
      <c r="P204" s="326">
        <f t="shared" si="150"/>
        <v>196565593.75289494</v>
      </c>
      <c r="Q204" s="2"/>
      <c r="S204" s="2"/>
    </row>
    <row r="205" spans="2:19" x14ac:dyDescent="0.15">
      <c r="B205" s="340" t="s">
        <v>700</v>
      </c>
      <c r="C205" s="12" t="s">
        <v>303</v>
      </c>
      <c r="D205" s="67">
        <f t="shared" si="151"/>
        <v>0</v>
      </c>
      <c r="E205" s="67">
        <f t="shared" ref="E205:N205" si="162">E174</f>
        <v>0</v>
      </c>
      <c r="F205" s="67">
        <f t="shared" si="162"/>
        <v>0</v>
      </c>
      <c r="G205" s="67">
        <f t="shared" si="162"/>
        <v>0</v>
      </c>
      <c r="H205" s="67">
        <f t="shared" si="162"/>
        <v>0</v>
      </c>
      <c r="I205" s="67">
        <f t="shared" si="162"/>
        <v>0</v>
      </c>
      <c r="J205" s="67">
        <f t="shared" si="162"/>
        <v>0</v>
      </c>
      <c r="K205" s="67">
        <f t="shared" si="162"/>
        <v>0</v>
      </c>
      <c r="L205" s="67">
        <f t="shared" si="162"/>
        <v>0</v>
      </c>
      <c r="M205" s="67">
        <f t="shared" si="162"/>
        <v>0</v>
      </c>
      <c r="N205" s="67">
        <f t="shared" si="162"/>
        <v>0</v>
      </c>
      <c r="O205" s="67">
        <v>0</v>
      </c>
      <c r="P205" s="326">
        <f t="shared" si="150"/>
        <v>0</v>
      </c>
      <c r="Q205" s="2"/>
      <c r="S205" s="2"/>
    </row>
    <row r="206" spans="2:19" x14ac:dyDescent="0.15">
      <c r="B206" s="340">
        <v>14</v>
      </c>
      <c r="C206" s="12" t="s">
        <v>304</v>
      </c>
      <c r="D206" s="67">
        <f t="shared" si="151"/>
        <v>-32550000</v>
      </c>
      <c r="E206" s="67">
        <f t="shared" ref="E206:N212" si="163">E175</f>
        <v>0</v>
      </c>
      <c r="F206" s="67">
        <f t="shared" si="163"/>
        <v>0</v>
      </c>
      <c r="G206" s="67">
        <f t="shared" si="163"/>
        <v>0</v>
      </c>
      <c r="H206" s="67">
        <f t="shared" si="163"/>
        <v>0</v>
      </c>
      <c r="I206" s="67">
        <f t="shared" si="163"/>
        <v>14347035</v>
      </c>
      <c r="J206" s="67">
        <f t="shared" si="163"/>
        <v>0</v>
      </c>
      <c r="K206" s="67">
        <f t="shared" si="163"/>
        <v>0</v>
      </c>
      <c r="L206" s="67">
        <f t="shared" si="163"/>
        <v>0</v>
      </c>
      <c r="M206" s="67">
        <f t="shared" si="163"/>
        <v>0</v>
      </c>
      <c r="N206" s="67">
        <f t="shared" si="163"/>
        <v>0</v>
      </c>
      <c r="O206" s="67">
        <v>0</v>
      </c>
      <c r="P206" s="326">
        <f t="shared" si="150"/>
        <v>14347035</v>
      </c>
      <c r="Q206" s="2"/>
      <c r="S206" s="2"/>
    </row>
    <row r="207" spans="2:19" x14ac:dyDescent="0.15">
      <c r="B207" s="340" t="s">
        <v>701</v>
      </c>
      <c r="C207" s="12" t="s">
        <v>207</v>
      </c>
      <c r="D207" s="67">
        <f t="shared" si="151"/>
        <v>-31050000</v>
      </c>
      <c r="E207" s="67">
        <f t="shared" si="163"/>
        <v>0</v>
      </c>
      <c r="F207" s="67">
        <f t="shared" si="163"/>
        <v>0</v>
      </c>
      <c r="G207" s="67">
        <f t="shared" si="163"/>
        <v>0</v>
      </c>
      <c r="H207" s="67">
        <f t="shared" si="163"/>
        <v>0</v>
      </c>
      <c r="I207" s="67">
        <f t="shared" si="163"/>
        <v>12847035</v>
      </c>
      <c r="J207" s="67">
        <f t="shared" si="163"/>
        <v>0</v>
      </c>
      <c r="K207" s="67">
        <f t="shared" si="163"/>
        <v>0</v>
      </c>
      <c r="L207" s="67">
        <f t="shared" si="163"/>
        <v>0</v>
      </c>
      <c r="M207" s="67">
        <f t="shared" si="163"/>
        <v>0</v>
      </c>
      <c r="N207" s="67">
        <f t="shared" si="163"/>
        <v>0</v>
      </c>
      <c r="O207" s="67">
        <v>0</v>
      </c>
      <c r="P207" s="326">
        <f t="shared" si="150"/>
        <v>12847035</v>
      </c>
      <c r="Q207" s="2"/>
      <c r="S207" s="2"/>
    </row>
    <row r="208" spans="2:19" x14ac:dyDescent="0.15">
      <c r="B208" s="340" t="s">
        <v>702</v>
      </c>
      <c r="C208" s="12" t="s">
        <v>307</v>
      </c>
      <c r="D208" s="67">
        <f t="shared" si="151"/>
        <v>-1500000</v>
      </c>
      <c r="E208" s="67">
        <f t="shared" si="163"/>
        <v>0</v>
      </c>
      <c r="F208" s="67">
        <f t="shared" si="163"/>
        <v>0</v>
      </c>
      <c r="G208" s="67">
        <f t="shared" si="163"/>
        <v>0</v>
      </c>
      <c r="H208" s="67">
        <f t="shared" si="163"/>
        <v>0</v>
      </c>
      <c r="I208" s="67">
        <f t="shared" si="163"/>
        <v>1500000</v>
      </c>
      <c r="J208" s="67">
        <f t="shared" si="163"/>
        <v>0</v>
      </c>
      <c r="K208" s="67">
        <f t="shared" si="163"/>
        <v>0</v>
      </c>
      <c r="L208" s="67">
        <f t="shared" si="163"/>
        <v>0</v>
      </c>
      <c r="M208" s="67">
        <f t="shared" si="163"/>
        <v>0</v>
      </c>
      <c r="N208" s="67">
        <f t="shared" si="163"/>
        <v>0</v>
      </c>
      <c r="O208" s="67">
        <v>0</v>
      </c>
      <c r="P208" s="326">
        <f t="shared" si="150"/>
        <v>1500000</v>
      </c>
      <c r="Q208" s="2"/>
      <c r="S208" s="2"/>
    </row>
    <row r="209" spans="1:19" x14ac:dyDescent="0.15">
      <c r="B209" s="340" t="s">
        <v>703</v>
      </c>
      <c r="C209" s="12" t="s">
        <v>309</v>
      </c>
      <c r="D209" s="67">
        <f t="shared" si="151"/>
        <v>0</v>
      </c>
      <c r="E209" s="67">
        <f t="shared" si="163"/>
        <v>0</v>
      </c>
      <c r="F209" s="67">
        <f t="shared" si="163"/>
        <v>0</v>
      </c>
      <c r="G209" s="67">
        <f t="shared" si="163"/>
        <v>0</v>
      </c>
      <c r="H209" s="67">
        <f t="shared" si="163"/>
        <v>0</v>
      </c>
      <c r="I209" s="67">
        <f t="shared" si="163"/>
        <v>0</v>
      </c>
      <c r="J209" s="67">
        <f t="shared" si="163"/>
        <v>0</v>
      </c>
      <c r="K209" s="67">
        <f t="shared" si="163"/>
        <v>0</v>
      </c>
      <c r="L209" s="67">
        <f t="shared" si="163"/>
        <v>0</v>
      </c>
      <c r="M209" s="67">
        <f t="shared" si="163"/>
        <v>0</v>
      </c>
      <c r="N209" s="67">
        <f t="shared" si="163"/>
        <v>0</v>
      </c>
      <c r="O209" s="67">
        <v>0</v>
      </c>
      <c r="P209" s="326">
        <f t="shared" si="150"/>
        <v>0</v>
      </c>
      <c r="Q209" s="2"/>
      <c r="S209" s="2"/>
    </row>
    <row r="210" spans="1:19" x14ac:dyDescent="0.15">
      <c r="B210" s="340" t="s">
        <v>704</v>
      </c>
      <c r="C210" s="12" t="s">
        <v>311</v>
      </c>
      <c r="D210" s="67">
        <f t="shared" si="151"/>
        <v>0</v>
      </c>
      <c r="E210" s="67">
        <f t="shared" si="163"/>
        <v>0</v>
      </c>
      <c r="F210" s="67">
        <f t="shared" si="163"/>
        <v>0</v>
      </c>
      <c r="G210" s="67">
        <f t="shared" si="163"/>
        <v>0</v>
      </c>
      <c r="H210" s="67">
        <f t="shared" si="163"/>
        <v>0</v>
      </c>
      <c r="I210" s="67">
        <f t="shared" si="163"/>
        <v>-2596968.7000000002</v>
      </c>
      <c r="J210" s="67">
        <f t="shared" si="163"/>
        <v>0</v>
      </c>
      <c r="K210" s="67">
        <f t="shared" si="163"/>
        <v>0</v>
      </c>
      <c r="L210" s="67">
        <f t="shared" si="163"/>
        <v>0</v>
      </c>
      <c r="M210" s="67">
        <f t="shared" si="163"/>
        <v>0</v>
      </c>
      <c r="N210" s="67">
        <f t="shared" si="163"/>
        <v>0</v>
      </c>
      <c r="O210" s="67">
        <v>0</v>
      </c>
      <c r="P210" s="326">
        <f t="shared" si="150"/>
        <v>-2596968.7000000002</v>
      </c>
      <c r="Q210" s="2"/>
      <c r="S210" s="2"/>
    </row>
    <row r="211" spans="1:19" ht="14" thickBot="1" x14ac:dyDescent="0.2">
      <c r="B211" s="340" t="s">
        <v>705</v>
      </c>
      <c r="C211" s="12" t="s">
        <v>115</v>
      </c>
      <c r="D211" s="67">
        <f t="shared" si="151"/>
        <v>-60000000</v>
      </c>
      <c r="E211" s="67">
        <f t="shared" si="163"/>
        <v>0</v>
      </c>
      <c r="F211" s="67">
        <f t="shared" si="163"/>
        <v>0</v>
      </c>
      <c r="G211" s="67">
        <f t="shared" si="163"/>
        <v>0</v>
      </c>
      <c r="H211" s="67">
        <f t="shared" si="163"/>
        <v>0</v>
      </c>
      <c r="I211" s="67">
        <f t="shared" si="163"/>
        <v>60000000</v>
      </c>
      <c r="J211" s="67">
        <f t="shared" si="163"/>
        <v>0</v>
      </c>
      <c r="K211" s="67">
        <f t="shared" si="163"/>
        <v>0</v>
      </c>
      <c r="L211" s="67">
        <f t="shared" si="163"/>
        <v>0</v>
      </c>
      <c r="M211" s="67">
        <f t="shared" si="163"/>
        <v>0</v>
      </c>
      <c r="N211" s="67">
        <f t="shared" si="163"/>
        <v>0</v>
      </c>
      <c r="O211" s="67">
        <v>0</v>
      </c>
      <c r="P211" s="326">
        <f t="shared" si="150"/>
        <v>60000000</v>
      </c>
      <c r="Q211" s="2"/>
      <c r="S211" s="2"/>
    </row>
    <row r="212" spans="1:19" x14ac:dyDescent="0.15">
      <c r="B212" s="340">
        <v>17</v>
      </c>
      <c r="C212" s="12" t="s">
        <v>313</v>
      </c>
      <c r="D212" s="67">
        <f t="shared" si="151"/>
        <v>-92550000</v>
      </c>
      <c r="E212" s="67">
        <f t="shared" si="163"/>
        <v>0</v>
      </c>
      <c r="F212" s="67">
        <f t="shared" si="163"/>
        <v>0</v>
      </c>
      <c r="G212" s="67">
        <f t="shared" si="163"/>
        <v>0</v>
      </c>
      <c r="H212" s="67">
        <f t="shared" si="163"/>
        <v>0</v>
      </c>
      <c r="I212" s="67">
        <f t="shared" si="163"/>
        <v>71750066.299999997</v>
      </c>
      <c r="J212" s="67">
        <f t="shared" si="163"/>
        <v>0</v>
      </c>
      <c r="K212" s="67">
        <f t="shared" si="163"/>
        <v>0</v>
      </c>
      <c r="L212" s="67">
        <f t="shared" si="163"/>
        <v>0</v>
      </c>
      <c r="M212" s="67">
        <f t="shared" si="163"/>
        <v>0</v>
      </c>
      <c r="N212" s="67">
        <f t="shared" si="163"/>
        <v>0</v>
      </c>
      <c r="O212" s="67">
        <v>0</v>
      </c>
      <c r="P212" s="326">
        <f t="shared" si="150"/>
        <v>71750066.299999997</v>
      </c>
      <c r="Q212" s="461"/>
      <c r="R212" s="357" t="s">
        <v>693</v>
      </c>
      <c r="S212" s="2"/>
    </row>
    <row r="213" spans="1:19" ht="14" thickBot="1" x14ac:dyDescent="0.2">
      <c r="A213" s="1" t="s">
        <v>709</v>
      </c>
      <c r="B213" s="355">
        <v>18</v>
      </c>
      <c r="C213" s="335" t="s">
        <v>314</v>
      </c>
      <c r="D213" s="67">
        <f t="shared" si="151"/>
        <v>-92550000</v>
      </c>
      <c r="E213" s="331">
        <f t="shared" ref="E213:N213" si="164">E212+E204</f>
        <v>56155250</v>
      </c>
      <c r="F213" s="331">
        <f t="shared" si="164"/>
        <v>50247167.375000022</v>
      </c>
      <c r="G213" s="331">
        <f t="shared" si="164"/>
        <v>41334492.415831245</v>
      </c>
      <c r="H213" s="331">
        <f t="shared" si="164"/>
        <v>30788638.716377452</v>
      </c>
      <c r="I213" s="331">
        <f t="shared" si="164"/>
        <v>89790111.545686245</v>
      </c>
      <c r="J213" s="331">
        <f t="shared" si="164"/>
        <v>0</v>
      </c>
      <c r="K213" s="331">
        <f t="shared" si="164"/>
        <v>0</v>
      </c>
      <c r="L213" s="331">
        <f t="shared" si="164"/>
        <v>0</v>
      </c>
      <c r="M213" s="331">
        <f t="shared" si="164"/>
        <v>0</v>
      </c>
      <c r="N213" s="331">
        <f t="shared" si="164"/>
        <v>0</v>
      </c>
      <c r="O213" s="331">
        <v>0</v>
      </c>
      <c r="P213" s="356">
        <f t="shared" si="150"/>
        <v>268315660.05289495</v>
      </c>
      <c r="Q213" s="463"/>
      <c r="R213" s="358">
        <f>IF(ISNUMBER(IRR(D213:N213)),IRR(D213:N213),"NMF")</f>
        <v>0.48101985873725517</v>
      </c>
      <c r="S213" s="1" t="s">
        <v>709</v>
      </c>
    </row>
    <row r="214" spans="1:19" x14ac:dyDescent="0.15">
      <c r="S214" s="2"/>
    </row>
    <row r="215" spans="1:19" ht="14" thickBot="1" x14ac:dyDescent="0.2">
      <c r="S215" s="2"/>
    </row>
    <row r="216" spans="1:19" ht="14" thickBot="1" x14ac:dyDescent="0.2">
      <c r="B216" s="359" t="s">
        <v>282</v>
      </c>
      <c r="C216" s="360" t="s">
        <v>283</v>
      </c>
      <c r="D216" s="360"/>
      <c r="E216" s="360">
        <v>1</v>
      </c>
      <c r="F216" s="360">
        <v>2</v>
      </c>
      <c r="G216" s="360">
        <v>3</v>
      </c>
      <c r="H216" s="360">
        <v>4</v>
      </c>
      <c r="I216" s="360">
        <v>5</v>
      </c>
      <c r="J216" s="360">
        <v>6</v>
      </c>
      <c r="K216" s="360">
        <v>7</v>
      </c>
      <c r="L216" s="360">
        <v>8</v>
      </c>
      <c r="M216" s="360">
        <v>9</v>
      </c>
      <c r="N216" s="360">
        <v>10</v>
      </c>
      <c r="O216" s="360" t="s">
        <v>284</v>
      </c>
      <c r="P216" s="361" t="s">
        <v>285</v>
      </c>
      <c r="S216" s="2"/>
    </row>
    <row r="217" spans="1:19" x14ac:dyDescent="0.15">
      <c r="B217" s="339" t="s">
        <v>687</v>
      </c>
      <c r="C217" s="302" t="s">
        <v>287</v>
      </c>
      <c r="D217" s="322">
        <f t="shared" ref="D217:D222" si="165">D158</f>
        <v>0</v>
      </c>
      <c r="E217" s="322">
        <f t="shared" ref="E217:N217" si="166">E158</f>
        <v>300000000</v>
      </c>
      <c r="F217" s="322">
        <f t="shared" si="166"/>
        <v>313500000.00000006</v>
      </c>
      <c r="G217" s="322">
        <f t="shared" si="166"/>
        <v>327607500.00000006</v>
      </c>
      <c r="H217" s="322">
        <f t="shared" si="166"/>
        <v>342349837.50000012</v>
      </c>
      <c r="I217" s="322">
        <f t="shared" si="166"/>
        <v>357755580.18750012</v>
      </c>
      <c r="J217" s="322">
        <f t="shared" si="166"/>
        <v>0</v>
      </c>
      <c r="K217" s="322">
        <f t="shared" si="166"/>
        <v>0</v>
      </c>
      <c r="L217" s="322">
        <f t="shared" si="166"/>
        <v>0</v>
      </c>
      <c r="M217" s="322">
        <f t="shared" si="166"/>
        <v>0</v>
      </c>
      <c r="N217" s="322">
        <f t="shared" si="166"/>
        <v>0</v>
      </c>
      <c r="O217" s="322">
        <v>0</v>
      </c>
      <c r="P217" s="325">
        <f>SUM(E217:N217)</f>
        <v>1641212917.6875</v>
      </c>
      <c r="Q217" s="2"/>
      <c r="S217" s="2"/>
    </row>
    <row r="218" spans="1:19" x14ac:dyDescent="0.15">
      <c r="A218" s="1" t="s">
        <v>710</v>
      </c>
      <c r="B218" s="355" t="s">
        <v>689</v>
      </c>
      <c r="C218" s="362" t="s">
        <v>689</v>
      </c>
      <c r="D218" s="331">
        <f t="shared" si="165"/>
        <v>0</v>
      </c>
      <c r="E218" s="331">
        <f>Revenues!D7*Revenues!D8*1.1</f>
        <v>330000000</v>
      </c>
      <c r="F218" s="331">
        <f>Revenues!E7*Revenues!E8*1.1</f>
        <v>344850000.00000012</v>
      </c>
      <c r="G218" s="331">
        <f>Revenues!F7*Revenues!F8*1.1</f>
        <v>360368250.00000012</v>
      </c>
      <c r="H218" s="331">
        <f>Revenues!G7*Revenues!G8*1.1</f>
        <v>376584821.25000018</v>
      </c>
      <c r="I218" s="331">
        <f>Revenues!H7*Revenues!H8*1.1</f>
        <v>393531138.20625019</v>
      </c>
      <c r="J218" s="331">
        <f>Revenues!I7*Revenues!I8*1.1</f>
        <v>0</v>
      </c>
      <c r="K218" s="331">
        <f>Revenues!J7*Revenues!J8*1.1</f>
        <v>0</v>
      </c>
      <c r="L218" s="331">
        <f>Revenues!K7*Revenues!K8*1.1</f>
        <v>0</v>
      </c>
      <c r="M218" s="331">
        <f>Revenues!L7*Revenues!L8*1.1</f>
        <v>0</v>
      </c>
      <c r="N218" s="331">
        <f>Revenues!M7*Revenues!M8*1.1</f>
        <v>0</v>
      </c>
      <c r="O218" s="331"/>
      <c r="P218" s="356">
        <f>SUM(E218:N218)</f>
        <v>1805334209.4562507</v>
      </c>
      <c r="Q218" s="460"/>
      <c r="S218" s="2"/>
    </row>
    <row r="219" spans="1:19" x14ac:dyDescent="0.15">
      <c r="B219" s="340" t="s">
        <v>690</v>
      </c>
      <c r="C219" s="354" t="s">
        <v>690</v>
      </c>
      <c r="D219" s="67">
        <f t="shared" si="165"/>
        <v>0</v>
      </c>
      <c r="E219" s="67">
        <f>E160</f>
        <v>0</v>
      </c>
      <c r="F219" s="67">
        <f t="shared" ref="F219:N219" si="167">F160</f>
        <v>0</v>
      </c>
      <c r="G219" s="67">
        <f t="shared" si="167"/>
        <v>0</v>
      </c>
      <c r="H219" s="67">
        <f t="shared" si="167"/>
        <v>0</v>
      </c>
      <c r="I219" s="67">
        <f t="shared" si="167"/>
        <v>0</v>
      </c>
      <c r="J219" s="67">
        <f t="shared" si="167"/>
        <v>0</v>
      </c>
      <c r="K219" s="67">
        <f t="shared" si="167"/>
        <v>0</v>
      </c>
      <c r="L219" s="67">
        <f t="shared" si="167"/>
        <v>0</v>
      </c>
      <c r="M219" s="67">
        <f t="shared" si="167"/>
        <v>0</v>
      </c>
      <c r="N219" s="67">
        <f t="shared" si="167"/>
        <v>0</v>
      </c>
      <c r="O219" s="289"/>
      <c r="P219" s="326">
        <f>SUM(E219:N219)</f>
        <v>0</v>
      </c>
      <c r="Q219" s="2"/>
      <c r="S219" s="2"/>
    </row>
    <row r="220" spans="1:19" x14ac:dyDescent="0.15">
      <c r="B220" s="340" t="s">
        <v>691</v>
      </c>
      <c r="C220" s="354" t="s">
        <v>691</v>
      </c>
      <c r="D220" s="67">
        <f t="shared" si="165"/>
        <v>0</v>
      </c>
      <c r="E220" s="67">
        <f>E161</f>
        <v>0</v>
      </c>
      <c r="F220" s="67">
        <f t="shared" ref="F220:N220" si="168">F161</f>
        <v>0</v>
      </c>
      <c r="G220" s="67">
        <f t="shared" si="168"/>
        <v>0</v>
      </c>
      <c r="H220" s="67">
        <f t="shared" si="168"/>
        <v>0</v>
      </c>
      <c r="I220" s="67">
        <f t="shared" si="168"/>
        <v>0</v>
      </c>
      <c r="J220" s="67">
        <f t="shared" si="168"/>
        <v>0</v>
      </c>
      <c r="K220" s="67">
        <f t="shared" si="168"/>
        <v>0</v>
      </c>
      <c r="L220" s="67">
        <f t="shared" si="168"/>
        <v>0</v>
      </c>
      <c r="M220" s="67">
        <f t="shared" si="168"/>
        <v>0</v>
      </c>
      <c r="N220" s="67">
        <f t="shared" si="168"/>
        <v>0</v>
      </c>
      <c r="O220" s="67"/>
      <c r="P220" s="326">
        <f>SUM(E220:N220)</f>
        <v>0</v>
      </c>
      <c r="Q220" s="2"/>
      <c r="S220" s="2"/>
    </row>
    <row r="221" spans="1:19" x14ac:dyDescent="0.15">
      <c r="B221" s="340" t="s">
        <v>695</v>
      </c>
      <c r="C221" s="12"/>
      <c r="D221" s="67">
        <f t="shared" si="165"/>
        <v>0</v>
      </c>
      <c r="E221" s="67">
        <f>E218+E219+E220</f>
        <v>330000000</v>
      </c>
      <c r="F221" s="67">
        <f t="shared" ref="F221:N221" si="169">F218+F219+F220</f>
        <v>344850000.00000012</v>
      </c>
      <c r="G221" s="67">
        <f t="shared" si="169"/>
        <v>360368250.00000012</v>
      </c>
      <c r="H221" s="67">
        <f t="shared" si="169"/>
        <v>376584821.25000018</v>
      </c>
      <c r="I221" s="67">
        <f t="shared" si="169"/>
        <v>393531138.20625019</v>
      </c>
      <c r="J221" s="67">
        <f t="shared" si="169"/>
        <v>0</v>
      </c>
      <c r="K221" s="67">
        <f t="shared" si="169"/>
        <v>0</v>
      </c>
      <c r="L221" s="67">
        <f t="shared" si="169"/>
        <v>0</v>
      </c>
      <c r="M221" s="67">
        <f t="shared" si="169"/>
        <v>0</v>
      </c>
      <c r="N221" s="67">
        <f t="shared" si="169"/>
        <v>0</v>
      </c>
      <c r="O221" s="67"/>
      <c r="P221" s="326">
        <f t="shared" ref="P221:P241" si="170">SUM(E221:N221)</f>
        <v>1805334209.4562507</v>
      </c>
      <c r="Q221" s="2"/>
      <c r="S221" s="2"/>
    </row>
    <row r="222" spans="1:19" x14ac:dyDescent="0.15">
      <c r="B222" s="340" t="s">
        <v>696</v>
      </c>
      <c r="C222" s="12" t="s">
        <v>289</v>
      </c>
      <c r="D222" s="67">
        <f t="shared" si="165"/>
        <v>0</v>
      </c>
      <c r="E222" s="67">
        <f>(Expenses!D18*1.1)+Expenses!D25+Expenses!D32+(Expenses!D39*1.1)+Expenses!D44+Expenses!D49+Expenses!D56+Expenses!D95-Expenses!D77</f>
        <v>242620000</v>
      </c>
      <c r="F222" s="67">
        <f>(Expenses!E18*1.1)+Expenses!E25+Expenses!E32+(Expenses!E39*1.1)+Expenses!E44+Expenses!E49+Expenses!E56+Expenses!E95-Expenses!E77</f>
        <v>267098732.50000006</v>
      </c>
      <c r="G222" s="67">
        <f>(Expenses!F18*1.1)+Expenses!F25+Expenses!F32+(Expenses!F39*1.1)+Expenses!F44+Expenses!F49+Expenses!F56+Expenses!F95-Expenses!F77</f>
        <v>294651324.64637512</v>
      </c>
      <c r="H222" s="67">
        <f>(Expenses!G18*1.1)+Expenses!G25+Expenses!G32+(Expenses!G39*1.1)+Expenses!G44+Expenses!G49+Expenses!G56+Expenses!G95-Expenses!G77</f>
        <v>325680153.07105088</v>
      </c>
      <c r="I222" s="67">
        <f>(Expenses!H18*1.1)+Expenses!H25+Expenses!H32+(Expenses!H39*1.1)+Expenses!H44+Expenses!H49+Expenses!H56+Expenses!H95-Expenses!H77</f>
        <v>360640841.33121657</v>
      </c>
      <c r="J222" s="67">
        <f>(Expenses!I18*1.1)+Expenses!I25+Expenses!I32+(Expenses!I39*1.1)+Expenses!I44+Expenses!I49+Expenses!I56+Expenses!I95-Expenses!I77</f>
        <v>0</v>
      </c>
      <c r="K222" s="67">
        <f>(Expenses!J18*1.1)+Expenses!J25+Expenses!J32+(Expenses!J39*1.1)+Expenses!J44+Expenses!J49+Expenses!J56+Expenses!J95-Expenses!J77</f>
        <v>0</v>
      </c>
      <c r="L222" s="67">
        <f>(Expenses!K18*1.1)+Expenses!K25+Expenses!K32+(Expenses!K39*1.1)+Expenses!K44+Expenses!K49+Expenses!K56+Expenses!K95-Expenses!K77</f>
        <v>0</v>
      </c>
      <c r="M222" s="67">
        <f>(Expenses!L18*1.1)+Expenses!L25+Expenses!L32+(Expenses!L39*1.1)+Expenses!L44+Expenses!L49+Expenses!L56+Expenses!L95-Expenses!L77</f>
        <v>0</v>
      </c>
      <c r="N222" s="67">
        <f>(Expenses!M18*1.1)+Expenses!M25+Expenses!M32+(Expenses!M39*1.1)+Expenses!M44+Expenses!M49+Expenses!M56+Expenses!M95-Expenses!M77</f>
        <v>0</v>
      </c>
      <c r="O222" s="67">
        <v>0</v>
      </c>
      <c r="P222" s="326">
        <f t="shared" si="170"/>
        <v>1490691051.5486426</v>
      </c>
      <c r="Q222" s="2"/>
      <c r="S222" s="2"/>
    </row>
    <row r="223" spans="1:19" x14ac:dyDescent="0.15">
      <c r="B223" s="340">
        <v>3</v>
      </c>
      <c r="C223" s="12" t="s">
        <v>290</v>
      </c>
      <c r="D223" s="67">
        <f t="shared" ref="D223:D241" si="171">D164</f>
        <v>0</v>
      </c>
      <c r="E223" s="67">
        <f>E221-E222</f>
        <v>87380000</v>
      </c>
      <c r="F223" s="67">
        <f t="shared" ref="F223:N223" si="172">F221-F222</f>
        <v>77751267.50000006</v>
      </c>
      <c r="G223" s="67">
        <f t="shared" si="172"/>
        <v>65716925.353625</v>
      </c>
      <c r="H223" s="67">
        <f t="shared" si="172"/>
        <v>50904668.178949296</v>
      </c>
      <c r="I223" s="67">
        <f t="shared" si="172"/>
        <v>32890296.875033617</v>
      </c>
      <c r="J223" s="67">
        <f t="shared" si="172"/>
        <v>0</v>
      </c>
      <c r="K223" s="67">
        <f t="shared" si="172"/>
        <v>0</v>
      </c>
      <c r="L223" s="67">
        <f t="shared" si="172"/>
        <v>0</v>
      </c>
      <c r="M223" s="67">
        <f t="shared" si="172"/>
        <v>0</v>
      </c>
      <c r="N223" s="67">
        <f t="shared" si="172"/>
        <v>0</v>
      </c>
      <c r="O223" s="67">
        <v>0</v>
      </c>
      <c r="P223" s="326">
        <f t="shared" si="170"/>
        <v>314643157.90760797</v>
      </c>
      <c r="Q223" s="2"/>
      <c r="S223" s="2"/>
    </row>
    <row r="224" spans="1:19" x14ac:dyDescent="0.15">
      <c r="B224" s="340" t="s">
        <v>697</v>
      </c>
      <c r="C224" s="12" t="s">
        <v>292</v>
      </c>
      <c r="D224" s="67">
        <f t="shared" si="171"/>
        <v>0</v>
      </c>
      <c r="E224" s="67">
        <f>E165</f>
        <v>3772500</v>
      </c>
      <c r="F224" s="67">
        <f t="shared" ref="F224:N224" si="173">F165</f>
        <v>6218850</v>
      </c>
      <c r="G224" s="67">
        <f t="shared" si="173"/>
        <v>4083150</v>
      </c>
      <c r="H224" s="67">
        <f t="shared" si="173"/>
        <v>2775510</v>
      </c>
      <c r="I224" s="67">
        <f t="shared" si="173"/>
        <v>1352955</v>
      </c>
      <c r="J224" s="67">
        <f t="shared" si="173"/>
        <v>0</v>
      </c>
      <c r="K224" s="67">
        <f t="shared" si="173"/>
        <v>0</v>
      </c>
      <c r="L224" s="67">
        <f t="shared" si="173"/>
        <v>0</v>
      </c>
      <c r="M224" s="67">
        <f t="shared" si="173"/>
        <v>0</v>
      </c>
      <c r="N224" s="67">
        <f t="shared" si="173"/>
        <v>0</v>
      </c>
      <c r="O224" s="67">
        <v>0</v>
      </c>
      <c r="P224" s="326">
        <f t="shared" si="170"/>
        <v>18202965</v>
      </c>
      <c r="Q224" s="2"/>
      <c r="S224" s="2"/>
    </row>
    <row r="225" spans="2:19" x14ac:dyDescent="0.15">
      <c r="B225" s="340">
        <v>5</v>
      </c>
      <c r="C225" s="12" t="s">
        <v>293</v>
      </c>
      <c r="D225" s="67">
        <f t="shared" si="171"/>
        <v>0</v>
      </c>
      <c r="E225" s="67">
        <f>E223-E224</f>
        <v>83607500</v>
      </c>
      <c r="F225" s="67">
        <f t="shared" ref="F225:N225" si="174">F223-F224</f>
        <v>71532417.50000006</v>
      </c>
      <c r="G225" s="67">
        <f t="shared" si="174"/>
        <v>61633775.353625</v>
      </c>
      <c r="H225" s="67">
        <f t="shared" si="174"/>
        <v>48129158.178949296</v>
      </c>
      <c r="I225" s="67">
        <f t="shared" si="174"/>
        <v>31537341.875033617</v>
      </c>
      <c r="J225" s="67">
        <f t="shared" si="174"/>
        <v>0</v>
      </c>
      <c r="K225" s="67">
        <f t="shared" si="174"/>
        <v>0</v>
      </c>
      <c r="L225" s="67">
        <f t="shared" si="174"/>
        <v>0</v>
      </c>
      <c r="M225" s="67">
        <f t="shared" si="174"/>
        <v>0</v>
      </c>
      <c r="N225" s="67">
        <f t="shared" si="174"/>
        <v>0</v>
      </c>
      <c r="O225" s="67">
        <v>0</v>
      </c>
      <c r="P225" s="326">
        <f t="shared" si="170"/>
        <v>296440192.90760797</v>
      </c>
      <c r="Q225" s="2"/>
      <c r="S225" s="2"/>
    </row>
    <row r="226" spans="2:19" x14ac:dyDescent="0.15">
      <c r="B226" s="340" t="s">
        <v>698</v>
      </c>
      <c r="C226" s="12" t="s">
        <v>295</v>
      </c>
      <c r="D226" s="67">
        <f t="shared" si="171"/>
        <v>0</v>
      </c>
      <c r="E226" s="67">
        <f>E167</f>
        <v>0</v>
      </c>
      <c r="F226" s="67">
        <f t="shared" ref="F226:N226" si="175">F167</f>
        <v>0</v>
      </c>
      <c r="G226" s="67">
        <f t="shared" si="175"/>
        <v>0</v>
      </c>
      <c r="H226" s="67">
        <f t="shared" si="175"/>
        <v>0</v>
      </c>
      <c r="I226" s="67">
        <f t="shared" si="175"/>
        <v>0</v>
      </c>
      <c r="J226" s="67">
        <f t="shared" si="175"/>
        <v>0</v>
      </c>
      <c r="K226" s="67">
        <f t="shared" si="175"/>
        <v>0</v>
      </c>
      <c r="L226" s="67">
        <f t="shared" si="175"/>
        <v>0</v>
      </c>
      <c r="M226" s="67">
        <f t="shared" si="175"/>
        <v>0</v>
      </c>
      <c r="N226" s="67">
        <f t="shared" si="175"/>
        <v>0</v>
      </c>
      <c r="O226" s="67">
        <v>0</v>
      </c>
      <c r="P226" s="326">
        <f t="shared" si="170"/>
        <v>0</v>
      </c>
      <c r="Q226" s="2"/>
      <c r="S226" s="2"/>
    </row>
    <row r="227" spans="2:19" x14ac:dyDescent="0.15">
      <c r="B227" s="340">
        <v>7</v>
      </c>
      <c r="C227" s="12" t="s">
        <v>296</v>
      </c>
      <c r="D227" s="67">
        <f t="shared" si="171"/>
        <v>0</v>
      </c>
      <c r="E227" s="67">
        <f>E225-E226</f>
        <v>83607500</v>
      </c>
      <c r="F227" s="67">
        <f t="shared" ref="F227:N227" si="176">F225-F226</f>
        <v>71532417.50000006</v>
      </c>
      <c r="G227" s="67">
        <f t="shared" si="176"/>
        <v>61633775.353625</v>
      </c>
      <c r="H227" s="67">
        <f t="shared" si="176"/>
        <v>48129158.178949296</v>
      </c>
      <c r="I227" s="67">
        <f t="shared" si="176"/>
        <v>31537341.875033617</v>
      </c>
      <c r="J227" s="67">
        <f t="shared" si="176"/>
        <v>0</v>
      </c>
      <c r="K227" s="67">
        <f t="shared" si="176"/>
        <v>0</v>
      </c>
      <c r="L227" s="67">
        <f t="shared" si="176"/>
        <v>0</v>
      </c>
      <c r="M227" s="67">
        <f t="shared" si="176"/>
        <v>0</v>
      </c>
      <c r="N227" s="67">
        <f t="shared" si="176"/>
        <v>0</v>
      </c>
      <c r="O227" s="67">
        <v>0</v>
      </c>
      <c r="P227" s="326">
        <f t="shared" si="170"/>
        <v>296440192.90760797</v>
      </c>
      <c r="Q227" s="2"/>
      <c r="S227" s="2"/>
    </row>
    <row r="228" spans="2:19" x14ac:dyDescent="0.15">
      <c r="B228" s="340">
        <v>8</v>
      </c>
      <c r="C228" s="12" t="s">
        <v>297</v>
      </c>
      <c r="D228" s="67">
        <f t="shared" si="171"/>
        <v>0</v>
      </c>
      <c r="E228" s="67">
        <f>-E227*$D$3</f>
        <v>-25082250</v>
      </c>
      <c r="F228" s="67">
        <f t="shared" ref="F228:N228" si="177">-F227*$D$3</f>
        <v>-21459725.250000019</v>
      </c>
      <c r="G228" s="67">
        <f t="shared" si="177"/>
        <v>-18490132.606087498</v>
      </c>
      <c r="H228" s="67">
        <f t="shared" si="177"/>
        <v>-14438747.453684788</v>
      </c>
      <c r="I228" s="67">
        <f t="shared" si="177"/>
        <v>-9461202.5625100844</v>
      </c>
      <c r="J228" s="67">
        <f t="shared" si="177"/>
        <v>0</v>
      </c>
      <c r="K228" s="67">
        <f t="shared" si="177"/>
        <v>0</v>
      </c>
      <c r="L228" s="67">
        <f t="shared" si="177"/>
        <v>0</v>
      </c>
      <c r="M228" s="67">
        <f t="shared" si="177"/>
        <v>0</v>
      </c>
      <c r="N228" s="67">
        <f t="shared" si="177"/>
        <v>0</v>
      </c>
      <c r="O228" s="67">
        <v>0</v>
      </c>
      <c r="P228" s="326">
        <f t="shared" si="170"/>
        <v>-88932057.872282386</v>
      </c>
      <c r="Q228" s="2"/>
      <c r="S228" s="2"/>
    </row>
    <row r="229" spans="2:19" x14ac:dyDescent="0.15">
      <c r="B229" s="340">
        <v>9</v>
      </c>
      <c r="C229" s="12" t="s">
        <v>298</v>
      </c>
      <c r="D229" s="67">
        <f t="shared" si="171"/>
        <v>0</v>
      </c>
      <c r="E229" s="67">
        <f>E170</f>
        <v>0</v>
      </c>
      <c r="F229" s="67">
        <f t="shared" ref="F229:N229" si="178">F170</f>
        <v>0</v>
      </c>
      <c r="G229" s="67">
        <f t="shared" si="178"/>
        <v>0</v>
      </c>
      <c r="H229" s="67">
        <f t="shared" si="178"/>
        <v>0</v>
      </c>
      <c r="I229" s="67">
        <f t="shared" si="178"/>
        <v>0</v>
      </c>
      <c r="J229" s="67">
        <f t="shared" si="178"/>
        <v>0</v>
      </c>
      <c r="K229" s="67">
        <f t="shared" si="178"/>
        <v>0</v>
      </c>
      <c r="L229" s="67">
        <f t="shared" si="178"/>
        <v>0</v>
      </c>
      <c r="M229" s="67">
        <f t="shared" si="178"/>
        <v>0</v>
      </c>
      <c r="N229" s="67">
        <f t="shared" si="178"/>
        <v>0</v>
      </c>
      <c r="O229" s="67">
        <v>0</v>
      </c>
      <c r="P229" s="326">
        <f t="shared" si="170"/>
        <v>0</v>
      </c>
      <c r="Q229" s="2"/>
      <c r="S229" s="2"/>
    </row>
    <row r="230" spans="2:19" x14ac:dyDescent="0.15">
      <c r="B230" s="340">
        <v>10</v>
      </c>
      <c r="C230" s="12" t="s">
        <v>299</v>
      </c>
      <c r="D230" s="67">
        <f t="shared" si="171"/>
        <v>0</v>
      </c>
      <c r="E230" s="67">
        <f>E227+E228+E229</f>
        <v>58525250</v>
      </c>
      <c r="F230" s="67">
        <f t="shared" ref="F230:N230" si="179">F227+F228+F229</f>
        <v>50072692.250000045</v>
      </c>
      <c r="G230" s="67">
        <f t="shared" si="179"/>
        <v>43143642.747537501</v>
      </c>
      <c r="H230" s="67">
        <f t="shared" si="179"/>
        <v>33690410.725264505</v>
      </c>
      <c r="I230" s="67">
        <f t="shared" si="179"/>
        <v>22076139.312523533</v>
      </c>
      <c r="J230" s="67">
        <f t="shared" si="179"/>
        <v>0</v>
      </c>
      <c r="K230" s="67">
        <f t="shared" si="179"/>
        <v>0</v>
      </c>
      <c r="L230" s="67">
        <f t="shared" si="179"/>
        <v>0</v>
      </c>
      <c r="M230" s="67">
        <f t="shared" si="179"/>
        <v>0</v>
      </c>
      <c r="N230" s="67">
        <f t="shared" si="179"/>
        <v>0</v>
      </c>
      <c r="O230" s="67">
        <v>0</v>
      </c>
      <c r="P230" s="326">
        <f t="shared" si="170"/>
        <v>207508135.03532559</v>
      </c>
      <c r="Q230" s="2"/>
      <c r="S230" s="2"/>
    </row>
    <row r="231" spans="2:19" x14ac:dyDescent="0.15">
      <c r="B231" s="340" t="s">
        <v>699</v>
      </c>
      <c r="C231" s="12" t="s">
        <v>292</v>
      </c>
      <c r="D231" s="67">
        <f t="shared" si="171"/>
        <v>0</v>
      </c>
      <c r="E231" s="67">
        <f>E172</f>
        <v>3772500</v>
      </c>
      <c r="F231" s="67">
        <f t="shared" ref="F231:N231" si="180">F172</f>
        <v>6218850</v>
      </c>
      <c r="G231" s="67">
        <f t="shared" si="180"/>
        <v>4083150</v>
      </c>
      <c r="H231" s="67">
        <f t="shared" si="180"/>
        <v>2775510</v>
      </c>
      <c r="I231" s="67">
        <f t="shared" si="180"/>
        <v>1352955</v>
      </c>
      <c r="J231" s="67">
        <f t="shared" si="180"/>
        <v>0</v>
      </c>
      <c r="K231" s="67">
        <f t="shared" si="180"/>
        <v>0</v>
      </c>
      <c r="L231" s="67">
        <f t="shared" si="180"/>
        <v>0</v>
      </c>
      <c r="M231" s="67">
        <f t="shared" si="180"/>
        <v>0</v>
      </c>
      <c r="N231" s="67">
        <f t="shared" si="180"/>
        <v>0</v>
      </c>
      <c r="O231" s="67">
        <v>0</v>
      </c>
      <c r="P231" s="326">
        <f t="shared" si="170"/>
        <v>18202965</v>
      </c>
      <c r="Q231" s="2"/>
      <c r="S231" s="2"/>
    </row>
    <row r="232" spans="2:19" x14ac:dyDescent="0.15">
      <c r="B232" s="340">
        <v>12</v>
      </c>
      <c r="C232" s="12" t="s">
        <v>301</v>
      </c>
      <c r="D232" s="67">
        <f t="shared" si="171"/>
        <v>0</v>
      </c>
      <c r="E232" s="67">
        <f>E230+E231</f>
        <v>62297750</v>
      </c>
      <c r="F232" s="67">
        <f t="shared" ref="F232:N232" si="181">F230+F231</f>
        <v>56291542.250000045</v>
      </c>
      <c r="G232" s="67">
        <f t="shared" si="181"/>
        <v>47226792.747537501</v>
      </c>
      <c r="H232" s="67">
        <f t="shared" si="181"/>
        <v>36465920.725264505</v>
      </c>
      <c r="I232" s="67">
        <f t="shared" si="181"/>
        <v>23429094.312523533</v>
      </c>
      <c r="J232" s="67">
        <f t="shared" si="181"/>
        <v>0</v>
      </c>
      <c r="K232" s="67">
        <f t="shared" si="181"/>
        <v>0</v>
      </c>
      <c r="L232" s="67">
        <f t="shared" si="181"/>
        <v>0</v>
      </c>
      <c r="M232" s="67">
        <f t="shared" si="181"/>
        <v>0</v>
      </c>
      <c r="N232" s="67">
        <f t="shared" si="181"/>
        <v>0</v>
      </c>
      <c r="O232" s="67">
        <v>0</v>
      </c>
      <c r="P232" s="326">
        <f t="shared" si="170"/>
        <v>225711100.03532559</v>
      </c>
      <c r="Q232" s="2"/>
      <c r="S232" s="2"/>
    </row>
    <row r="233" spans="2:19" x14ac:dyDescent="0.15">
      <c r="B233" s="340" t="s">
        <v>700</v>
      </c>
      <c r="C233" s="12" t="s">
        <v>303</v>
      </c>
      <c r="D233" s="67">
        <f t="shared" si="171"/>
        <v>0</v>
      </c>
      <c r="E233" s="67">
        <f t="shared" ref="E233:N233" si="182">E174</f>
        <v>0</v>
      </c>
      <c r="F233" s="67">
        <f t="shared" si="182"/>
        <v>0</v>
      </c>
      <c r="G233" s="67">
        <f t="shared" si="182"/>
        <v>0</v>
      </c>
      <c r="H233" s="67">
        <f t="shared" si="182"/>
        <v>0</v>
      </c>
      <c r="I233" s="67">
        <f t="shared" si="182"/>
        <v>0</v>
      </c>
      <c r="J233" s="67">
        <f t="shared" si="182"/>
        <v>0</v>
      </c>
      <c r="K233" s="67">
        <f t="shared" si="182"/>
        <v>0</v>
      </c>
      <c r="L233" s="67">
        <f t="shared" si="182"/>
        <v>0</v>
      </c>
      <c r="M233" s="67">
        <f t="shared" si="182"/>
        <v>0</v>
      </c>
      <c r="N233" s="67">
        <f t="shared" si="182"/>
        <v>0</v>
      </c>
      <c r="O233" s="67">
        <v>0</v>
      </c>
      <c r="P233" s="326">
        <f t="shared" si="170"/>
        <v>0</v>
      </c>
      <c r="Q233" s="2"/>
      <c r="S233" s="2"/>
    </row>
    <row r="234" spans="2:19" x14ac:dyDescent="0.15">
      <c r="B234" s="340">
        <v>14</v>
      </c>
      <c r="C234" s="12" t="s">
        <v>304</v>
      </c>
      <c r="D234" s="67">
        <f t="shared" si="171"/>
        <v>-32550000</v>
      </c>
      <c r="E234" s="67">
        <f t="shared" ref="E234:N240" si="183">E175</f>
        <v>0</v>
      </c>
      <c r="F234" s="67">
        <f t="shared" si="183"/>
        <v>0</v>
      </c>
      <c r="G234" s="67">
        <f t="shared" si="183"/>
        <v>0</v>
      </c>
      <c r="H234" s="67">
        <f t="shared" si="183"/>
        <v>0</v>
      </c>
      <c r="I234" s="67">
        <f t="shared" si="183"/>
        <v>14347035</v>
      </c>
      <c r="J234" s="67">
        <f t="shared" si="183"/>
        <v>0</v>
      </c>
      <c r="K234" s="67">
        <f t="shared" si="183"/>
        <v>0</v>
      </c>
      <c r="L234" s="67">
        <f t="shared" si="183"/>
        <v>0</v>
      </c>
      <c r="M234" s="67">
        <f t="shared" si="183"/>
        <v>0</v>
      </c>
      <c r="N234" s="67">
        <f t="shared" si="183"/>
        <v>0</v>
      </c>
      <c r="O234" s="67">
        <v>0</v>
      </c>
      <c r="P234" s="326">
        <f t="shared" si="170"/>
        <v>14347035</v>
      </c>
      <c r="Q234" s="2"/>
      <c r="S234" s="2"/>
    </row>
    <row r="235" spans="2:19" x14ac:dyDescent="0.15">
      <c r="B235" s="340" t="s">
        <v>701</v>
      </c>
      <c r="C235" s="12" t="s">
        <v>207</v>
      </c>
      <c r="D235" s="67">
        <f t="shared" si="171"/>
        <v>-31050000</v>
      </c>
      <c r="E235" s="67">
        <f t="shared" si="183"/>
        <v>0</v>
      </c>
      <c r="F235" s="67">
        <f t="shared" si="183"/>
        <v>0</v>
      </c>
      <c r="G235" s="67">
        <f t="shared" si="183"/>
        <v>0</v>
      </c>
      <c r="H235" s="67">
        <f t="shared" si="183"/>
        <v>0</v>
      </c>
      <c r="I235" s="67">
        <f t="shared" si="183"/>
        <v>12847035</v>
      </c>
      <c r="J235" s="67">
        <f t="shared" si="183"/>
        <v>0</v>
      </c>
      <c r="K235" s="67">
        <f t="shared" si="183"/>
        <v>0</v>
      </c>
      <c r="L235" s="67">
        <f t="shared" si="183"/>
        <v>0</v>
      </c>
      <c r="M235" s="67">
        <f t="shared" si="183"/>
        <v>0</v>
      </c>
      <c r="N235" s="67">
        <f t="shared" si="183"/>
        <v>0</v>
      </c>
      <c r="O235" s="67">
        <v>0</v>
      </c>
      <c r="P235" s="326">
        <f t="shared" si="170"/>
        <v>12847035</v>
      </c>
      <c r="Q235" s="2"/>
      <c r="S235" s="2"/>
    </row>
    <row r="236" spans="2:19" x14ac:dyDescent="0.15">
      <c r="B236" s="340" t="s">
        <v>702</v>
      </c>
      <c r="C236" s="12" t="s">
        <v>307</v>
      </c>
      <c r="D236" s="67">
        <f t="shared" si="171"/>
        <v>-1500000</v>
      </c>
      <c r="E236" s="67">
        <f t="shared" si="183"/>
        <v>0</v>
      </c>
      <c r="F236" s="67">
        <f t="shared" si="183"/>
        <v>0</v>
      </c>
      <c r="G236" s="67">
        <f t="shared" si="183"/>
        <v>0</v>
      </c>
      <c r="H236" s="67">
        <f t="shared" si="183"/>
        <v>0</v>
      </c>
      <c r="I236" s="67">
        <f t="shared" si="183"/>
        <v>1500000</v>
      </c>
      <c r="J236" s="67">
        <f t="shared" si="183"/>
        <v>0</v>
      </c>
      <c r="K236" s="67">
        <f t="shared" si="183"/>
        <v>0</v>
      </c>
      <c r="L236" s="67">
        <f t="shared" si="183"/>
        <v>0</v>
      </c>
      <c r="M236" s="67">
        <f t="shared" si="183"/>
        <v>0</v>
      </c>
      <c r="N236" s="67">
        <f t="shared" si="183"/>
        <v>0</v>
      </c>
      <c r="O236" s="67">
        <v>0</v>
      </c>
      <c r="P236" s="326">
        <f t="shared" si="170"/>
        <v>1500000</v>
      </c>
      <c r="Q236" s="2"/>
      <c r="S236" s="2"/>
    </row>
    <row r="237" spans="2:19" x14ac:dyDescent="0.15">
      <c r="B237" s="340" t="s">
        <v>703</v>
      </c>
      <c r="C237" s="12" t="s">
        <v>309</v>
      </c>
      <c r="D237" s="67">
        <f t="shared" si="171"/>
        <v>0</v>
      </c>
      <c r="E237" s="67">
        <f t="shared" si="183"/>
        <v>0</v>
      </c>
      <c r="F237" s="67">
        <f t="shared" si="183"/>
        <v>0</v>
      </c>
      <c r="G237" s="67">
        <f t="shared" si="183"/>
        <v>0</v>
      </c>
      <c r="H237" s="67">
        <f t="shared" si="183"/>
        <v>0</v>
      </c>
      <c r="I237" s="67">
        <f t="shared" si="183"/>
        <v>0</v>
      </c>
      <c r="J237" s="67">
        <f t="shared" si="183"/>
        <v>0</v>
      </c>
      <c r="K237" s="67">
        <f t="shared" si="183"/>
        <v>0</v>
      </c>
      <c r="L237" s="67">
        <f t="shared" si="183"/>
        <v>0</v>
      </c>
      <c r="M237" s="67">
        <f t="shared" si="183"/>
        <v>0</v>
      </c>
      <c r="N237" s="67">
        <f t="shared" si="183"/>
        <v>0</v>
      </c>
      <c r="O237" s="67">
        <v>0</v>
      </c>
      <c r="P237" s="326">
        <f t="shared" si="170"/>
        <v>0</v>
      </c>
      <c r="Q237" s="2"/>
      <c r="S237" s="2"/>
    </row>
    <row r="238" spans="2:19" x14ac:dyDescent="0.15">
      <c r="B238" s="340" t="s">
        <v>704</v>
      </c>
      <c r="C238" s="12" t="s">
        <v>311</v>
      </c>
      <c r="D238" s="67">
        <f t="shared" si="171"/>
        <v>0</v>
      </c>
      <c r="E238" s="67">
        <f t="shared" si="183"/>
        <v>0</v>
      </c>
      <c r="F238" s="67">
        <f t="shared" si="183"/>
        <v>0</v>
      </c>
      <c r="G238" s="67">
        <f t="shared" si="183"/>
        <v>0</v>
      </c>
      <c r="H238" s="67">
        <f t="shared" si="183"/>
        <v>0</v>
      </c>
      <c r="I238" s="67">
        <f t="shared" si="183"/>
        <v>-2596968.7000000002</v>
      </c>
      <c r="J238" s="67">
        <f t="shared" si="183"/>
        <v>0</v>
      </c>
      <c r="K238" s="67">
        <f t="shared" si="183"/>
        <v>0</v>
      </c>
      <c r="L238" s="67">
        <f t="shared" si="183"/>
        <v>0</v>
      </c>
      <c r="M238" s="67">
        <f t="shared" si="183"/>
        <v>0</v>
      </c>
      <c r="N238" s="67">
        <f t="shared" si="183"/>
        <v>0</v>
      </c>
      <c r="O238" s="67">
        <v>0</v>
      </c>
      <c r="P238" s="326">
        <f t="shared" si="170"/>
        <v>-2596968.7000000002</v>
      </c>
      <c r="Q238" s="2"/>
      <c r="S238" s="2"/>
    </row>
    <row r="239" spans="2:19" ht="14" thickBot="1" x14ac:dyDescent="0.2">
      <c r="B239" s="340" t="s">
        <v>705</v>
      </c>
      <c r="C239" s="12" t="s">
        <v>115</v>
      </c>
      <c r="D239" s="67">
        <f t="shared" si="171"/>
        <v>-60000000</v>
      </c>
      <c r="E239" s="67">
        <f t="shared" si="183"/>
        <v>0</v>
      </c>
      <c r="F239" s="67">
        <f t="shared" si="183"/>
        <v>0</v>
      </c>
      <c r="G239" s="67">
        <f t="shared" si="183"/>
        <v>0</v>
      </c>
      <c r="H239" s="67">
        <f t="shared" si="183"/>
        <v>0</v>
      </c>
      <c r="I239" s="67">
        <f t="shared" si="183"/>
        <v>60000000</v>
      </c>
      <c r="J239" s="67">
        <f t="shared" si="183"/>
        <v>0</v>
      </c>
      <c r="K239" s="67">
        <f t="shared" si="183"/>
        <v>0</v>
      </c>
      <c r="L239" s="67">
        <f t="shared" si="183"/>
        <v>0</v>
      </c>
      <c r="M239" s="67">
        <f t="shared" si="183"/>
        <v>0</v>
      </c>
      <c r="N239" s="67">
        <f t="shared" si="183"/>
        <v>0</v>
      </c>
      <c r="O239" s="67">
        <v>0</v>
      </c>
      <c r="P239" s="326">
        <f t="shared" si="170"/>
        <v>60000000</v>
      </c>
      <c r="Q239" s="2"/>
      <c r="S239" s="2"/>
    </row>
    <row r="240" spans="2:19" x14ac:dyDescent="0.15">
      <c r="B240" s="340">
        <v>17</v>
      </c>
      <c r="C240" s="12" t="s">
        <v>313</v>
      </c>
      <c r="D240" s="67">
        <f t="shared" si="171"/>
        <v>-92550000</v>
      </c>
      <c r="E240" s="67">
        <f t="shared" si="183"/>
        <v>0</v>
      </c>
      <c r="F240" s="67">
        <f t="shared" si="183"/>
        <v>0</v>
      </c>
      <c r="G240" s="67">
        <f t="shared" si="183"/>
        <v>0</v>
      </c>
      <c r="H240" s="67">
        <f t="shared" si="183"/>
        <v>0</v>
      </c>
      <c r="I240" s="67">
        <f t="shared" si="183"/>
        <v>71750066.299999997</v>
      </c>
      <c r="J240" s="67">
        <f t="shared" si="183"/>
        <v>0</v>
      </c>
      <c r="K240" s="67">
        <f t="shared" si="183"/>
        <v>0</v>
      </c>
      <c r="L240" s="67">
        <f t="shared" si="183"/>
        <v>0</v>
      </c>
      <c r="M240" s="67">
        <f t="shared" si="183"/>
        <v>0</v>
      </c>
      <c r="N240" s="67">
        <f t="shared" si="183"/>
        <v>0</v>
      </c>
      <c r="O240" s="67">
        <v>0</v>
      </c>
      <c r="P240" s="326">
        <f t="shared" si="170"/>
        <v>71750066.299999997</v>
      </c>
      <c r="Q240" s="461"/>
      <c r="R240" s="357" t="s">
        <v>693</v>
      </c>
      <c r="S240" s="2"/>
    </row>
    <row r="241" spans="1:19" ht="14" thickBot="1" x14ac:dyDescent="0.2">
      <c r="A241" s="1" t="s">
        <v>710</v>
      </c>
      <c r="B241" s="355">
        <v>18</v>
      </c>
      <c r="C241" s="335" t="s">
        <v>314</v>
      </c>
      <c r="D241" s="67">
        <f t="shared" si="171"/>
        <v>-92550000</v>
      </c>
      <c r="E241" s="331">
        <f t="shared" ref="E241:N241" si="184">E240+E232</f>
        <v>62297750</v>
      </c>
      <c r="F241" s="331">
        <f t="shared" si="184"/>
        <v>56291542.250000045</v>
      </c>
      <c r="G241" s="331">
        <f t="shared" si="184"/>
        <v>47226792.747537501</v>
      </c>
      <c r="H241" s="331">
        <f t="shared" si="184"/>
        <v>36465920.725264505</v>
      </c>
      <c r="I241" s="331">
        <f t="shared" si="184"/>
        <v>95179160.612523526</v>
      </c>
      <c r="J241" s="331">
        <f t="shared" si="184"/>
        <v>0</v>
      </c>
      <c r="K241" s="331">
        <f t="shared" si="184"/>
        <v>0</v>
      </c>
      <c r="L241" s="331">
        <f t="shared" si="184"/>
        <v>0</v>
      </c>
      <c r="M241" s="331">
        <f t="shared" si="184"/>
        <v>0</v>
      </c>
      <c r="N241" s="331">
        <f t="shared" si="184"/>
        <v>0</v>
      </c>
      <c r="O241" s="331">
        <v>0</v>
      </c>
      <c r="P241" s="356">
        <f t="shared" si="170"/>
        <v>297461166.3353256</v>
      </c>
      <c r="Q241" s="463"/>
      <c r="R241" s="358">
        <f>IF(ISNUMBER(IRR(D241:N241)),IRR(D241:N241),"NMF")</f>
        <v>0.55545177637144438</v>
      </c>
      <c r="S241" s="1" t="s">
        <v>710</v>
      </c>
    </row>
    <row r="242" spans="1:19" x14ac:dyDescent="0.15">
      <c r="S242" s="2"/>
    </row>
    <row r="243" spans="1:19" ht="14" thickBot="1" x14ac:dyDescent="0.2">
      <c r="S243" s="2"/>
    </row>
    <row r="244" spans="1:19" ht="14" thickBot="1" x14ac:dyDescent="0.2">
      <c r="B244" s="359" t="s">
        <v>282</v>
      </c>
      <c r="C244" s="360" t="s">
        <v>283</v>
      </c>
      <c r="D244" s="360"/>
      <c r="E244" s="360">
        <v>1</v>
      </c>
      <c r="F244" s="360">
        <v>2</v>
      </c>
      <c r="G244" s="360">
        <v>3</v>
      </c>
      <c r="H244" s="360">
        <v>4</v>
      </c>
      <c r="I244" s="360">
        <v>5</v>
      </c>
      <c r="J244" s="360">
        <v>6</v>
      </c>
      <c r="K244" s="360">
        <v>7</v>
      </c>
      <c r="L244" s="360">
        <v>8</v>
      </c>
      <c r="M244" s="360">
        <v>9</v>
      </c>
      <c r="N244" s="360">
        <v>10</v>
      </c>
      <c r="O244" s="360" t="s">
        <v>284</v>
      </c>
      <c r="P244" s="361" t="s">
        <v>285</v>
      </c>
      <c r="S244" s="2"/>
    </row>
    <row r="245" spans="1:19" x14ac:dyDescent="0.15">
      <c r="B245" s="339" t="s">
        <v>687</v>
      </c>
      <c r="C245" s="302" t="s">
        <v>287</v>
      </c>
      <c r="D245" s="322">
        <f t="shared" ref="D245:D250" si="185">D158</f>
        <v>0</v>
      </c>
      <c r="E245" s="322">
        <f t="shared" ref="E245:N245" si="186">E158</f>
        <v>300000000</v>
      </c>
      <c r="F245" s="322">
        <f t="shared" si="186"/>
        <v>313500000.00000006</v>
      </c>
      <c r="G245" s="322">
        <f t="shared" si="186"/>
        <v>327607500.00000006</v>
      </c>
      <c r="H245" s="322">
        <f t="shared" si="186"/>
        <v>342349837.50000012</v>
      </c>
      <c r="I245" s="322">
        <f t="shared" si="186"/>
        <v>357755580.18750012</v>
      </c>
      <c r="J245" s="322">
        <f t="shared" si="186"/>
        <v>0</v>
      </c>
      <c r="K245" s="322">
        <f t="shared" si="186"/>
        <v>0</v>
      </c>
      <c r="L245" s="322">
        <f t="shared" si="186"/>
        <v>0</v>
      </c>
      <c r="M245" s="322">
        <f t="shared" si="186"/>
        <v>0</v>
      </c>
      <c r="N245" s="322">
        <f t="shared" si="186"/>
        <v>0</v>
      </c>
      <c r="O245" s="322">
        <v>0</v>
      </c>
      <c r="P245" s="325">
        <f>SUM(E245:N245)</f>
        <v>1641212917.6875</v>
      </c>
      <c r="Q245" s="2"/>
      <c r="S245" s="2"/>
    </row>
    <row r="246" spans="1:19" x14ac:dyDescent="0.15">
      <c r="A246" s="1" t="s">
        <v>711</v>
      </c>
      <c r="B246" s="355" t="s">
        <v>689</v>
      </c>
      <c r="C246" s="362" t="s">
        <v>689</v>
      </c>
      <c r="D246" s="331">
        <f t="shared" si="185"/>
        <v>0</v>
      </c>
      <c r="E246" s="331">
        <f>Revenues!D7*Revenues!D8*1.15</f>
        <v>345000000</v>
      </c>
      <c r="F246" s="331">
        <f>Revenues!E7*Revenues!E8*1.15</f>
        <v>360525000.00000006</v>
      </c>
      <c r="G246" s="331">
        <f>Revenues!F7*Revenues!F8*1.15</f>
        <v>376748625.00000006</v>
      </c>
      <c r="H246" s="331">
        <f>Revenues!G7*Revenues!G8*1.15</f>
        <v>393702313.12500012</v>
      </c>
      <c r="I246" s="331">
        <f>Revenues!H7*Revenues!H8*1.15</f>
        <v>411418917.21562511</v>
      </c>
      <c r="J246" s="331">
        <f>Revenues!I7*Revenues!I8*1.15</f>
        <v>0</v>
      </c>
      <c r="K246" s="331">
        <f>Revenues!J7*Revenues!J8*1.15</f>
        <v>0</v>
      </c>
      <c r="L246" s="331">
        <f>Revenues!K7*Revenues!K8*1.15</f>
        <v>0</v>
      </c>
      <c r="M246" s="331">
        <f>Revenues!L7*Revenues!L8*1.15</f>
        <v>0</v>
      </c>
      <c r="N246" s="331">
        <f>Revenues!M7*Revenues!M8*1.15</f>
        <v>0</v>
      </c>
      <c r="O246" s="331"/>
      <c r="P246" s="356">
        <f>SUM(E246:N246)</f>
        <v>1887394855.340625</v>
      </c>
      <c r="Q246" s="460"/>
      <c r="S246" s="2"/>
    </row>
    <row r="247" spans="1:19" x14ac:dyDescent="0.15">
      <c r="B247" s="340" t="s">
        <v>690</v>
      </c>
      <c r="C247" s="354" t="s">
        <v>690</v>
      </c>
      <c r="D247" s="67">
        <f t="shared" si="185"/>
        <v>0</v>
      </c>
      <c r="E247" s="67">
        <f>E160</f>
        <v>0</v>
      </c>
      <c r="F247" s="67">
        <f t="shared" ref="F247:N247" si="187">F160</f>
        <v>0</v>
      </c>
      <c r="G247" s="67">
        <f t="shared" si="187"/>
        <v>0</v>
      </c>
      <c r="H247" s="67">
        <f t="shared" si="187"/>
        <v>0</v>
      </c>
      <c r="I247" s="67">
        <f t="shared" si="187"/>
        <v>0</v>
      </c>
      <c r="J247" s="67">
        <f t="shared" si="187"/>
        <v>0</v>
      </c>
      <c r="K247" s="67">
        <f t="shared" si="187"/>
        <v>0</v>
      </c>
      <c r="L247" s="67">
        <f t="shared" si="187"/>
        <v>0</v>
      </c>
      <c r="M247" s="67">
        <f t="shared" si="187"/>
        <v>0</v>
      </c>
      <c r="N247" s="67">
        <f t="shared" si="187"/>
        <v>0</v>
      </c>
      <c r="O247" s="289"/>
      <c r="P247" s="326">
        <f>SUM(E247:N247)</f>
        <v>0</v>
      </c>
      <c r="Q247" s="2"/>
      <c r="S247" s="2"/>
    </row>
    <row r="248" spans="1:19" x14ac:dyDescent="0.15">
      <c r="B248" s="340" t="s">
        <v>691</v>
      </c>
      <c r="C248" s="354" t="s">
        <v>691</v>
      </c>
      <c r="D248" s="67">
        <f t="shared" si="185"/>
        <v>0</v>
      </c>
      <c r="E248" s="67">
        <f>E161</f>
        <v>0</v>
      </c>
      <c r="F248" s="67">
        <f t="shared" ref="F248:N248" si="188">F161</f>
        <v>0</v>
      </c>
      <c r="G248" s="67">
        <f t="shared" si="188"/>
        <v>0</v>
      </c>
      <c r="H248" s="67">
        <f t="shared" si="188"/>
        <v>0</v>
      </c>
      <c r="I248" s="67">
        <f t="shared" si="188"/>
        <v>0</v>
      </c>
      <c r="J248" s="67">
        <f t="shared" si="188"/>
        <v>0</v>
      </c>
      <c r="K248" s="67">
        <f t="shared" si="188"/>
        <v>0</v>
      </c>
      <c r="L248" s="67">
        <f t="shared" si="188"/>
        <v>0</v>
      </c>
      <c r="M248" s="67">
        <f t="shared" si="188"/>
        <v>0</v>
      </c>
      <c r="N248" s="67">
        <f t="shared" si="188"/>
        <v>0</v>
      </c>
      <c r="O248" s="67"/>
      <c r="P248" s="326">
        <f>SUM(E248:N248)</f>
        <v>0</v>
      </c>
      <c r="Q248" s="2"/>
      <c r="S248" s="2"/>
    </row>
    <row r="249" spans="1:19" x14ac:dyDescent="0.15">
      <c r="B249" s="340" t="s">
        <v>695</v>
      </c>
      <c r="C249" s="12"/>
      <c r="D249" s="67">
        <f t="shared" si="185"/>
        <v>0</v>
      </c>
      <c r="E249" s="67">
        <f>E248+E247+E246</f>
        <v>345000000</v>
      </c>
      <c r="F249" s="67">
        <f t="shared" ref="F249:N249" si="189">F248+F247+F246</f>
        <v>360525000.00000006</v>
      </c>
      <c r="G249" s="67">
        <f t="shared" si="189"/>
        <v>376748625.00000006</v>
      </c>
      <c r="H249" s="67">
        <f t="shared" si="189"/>
        <v>393702313.12500012</v>
      </c>
      <c r="I249" s="67">
        <f t="shared" si="189"/>
        <v>411418917.21562511</v>
      </c>
      <c r="J249" s="67">
        <f t="shared" si="189"/>
        <v>0</v>
      </c>
      <c r="K249" s="67">
        <f t="shared" si="189"/>
        <v>0</v>
      </c>
      <c r="L249" s="67">
        <f t="shared" si="189"/>
        <v>0</v>
      </c>
      <c r="M249" s="67">
        <f t="shared" si="189"/>
        <v>0</v>
      </c>
      <c r="N249" s="67">
        <f t="shared" si="189"/>
        <v>0</v>
      </c>
      <c r="O249" s="67"/>
      <c r="P249" s="326">
        <f t="shared" ref="P249:P269" si="190">SUM(E249:N249)</f>
        <v>1887394855.340625</v>
      </c>
      <c r="Q249" s="2"/>
      <c r="S249" s="2"/>
    </row>
    <row r="250" spans="1:19" x14ac:dyDescent="0.15">
      <c r="B250" s="340" t="s">
        <v>696</v>
      </c>
      <c r="C250" s="12" t="s">
        <v>289</v>
      </c>
      <c r="D250" s="67">
        <f t="shared" si="185"/>
        <v>0</v>
      </c>
      <c r="E250" s="67">
        <f>(Expenses!D18*1.15)+Expenses!D25+Expenses!D32+(Expenses!D39*1.15)+Expenses!D44+Expenses!D49+Expenses!D56+Expenses!D95-Expenses!D77</f>
        <v>248845000</v>
      </c>
      <c r="F250" s="67">
        <f>(Expenses!E18*1.15)+Expenses!E25+Expenses!E32+(Expenses!E39*1.15)+Expenses!E44+Expenses!E49+Expenses!E56+Expenses!E95-Expenses!E77</f>
        <v>274138911.25</v>
      </c>
      <c r="G250" s="67">
        <f>(Expenses!F18*1.15)+Expenses!F25+Expenses!F32+(Expenses!F39*1.15)+Expenses!F44+Expenses!F49+Expenses!F56+Expenses!F95-Expenses!F77</f>
        <v>302614127.74393755</v>
      </c>
      <c r="H250" s="67">
        <f>(Expenses!G18*1.15)+Expenses!G25+Expenses!G32+(Expenses!G39*1.15)+Expenses!G44+Expenses!G49+Expenses!G56+Expenses!G95-Expenses!G77</f>
        <v>334687242.07621223</v>
      </c>
      <c r="I250" s="67">
        <f>(Expenses!H18*1.15)+Expenses!H25+Expenses!H32+(Expenses!H39*1.15)+Expenses!H44+Expenses!H49+Expenses!H56+Expenses!H95-Expenses!H77</f>
        <v>370829978.81653833</v>
      </c>
      <c r="J250" s="67">
        <f>(Expenses!I18*1.15)+Expenses!I25+Expenses!I32+(Expenses!I39*1.15)+Expenses!I44+Expenses!I49+Expenses!I56+Expenses!I95-Expenses!I77</f>
        <v>0</v>
      </c>
      <c r="K250" s="67">
        <f>(Expenses!J18*1.15)+Expenses!J25+Expenses!J32+(Expenses!J39*1.15)+Expenses!J44+Expenses!J49+Expenses!J56+Expenses!J95-Expenses!J77</f>
        <v>0</v>
      </c>
      <c r="L250" s="67">
        <f>(Expenses!K18*1.15)+Expenses!K25+Expenses!K32+(Expenses!K39*1.15)+Expenses!K44+Expenses!K49+Expenses!K56+Expenses!K95-Expenses!K77</f>
        <v>0</v>
      </c>
      <c r="M250" s="67">
        <f>(Expenses!L18*1.15)+Expenses!L25+Expenses!L32+(Expenses!L39*1.15)+Expenses!L44+Expenses!L49+Expenses!L56+Expenses!L95-Expenses!L77</f>
        <v>0</v>
      </c>
      <c r="N250" s="67">
        <f>(Expenses!M18*1.15)+Expenses!M25+Expenses!M32+(Expenses!M39*1.15)+Expenses!M44+Expenses!M49+Expenses!M56+Expenses!M95-Expenses!M77</f>
        <v>0</v>
      </c>
      <c r="O250" s="67">
        <v>0</v>
      </c>
      <c r="P250" s="326">
        <f t="shared" si="190"/>
        <v>1531115259.886688</v>
      </c>
      <c r="Q250" s="2"/>
      <c r="S250" s="2"/>
    </row>
    <row r="251" spans="1:19" x14ac:dyDescent="0.15">
      <c r="B251" s="340">
        <v>3</v>
      </c>
      <c r="C251" s="12" t="s">
        <v>290</v>
      </c>
      <c r="D251" s="67">
        <f t="shared" ref="D251:D269" si="191">D164</f>
        <v>0</v>
      </c>
      <c r="E251" s="67">
        <f>E249-E250</f>
        <v>96155000</v>
      </c>
      <c r="F251" s="67">
        <f t="shared" ref="F251:N251" si="192">F249-F250</f>
        <v>86386088.75000006</v>
      </c>
      <c r="G251" s="67">
        <f t="shared" si="192"/>
        <v>74134497.256062508</v>
      </c>
      <c r="H251" s="67">
        <f t="shared" si="192"/>
        <v>59015071.048787892</v>
      </c>
      <c r="I251" s="67">
        <f t="shared" si="192"/>
        <v>40588938.399086773</v>
      </c>
      <c r="J251" s="67">
        <f t="shared" si="192"/>
        <v>0</v>
      </c>
      <c r="K251" s="67">
        <f t="shared" si="192"/>
        <v>0</v>
      </c>
      <c r="L251" s="67">
        <f t="shared" si="192"/>
        <v>0</v>
      </c>
      <c r="M251" s="67">
        <f t="shared" si="192"/>
        <v>0</v>
      </c>
      <c r="N251" s="67">
        <f t="shared" si="192"/>
        <v>0</v>
      </c>
      <c r="O251" s="67">
        <v>0</v>
      </c>
      <c r="P251" s="326">
        <f t="shared" si="190"/>
        <v>356279595.45393723</v>
      </c>
      <c r="Q251" s="2"/>
      <c r="S251" s="2"/>
    </row>
    <row r="252" spans="1:19" x14ac:dyDescent="0.15">
      <c r="B252" s="340" t="s">
        <v>697</v>
      </c>
      <c r="C252" s="12" t="s">
        <v>292</v>
      </c>
      <c r="D252" s="67">
        <f t="shared" si="191"/>
        <v>0</v>
      </c>
      <c r="E252" s="67">
        <f>E165</f>
        <v>3772500</v>
      </c>
      <c r="F252" s="67">
        <f t="shared" ref="F252:N252" si="193">F165</f>
        <v>6218850</v>
      </c>
      <c r="G252" s="67">
        <f t="shared" si="193"/>
        <v>4083150</v>
      </c>
      <c r="H252" s="67">
        <f t="shared" si="193"/>
        <v>2775510</v>
      </c>
      <c r="I252" s="67">
        <f t="shared" si="193"/>
        <v>1352955</v>
      </c>
      <c r="J252" s="67">
        <f t="shared" si="193"/>
        <v>0</v>
      </c>
      <c r="K252" s="67">
        <f t="shared" si="193"/>
        <v>0</v>
      </c>
      <c r="L252" s="67">
        <f t="shared" si="193"/>
        <v>0</v>
      </c>
      <c r="M252" s="67">
        <f t="shared" si="193"/>
        <v>0</v>
      </c>
      <c r="N252" s="67">
        <f t="shared" si="193"/>
        <v>0</v>
      </c>
      <c r="O252" s="67">
        <v>0</v>
      </c>
      <c r="P252" s="326">
        <f t="shared" si="190"/>
        <v>18202965</v>
      </c>
      <c r="Q252" s="2"/>
      <c r="S252" s="2"/>
    </row>
    <row r="253" spans="1:19" x14ac:dyDescent="0.15">
      <c r="B253" s="340">
        <v>5</v>
      </c>
      <c r="C253" s="12" t="s">
        <v>293</v>
      </c>
      <c r="D253" s="67">
        <f t="shared" si="191"/>
        <v>0</v>
      </c>
      <c r="E253" s="67">
        <f>E251-E252</f>
        <v>92382500</v>
      </c>
      <c r="F253" s="67">
        <f t="shared" ref="F253:N253" si="194">F251-F252</f>
        <v>80167238.75000006</v>
      </c>
      <c r="G253" s="67">
        <f t="shared" si="194"/>
        <v>70051347.256062508</v>
      </c>
      <c r="H253" s="67">
        <f t="shared" si="194"/>
        <v>56239561.048787892</v>
      </c>
      <c r="I253" s="67">
        <f t="shared" si="194"/>
        <v>39235983.399086773</v>
      </c>
      <c r="J253" s="67">
        <f t="shared" si="194"/>
        <v>0</v>
      </c>
      <c r="K253" s="67">
        <f t="shared" si="194"/>
        <v>0</v>
      </c>
      <c r="L253" s="67">
        <f t="shared" si="194"/>
        <v>0</v>
      </c>
      <c r="M253" s="67">
        <f t="shared" si="194"/>
        <v>0</v>
      </c>
      <c r="N253" s="67">
        <f t="shared" si="194"/>
        <v>0</v>
      </c>
      <c r="O253" s="67">
        <v>0</v>
      </c>
      <c r="P253" s="326">
        <f t="shared" si="190"/>
        <v>338076630.45393723</v>
      </c>
      <c r="Q253" s="2"/>
      <c r="S253" s="2"/>
    </row>
    <row r="254" spans="1:19" x14ac:dyDescent="0.15">
      <c r="B254" s="340" t="s">
        <v>698</v>
      </c>
      <c r="C254" s="12" t="s">
        <v>295</v>
      </c>
      <c r="D254" s="67">
        <f t="shared" si="191"/>
        <v>0</v>
      </c>
      <c r="E254" s="67">
        <f>E167</f>
        <v>0</v>
      </c>
      <c r="F254" s="67">
        <f t="shared" ref="F254:N254" si="195">F167</f>
        <v>0</v>
      </c>
      <c r="G254" s="67">
        <f t="shared" si="195"/>
        <v>0</v>
      </c>
      <c r="H254" s="67">
        <f t="shared" si="195"/>
        <v>0</v>
      </c>
      <c r="I254" s="67">
        <f t="shared" si="195"/>
        <v>0</v>
      </c>
      <c r="J254" s="67">
        <f t="shared" si="195"/>
        <v>0</v>
      </c>
      <c r="K254" s="67">
        <f t="shared" si="195"/>
        <v>0</v>
      </c>
      <c r="L254" s="67">
        <f t="shared" si="195"/>
        <v>0</v>
      </c>
      <c r="M254" s="67">
        <f t="shared" si="195"/>
        <v>0</v>
      </c>
      <c r="N254" s="67">
        <f t="shared" si="195"/>
        <v>0</v>
      </c>
      <c r="O254" s="67">
        <v>0</v>
      </c>
      <c r="P254" s="326">
        <f t="shared" si="190"/>
        <v>0</v>
      </c>
      <c r="Q254" s="2"/>
      <c r="S254" s="2"/>
    </row>
    <row r="255" spans="1:19" x14ac:dyDescent="0.15">
      <c r="B255" s="340">
        <v>7</v>
      </c>
      <c r="C255" s="12" t="s">
        <v>296</v>
      </c>
      <c r="D255" s="67">
        <f t="shared" si="191"/>
        <v>0</v>
      </c>
      <c r="E255" s="67">
        <f>E253-E254</f>
        <v>92382500</v>
      </c>
      <c r="F255" s="67">
        <f t="shared" ref="F255:N255" si="196">F253-F254</f>
        <v>80167238.75000006</v>
      </c>
      <c r="G255" s="67">
        <f t="shared" si="196"/>
        <v>70051347.256062508</v>
      </c>
      <c r="H255" s="67">
        <f t="shared" si="196"/>
        <v>56239561.048787892</v>
      </c>
      <c r="I255" s="67">
        <f t="shared" si="196"/>
        <v>39235983.399086773</v>
      </c>
      <c r="J255" s="67">
        <f t="shared" si="196"/>
        <v>0</v>
      </c>
      <c r="K255" s="67">
        <f t="shared" si="196"/>
        <v>0</v>
      </c>
      <c r="L255" s="67">
        <f t="shared" si="196"/>
        <v>0</v>
      </c>
      <c r="M255" s="67">
        <f t="shared" si="196"/>
        <v>0</v>
      </c>
      <c r="N255" s="67">
        <f t="shared" si="196"/>
        <v>0</v>
      </c>
      <c r="O255" s="67">
        <v>0</v>
      </c>
      <c r="P255" s="326">
        <f t="shared" si="190"/>
        <v>338076630.45393723</v>
      </c>
      <c r="Q255" s="2"/>
      <c r="S255" s="2"/>
    </row>
    <row r="256" spans="1:19" x14ac:dyDescent="0.15">
      <c r="B256" s="340">
        <v>8</v>
      </c>
      <c r="C256" s="12" t="s">
        <v>297</v>
      </c>
      <c r="D256" s="67">
        <f t="shared" si="191"/>
        <v>0</v>
      </c>
      <c r="E256" s="67">
        <f>-E255*$D$3</f>
        <v>-27714750</v>
      </c>
      <c r="F256" s="67">
        <f t="shared" ref="F256:N256" si="197">-F255*$D$3</f>
        <v>-24050171.625000019</v>
      </c>
      <c r="G256" s="67">
        <f t="shared" si="197"/>
        <v>-21015404.176818751</v>
      </c>
      <c r="H256" s="67">
        <f t="shared" si="197"/>
        <v>-16871868.314636368</v>
      </c>
      <c r="I256" s="67">
        <f t="shared" si="197"/>
        <v>-11770795.019726032</v>
      </c>
      <c r="J256" s="67">
        <f t="shared" si="197"/>
        <v>0</v>
      </c>
      <c r="K256" s="67">
        <f t="shared" si="197"/>
        <v>0</v>
      </c>
      <c r="L256" s="67">
        <f t="shared" si="197"/>
        <v>0</v>
      </c>
      <c r="M256" s="67">
        <f t="shared" si="197"/>
        <v>0</v>
      </c>
      <c r="N256" s="67">
        <f t="shared" si="197"/>
        <v>0</v>
      </c>
      <c r="O256" s="67">
        <v>0</v>
      </c>
      <c r="P256" s="326">
        <f t="shared" si="190"/>
        <v>-101422989.13618116</v>
      </c>
      <c r="Q256" s="2"/>
      <c r="S256" s="2"/>
    </row>
    <row r="257" spans="1:19" x14ac:dyDescent="0.15">
      <c r="B257" s="340">
        <v>9</v>
      </c>
      <c r="C257" s="12" t="s">
        <v>298</v>
      </c>
      <c r="D257" s="67">
        <f t="shared" si="191"/>
        <v>0</v>
      </c>
      <c r="E257" s="67">
        <f>E170</f>
        <v>0</v>
      </c>
      <c r="F257" s="67">
        <f t="shared" ref="F257:N257" si="198">F170</f>
        <v>0</v>
      </c>
      <c r="G257" s="67">
        <f t="shared" si="198"/>
        <v>0</v>
      </c>
      <c r="H257" s="67">
        <f t="shared" si="198"/>
        <v>0</v>
      </c>
      <c r="I257" s="67">
        <f t="shared" si="198"/>
        <v>0</v>
      </c>
      <c r="J257" s="67">
        <f t="shared" si="198"/>
        <v>0</v>
      </c>
      <c r="K257" s="67">
        <f t="shared" si="198"/>
        <v>0</v>
      </c>
      <c r="L257" s="67">
        <f t="shared" si="198"/>
        <v>0</v>
      </c>
      <c r="M257" s="67">
        <f t="shared" si="198"/>
        <v>0</v>
      </c>
      <c r="N257" s="67">
        <f t="shared" si="198"/>
        <v>0</v>
      </c>
      <c r="O257" s="67">
        <v>0</v>
      </c>
      <c r="P257" s="326">
        <f t="shared" si="190"/>
        <v>0</v>
      </c>
      <c r="Q257" s="2"/>
      <c r="S257" s="2"/>
    </row>
    <row r="258" spans="1:19" x14ac:dyDescent="0.15">
      <c r="B258" s="340">
        <v>10</v>
      </c>
      <c r="C258" s="12" t="s">
        <v>299</v>
      </c>
      <c r="D258" s="67">
        <f t="shared" si="191"/>
        <v>0</v>
      </c>
      <c r="E258" s="67">
        <f>E255+E256+E257</f>
        <v>64667750</v>
      </c>
      <c r="F258" s="67">
        <f t="shared" ref="F258:N258" si="199">F255+F256+F257</f>
        <v>56117067.125000045</v>
      </c>
      <c r="G258" s="67">
        <f t="shared" si="199"/>
        <v>49035943.079243757</v>
      </c>
      <c r="H258" s="67">
        <f t="shared" si="199"/>
        <v>39367692.734151527</v>
      </c>
      <c r="I258" s="67">
        <f t="shared" si="199"/>
        <v>27465188.379360743</v>
      </c>
      <c r="J258" s="67">
        <f t="shared" si="199"/>
        <v>0</v>
      </c>
      <c r="K258" s="67">
        <f t="shared" si="199"/>
        <v>0</v>
      </c>
      <c r="L258" s="67">
        <f t="shared" si="199"/>
        <v>0</v>
      </c>
      <c r="M258" s="67">
        <f t="shared" si="199"/>
        <v>0</v>
      </c>
      <c r="N258" s="67">
        <f t="shared" si="199"/>
        <v>0</v>
      </c>
      <c r="O258" s="67">
        <v>0</v>
      </c>
      <c r="P258" s="326">
        <f t="shared" si="190"/>
        <v>236653641.31775606</v>
      </c>
      <c r="Q258" s="2"/>
      <c r="S258" s="2"/>
    </row>
    <row r="259" spans="1:19" x14ac:dyDescent="0.15">
      <c r="B259" s="340" t="s">
        <v>699</v>
      </c>
      <c r="C259" s="12" t="s">
        <v>292</v>
      </c>
      <c r="D259" s="67">
        <f t="shared" si="191"/>
        <v>0</v>
      </c>
      <c r="E259" s="67">
        <f>E172</f>
        <v>3772500</v>
      </c>
      <c r="F259" s="67">
        <f t="shared" ref="F259:N259" si="200">F172</f>
        <v>6218850</v>
      </c>
      <c r="G259" s="67">
        <f t="shared" si="200"/>
        <v>4083150</v>
      </c>
      <c r="H259" s="67">
        <f t="shared" si="200"/>
        <v>2775510</v>
      </c>
      <c r="I259" s="67">
        <f t="shared" si="200"/>
        <v>1352955</v>
      </c>
      <c r="J259" s="67">
        <f t="shared" si="200"/>
        <v>0</v>
      </c>
      <c r="K259" s="67">
        <f t="shared" si="200"/>
        <v>0</v>
      </c>
      <c r="L259" s="67">
        <f t="shared" si="200"/>
        <v>0</v>
      </c>
      <c r="M259" s="67">
        <f t="shared" si="200"/>
        <v>0</v>
      </c>
      <c r="N259" s="67">
        <f t="shared" si="200"/>
        <v>0</v>
      </c>
      <c r="O259" s="67">
        <v>0</v>
      </c>
      <c r="P259" s="326">
        <f t="shared" si="190"/>
        <v>18202965</v>
      </c>
      <c r="Q259" s="2"/>
      <c r="S259" s="2"/>
    </row>
    <row r="260" spans="1:19" x14ac:dyDescent="0.15">
      <c r="B260" s="340">
        <v>12</v>
      </c>
      <c r="C260" s="12" t="s">
        <v>301</v>
      </c>
      <c r="D260" s="67">
        <f t="shared" si="191"/>
        <v>0</v>
      </c>
      <c r="E260" s="67">
        <f>E258+E259</f>
        <v>68440250</v>
      </c>
      <c r="F260" s="67">
        <f t="shared" ref="F260:N260" si="201">F258+F259</f>
        <v>62335917.125000045</v>
      </c>
      <c r="G260" s="67">
        <f t="shared" si="201"/>
        <v>53119093.079243757</v>
      </c>
      <c r="H260" s="67">
        <f t="shared" si="201"/>
        <v>42143202.734151527</v>
      </c>
      <c r="I260" s="67">
        <f t="shared" si="201"/>
        <v>28818143.379360743</v>
      </c>
      <c r="J260" s="67">
        <f t="shared" si="201"/>
        <v>0</v>
      </c>
      <c r="K260" s="67">
        <f t="shared" si="201"/>
        <v>0</v>
      </c>
      <c r="L260" s="67">
        <f t="shared" si="201"/>
        <v>0</v>
      </c>
      <c r="M260" s="67">
        <f t="shared" si="201"/>
        <v>0</v>
      </c>
      <c r="N260" s="67">
        <f t="shared" si="201"/>
        <v>0</v>
      </c>
      <c r="O260" s="67">
        <v>0</v>
      </c>
      <c r="P260" s="326">
        <f t="shared" si="190"/>
        <v>254856606.31775606</v>
      </c>
      <c r="Q260" s="2"/>
      <c r="S260" s="2"/>
    </row>
    <row r="261" spans="1:19" x14ac:dyDescent="0.15">
      <c r="B261" s="340" t="s">
        <v>700</v>
      </c>
      <c r="C261" s="12" t="s">
        <v>303</v>
      </c>
      <c r="D261" s="67">
        <f t="shared" si="191"/>
        <v>0</v>
      </c>
      <c r="E261" s="67">
        <f t="shared" ref="E261:N261" si="202">E174</f>
        <v>0</v>
      </c>
      <c r="F261" s="67">
        <f t="shared" si="202"/>
        <v>0</v>
      </c>
      <c r="G261" s="67">
        <f t="shared" si="202"/>
        <v>0</v>
      </c>
      <c r="H261" s="67">
        <f t="shared" si="202"/>
        <v>0</v>
      </c>
      <c r="I261" s="67">
        <f t="shared" si="202"/>
        <v>0</v>
      </c>
      <c r="J261" s="67">
        <f t="shared" si="202"/>
        <v>0</v>
      </c>
      <c r="K261" s="67">
        <f t="shared" si="202"/>
        <v>0</v>
      </c>
      <c r="L261" s="67">
        <f t="shared" si="202"/>
        <v>0</v>
      </c>
      <c r="M261" s="67">
        <f t="shared" si="202"/>
        <v>0</v>
      </c>
      <c r="N261" s="67">
        <f t="shared" si="202"/>
        <v>0</v>
      </c>
      <c r="O261" s="67">
        <v>0</v>
      </c>
      <c r="P261" s="326">
        <f t="shared" si="190"/>
        <v>0</v>
      </c>
      <c r="Q261" s="2"/>
      <c r="S261" s="2"/>
    </row>
    <row r="262" spans="1:19" x14ac:dyDescent="0.15">
      <c r="B262" s="340">
        <v>14</v>
      </c>
      <c r="C262" s="12" t="s">
        <v>304</v>
      </c>
      <c r="D262" s="67">
        <f t="shared" si="191"/>
        <v>-32550000</v>
      </c>
      <c r="E262" s="67">
        <f t="shared" ref="E262:N268" si="203">E175</f>
        <v>0</v>
      </c>
      <c r="F262" s="67">
        <f t="shared" si="203"/>
        <v>0</v>
      </c>
      <c r="G262" s="67">
        <f t="shared" si="203"/>
        <v>0</v>
      </c>
      <c r="H262" s="67">
        <f t="shared" si="203"/>
        <v>0</v>
      </c>
      <c r="I262" s="67">
        <f t="shared" si="203"/>
        <v>14347035</v>
      </c>
      <c r="J262" s="67">
        <f t="shared" si="203"/>
        <v>0</v>
      </c>
      <c r="K262" s="67">
        <f t="shared" si="203"/>
        <v>0</v>
      </c>
      <c r="L262" s="67">
        <f t="shared" si="203"/>
        <v>0</v>
      </c>
      <c r="M262" s="67">
        <f t="shared" si="203"/>
        <v>0</v>
      </c>
      <c r="N262" s="67">
        <f t="shared" si="203"/>
        <v>0</v>
      </c>
      <c r="O262" s="67">
        <v>0</v>
      </c>
      <c r="P262" s="326">
        <f t="shared" si="190"/>
        <v>14347035</v>
      </c>
      <c r="Q262" s="2"/>
      <c r="S262" s="2"/>
    </row>
    <row r="263" spans="1:19" x14ac:dyDescent="0.15">
      <c r="B263" s="340" t="s">
        <v>701</v>
      </c>
      <c r="C263" s="12" t="s">
        <v>207</v>
      </c>
      <c r="D263" s="67">
        <f t="shared" si="191"/>
        <v>-31050000</v>
      </c>
      <c r="E263" s="67">
        <f t="shared" si="203"/>
        <v>0</v>
      </c>
      <c r="F263" s="67">
        <f t="shared" si="203"/>
        <v>0</v>
      </c>
      <c r="G263" s="67">
        <f t="shared" si="203"/>
        <v>0</v>
      </c>
      <c r="H263" s="67">
        <f t="shared" si="203"/>
        <v>0</v>
      </c>
      <c r="I263" s="67">
        <f t="shared" si="203"/>
        <v>12847035</v>
      </c>
      <c r="J263" s="67">
        <f t="shared" si="203"/>
        <v>0</v>
      </c>
      <c r="K263" s="67">
        <f t="shared" si="203"/>
        <v>0</v>
      </c>
      <c r="L263" s="67">
        <f t="shared" si="203"/>
        <v>0</v>
      </c>
      <c r="M263" s="67">
        <f t="shared" si="203"/>
        <v>0</v>
      </c>
      <c r="N263" s="67">
        <f t="shared" si="203"/>
        <v>0</v>
      </c>
      <c r="O263" s="67">
        <v>0</v>
      </c>
      <c r="P263" s="326">
        <f t="shared" si="190"/>
        <v>12847035</v>
      </c>
      <c r="Q263" s="2"/>
      <c r="S263" s="2"/>
    </row>
    <row r="264" spans="1:19" x14ac:dyDescent="0.15">
      <c r="B264" s="340" t="s">
        <v>702</v>
      </c>
      <c r="C264" s="12" t="s">
        <v>307</v>
      </c>
      <c r="D264" s="67">
        <f t="shared" si="191"/>
        <v>-1500000</v>
      </c>
      <c r="E264" s="67">
        <f t="shared" si="203"/>
        <v>0</v>
      </c>
      <c r="F264" s="67">
        <f t="shared" si="203"/>
        <v>0</v>
      </c>
      <c r="G264" s="67">
        <f t="shared" si="203"/>
        <v>0</v>
      </c>
      <c r="H264" s="67">
        <f t="shared" si="203"/>
        <v>0</v>
      </c>
      <c r="I264" s="67">
        <f t="shared" si="203"/>
        <v>1500000</v>
      </c>
      <c r="J264" s="67">
        <f t="shared" si="203"/>
        <v>0</v>
      </c>
      <c r="K264" s="67">
        <f t="shared" si="203"/>
        <v>0</v>
      </c>
      <c r="L264" s="67">
        <f t="shared" si="203"/>
        <v>0</v>
      </c>
      <c r="M264" s="67">
        <f t="shared" si="203"/>
        <v>0</v>
      </c>
      <c r="N264" s="67">
        <f t="shared" si="203"/>
        <v>0</v>
      </c>
      <c r="O264" s="67">
        <v>0</v>
      </c>
      <c r="P264" s="326">
        <f t="shared" si="190"/>
        <v>1500000</v>
      </c>
      <c r="Q264" s="2"/>
      <c r="S264" s="2"/>
    </row>
    <row r="265" spans="1:19" x14ac:dyDescent="0.15">
      <c r="B265" s="340" t="s">
        <v>703</v>
      </c>
      <c r="C265" s="12" t="s">
        <v>309</v>
      </c>
      <c r="D265" s="67">
        <f t="shared" si="191"/>
        <v>0</v>
      </c>
      <c r="E265" s="67">
        <f t="shared" si="203"/>
        <v>0</v>
      </c>
      <c r="F265" s="67">
        <f t="shared" si="203"/>
        <v>0</v>
      </c>
      <c r="G265" s="67">
        <f t="shared" si="203"/>
        <v>0</v>
      </c>
      <c r="H265" s="67">
        <f t="shared" si="203"/>
        <v>0</v>
      </c>
      <c r="I265" s="67">
        <f t="shared" si="203"/>
        <v>0</v>
      </c>
      <c r="J265" s="67">
        <f t="shared" si="203"/>
        <v>0</v>
      </c>
      <c r="K265" s="67">
        <f t="shared" si="203"/>
        <v>0</v>
      </c>
      <c r="L265" s="67">
        <f t="shared" si="203"/>
        <v>0</v>
      </c>
      <c r="M265" s="67">
        <f t="shared" si="203"/>
        <v>0</v>
      </c>
      <c r="N265" s="67">
        <f t="shared" si="203"/>
        <v>0</v>
      </c>
      <c r="O265" s="67">
        <v>0</v>
      </c>
      <c r="P265" s="326">
        <f t="shared" si="190"/>
        <v>0</v>
      </c>
      <c r="Q265" s="2"/>
      <c r="S265" s="2"/>
    </row>
    <row r="266" spans="1:19" x14ac:dyDescent="0.15">
      <c r="B266" s="340" t="s">
        <v>704</v>
      </c>
      <c r="C266" s="12" t="s">
        <v>311</v>
      </c>
      <c r="D266" s="67">
        <f t="shared" si="191"/>
        <v>0</v>
      </c>
      <c r="E266" s="67">
        <f t="shared" si="203"/>
        <v>0</v>
      </c>
      <c r="F266" s="67">
        <f t="shared" si="203"/>
        <v>0</v>
      </c>
      <c r="G266" s="67">
        <f t="shared" si="203"/>
        <v>0</v>
      </c>
      <c r="H266" s="67">
        <f t="shared" si="203"/>
        <v>0</v>
      </c>
      <c r="I266" s="67">
        <f t="shared" si="203"/>
        <v>-2596968.7000000002</v>
      </c>
      <c r="J266" s="67">
        <f t="shared" si="203"/>
        <v>0</v>
      </c>
      <c r="K266" s="67">
        <f t="shared" si="203"/>
        <v>0</v>
      </c>
      <c r="L266" s="67">
        <f t="shared" si="203"/>
        <v>0</v>
      </c>
      <c r="M266" s="67">
        <f t="shared" si="203"/>
        <v>0</v>
      </c>
      <c r="N266" s="67">
        <f t="shared" si="203"/>
        <v>0</v>
      </c>
      <c r="O266" s="67">
        <v>0</v>
      </c>
      <c r="P266" s="326">
        <f t="shared" si="190"/>
        <v>-2596968.7000000002</v>
      </c>
      <c r="Q266" s="2"/>
      <c r="S266" s="2"/>
    </row>
    <row r="267" spans="1:19" ht="14" thickBot="1" x14ac:dyDescent="0.2">
      <c r="B267" s="340" t="s">
        <v>705</v>
      </c>
      <c r="C267" s="12" t="s">
        <v>115</v>
      </c>
      <c r="D267" s="67">
        <f t="shared" si="191"/>
        <v>-60000000</v>
      </c>
      <c r="E267" s="67">
        <f t="shared" si="203"/>
        <v>0</v>
      </c>
      <c r="F267" s="67">
        <f t="shared" si="203"/>
        <v>0</v>
      </c>
      <c r="G267" s="67">
        <f t="shared" si="203"/>
        <v>0</v>
      </c>
      <c r="H267" s="67">
        <f t="shared" si="203"/>
        <v>0</v>
      </c>
      <c r="I267" s="67">
        <f t="shared" si="203"/>
        <v>60000000</v>
      </c>
      <c r="J267" s="67">
        <f t="shared" si="203"/>
        <v>0</v>
      </c>
      <c r="K267" s="67">
        <f t="shared" si="203"/>
        <v>0</v>
      </c>
      <c r="L267" s="67">
        <f t="shared" si="203"/>
        <v>0</v>
      </c>
      <c r="M267" s="67">
        <f t="shared" si="203"/>
        <v>0</v>
      </c>
      <c r="N267" s="67">
        <f t="shared" si="203"/>
        <v>0</v>
      </c>
      <c r="O267" s="67">
        <v>0</v>
      </c>
      <c r="P267" s="326">
        <f t="shared" si="190"/>
        <v>60000000</v>
      </c>
      <c r="Q267" s="2"/>
      <c r="S267" s="2"/>
    </row>
    <row r="268" spans="1:19" x14ac:dyDescent="0.15">
      <c r="B268" s="340">
        <v>17</v>
      </c>
      <c r="C268" s="12" t="s">
        <v>313</v>
      </c>
      <c r="D268" s="67">
        <f t="shared" si="191"/>
        <v>-92550000</v>
      </c>
      <c r="E268" s="67">
        <f t="shared" si="203"/>
        <v>0</v>
      </c>
      <c r="F268" s="67">
        <f t="shared" si="203"/>
        <v>0</v>
      </c>
      <c r="G268" s="67">
        <f t="shared" si="203"/>
        <v>0</v>
      </c>
      <c r="H268" s="67">
        <f t="shared" si="203"/>
        <v>0</v>
      </c>
      <c r="I268" s="67">
        <f t="shared" si="203"/>
        <v>71750066.299999997</v>
      </c>
      <c r="J268" s="67">
        <f t="shared" si="203"/>
        <v>0</v>
      </c>
      <c r="K268" s="67">
        <f t="shared" si="203"/>
        <v>0</v>
      </c>
      <c r="L268" s="67">
        <f t="shared" si="203"/>
        <v>0</v>
      </c>
      <c r="M268" s="67">
        <f t="shared" si="203"/>
        <v>0</v>
      </c>
      <c r="N268" s="67">
        <f t="shared" si="203"/>
        <v>0</v>
      </c>
      <c r="O268" s="67">
        <v>0</v>
      </c>
      <c r="P268" s="326">
        <f t="shared" si="190"/>
        <v>71750066.299999997</v>
      </c>
      <c r="Q268" s="461"/>
      <c r="R268" s="357" t="s">
        <v>693</v>
      </c>
      <c r="S268" s="2"/>
    </row>
    <row r="269" spans="1:19" ht="14" thickBot="1" x14ac:dyDescent="0.2">
      <c r="A269" s="1" t="s">
        <v>711</v>
      </c>
      <c r="B269" s="355">
        <v>18</v>
      </c>
      <c r="C269" s="335" t="s">
        <v>314</v>
      </c>
      <c r="D269" s="67">
        <f t="shared" si="191"/>
        <v>-92550000</v>
      </c>
      <c r="E269" s="331">
        <f t="shared" ref="E269:N269" si="204">E268+E260</f>
        <v>68440250</v>
      </c>
      <c r="F269" s="331">
        <f t="shared" si="204"/>
        <v>62335917.125000045</v>
      </c>
      <c r="G269" s="331">
        <f t="shared" si="204"/>
        <v>53119093.079243757</v>
      </c>
      <c r="H269" s="331">
        <f t="shared" si="204"/>
        <v>42143202.734151527</v>
      </c>
      <c r="I269" s="331">
        <f t="shared" si="204"/>
        <v>100568209.67936075</v>
      </c>
      <c r="J269" s="331">
        <f t="shared" si="204"/>
        <v>0</v>
      </c>
      <c r="K269" s="331">
        <f t="shared" si="204"/>
        <v>0</v>
      </c>
      <c r="L269" s="331">
        <f t="shared" si="204"/>
        <v>0</v>
      </c>
      <c r="M269" s="331">
        <f t="shared" si="204"/>
        <v>0</v>
      </c>
      <c r="N269" s="331">
        <f t="shared" si="204"/>
        <v>0</v>
      </c>
      <c r="O269" s="331">
        <v>0</v>
      </c>
      <c r="P269" s="356">
        <f t="shared" si="190"/>
        <v>326606672.61775607</v>
      </c>
      <c r="Q269" s="463"/>
      <c r="R269" s="358">
        <f>IF(ISNUMBER(IRR(D269:N269)),IRR(D269:N269),"NMF")</f>
        <v>0.62895242074733826</v>
      </c>
      <c r="S269" s="1" t="s">
        <v>711</v>
      </c>
    </row>
    <row r="270" spans="1:19" x14ac:dyDescent="0.15">
      <c r="S270" s="2"/>
    </row>
    <row r="271" spans="1:19" ht="14" thickBot="1" x14ac:dyDescent="0.2">
      <c r="S271" s="2"/>
    </row>
    <row r="272" spans="1:19" ht="14" thickBot="1" x14ac:dyDescent="0.2">
      <c r="B272" s="359" t="s">
        <v>282</v>
      </c>
      <c r="C272" s="360" t="s">
        <v>283</v>
      </c>
      <c r="D272" s="360"/>
      <c r="E272" s="360">
        <v>1</v>
      </c>
      <c r="F272" s="360">
        <v>2</v>
      </c>
      <c r="G272" s="360">
        <v>3</v>
      </c>
      <c r="H272" s="360">
        <v>4</v>
      </c>
      <c r="I272" s="360">
        <v>5</v>
      </c>
      <c r="J272" s="360">
        <v>6</v>
      </c>
      <c r="K272" s="360">
        <v>7</v>
      </c>
      <c r="L272" s="360">
        <v>8</v>
      </c>
      <c r="M272" s="360">
        <v>9</v>
      </c>
      <c r="N272" s="360">
        <v>10</v>
      </c>
      <c r="O272" s="360" t="s">
        <v>284</v>
      </c>
      <c r="P272" s="361" t="s">
        <v>285</v>
      </c>
      <c r="S272" s="2"/>
    </row>
    <row r="273" spans="1:19" x14ac:dyDescent="0.15">
      <c r="B273" s="339" t="s">
        <v>687</v>
      </c>
      <c r="C273" s="302" t="s">
        <v>287</v>
      </c>
      <c r="D273" s="322">
        <f t="shared" ref="D273:D278" si="205">D158</f>
        <v>0</v>
      </c>
      <c r="E273" s="322">
        <f t="shared" ref="E273:N273" si="206">E158</f>
        <v>300000000</v>
      </c>
      <c r="F273" s="322">
        <f t="shared" si="206"/>
        <v>313500000.00000006</v>
      </c>
      <c r="G273" s="322">
        <f t="shared" si="206"/>
        <v>327607500.00000006</v>
      </c>
      <c r="H273" s="322">
        <f t="shared" si="206"/>
        <v>342349837.50000012</v>
      </c>
      <c r="I273" s="322">
        <f t="shared" si="206"/>
        <v>357755580.18750012</v>
      </c>
      <c r="J273" s="322">
        <f t="shared" si="206"/>
        <v>0</v>
      </c>
      <c r="K273" s="322">
        <f t="shared" si="206"/>
        <v>0</v>
      </c>
      <c r="L273" s="322">
        <f t="shared" si="206"/>
        <v>0</v>
      </c>
      <c r="M273" s="322">
        <f t="shared" si="206"/>
        <v>0</v>
      </c>
      <c r="N273" s="322">
        <f t="shared" si="206"/>
        <v>0</v>
      </c>
      <c r="O273" s="322">
        <v>0</v>
      </c>
      <c r="P273" s="325">
        <f>SUM(E273:N273)</f>
        <v>1641212917.6875</v>
      </c>
      <c r="Q273" s="2"/>
      <c r="S273" s="2"/>
    </row>
    <row r="274" spans="1:19" x14ac:dyDescent="0.15">
      <c r="A274" s="1" t="s">
        <v>712</v>
      </c>
      <c r="B274" s="355" t="s">
        <v>689</v>
      </c>
      <c r="C274" s="362" t="s">
        <v>689</v>
      </c>
      <c r="D274" s="331">
        <f t="shared" si="205"/>
        <v>0</v>
      </c>
      <c r="E274" s="331">
        <f>Revenues!D7*Revenues!D8*1.2</f>
        <v>360000000</v>
      </c>
      <c r="F274" s="331">
        <f>Revenues!E7*Revenues!E8*1.2</f>
        <v>376200000.00000006</v>
      </c>
      <c r="G274" s="331">
        <f>Revenues!F7*Revenues!F8*1.2</f>
        <v>393129000.00000006</v>
      </c>
      <c r="H274" s="331">
        <f>Revenues!G7*Revenues!G8*1.2</f>
        <v>410819805.00000012</v>
      </c>
      <c r="I274" s="331">
        <f>Revenues!H7*Revenues!H8*1.2</f>
        <v>429306696.22500014</v>
      </c>
      <c r="J274" s="331">
        <f>Revenues!I7*Revenues!I8*1.2</f>
        <v>0</v>
      </c>
      <c r="K274" s="331">
        <f>Revenues!J7*Revenues!J8*1.2</f>
        <v>0</v>
      </c>
      <c r="L274" s="331">
        <f>Revenues!K7*Revenues!K8*1.2</f>
        <v>0</v>
      </c>
      <c r="M274" s="331">
        <f>Revenues!L7*Revenues!L8*1.2</f>
        <v>0</v>
      </c>
      <c r="N274" s="331">
        <f>Revenues!M7*Revenues!M8*1.2</f>
        <v>0</v>
      </c>
      <c r="O274" s="331"/>
      <c r="P274" s="356">
        <f>SUM(E274:N274)</f>
        <v>1969455501.2250001</v>
      </c>
      <c r="Q274" s="460"/>
      <c r="S274" s="2"/>
    </row>
    <row r="275" spans="1:19" x14ac:dyDescent="0.15">
      <c r="B275" s="340" t="s">
        <v>690</v>
      </c>
      <c r="C275" s="354" t="s">
        <v>690</v>
      </c>
      <c r="D275" s="67">
        <f t="shared" si="205"/>
        <v>0</v>
      </c>
      <c r="E275" s="67">
        <f>E160</f>
        <v>0</v>
      </c>
      <c r="F275" s="67">
        <f t="shared" ref="F275:N275" si="207">F160</f>
        <v>0</v>
      </c>
      <c r="G275" s="67">
        <f t="shared" si="207"/>
        <v>0</v>
      </c>
      <c r="H275" s="67">
        <f t="shared" si="207"/>
        <v>0</v>
      </c>
      <c r="I275" s="67">
        <f t="shared" si="207"/>
        <v>0</v>
      </c>
      <c r="J275" s="67">
        <f t="shared" si="207"/>
        <v>0</v>
      </c>
      <c r="K275" s="67">
        <f t="shared" si="207"/>
        <v>0</v>
      </c>
      <c r="L275" s="67">
        <f t="shared" si="207"/>
        <v>0</v>
      </c>
      <c r="M275" s="67">
        <f t="shared" si="207"/>
        <v>0</v>
      </c>
      <c r="N275" s="67">
        <f t="shared" si="207"/>
        <v>0</v>
      </c>
      <c r="O275" s="289"/>
      <c r="P275" s="326">
        <f>SUM(E275:N275)</f>
        <v>0</v>
      </c>
      <c r="Q275" s="2"/>
      <c r="S275" s="2"/>
    </row>
    <row r="276" spans="1:19" x14ac:dyDescent="0.15">
      <c r="B276" s="340" t="s">
        <v>691</v>
      </c>
      <c r="C276" s="354" t="s">
        <v>691</v>
      </c>
      <c r="D276" s="67">
        <f t="shared" si="205"/>
        <v>0</v>
      </c>
      <c r="E276" s="67">
        <f>E161</f>
        <v>0</v>
      </c>
      <c r="F276" s="67">
        <f t="shared" ref="F276:N276" si="208">F161</f>
        <v>0</v>
      </c>
      <c r="G276" s="67">
        <f t="shared" si="208"/>
        <v>0</v>
      </c>
      <c r="H276" s="67">
        <f t="shared" si="208"/>
        <v>0</v>
      </c>
      <c r="I276" s="67">
        <f t="shared" si="208"/>
        <v>0</v>
      </c>
      <c r="J276" s="67">
        <f t="shared" si="208"/>
        <v>0</v>
      </c>
      <c r="K276" s="67">
        <f t="shared" si="208"/>
        <v>0</v>
      </c>
      <c r="L276" s="67">
        <f t="shared" si="208"/>
        <v>0</v>
      </c>
      <c r="M276" s="67">
        <f t="shared" si="208"/>
        <v>0</v>
      </c>
      <c r="N276" s="67">
        <f t="shared" si="208"/>
        <v>0</v>
      </c>
      <c r="O276" s="67"/>
      <c r="P276" s="326">
        <f>SUM(E276:N276)</f>
        <v>0</v>
      </c>
      <c r="Q276" s="2"/>
      <c r="S276" s="2"/>
    </row>
    <row r="277" spans="1:19" x14ac:dyDescent="0.15">
      <c r="B277" s="340" t="s">
        <v>695</v>
      </c>
      <c r="C277" s="12"/>
      <c r="D277" s="67">
        <f t="shared" si="205"/>
        <v>0</v>
      </c>
      <c r="E277" s="67">
        <f>E276+E275+E274</f>
        <v>360000000</v>
      </c>
      <c r="F277" s="67">
        <f t="shared" ref="F277:N277" si="209">F276+F275+F274</f>
        <v>376200000.00000006</v>
      </c>
      <c r="G277" s="67">
        <f t="shared" si="209"/>
        <v>393129000.00000006</v>
      </c>
      <c r="H277" s="67">
        <f t="shared" si="209"/>
        <v>410819805.00000012</v>
      </c>
      <c r="I277" s="67">
        <f t="shared" si="209"/>
        <v>429306696.22500014</v>
      </c>
      <c r="J277" s="67">
        <f t="shared" si="209"/>
        <v>0</v>
      </c>
      <c r="K277" s="67">
        <f t="shared" si="209"/>
        <v>0</v>
      </c>
      <c r="L277" s="67">
        <f t="shared" si="209"/>
        <v>0</v>
      </c>
      <c r="M277" s="67">
        <f t="shared" si="209"/>
        <v>0</v>
      </c>
      <c r="N277" s="67">
        <f t="shared" si="209"/>
        <v>0</v>
      </c>
      <c r="O277" s="67"/>
      <c r="P277" s="326">
        <f t="shared" ref="P277:P297" si="210">SUM(E277:N277)</f>
        <v>1969455501.2250001</v>
      </c>
      <c r="Q277" s="2"/>
      <c r="S277" s="2"/>
    </row>
    <row r="278" spans="1:19" x14ac:dyDescent="0.15">
      <c r="B278" s="340" t="s">
        <v>696</v>
      </c>
      <c r="C278" s="12" t="s">
        <v>289</v>
      </c>
      <c r="D278" s="67">
        <f t="shared" si="205"/>
        <v>0</v>
      </c>
      <c r="E278" s="67">
        <f>(Expenses!D18*1.2)+Expenses!D25+Expenses!D32+(Expenses!D39*1.2)+Expenses!D44+Expenses!D49+Expenses!D56+Expenses!D95-Expenses!D77</f>
        <v>255070000</v>
      </c>
      <c r="F278" s="67">
        <f>(Expenses!E18*1.2)+Expenses!E25+Expenses!E32+(Expenses!E39*1.2)+Expenses!E44+Expenses!E49+Expenses!E56+Expenses!E95-Expenses!E77</f>
        <v>281179090</v>
      </c>
      <c r="G278" s="67">
        <f>(Expenses!F18*1.2)+Expenses!F25+Expenses!F32+(Expenses!F39*1.2)+Expenses!F44+Expenses!F49+Expenses!F56+Expenses!F95-Expenses!F77</f>
        <v>310576930.8415001</v>
      </c>
      <c r="H278" s="67">
        <f>(Expenses!G18*1.2)+Expenses!G25+Expenses!G32+(Expenses!G39*1.2)+Expenses!G44+Expenses!G49+Expenses!G56+Expenses!G95-Expenses!G77</f>
        <v>343694331.08137363</v>
      </c>
      <c r="I278" s="67">
        <f>(Expenses!H18*1.2)+Expenses!H25+Expenses!H32+(Expenses!H39*1.2)+Expenses!H44+Expenses!H49+Expenses!H56+Expenses!H95-Expenses!H77</f>
        <v>381019116.30186009</v>
      </c>
      <c r="J278" s="67">
        <f>(Expenses!I18*1.2)+Expenses!I25+Expenses!I32+(Expenses!I39*1.2)+Expenses!I44+Expenses!I49+Expenses!I56+Expenses!I95-Expenses!I77</f>
        <v>0</v>
      </c>
      <c r="K278" s="67">
        <f>(Expenses!J18*1.2)+Expenses!J25+Expenses!J32+(Expenses!J39*1.2)+Expenses!J44+Expenses!J49+Expenses!J56+Expenses!J95-Expenses!J77</f>
        <v>0</v>
      </c>
      <c r="L278" s="67">
        <f>(Expenses!K18*1.2)+Expenses!K25+Expenses!K32+(Expenses!K39*1.2)+Expenses!K44+Expenses!K49+Expenses!K56+Expenses!K95-Expenses!K77</f>
        <v>0</v>
      </c>
      <c r="M278" s="67">
        <f>(Expenses!L18*1.2)+Expenses!L25+Expenses!L32+(Expenses!L39*1.2)+Expenses!L44+Expenses!L49+Expenses!L56+Expenses!L95-Expenses!L77</f>
        <v>0</v>
      </c>
      <c r="N278" s="67">
        <f>(Expenses!M18*1.2)+Expenses!M25+Expenses!M32+(Expenses!M39*1.2)+Expenses!M44+Expenses!M49+Expenses!M56+Expenses!M95-Expenses!M77</f>
        <v>0</v>
      </c>
      <c r="O278" s="67">
        <v>0</v>
      </c>
      <c r="P278" s="326">
        <f t="shared" si="210"/>
        <v>1571539468.2247338</v>
      </c>
      <c r="Q278" s="2"/>
      <c r="S278" s="2"/>
    </row>
    <row r="279" spans="1:19" x14ac:dyDescent="0.15">
      <c r="B279" s="340">
        <v>3</v>
      </c>
      <c r="C279" s="12" t="s">
        <v>290</v>
      </c>
      <c r="D279" s="67">
        <f t="shared" ref="D279:D297" si="211">D164</f>
        <v>0</v>
      </c>
      <c r="E279" s="67">
        <f>E277-E278</f>
        <v>104930000</v>
      </c>
      <c r="F279" s="67">
        <f t="shared" ref="F279:N279" si="212">F277-F278</f>
        <v>95020910.00000006</v>
      </c>
      <c r="G279" s="67">
        <f t="shared" si="212"/>
        <v>82552069.158499956</v>
      </c>
      <c r="H279" s="67">
        <f t="shared" si="212"/>
        <v>67125473.918626487</v>
      </c>
      <c r="I279" s="67">
        <f t="shared" si="212"/>
        <v>48287579.923140049</v>
      </c>
      <c r="J279" s="67">
        <f t="shared" si="212"/>
        <v>0</v>
      </c>
      <c r="K279" s="67">
        <f t="shared" si="212"/>
        <v>0</v>
      </c>
      <c r="L279" s="67">
        <f t="shared" si="212"/>
        <v>0</v>
      </c>
      <c r="M279" s="67">
        <f t="shared" si="212"/>
        <v>0</v>
      </c>
      <c r="N279" s="67">
        <f t="shared" si="212"/>
        <v>0</v>
      </c>
      <c r="O279" s="67">
        <v>0</v>
      </c>
      <c r="P279" s="326">
        <f t="shared" si="210"/>
        <v>397916033.00026655</v>
      </c>
      <c r="Q279" s="2"/>
      <c r="S279" s="2"/>
    </row>
    <row r="280" spans="1:19" x14ac:dyDescent="0.15">
      <c r="B280" s="340" t="s">
        <v>697</v>
      </c>
      <c r="C280" s="12" t="s">
        <v>292</v>
      </c>
      <c r="D280" s="67">
        <f t="shared" si="211"/>
        <v>0</v>
      </c>
      <c r="E280" s="67">
        <f>E165</f>
        <v>3772500</v>
      </c>
      <c r="F280" s="67">
        <f t="shared" ref="F280:N280" si="213">F165</f>
        <v>6218850</v>
      </c>
      <c r="G280" s="67">
        <f t="shared" si="213"/>
        <v>4083150</v>
      </c>
      <c r="H280" s="67">
        <f t="shared" si="213"/>
        <v>2775510</v>
      </c>
      <c r="I280" s="67">
        <f t="shared" si="213"/>
        <v>1352955</v>
      </c>
      <c r="J280" s="67">
        <f t="shared" si="213"/>
        <v>0</v>
      </c>
      <c r="K280" s="67">
        <f t="shared" si="213"/>
        <v>0</v>
      </c>
      <c r="L280" s="67">
        <f t="shared" si="213"/>
        <v>0</v>
      </c>
      <c r="M280" s="67">
        <f t="shared" si="213"/>
        <v>0</v>
      </c>
      <c r="N280" s="67">
        <f t="shared" si="213"/>
        <v>0</v>
      </c>
      <c r="O280" s="67">
        <v>0</v>
      </c>
      <c r="P280" s="326">
        <f t="shared" si="210"/>
        <v>18202965</v>
      </c>
      <c r="Q280" s="2"/>
      <c r="S280" s="2"/>
    </row>
    <row r="281" spans="1:19" x14ac:dyDescent="0.15">
      <c r="B281" s="340">
        <v>5</v>
      </c>
      <c r="C281" s="12" t="s">
        <v>293</v>
      </c>
      <c r="D281" s="67">
        <f t="shared" si="211"/>
        <v>0</v>
      </c>
      <c r="E281" s="67">
        <f>E279-E280</f>
        <v>101157500</v>
      </c>
      <c r="F281" s="67">
        <f t="shared" ref="F281:N281" si="214">F279-F280</f>
        <v>88802060.00000006</v>
      </c>
      <c r="G281" s="67">
        <f t="shared" si="214"/>
        <v>78468919.158499956</v>
      </c>
      <c r="H281" s="67">
        <f t="shared" si="214"/>
        <v>64349963.918626487</v>
      </c>
      <c r="I281" s="67">
        <f t="shared" si="214"/>
        <v>46934624.923140049</v>
      </c>
      <c r="J281" s="67">
        <f t="shared" si="214"/>
        <v>0</v>
      </c>
      <c r="K281" s="67">
        <f t="shared" si="214"/>
        <v>0</v>
      </c>
      <c r="L281" s="67">
        <f t="shared" si="214"/>
        <v>0</v>
      </c>
      <c r="M281" s="67">
        <f t="shared" si="214"/>
        <v>0</v>
      </c>
      <c r="N281" s="67">
        <f t="shared" si="214"/>
        <v>0</v>
      </c>
      <c r="O281" s="67">
        <v>0</v>
      </c>
      <c r="P281" s="326">
        <f t="shared" si="210"/>
        <v>379713068.00026655</v>
      </c>
      <c r="Q281" s="2"/>
      <c r="S281" s="2"/>
    </row>
    <row r="282" spans="1:19" x14ac:dyDescent="0.15">
      <c r="B282" s="340" t="s">
        <v>698</v>
      </c>
      <c r="C282" s="12" t="s">
        <v>295</v>
      </c>
      <c r="D282" s="67">
        <f t="shared" si="211"/>
        <v>0</v>
      </c>
      <c r="E282" s="67">
        <f>E167</f>
        <v>0</v>
      </c>
      <c r="F282" s="67">
        <f t="shared" ref="F282:N282" si="215">F167</f>
        <v>0</v>
      </c>
      <c r="G282" s="67">
        <f t="shared" si="215"/>
        <v>0</v>
      </c>
      <c r="H282" s="67">
        <f t="shared" si="215"/>
        <v>0</v>
      </c>
      <c r="I282" s="67">
        <f t="shared" si="215"/>
        <v>0</v>
      </c>
      <c r="J282" s="67">
        <f t="shared" si="215"/>
        <v>0</v>
      </c>
      <c r="K282" s="67">
        <f t="shared" si="215"/>
        <v>0</v>
      </c>
      <c r="L282" s="67">
        <f t="shared" si="215"/>
        <v>0</v>
      </c>
      <c r="M282" s="67">
        <f t="shared" si="215"/>
        <v>0</v>
      </c>
      <c r="N282" s="67">
        <f t="shared" si="215"/>
        <v>0</v>
      </c>
      <c r="O282" s="67">
        <v>0</v>
      </c>
      <c r="P282" s="326">
        <f t="shared" si="210"/>
        <v>0</v>
      </c>
      <c r="Q282" s="2"/>
      <c r="S282" s="2"/>
    </row>
    <row r="283" spans="1:19" x14ac:dyDescent="0.15">
      <c r="B283" s="340">
        <v>7</v>
      </c>
      <c r="C283" s="12" t="s">
        <v>296</v>
      </c>
      <c r="D283" s="67">
        <f t="shared" si="211"/>
        <v>0</v>
      </c>
      <c r="E283" s="67">
        <f>E281-E282</f>
        <v>101157500</v>
      </c>
      <c r="F283" s="67">
        <f t="shared" ref="F283:N283" si="216">F281-F282</f>
        <v>88802060.00000006</v>
      </c>
      <c r="G283" s="67">
        <f t="shared" si="216"/>
        <v>78468919.158499956</v>
      </c>
      <c r="H283" s="67">
        <f t="shared" si="216"/>
        <v>64349963.918626487</v>
      </c>
      <c r="I283" s="67">
        <f t="shared" si="216"/>
        <v>46934624.923140049</v>
      </c>
      <c r="J283" s="67">
        <f t="shared" si="216"/>
        <v>0</v>
      </c>
      <c r="K283" s="67">
        <f t="shared" si="216"/>
        <v>0</v>
      </c>
      <c r="L283" s="67">
        <f t="shared" si="216"/>
        <v>0</v>
      </c>
      <c r="M283" s="67">
        <f t="shared" si="216"/>
        <v>0</v>
      </c>
      <c r="N283" s="67">
        <f t="shared" si="216"/>
        <v>0</v>
      </c>
      <c r="O283" s="67">
        <v>0</v>
      </c>
      <c r="P283" s="326">
        <f t="shared" si="210"/>
        <v>379713068.00026655</v>
      </c>
      <c r="Q283" s="2"/>
      <c r="S283" s="2"/>
    </row>
    <row r="284" spans="1:19" x14ac:dyDescent="0.15">
      <c r="B284" s="340">
        <v>8</v>
      </c>
      <c r="C284" s="12" t="s">
        <v>297</v>
      </c>
      <c r="D284" s="67">
        <f t="shared" si="211"/>
        <v>0</v>
      </c>
      <c r="E284" s="67">
        <f>-E283*$D$3</f>
        <v>-30347250</v>
      </c>
      <c r="F284" s="67">
        <f t="shared" ref="F284:N284" si="217">-F283*$D$3</f>
        <v>-26640618.000000019</v>
      </c>
      <c r="G284" s="67">
        <f t="shared" si="217"/>
        <v>-23540675.747549985</v>
      </c>
      <c r="H284" s="67">
        <f t="shared" si="217"/>
        <v>-19304989.175587945</v>
      </c>
      <c r="I284" s="67">
        <f t="shared" si="217"/>
        <v>-14080387.476942014</v>
      </c>
      <c r="J284" s="67">
        <f t="shared" si="217"/>
        <v>0</v>
      </c>
      <c r="K284" s="67">
        <f t="shared" si="217"/>
        <v>0</v>
      </c>
      <c r="L284" s="67">
        <f t="shared" si="217"/>
        <v>0</v>
      </c>
      <c r="M284" s="67">
        <f t="shared" si="217"/>
        <v>0</v>
      </c>
      <c r="N284" s="67">
        <f t="shared" si="217"/>
        <v>0</v>
      </c>
      <c r="O284" s="67">
        <v>0</v>
      </c>
      <c r="P284" s="326">
        <f t="shared" si="210"/>
        <v>-113913920.40007995</v>
      </c>
      <c r="Q284" s="2"/>
      <c r="S284" s="2"/>
    </row>
    <row r="285" spans="1:19" x14ac:dyDescent="0.15">
      <c r="B285" s="340">
        <v>9</v>
      </c>
      <c r="C285" s="12" t="s">
        <v>298</v>
      </c>
      <c r="D285" s="67">
        <f t="shared" si="211"/>
        <v>0</v>
      </c>
      <c r="E285" s="67">
        <f>E170</f>
        <v>0</v>
      </c>
      <c r="F285" s="67">
        <f t="shared" ref="F285:N285" si="218">F170</f>
        <v>0</v>
      </c>
      <c r="G285" s="67">
        <f t="shared" si="218"/>
        <v>0</v>
      </c>
      <c r="H285" s="67">
        <f t="shared" si="218"/>
        <v>0</v>
      </c>
      <c r="I285" s="67">
        <f t="shared" si="218"/>
        <v>0</v>
      </c>
      <c r="J285" s="67">
        <f t="shared" si="218"/>
        <v>0</v>
      </c>
      <c r="K285" s="67">
        <f t="shared" si="218"/>
        <v>0</v>
      </c>
      <c r="L285" s="67">
        <f t="shared" si="218"/>
        <v>0</v>
      </c>
      <c r="M285" s="67">
        <f t="shared" si="218"/>
        <v>0</v>
      </c>
      <c r="N285" s="67">
        <f t="shared" si="218"/>
        <v>0</v>
      </c>
      <c r="O285" s="67">
        <v>0</v>
      </c>
      <c r="P285" s="326">
        <f t="shared" si="210"/>
        <v>0</v>
      </c>
      <c r="Q285" s="2"/>
      <c r="S285" s="2"/>
    </row>
    <row r="286" spans="1:19" x14ac:dyDescent="0.15">
      <c r="B286" s="340">
        <v>10</v>
      </c>
      <c r="C286" s="12" t="s">
        <v>299</v>
      </c>
      <c r="D286" s="67">
        <f t="shared" si="211"/>
        <v>0</v>
      </c>
      <c r="E286" s="67">
        <f>E283+E284+E285</f>
        <v>70810250</v>
      </c>
      <c r="F286" s="67">
        <f t="shared" ref="F286:N286" si="219">F283+F284+F285</f>
        <v>62161442.000000045</v>
      </c>
      <c r="G286" s="67">
        <f t="shared" si="219"/>
        <v>54928243.410949975</v>
      </c>
      <c r="H286" s="67">
        <f t="shared" si="219"/>
        <v>45044974.743038543</v>
      </c>
      <c r="I286" s="67">
        <f t="shared" si="219"/>
        <v>32854237.446198035</v>
      </c>
      <c r="J286" s="67">
        <f t="shared" si="219"/>
        <v>0</v>
      </c>
      <c r="K286" s="67">
        <f t="shared" si="219"/>
        <v>0</v>
      </c>
      <c r="L286" s="67">
        <f t="shared" si="219"/>
        <v>0</v>
      </c>
      <c r="M286" s="67">
        <f t="shared" si="219"/>
        <v>0</v>
      </c>
      <c r="N286" s="67">
        <f t="shared" si="219"/>
        <v>0</v>
      </c>
      <c r="O286" s="67">
        <v>0</v>
      </c>
      <c r="P286" s="326">
        <f t="shared" si="210"/>
        <v>265799147.60018659</v>
      </c>
      <c r="Q286" s="2"/>
      <c r="S286" s="2"/>
    </row>
    <row r="287" spans="1:19" x14ac:dyDescent="0.15">
      <c r="B287" s="340" t="s">
        <v>699</v>
      </c>
      <c r="C287" s="12" t="s">
        <v>292</v>
      </c>
      <c r="D287" s="67">
        <f t="shared" si="211"/>
        <v>0</v>
      </c>
      <c r="E287" s="67">
        <f>E172</f>
        <v>3772500</v>
      </c>
      <c r="F287" s="67">
        <f t="shared" ref="F287:N287" si="220">F172</f>
        <v>6218850</v>
      </c>
      <c r="G287" s="67">
        <f t="shared" si="220"/>
        <v>4083150</v>
      </c>
      <c r="H287" s="67">
        <f t="shared" si="220"/>
        <v>2775510</v>
      </c>
      <c r="I287" s="67">
        <f t="shared" si="220"/>
        <v>1352955</v>
      </c>
      <c r="J287" s="67">
        <f t="shared" si="220"/>
        <v>0</v>
      </c>
      <c r="K287" s="67">
        <f t="shared" si="220"/>
        <v>0</v>
      </c>
      <c r="L287" s="67">
        <f t="shared" si="220"/>
        <v>0</v>
      </c>
      <c r="M287" s="67">
        <f t="shared" si="220"/>
        <v>0</v>
      </c>
      <c r="N287" s="67">
        <f t="shared" si="220"/>
        <v>0</v>
      </c>
      <c r="O287" s="67">
        <v>0</v>
      </c>
      <c r="P287" s="326">
        <f t="shared" si="210"/>
        <v>18202965</v>
      </c>
      <c r="Q287" s="2"/>
      <c r="S287" s="2"/>
    </row>
    <row r="288" spans="1:19" x14ac:dyDescent="0.15">
      <c r="B288" s="340">
        <v>12</v>
      </c>
      <c r="C288" s="12" t="s">
        <v>301</v>
      </c>
      <c r="D288" s="67">
        <f t="shared" si="211"/>
        <v>0</v>
      </c>
      <c r="E288" s="67">
        <f>E286+E287</f>
        <v>74582750</v>
      </c>
      <c r="F288" s="67">
        <f t="shared" ref="F288:N288" si="221">F286+F287</f>
        <v>68380292.000000045</v>
      </c>
      <c r="G288" s="67">
        <f t="shared" si="221"/>
        <v>59011393.410949975</v>
      </c>
      <c r="H288" s="67">
        <f t="shared" si="221"/>
        <v>47820484.743038543</v>
      </c>
      <c r="I288" s="67">
        <f t="shared" si="221"/>
        <v>34207192.446198031</v>
      </c>
      <c r="J288" s="67">
        <f t="shared" si="221"/>
        <v>0</v>
      </c>
      <c r="K288" s="67">
        <f t="shared" si="221"/>
        <v>0</v>
      </c>
      <c r="L288" s="67">
        <f t="shared" si="221"/>
        <v>0</v>
      </c>
      <c r="M288" s="67">
        <f t="shared" si="221"/>
        <v>0</v>
      </c>
      <c r="N288" s="67">
        <f t="shared" si="221"/>
        <v>0</v>
      </c>
      <c r="O288" s="67">
        <v>0</v>
      </c>
      <c r="P288" s="326">
        <f t="shared" si="210"/>
        <v>284002112.60018659</v>
      </c>
      <c r="Q288" s="2"/>
      <c r="S288" s="2"/>
    </row>
    <row r="289" spans="1:19" x14ac:dyDescent="0.15">
      <c r="B289" s="340" t="s">
        <v>700</v>
      </c>
      <c r="C289" s="12" t="s">
        <v>303</v>
      </c>
      <c r="D289" s="67">
        <f t="shared" si="211"/>
        <v>0</v>
      </c>
      <c r="E289" s="67">
        <f t="shared" ref="E289:N289" si="222">E174</f>
        <v>0</v>
      </c>
      <c r="F289" s="67">
        <f t="shared" si="222"/>
        <v>0</v>
      </c>
      <c r="G289" s="67">
        <f t="shared" si="222"/>
        <v>0</v>
      </c>
      <c r="H289" s="67">
        <f t="shared" si="222"/>
        <v>0</v>
      </c>
      <c r="I289" s="67">
        <f t="shared" si="222"/>
        <v>0</v>
      </c>
      <c r="J289" s="67">
        <f t="shared" si="222"/>
        <v>0</v>
      </c>
      <c r="K289" s="67">
        <f t="shared" si="222"/>
        <v>0</v>
      </c>
      <c r="L289" s="67">
        <f t="shared" si="222"/>
        <v>0</v>
      </c>
      <c r="M289" s="67">
        <f t="shared" si="222"/>
        <v>0</v>
      </c>
      <c r="N289" s="67">
        <f t="shared" si="222"/>
        <v>0</v>
      </c>
      <c r="O289" s="67">
        <v>0</v>
      </c>
      <c r="P289" s="326">
        <f t="shared" si="210"/>
        <v>0</v>
      </c>
      <c r="Q289" s="2"/>
      <c r="S289" s="2"/>
    </row>
    <row r="290" spans="1:19" x14ac:dyDescent="0.15">
      <c r="B290" s="340">
        <v>14</v>
      </c>
      <c r="C290" s="12" t="s">
        <v>304</v>
      </c>
      <c r="D290" s="67">
        <f t="shared" si="211"/>
        <v>-32550000</v>
      </c>
      <c r="E290" s="67">
        <f t="shared" ref="E290:N296" si="223">E175</f>
        <v>0</v>
      </c>
      <c r="F290" s="67">
        <f t="shared" si="223"/>
        <v>0</v>
      </c>
      <c r="G290" s="67">
        <f t="shared" si="223"/>
        <v>0</v>
      </c>
      <c r="H290" s="67">
        <f t="shared" si="223"/>
        <v>0</v>
      </c>
      <c r="I290" s="67">
        <f t="shared" si="223"/>
        <v>14347035</v>
      </c>
      <c r="J290" s="67">
        <f t="shared" si="223"/>
        <v>0</v>
      </c>
      <c r="K290" s="67">
        <f t="shared" si="223"/>
        <v>0</v>
      </c>
      <c r="L290" s="67">
        <f t="shared" si="223"/>
        <v>0</v>
      </c>
      <c r="M290" s="67">
        <f t="shared" si="223"/>
        <v>0</v>
      </c>
      <c r="N290" s="67">
        <f t="shared" si="223"/>
        <v>0</v>
      </c>
      <c r="O290" s="67">
        <v>0</v>
      </c>
      <c r="P290" s="326">
        <f t="shared" si="210"/>
        <v>14347035</v>
      </c>
      <c r="Q290" s="2"/>
      <c r="S290" s="2"/>
    </row>
    <row r="291" spans="1:19" x14ac:dyDescent="0.15">
      <c r="B291" s="340" t="s">
        <v>701</v>
      </c>
      <c r="C291" s="12" t="s">
        <v>207</v>
      </c>
      <c r="D291" s="67">
        <f t="shared" si="211"/>
        <v>-31050000</v>
      </c>
      <c r="E291" s="67">
        <f t="shared" si="223"/>
        <v>0</v>
      </c>
      <c r="F291" s="67">
        <f t="shared" si="223"/>
        <v>0</v>
      </c>
      <c r="G291" s="67">
        <f t="shared" si="223"/>
        <v>0</v>
      </c>
      <c r="H291" s="67">
        <f t="shared" si="223"/>
        <v>0</v>
      </c>
      <c r="I291" s="67">
        <f t="shared" si="223"/>
        <v>12847035</v>
      </c>
      <c r="J291" s="67">
        <f t="shared" si="223"/>
        <v>0</v>
      </c>
      <c r="K291" s="67">
        <f t="shared" si="223"/>
        <v>0</v>
      </c>
      <c r="L291" s="67">
        <f t="shared" si="223"/>
        <v>0</v>
      </c>
      <c r="M291" s="67">
        <f t="shared" si="223"/>
        <v>0</v>
      </c>
      <c r="N291" s="67">
        <f t="shared" si="223"/>
        <v>0</v>
      </c>
      <c r="O291" s="67">
        <v>0</v>
      </c>
      <c r="P291" s="326">
        <f t="shared" si="210"/>
        <v>12847035</v>
      </c>
      <c r="Q291" s="2"/>
      <c r="S291" s="2"/>
    </row>
    <row r="292" spans="1:19" x14ac:dyDescent="0.15">
      <c r="B292" s="340" t="s">
        <v>702</v>
      </c>
      <c r="C292" s="12" t="s">
        <v>307</v>
      </c>
      <c r="D292" s="67">
        <f t="shared" si="211"/>
        <v>-1500000</v>
      </c>
      <c r="E292" s="67">
        <f t="shared" si="223"/>
        <v>0</v>
      </c>
      <c r="F292" s="67">
        <f t="shared" si="223"/>
        <v>0</v>
      </c>
      <c r="G292" s="67">
        <f t="shared" si="223"/>
        <v>0</v>
      </c>
      <c r="H292" s="67">
        <f t="shared" si="223"/>
        <v>0</v>
      </c>
      <c r="I292" s="67">
        <f t="shared" si="223"/>
        <v>1500000</v>
      </c>
      <c r="J292" s="67">
        <f t="shared" si="223"/>
        <v>0</v>
      </c>
      <c r="K292" s="67">
        <f t="shared" si="223"/>
        <v>0</v>
      </c>
      <c r="L292" s="67">
        <f t="shared" si="223"/>
        <v>0</v>
      </c>
      <c r="M292" s="67">
        <f t="shared" si="223"/>
        <v>0</v>
      </c>
      <c r="N292" s="67">
        <f t="shared" si="223"/>
        <v>0</v>
      </c>
      <c r="O292" s="67">
        <v>0</v>
      </c>
      <c r="P292" s="326">
        <f t="shared" si="210"/>
        <v>1500000</v>
      </c>
      <c r="Q292" s="2"/>
      <c r="S292" s="2"/>
    </row>
    <row r="293" spans="1:19" x14ac:dyDescent="0.15">
      <c r="B293" s="340" t="s">
        <v>703</v>
      </c>
      <c r="C293" s="12" t="s">
        <v>309</v>
      </c>
      <c r="D293" s="67">
        <f t="shared" si="211"/>
        <v>0</v>
      </c>
      <c r="E293" s="67">
        <f t="shared" si="223"/>
        <v>0</v>
      </c>
      <c r="F293" s="67">
        <f t="shared" si="223"/>
        <v>0</v>
      </c>
      <c r="G293" s="67">
        <f t="shared" si="223"/>
        <v>0</v>
      </c>
      <c r="H293" s="67">
        <f t="shared" si="223"/>
        <v>0</v>
      </c>
      <c r="I293" s="67">
        <f t="shared" si="223"/>
        <v>0</v>
      </c>
      <c r="J293" s="67">
        <f t="shared" si="223"/>
        <v>0</v>
      </c>
      <c r="K293" s="67">
        <f t="shared" si="223"/>
        <v>0</v>
      </c>
      <c r="L293" s="67">
        <f t="shared" si="223"/>
        <v>0</v>
      </c>
      <c r="M293" s="67">
        <f t="shared" si="223"/>
        <v>0</v>
      </c>
      <c r="N293" s="67">
        <f t="shared" si="223"/>
        <v>0</v>
      </c>
      <c r="O293" s="67">
        <v>0</v>
      </c>
      <c r="P293" s="326">
        <f t="shared" si="210"/>
        <v>0</v>
      </c>
      <c r="Q293" s="2"/>
      <c r="S293" s="2"/>
    </row>
    <row r="294" spans="1:19" x14ac:dyDescent="0.15">
      <c r="B294" s="340" t="s">
        <v>704</v>
      </c>
      <c r="C294" s="12" t="s">
        <v>311</v>
      </c>
      <c r="D294" s="67">
        <f t="shared" si="211"/>
        <v>0</v>
      </c>
      <c r="E294" s="67">
        <f t="shared" si="223"/>
        <v>0</v>
      </c>
      <c r="F294" s="67">
        <f t="shared" si="223"/>
        <v>0</v>
      </c>
      <c r="G294" s="67">
        <f t="shared" si="223"/>
        <v>0</v>
      </c>
      <c r="H294" s="67">
        <f t="shared" si="223"/>
        <v>0</v>
      </c>
      <c r="I294" s="67">
        <f t="shared" si="223"/>
        <v>-2596968.7000000002</v>
      </c>
      <c r="J294" s="67">
        <f t="shared" si="223"/>
        <v>0</v>
      </c>
      <c r="K294" s="67">
        <f t="shared" si="223"/>
        <v>0</v>
      </c>
      <c r="L294" s="67">
        <f t="shared" si="223"/>
        <v>0</v>
      </c>
      <c r="M294" s="67">
        <f t="shared" si="223"/>
        <v>0</v>
      </c>
      <c r="N294" s="67">
        <f t="shared" si="223"/>
        <v>0</v>
      </c>
      <c r="O294" s="67">
        <v>0</v>
      </c>
      <c r="P294" s="326">
        <f t="shared" si="210"/>
        <v>-2596968.7000000002</v>
      </c>
      <c r="Q294" s="2"/>
      <c r="S294" s="2"/>
    </row>
    <row r="295" spans="1:19" ht="14" thickBot="1" x14ac:dyDescent="0.2">
      <c r="B295" s="340" t="s">
        <v>705</v>
      </c>
      <c r="C295" s="12" t="s">
        <v>115</v>
      </c>
      <c r="D295" s="67">
        <f t="shared" si="211"/>
        <v>-60000000</v>
      </c>
      <c r="E295" s="67">
        <f t="shared" si="223"/>
        <v>0</v>
      </c>
      <c r="F295" s="67">
        <f t="shared" si="223"/>
        <v>0</v>
      </c>
      <c r="G295" s="67">
        <f t="shared" si="223"/>
        <v>0</v>
      </c>
      <c r="H295" s="67">
        <f t="shared" si="223"/>
        <v>0</v>
      </c>
      <c r="I295" s="67">
        <f t="shared" si="223"/>
        <v>60000000</v>
      </c>
      <c r="J295" s="67">
        <f t="shared" si="223"/>
        <v>0</v>
      </c>
      <c r="K295" s="67">
        <f t="shared" si="223"/>
        <v>0</v>
      </c>
      <c r="L295" s="67">
        <f t="shared" si="223"/>
        <v>0</v>
      </c>
      <c r="M295" s="67">
        <f t="shared" si="223"/>
        <v>0</v>
      </c>
      <c r="N295" s="67">
        <f t="shared" si="223"/>
        <v>0</v>
      </c>
      <c r="O295" s="67">
        <v>0</v>
      </c>
      <c r="P295" s="326">
        <f t="shared" si="210"/>
        <v>60000000</v>
      </c>
      <c r="Q295" s="2"/>
      <c r="S295" s="2"/>
    </row>
    <row r="296" spans="1:19" x14ac:dyDescent="0.15">
      <c r="B296" s="340">
        <v>17</v>
      </c>
      <c r="C296" s="12" t="s">
        <v>313</v>
      </c>
      <c r="D296" s="67">
        <f t="shared" si="211"/>
        <v>-92550000</v>
      </c>
      <c r="E296" s="67">
        <f t="shared" si="223"/>
        <v>0</v>
      </c>
      <c r="F296" s="67">
        <f t="shared" si="223"/>
        <v>0</v>
      </c>
      <c r="G296" s="67">
        <f t="shared" si="223"/>
        <v>0</v>
      </c>
      <c r="H296" s="67">
        <f t="shared" si="223"/>
        <v>0</v>
      </c>
      <c r="I296" s="67">
        <f t="shared" si="223"/>
        <v>71750066.299999997</v>
      </c>
      <c r="J296" s="67">
        <f t="shared" si="223"/>
        <v>0</v>
      </c>
      <c r="K296" s="67">
        <f t="shared" si="223"/>
        <v>0</v>
      </c>
      <c r="L296" s="67">
        <f t="shared" si="223"/>
        <v>0</v>
      </c>
      <c r="M296" s="67">
        <f t="shared" si="223"/>
        <v>0</v>
      </c>
      <c r="N296" s="67">
        <f t="shared" si="223"/>
        <v>0</v>
      </c>
      <c r="O296" s="67">
        <v>0</v>
      </c>
      <c r="P296" s="326">
        <f t="shared" si="210"/>
        <v>71750066.299999997</v>
      </c>
      <c r="Q296" s="461"/>
      <c r="R296" s="357" t="s">
        <v>693</v>
      </c>
      <c r="S296" s="2"/>
    </row>
    <row r="297" spans="1:19" ht="14" thickBot="1" x14ac:dyDescent="0.2">
      <c r="A297" s="1" t="s">
        <v>712</v>
      </c>
      <c r="B297" s="355">
        <v>18</v>
      </c>
      <c r="C297" s="335" t="s">
        <v>314</v>
      </c>
      <c r="D297" s="67">
        <f t="shared" si="211"/>
        <v>-92550000</v>
      </c>
      <c r="E297" s="331">
        <f t="shared" ref="E297:N297" si="224">E296+E288</f>
        <v>74582750</v>
      </c>
      <c r="F297" s="331">
        <f t="shared" si="224"/>
        <v>68380292.000000045</v>
      </c>
      <c r="G297" s="331">
        <f t="shared" si="224"/>
        <v>59011393.410949975</v>
      </c>
      <c r="H297" s="331">
        <f t="shared" si="224"/>
        <v>47820484.743038543</v>
      </c>
      <c r="I297" s="331">
        <f t="shared" si="224"/>
        <v>105957258.74619803</v>
      </c>
      <c r="J297" s="331">
        <f t="shared" si="224"/>
        <v>0</v>
      </c>
      <c r="K297" s="331">
        <f t="shared" si="224"/>
        <v>0</v>
      </c>
      <c r="L297" s="331">
        <f t="shared" si="224"/>
        <v>0</v>
      </c>
      <c r="M297" s="331">
        <f t="shared" si="224"/>
        <v>0</v>
      </c>
      <c r="N297" s="331">
        <f t="shared" si="224"/>
        <v>0</v>
      </c>
      <c r="O297" s="331">
        <v>0</v>
      </c>
      <c r="P297" s="356">
        <f t="shared" si="210"/>
        <v>355752178.9001866</v>
      </c>
      <c r="Q297" s="463"/>
      <c r="R297" s="358">
        <f>IF(ISNUMBER(IRR(D297:N297)),IRR(D297:N297),"NMF")</f>
        <v>0.70165892928074292</v>
      </c>
      <c r="S297" s="1" t="s">
        <v>712</v>
      </c>
    </row>
    <row r="298" spans="1:19" x14ac:dyDescent="0.15">
      <c r="S298" s="2"/>
    </row>
    <row r="299" spans="1:19" ht="14" thickBot="1" x14ac:dyDescent="0.2">
      <c r="S299" s="2"/>
    </row>
    <row r="300" spans="1:19" ht="14" thickBot="1" x14ac:dyDescent="0.2">
      <c r="A300" t="s">
        <v>713</v>
      </c>
      <c r="B300" s="359" t="s">
        <v>282</v>
      </c>
      <c r="C300" s="360" t="s">
        <v>283</v>
      </c>
      <c r="D300" s="360"/>
      <c r="E300" s="360">
        <v>1</v>
      </c>
      <c r="F300" s="360">
        <v>2</v>
      </c>
      <c r="G300" s="360">
        <v>3</v>
      </c>
      <c r="H300" s="360">
        <v>4</v>
      </c>
      <c r="I300" s="360">
        <v>5</v>
      </c>
      <c r="J300" s="360">
        <v>6</v>
      </c>
      <c r="K300" s="360">
        <v>7</v>
      </c>
      <c r="L300" s="360">
        <v>8</v>
      </c>
      <c r="M300" s="360">
        <v>9</v>
      </c>
      <c r="N300" s="360">
        <v>10</v>
      </c>
      <c r="O300" s="360" t="s">
        <v>284</v>
      </c>
      <c r="P300" s="361" t="s">
        <v>285</v>
      </c>
    </row>
    <row r="301" spans="1:19" x14ac:dyDescent="0.15">
      <c r="B301" s="339" t="s">
        <v>687</v>
      </c>
      <c r="C301" s="302" t="s">
        <v>287</v>
      </c>
      <c r="D301" s="322">
        <f t="shared" ref="D301:D306" si="225">D158</f>
        <v>0</v>
      </c>
      <c r="E301" s="322">
        <f t="shared" ref="E301:N301" si="226">E158</f>
        <v>300000000</v>
      </c>
      <c r="F301" s="322">
        <f t="shared" si="226"/>
        <v>313500000.00000006</v>
      </c>
      <c r="G301" s="322">
        <f t="shared" si="226"/>
        <v>327607500.00000006</v>
      </c>
      <c r="H301" s="322">
        <f t="shared" si="226"/>
        <v>342349837.50000012</v>
      </c>
      <c r="I301" s="322">
        <f t="shared" si="226"/>
        <v>357755580.18750012</v>
      </c>
      <c r="J301" s="322">
        <f t="shared" si="226"/>
        <v>0</v>
      </c>
      <c r="K301" s="322">
        <f t="shared" si="226"/>
        <v>0</v>
      </c>
      <c r="L301" s="322">
        <f t="shared" si="226"/>
        <v>0</v>
      </c>
      <c r="M301" s="322">
        <f t="shared" si="226"/>
        <v>0</v>
      </c>
      <c r="N301" s="322">
        <f t="shared" si="226"/>
        <v>0</v>
      </c>
      <c r="O301" s="322">
        <v>0</v>
      </c>
      <c r="P301" s="325">
        <f>SUM(E301:N301)</f>
        <v>1641212917.6875</v>
      </c>
      <c r="Q301" s="2"/>
    </row>
    <row r="302" spans="1:19" x14ac:dyDescent="0.15">
      <c r="A302" s="1" t="s">
        <v>714</v>
      </c>
      <c r="B302" s="355" t="s">
        <v>689</v>
      </c>
      <c r="C302" s="362" t="s">
        <v>689</v>
      </c>
      <c r="D302" s="331">
        <f t="shared" si="225"/>
        <v>0</v>
      </c>
      <c r="E302" s="331">
        <f>Revenues!D7*Revenues!D8*1.25</f>
        <v>375000000</v>
      </c>
      <c r="F302" s="331">
        <f>Revenues!E7*Revenues!E8*1.25</f>
        <v>391875000.00000006</v>
      </c>
      <c r="G302" s="331">
        <f>Revenues!F7*Revenues!F8*1.25</f>
        <v>409509375.00000006</v>
      </c>
      <c r="H302" s="331">
        <f>Revenues!G7*Revenues!G8*1.25</f>
        <v>427937296.87500012</v>
      </c>
      <c r="I302" s="331">
        <f>Revenues!H7*Revenues!H8*1.25</f>
        <v>447194475.23437512</v>
      </c>
      <c r="J302" s="331">
        <f>Revenues!I7*Revenues!I8*1.25</f>
        <v>0</v>
      </c>
      <c r="K302" s="331">
        <f>Revenues!J7*Revenues!J8*1.25</f>
        <v>0</v>
      </c>
      <c r="L302" s="331">
        <f>Revenues!K7*Revenues!K8*1.25</f>
        <v>0</v>
      </c>
      <c r="M302" s="331">
        <f>Revenues!L7*Revenues!L8*1.25</f>
        <v>0</v>
      </c>
      <c r="N302" s="331">
        <f>Revenues!M7*Revenues!M8*1.25</f>
        <v>0</v>
      </c>
      <c r="O302" s="331"/>
      <c r="P302" s="356">
        <f>SUM(E302:N302)</f>
        <v>2051516147.109375</v>
      </c>
      <c r="Q302" s="460"/>
    </row>
    <row r="303" spans="1:19" x14ac:dyDescent="0.15">
      <c r="B303" s="340" t="s">
        <v>690</v>
      </c>
      <c r="C303" s="354" t="s">
        <v>690</v>
      </c>
      <c r="D303" s="67">
        <f t="shared" si="225"/>
        <v>0</v>
      </c>
      <c r="E303" s="67">
        <f>E160</f>
        <v>0</v>
      </c>
      <c r="F303" s="67">
        <f t="shared" ref="F303:N303" si="227">F160</f>
        <v>0</v>
      </c>
      <c r="G303" s="67">
        <f t="shared" si="227"/>
        <v>0</v>
      </c>
      <c r="H303" s="67">
        <f t="shared" si="227"/>
        <v>0</v>
      </c>
      <c r="I303" s="67">
        <f t="shared" si="227"/>
        <v>0</v>
      </c>
      <c r="J303" s="67">
        <f t="shared" si="227"/>
        <v>0</v>
      </c>
      <c r="K303" s="67">
        <f t="shared" si="227"/>
        <v>0</v>
      </c>
      <c r="L303" s="67">
        <f t="shared" si="227"/>
        <v>0</v>
      </c>
      <c r="M303" s="67">
        <f t="shared" si="227"/>
        <v>0</v>
      </c>
      <c r="N303" s="67">
        <f t="shared" si="227"/>
        <v>0</v>
      </c>
      <c r="O303" s="289"/>
      <c r="P303" s="326">
        <f>SUM(E303:N303)</f>
        <v>0</v>
      </c>
      <c r="Q303" s="2"/>
    </row>
    <row r="304" spans="1:19" x14ac:dyDescent="0.15">
      <c r="B304" s="340" t="s">
        <v>691</v>
      </c>
      <c r="C304" s="354" t="s">
        <v>691</v>
      </c>
      <c r="D304" s="67">
        <f t="shared" si="225"/>
        <v>0</v>
      </c>
      <c r="E304" s="67">
        <f>E161</f>
        <v>0</v>
      </c>
      <c r="F304" s="67">
        <f t="shared" ref="F304:N304" si="228">F161</f>
        <v>0</v>
      </c>
      <c r="G304" s="67">
        <f t="shared" si="228"/>
        <v>0</v>
      </c>
      <c r="H304" s="67">
        <f t="shared" si="228"/>
        <v>0</v>
      </c>
      <c r="I304" s="67">
        <f t="shared" si="228"/>
        <v>0</v>
      </c>
      <c r="J304" s="67">
        <f t="shared" si="228"/>
        <v>0</v>
      </c>
      <c r="K304" s="67">
        <f t="shared" si="228"/>
        <v>0</v>
      </c>
      <c r="L304" s="67">
        <f t="shared" si="228"/>
        <v>0</v>
      </c>
      <c r="M304" s="67">
        <f t="shared" si="228"/>
        <v>0</v>
      </c>
      <c r="N304" s="67">
        <f t="shared" si="228"/>
        <v>0</v>
      </c>
      <c r="O304" s="67"/>
      <c r="P304" s="326">
        <f>SUM(E304:N304)</f>
        <v>0</v>
      </c>
      <c r="Q304" s="2"/>
    </row>
    <row r="305" spans="2:17" x14ac:dyDescent="0.15">
      <c r="B305" s="340" t="s">
        <v>695</v>
      </c>
      <c r="C305" s="12"/>
      <c r="D305" s="67">
        <f t="shared" si="225"/>
        <v>0</v>
      </c>
      <c r="E305" s="67">
        <f>E304+E303+E302</f>
        <v>375000000</v>
      </c>
      <c r="F305" s="67">
        <f t="shared" ref="F305:N305" si="229">F304+F303+F302</f>
        <v>391875000.00000006</v>
      </c>
      <c r="G305" s="67">
        <f t="shared" si="229"/>
        <v>409509375.00000006</v>
      </c>
      <c r="H305" s="67">
        <f t="shared" si="229"/>
        <v>427937296.87500012</v>
      </c>
      <c r="I305" s="67">
        <f t="shared" si="229"/>
        <v>447194475.23437512</v>
      </c>
      <c r="J305" s="67">
        <f t="shared" si="229"/>
        <v>0</v>
      </c>
      <c r="K305" s="67">
        <f t="shared" si="229"/>
        <v>0</v>
      </c>
      <c r="L305" s="67">
        <f t="shared" si="229"/>
        <v>0</v>
      </c>
      <c r="M305" s="67">
        <f t="shared" si="229"/>
        <v>0</v>
      </c>
      <c r="N305" s="67">
        <f t="shared" si="229"/>
        <v>0</v>
      </c>
      <c r="O305" s="67"/>
      <c r="P305" s="326">
        <f t="shared" ref="P305:P325" si="230">SUM(E305:N305)</f>
        <v>2051516147.109375</v>
      </c>
      <c r="Q305" s="2"/>
    </row>
    <row r="306" spans="2:17" x14ac:dyDescent="0.15">
      <c r="B306" s="340" t="s">
        <v>696</v>
      </c>
      <c r="C306" s="12" t="s">
        <v>289</v>
      </c>
      <c r="D306" s="67">
        <f t="shared" si="225"/>
        <v>0</v>
      </c>
      <c r="E306" s="67">
        <f>(Expenses!D18*1.25)+Expenses!D25+Expenses!D32+(Expenses!D39*1.25)+Expenses!D44+Expenses!D49+Expenses!D56+Expenses!D95-Expenses!D77</f>
        <v>261295000</v>
      </c>
      <c r="F306" s="67">
        <f>(Expenses!E18*1.25)+Expenses!E25+Expenses!E32+(Expenses!E39*1.25)+Expenses!E44+Expenses!E49+Expenses!E56+Expenses!E95-Expenses!E77</f>
        <v>288219268.75</v>
      </c>
      <c r="G306" s="67">
        <f>(Expenses!F18*1.25)+Expenses!F25+Expenses!F32+(Expenses!F39*1.25)+Expenses!F44+Expenses!F49+Expenses!F56+Expenses!F95-Expenses!F77</f>
        <v>318539733.9390626</v>
      </c>
      <c r="H306" s="67">
        <f>(Expenses!G18*1.25)+Expenses!G25+Expenses!G32+(Expenses!G39*1.25)+Expenses!G44+Expenses!G49+Expenses!G56+Expenses!G95-Expenses!G77</f>
        <v>352701420.08653504</v>
      </c>
      <c r="I306" s="67">
        <f>(Expenses!H18*1.25)+Expenses!H25+Expenses!H32+(Expenses!H39*1.25)+Expenses!H44+Expenses!H49+Expenses!H56+Expenses!H95-Expenses!H77</f>
        <v>391208253.78718197</v>
      </c>
      <c r="J306" s="67">
        <f>(Expenses!I18*1.25)+Expenses!I25+Expenses!I32+(Expenses!I39*1.25)+Expenses!I44+Expenses!I49+Expenses!I56+Expenses!I95-Expenses!I77</f>
        <v>0</v>
      </c>
      <c r="K306" s="67">
        <f>(Expenses!J18*1.25)+Expenses!J25+Expenses!J32+(Expenses!J39*1.25)+Expenses!J44+Expenses!J49+Expenses!J56+Expenses!J95-Expenses!J77</f>
        <v>0</v>
      </c>
      <c r="L306" s="67">
        <f>(Expenses!K18*1.25)+Expenses!K25+Expenses!K32+(Expenses!K39*1.25)+Expenses!K44+Expenses!K49+Expenses!K56+Expenses!K95-Expenses!K77</f>
        <v>0</v>
      </c>
      <c r="M306" s="67">
        <f>(Expenses!L18*1.25)+Expenses!L25+Expenses!L32+(Expenses!L39*1.25)+Expenses!L44+Expenses!L49+Expenses!L56+Expenses!L95-Expenses!L77</f>
        <v>0</v>
      </c>
      <c r="N306" s="67">
        <f>(Expenses!M18*1.25)+Expenses!M25+Expenses!M32+(Expenses!M39*1.25)+Expenses!M44+Expenses!M49+Expenses!M56+Expenses!M95-Expenses!M77</f>
        <v>0</v>
      </c>
      <c r="O306" s="67">
        <v>0</v>
      </c>
      <c r="P306" s="326">
        <f t="shared" si="230"/>
        <v>1611963676.5627794</v>
      </c>
      <c r="Q306" s="2"/>
    </row>
    <row r="307" spans="2:17" x14ac:dyDescent="0.15">
      <c r="B307" s="340">
        <v>3</v>
      </c>
      <c r="C307" s="12" t="s">
        <v>290</v>
      </c>
      <c r="D307" s="67">
        <f t="shared" ref="D307:D325" si="231">D164</f>
        <v>0</v>
      </c>
      <c r="E307" s="67">
        <f>E305-E306</f>
        <v>113705000</v>
      </c>
      <c r="F307" s="67">
        <f t="shared" ref="F307:N307" si="232">F305-F306</f>
        <v>103655731.25000006</v>
      </c>
      <c r="G307" s="67">
        <f t="shared" si="232"/>
        <v>90969641.060937464</v>
      </c>
      <c r="H307" s="67">
        <f t="shared" si="232"/>
        <v>75235876.788465083</v>
      </c>
      <c r="I307" s="67">
        <f t="shared" si="232"/>
        <v>55986221.447193146</v>
      </c>
      <c r="J307" s="67">
        <f t="shared" si="232"/>
        <v>0</v>
      </c>
      <c r="K307" s="67">
        <f t="shared" si="232"/>
        <v>0</v>
      </c>
      <c r="L307" s="67">
        <f t="shared" si="232"/>
        <v>0</v>
      </c>
      <c r="M307" s="67">
        <f t="shared" si="232"/>
        <v>0</v>
      </c>
      <c r="N307" s="67">
        <f t="shared" si="232"/>
        <v>0</v>
      </c>
      <c r="O307" s="67">
        <v>0</v>
      </c>
      <c r="P307" s="326">
        <f t="shared" si="230"/>
        <v>439552470.54659575</v>
      </c>
      <c r="Q307" s="2"/>
    </row>
    <row r="308" spans="2:17" x14ac:dyDescent="0.15">
      <c r="B308" s="340" t="s">
        <v>697</v>
      </c>
      <c r="C308" s="12" t="s">
        <v>292</v>
      </c>
      <c r="D308" s="67">
        <f t="shared" si="231"/>
        <v>0</v>
      </c>
      <c r="E308" s="67">
        <f>E165</f>
        <v>3772500</v>
      </c>
      <c r="F308" s="67">
        <f t="shared" ref="F308:N308" si="233">F165</f>
        <v>6218850</v>
      </c>
      <c r="G308" s="67">
        <f t="shared" si="233"/>
        <v>4083150</v>
      </c>
      <c r="H308" s="67">
        <f t="shared" si="233"/>
        <v>2775510</v>
      </c>
      <c r="I308" s="67">
        <f t="shared" si="233"/>
        <v>1352955</v>
      </c>
      <c r="J308" s="67">
        <f t="shared" si="233"/>
        <v>0</v>
      </c>
      <c r="K308" s="67">
        <f t="shared" si="233"/>
        <v>0</v>
      </c>
      <c r="L308" s="67">
        <f t="shared" si="233"/>
        <v>0</v>
      </c>
      <c r="M308" s="67">
        <f t="shared" si="233"/>
        <v>0</v>
      </c>
      <c r="N308" s="67">
        <f t="shared" si="233"/>
        <v>0</v>
      </c>
      <c r="O308" s="67">
        <v>0</v>
      </c>
      <c r="P308" s="326">
        <f t="shared" si="230"/>
        <v>18202965</v>
      </c>
      <c r="Q308" s="2"/>
    </row>
    <row r="309" spans="2:17" x14ac:dyDescent="0.15">
      <c r="B309" s="340">
        <v>5</v>
      </c>
      <c r="C309" s="12" t="s">
        <v>293</v>
      </c>
      <c r="D309" s="67">
        <f t="shared" si="231"/>
        <v>0</v>
      </c>
      <c r="E309" s="67">
        <f>E307-E308</f>
        <v>109932500</v>
      </c>
      <c r="F309" s="67">
        <f t="shared" ref="F309:N309" si="234">F307-F308</f>
        <v>97436881.25000006</v>
      </c>
      <c r="G309" s="67">
        <f t="shared" si="234"/>
        <v>86886491.060937464</v>
      </c>
      <c r="H309" s="67">
        <f t="shared" si="234"/>
        <v>72460366.788465083</v>
      </c>
      <c r="I309" s="67">
        <f t="shared" si="234"/>
        <v>54633266.447193146</v>
      </c>
      <c r="J309" s="67">
        <f t="shared" si="234"/>
        <v>0</v>
      </c>
      <c r="K309" s="67">
        <f t="shared" si="234"/>
        <v>0</v>
      </c>
      <c r="L309" s="67">
        <f t="shared" si="234"/>
        <v>0</v>
      </c>
      <c r="M309" s="67">
        <f t="shared" si="234"/>
        <v>0</v>
      </c>
      <c r="N309" s="67">
        <f t="shared" si="234"/>
        <v>0</v>
      </c>
      <c r="O309" s="67">
        <v>0</v>
      </c>
      <c r="P309" s="326">
        <f t="shared" si="230"/>
        <v>421349505.54659575</v>
      </c>
      <c r="Q309" s="2"/>
    </row>
    <row r="310" spans="2:17" x14ac:dyDescent="0.15">
      <c r="B310" s="340" t="s">
        <v>698</v>
      </c>
      <c r="C310" s="12" t="s">
        <v>295</v>
      </c>
      <c r="D310" s="67">
        <f t="shared" si="231"/>
        <v>0</v>
      </c>
      <c r="E310" s="67">
        <f>E167</f>
        <v>0</v>
      </c>
      <c r="F310" s="67">
        <f t="shared" ref="F310:N310" si="235">F167</f>
        <v>0</v>
      </c>
      <c r="G310" s="67">
        <f t="shared" si="235"/>
        <v>0</v>
      </c>
      <c r="H310" s="67">
        <f t="shared" si="235"/>
        <v>0</v>
      </c>
      <c r="I310" s="67">
        <f t="shared" si="235"/>
        <v>0</v>
      </c>
      <c r="J310" s="67">
        <f t="shared" si="235"/>
        <v>0</v>
      </c>
      <c r="K310" s="67">
        <f t="shared" si="235"/>
        <v>0</v>
      </c>
      <c r="L310" s="67">
        <f t="shared" si="235"/>
        <v>0</v>
      </c>
      <c r="M310" s="67">
        <f t="shared" si="235"/>
        <v>0</v>
      </c>
      <c r="N310" s="67">
        <f t="shared" si="235"/>
        <v>0</v>
      </c>
      <c r="O310" s="67">
        <v>0</v>
      </c>
      <c r="P310" s="326">
        <f t="shared" si="230"/>
        <v>0</v>
      </c>
      <c r="Q310" s="2"/>
    </row>
    <row r="311" spans="2:17" x14ac:dyDescent="0.15">
      <c r="B311" s="340">
        <v>7</v>
      </c>
      <c r="C311" s="12" t="s">
        <v>296</v>
      </c>
      <c r="D311" s="67">
        <f t="shared" si="231"/>
        <v>0</v>
      </c>
      <c r="E311" s="67">
        <f>E309-E310</f>
        <v>109932500</v>
      </c>
      <c r="F311" s="67">
        <f t="shared" ref="F311:N311" si="236">F309-F310</f>
        <v>97436881.25000006</v>
      </c>
      <c r="G311" s="67">
        <f t="shared" si="236"/>
        <v>86886491.060937464</v>
      </c>
      <c r="H311" s="67">
        <f t="shared" si="236"/>
        <v>72460366.788465083</v>
      </c>
      <c r="I311" s="67">
        <f t="shared" si="236"/>
        <v>54633266.447193146</v>
      </c>
      <c r="J311" s="67">
        <f t="shared" si="236"/>
        <v>0</v>
      </c>
      <c r="K311" s="67">
        <f t="shared" si="236"/>
        <v>0</v>
      </c>
      <c r="L311" s="67">
        <f t="shared" si="236"/>
        <v>0</v>
      </c>
      <c r="M311" s="67">
        <f t="shared" si="236"/>
        <v>0</v>
      </c>
      <c r="N311" s="67">
        <f t="shared" si="236"/>
        <v>0</v>
      </c>
      <c r="O311" s="67">
        <v>0</v>
      </c>
      <c r="P311" s="326">
        <f t="shared" si="230"/>
        <v>421349505.54659575</v>
      </c>
      <c r="Q311" s="2"/>
    </row>
    <row r="312" spans="2:17" x14ac:dyDescent="0.15">
      <c r="B312" s="340">
        <v>8</v>
      </c>
      <c r="C312" s="12" t="s">
        <v>297</v>
      </c>
      <c r="D312" s="67">
        <f t="shared" si="231"/>
        <v>0</v>
      </c>
      <c r="E312" s="67">
        <f>-E311*$D$3</f>
        <v>-32979750</v>
      </c>
      <c r="F312" s="67">
        <f t="shared" ref="F312:N312" si="237">-F311*$D$3</f>
        <v>-29231064.375000019</v>
      </c>
      <c r="G312" s="67">
        <f t="shared" si="237"/>
        <v>-26065947.318281237</v>
      </c>
      <c r="H312" s="67">
        <f t="shared" si="237"/>
        <v>-21738110.036539525</v>
      </c>
      <c r="I312" s="67">
        <f t="shared" si="237"/>
        <v>-16389979.934157943</v>
      </c>
      <c r="J312" s="67">
        <f t="shared" si="237"/>
        <v>0</v>
      </c>
      <c r="K312" s="67">
        <f t="shared" si="237"/>
        <v>0</v>
      </c>
      <c r="L312" s="67">
        <f t="shared" si="237"/>
        <v>0</v>
      </c>
      <c r="M312" s="67">
        <f t="shared" si="237"/>
        <v>0</v>
      </c>
      <c r="N312" s="67">
        <f t="shared" si="237"/>
        <v>0</v>
      </c>
      <c r="O312" s="67">
        <v>0</v>
      </c>
      <c r="P312" s="326">
        <f t="shared" si="230"/>
        <v>-126404851.66397871</v>
      </c>
      <c r="Q312" s="2"/>
    </row>
    <row r="313" spans="2:17" x14ac:dyDescent="0.15">
      <c r="B313" s="340">
        <v>9</v>
      </c>
      <c r="C313" s="12" t="s">
        <v>298</v>
      </c>
      <c r="D313" s="67">
        <f t="shared" si="231"/>
        <v>0</v>
      </c>
      <c r="E313" s="67">
        <f>E170</f>
        <v>0</v>
      </c>
      <c r="F313" s="67">
        <f t="shared" ref="F313:N313" si="238">F170</f>
        <v>0</v>
      </c>
      <c r="G313" s="67">
        <f t="shared" si="238"/>
        <v>0</v>
      </c>
      <c r="H313" s="67">
        <f t="shared" si="238"/>
        <v>0</v>
      </c>
      <c r="I313" s="67">
        <f t="shared" si="238"/>
        <v>0</v>
      </c>
      <c r="J313" s="67">
        <f t="shared" si="238"/>
        <v>0</v>
      </c>
      <c r="K313" s="67">
        <f t="shared" si="238"/>
        <v>0</v>
      </c>
      <c r="L313" s="67">
        <f t="shared" si="238"/>
        <v>0</v>
      </c>
      <c r="M313" s="67">
        <f t="shared" si="238"/>
        <v>0</v>
      </c>
      <c r="N313" s="67">
        <f t="shared" si="238"/>
        <v>0</v>
      </c>
      <c r="O313" s="67">
        <v>0</v>
      </c>
      <c r="P313" s="326">
        <f t="shared" si="230"/>
        <v>0</v>
      </c>
      <c r="Q313" s="2"/>
    </row>
    <row r="314" spans="2:17" x14ac:dyDescent="0.15">
      <c r="B314" s="340">
        <v>10</v>
      </c>
      <c r="C314" s="12" t="s">
        <v>299</v>
      </c>
      <c r="D314" s="67">
        <f t="shared" si="231"/>
        <v>0</v>
      </c>
      <c r="E314" s="67">
        <f>E311+E312+E313</f>
        <v>76952750</v>
      </c>
      <c r="F314" s="67">
        <f t="shared" ref="F314:N314" si="239">F311+F312+F313</f>
        <v>68205816.875000045</v>
      </c>
      <c r="G314" s="67">
        <f t="shared" si="239"/>
        <v>60820543.742656231</v>
      </c>
      <c r="H314" s="67">
        <f t="shared" si="239"/>
        <v>50722256.751925558</v>
      </c>
      <c r="I314" s="67">
        <f t="shared" si="239"/>
        <v>38243286.513035201</v>
      </c>
      <c r="J314" s="67">
        <f t="shared" si="239"/>
        <v>0</v>
      </c>
      <c r="K314" s="67">
        <f t="shared" si="239"/>
        <v>0</v>
      </c>
      <c r="L314" s="67">
        <f t="shared" si="239"/>
        <v>0</v>
      </c>
      <c r="M314" s="67">
        <f t="shared" si="239"/>
        <v>0</v>
      </c>
      <c r="N314" s="67">
        <f t="shared" si="239"/>
        <v>0</v>
      </c>
      <c r="O314" s="67">
        <v>0</v>
      </c>
      <c r="P314" s="326">
        <f t="shared" si="230"/>
        <v>294944653.88261706</v>
      </c>
      <c r="Q314" s="2"/>
    </row>
    <row r="315" spans="2:17" x14ac:dyDescent="0.15">
      <c r="B315" s="340" t="s">
        <v>699</v>
      </c>
      <c r="C315" s="12" t="s">
        <v>292</v>
      </c>
      <c r="D315" s="67">
        <f t="shared" si="231"/>
        <v>0</v>
      </c>
      <c r="E315" s="67">
        <f>E172</f>
        <v>3772500</v>
      </c>
      <c r="F315" s="67">
        <f t="shared" ref="F315:N315" si="240">F172</f>
        <v>6218850</v>
      </c>
      <c r="G315" s="67">
        <f t="shared" si="240"/>
        <v>4083150</v>
      </c>
      <c r="H315" s="67">
        <f t="shared" si="240"/>
        <v>2775510</v>
      </c>
      <c r="I315" s="67">
        <f t="shared" si="240"/>
        <v>1352955</v>
      </c>
      <c r="J315" s="67">
        <f t="shared" si="240"/>
        <v>0</v>
      </c>
      <c r="K315" s="67">
        <f t="shared" si="240"/>
        <v>0</v>
      </c>
      <c r="L315" s="67">
        <f t="shared" si="240"/>
        <v>0</v>
      </c>
      <c r="M315" s="67">
        <f t="shared" si="240"/>
        <v>0</v>
      </c>
      <c r="N315" s="67">
        <f t="shared" si="240"/>
        <v>0</v>
      </c>
      <c r="O315" s="67">
        <v>0</v>
      </c>
      <c r="P315" s="326">
        <f t="shared" si="230"/>
        <v>18202965</v>
      </c>
      <c r="Q315" s="2"/>
    </row>
    <row r="316" spans="2:17" x14ac:dyDescent="0.15">
      <c r="B316" s="340">
        <v>12</v>
      </c>
      <c r="C316" s="12" t="s">
        <v>301</v>
      </c>
      <c r="D316" s="67">
        <f t="shared" si="231"/>
        <v>0</v>
      </c>
      <c r="E316" s="67">
        <f>E314+E315</f>
        <v>80725250</v>
      </c>
      <c r="F316" s="67">
        <f t="shared" ref="F316:N316" si="241">F314+F315</f>
        <v>74424666.875000045</v>
      </c>
      <c r="G316" s="67">
        <f t="shared" si="241"/>
        <v>64903693.742656231</v>
      </c>
      <c r="H316" s="67">
        <f t="shared" si="241"/>
        <v>53497766.751925558</v>
      </c>
      <c r="I316" s="67">
        <f t="shared" si="241"/>
        <v>39596241.513035201</v>
      </c>
      <c r="J316" s="67">
        <f t="shared" si="241"/>
        <v>0</v>
      </c>
      <c r="K316" s="67">
        <f t="shared" si="241"/>
        <v>0</v>
      </c>
      <c r="L316" s="67">
        <f t="shared" si="241"/>
        <v>0</v>
      </c>
      <c r="M316" s="67">
        <f t="shared" si="241"/>
        <v>0</v>
      </c>
      <c r="N316" s="67">
        <f t="shared" si="241"/>
        <v>0</v>
      </c>
      <c r="O316" s="67">
        <v>0</v>
      </c>
      <c r="P316" s="326">
        <f t="shared" si="230"/>
        <v>313147618.882617</v>
      </c>
      <c r="Q316" s="2"/>
    </row>
    <row r="317" spans="2:17" x14ac:dyDescent="0.15">
      <c r="B317" s="340" t="s">
        <v>700</v>
      </c>
      <c r="C317" s="12" t="s">
        <v>303</v>
      </c>
      <c r="D317" s="67">
        <f t="shared" si="231"/>
        <v>0</v>
      </c>
      <c r="E317" s="67">
        <f t="shared" ref="E317:N317" si="242">E174</f>
        <v>0</v>
      </c>
      <c r="F317" s="67">
        <f t="shared" si="242"/>
        <v>0</v>
      </c>
      <c r="G317" s="67">
        <f t="shared" si="242"/>
        <v>0</v>
      </c>
      <c r="H317" s="67">
        <f t="shared" si="242"/>
        <v>0</v>
      </c>
      <c r="I317" s="67">
        <f t="shared" si="242"/>
        <v>0</v>
      </c>
      <c r="J317" s="67">
        <f t="shared" si="242"/>
        <v>0</v>
      </c>
      <c r="K317" s="67">
        <f t="shared" si="242"/>
        <v>0</v>
      </c>
      <c r="L317" s="67">
        <f t="shared" si="242"/>
        <v>0</v>
      </c>
      <c r="M317" s="67">
        <f t="shared" si="242"/>
        <v>0</v>
      </c>
      <c r="N317" s="67">
        <f t="shared" si="242"/>
        <v>0</v>
      </c>
      <c r="O317" s="67">
        <v>0</v>
      </c>
      <c r="P317" s="326">
        <f t="shared" si="230"/>
        <v>0</v>
      </c>
      <c r="Q317" s="2"/>
    </row>
    <row r="318" spans="2:17" x14ac:dyDescent="0.15">
      <c r="B318" s="340">
        <v>14</v>
      </c>
      <c r="C318" s="12" t="s">
        <v>304</v>
      </c>
      <c r="D318" s="67">
        <f t="shared" si="231"/>
        <v>-32550000</v>
      </c>
      <c r="E318" s="67">
        <f t="shared" ref="E318:N324" si="243">E175</f>
        <v>0</v>
      </c>
      <c r="F318" s="67">
        <f t="shared" si="243"/>
        <v>0</v>
      </c>
      <c r="G318" s="67">
        <f t="shared" si="243"/>
        <v>0</v>
      </c>
      <c r="H318" s="67">
        <f t="shared" si="243"/>
        <v>0</v>
      </c>
      <c r="I318" s="67">
        <f t="shared" si="243"/>
        <v>14347035</v>
      </c>
      <c r="J318" s="67">
        <f t="shared" si="243"/>
        <v>0</v>
      </c>
      <c r="K318" s="67">
        <f t="shared" si="243"/>
        <v>0</v>
      </c>
      <c r="L318" s="67">
        <f t="shared" si="243"/>
        <v>0</v>
      </c>
      <c r="M318" s="67">
        <f t="shared" si="243"/>
        <v>0</v>
      </c>
      <c r="N318" s="67">
        <f t="shared" si="243"/>
        <v>0</v>
      </c>
      <c r="O318" s="67">
        <v>0</v>
      </c>
      <c r="P318" s="326">
        <f t="shared" si="230"/>
        <v>14347035</v>
      </c>
      <c r="Q318" s="2"/>
    </row>
    <row r="319" spans="2:17" x14ac:dyDescent="0.15">
      <c r="B319" s="340" t="s">
        <v>701</v>
      </c>
      <c r="C319" s="12" t="s">
        <v>207</v>
      </c>
      <c r="D319" s="67">
        <f t="shared" si="231"/>
        <v>-31050000</v>
      </c>
      <c r="E319" s="67">
        <f t="shared" si="243"/>
        <v>0</v>
      </c>
      <c r="F319" s="67">
        <f t="shared" si="243"/>
        <v>0</v>
      </c>
      <c r="G319" s="67">
        <f t="shared" si="243"/>
        <v>0</v>
      </c>
      <c r="H319" s="67">
        <f t="shared" si="243"/>
        <v>0</v>
      </c>
      <c r="I319" s="67">
        <f t="shared" si="243"/>
        <v>12847035</v>
      </c>
      <c r="J319" s="67">
        <f t="shared" si="243"/>
        <v>0</v>
      </c>
      <c r="K319" s="67">
        <f t="shared" si="243"/>
        <v>0</v>
      </c>
      <c r="L319" s="67">
        <f t="shared" si="243"/>
        <v>0</v>
      </c>
      <c r="M319" s="67">
        <f t="shared" si="243"/>
        <v>0</v>
      </c>
      <c r="N319" s="67">
        <f t="shared" si="243"/>
        <v>0</v>
      </c>
      <c r="O319" s="67">
        <v>0</v>
      </c>
      <c r="P319" s="326">
        <f t="shared" si="230"/>
        <v>12847035</v>
      </c>
      <c r="Q319" s="2"/>
    </row>
    <row r="320" spans="2:17" x14ac:dyDescent="0.15">
      <c r="B320" s="340" t="s">
        <v>702</v>
      </c>
      <c r="C320" s="12" t="s">
        <v>307</v>
      </c>
      <c r="D320" s="67">
        <f t="shared" si="231"/>
        <v>-1500000</v>
      </c>
      <c r="E320" s="67">
        <f t="shared" si="243"/>
        <v>0</v>
      </c>
      <c r="F320" s="67">
        <f t="shared" si="243"/>
        <v>0</v>
      </c>
      <c r="G320" s="67">
        <f t="shared" si="243"/>
        <v>0</v>
      </c>
      <c r="H320" s="67">
        <f t="shared" si="243"/>
        <v>0</v>
      </c>
      <c r="I320" s="67">
        <f t="shared" si="243"/>
        <v>1500000</v>
      </c>
      <c r="J320" s="67">
        <f t="shared" si="243"/>
        <v>0</v>
      </c>
      <c r="K320" s="67">
        <f t="shared" si="243"/>
        <v>0</v>
      </c>
      <c r="L320" s="67">
        <f t="shared" si="243"/>
        <v>0</v>
      </c>
      <c r="M320" s="67">
        <f t="shared" si="243"/>
        <v>0</v>
      </c>
      <c r="N320" s="67">
        <f t="shared" si="243"/>
        <v>0</v>
      </c>
      <c r="O320" s="67">
        <v>0</v>
      </c>
      <c r="P320" s="326">
        <f t="shared" si="230"/>
        <v>1500000</v>
      </c>
      <c r="Q320" s="2"/>
    </row>
    <row r="321" spans="1:19" x14ac:dyDescent="0.15">
      <c r="B321" s="340" t="s">
        <v>703</v>
      </c>
      <c r="C321" s="12" t="s">
        <v>309</v>
      </c>
      <c r="D321" s="67">
        <f t="shared" si="231"/>
        <v>0</v>
      </c>
      <c r="E321" s="67">
        <f t="shared" si="243"/>
        <v>0</v>
      </c>
      <c r="F321" s="67">
        <f t="shared" si="243"/>
        <v>0</v>
      </c>
      <c r="G321" s="67">
        <f t="shared" si="243"/>
        <v>0</v>
      </c>
      <c r="H321" s="67">
        <f t="shared" si="243"/>
        <v>0</v>
      </c>
      <c r="I321" s="67">
        <f t="shared" si="243"/>
        <v>0</v>
      </c>
      <c r="J321" s="67">
        <f t="shared" si="243"/>
        <v>0</v>
      </c>
      <c r="K321" s="67">
        <f t="shared" si="243"/>
        <v>0</v>
      </c>
      <c r="L321" s="67">
        <f t="shared" si="243"/>
        <v>0</v>
      </c>
      <c r="M321" s="67">
        <f t="shared" si="243"/>
        <v>0</v>
      </c>
      <c r="N321" s="67">
        <f t="shared" si="243"/>
        <v>0</v>
      </c>
      <c r="O321" s="67">
        <v>0</v>
      </c>
      <c r="P321" s="326">
        <f t="shared" si="230"/>
        <v>0</v>
      </c>
      <c r="Q321" s="2"/>
    </row>
    <row r="322" spans="1:19" x14ac:dyDescent="0.15">
      <c r="B322" s="340" t="s">
        <v>704</v>
      </c>
      <c r="C322" s="12" t="s">
        <v>311</v>
      </c>
      <c r="D322" s="67">
        <f t="shared" si="231"/>
        <v>0</v>
      </c>
      <c r="E322" s="67">
        <f t="shared" si="243"/>
        <v>0</v>
      </c>
      <c r="F322" s="67">
        <f t="shared" si="243"/>
        <v>0</v>
      </c>
      <c r="G322" s="67">
        <f t="shared" si="243"/>
        <v>0</v>
      </c>
      <c r="H322" s="67">
        <f t="shared" si="243"/>
        <v>0</v>
      </c>
      <c r="I322" s="67">
        <f t="shared" si="243"/>
        <v>-2596968.7000000002</v>
      </c>
      <c r="J322" s="67">
        <f t="shared" si="243"/>
        <v>0</v>
      </c>
      <c r="K322" s="67">
        <f t="shared" si="243"/>
        <v>0</v>
      </c>
      <c r="L322" s="67">
        <f t="shared" si="243"/>
        <v>0</v>
      </c>
      <c r="M322" s="67">
        <f t="shared" si="243"/>
        <v>0</v>
      </c>
      <c r="N322" s="67">
        <f t="shared" si="243"/>
        <v>0</v>
      </c>
      <c r="O322" s="67">
        <v>0</v>
      </c>
      <c r="P322" s="326">
        <f t="shared" si="230"/>
        <v>-2596968.7000000002</v>
      </c>
      <c r="Q322" s="2"/>
    </row>
    <row r="323" spans="1:19" ht="14" thickBot="1" x14ac:dyDescent="0.2">
      <c r="B323" s="340" t="s">
        <v>705</v>
      </c>
      <c r="C323" s="12" t="s">
        <v>115</v>
      </c>
      <c r="D323" s="67">
        <f t="shared" si="231"/>
        <v>-60000000</v>
      </c>
      <c r="E323" s="67">
        <f t="shared" si="243"/>
        <v>0</v>
      </c>
      <c r="F323" s="67">
        <f t="shared" si="243"/>
        <v>0</v>
      </c>
      <c r="G323" s="67">
        <f t="shared" si="243"/>
        <v>0</v>
      </c>
      <c r="H323" s="67">
        <f t="shared" si="243"/>
        <v>0</v>
      </c>
      <c r="I323" s="67">
        <f t="shared" si="243"/>
        <v>60000000</v>
      </c>
      <c r="J323" s="67">
        <f t="shared" si="243"/>
        <v>0</v>
      </c>
      <c r="K323" s="67">
        <f t="shared" si="243"/>
        <v>0</v>
      </c>
      <c r="L323" s="67">
        <f t="shared" si="243"/>
        <v>0</v>
      </c>
      <c r="M323" s="67">
        <f t="shared" si="243"/>
        <v>0</v>
      </c>
      <c r="N323" s="67">
        <f t="shared" si="243"/>
        <v>0</v>
      </c>
      <c r="O323" s="67">
        <v>0</v>
      </c>
      <c r="P323" s="326">
        <f t="shared" si="230"/>
        <v>60000000</v>
      </c>
      <c r="Q323" s="2"/>
    </row>
    <row r="324" spans="1:19" x14ac:dyDescent="0.15">
      <c r="B324" s="340">
        <v>17</v>
      </c>
      <c r="C324" s="12" t="s">
        <v>313</v>
      </c>
      <c r="D324" s="67">
        <f t="shared" si="231"/>
        <v>-92550000</v>
      </c>
      <c r="E324" s="67">
        <f t="shared" si="243"/>
        <v>0</v>
      </c>
      <c r="F324" s="67">
        <f t="shared" si="243"/>
        <v>0</v>
      </c>
      <c r="G324" s="67">
        <f t="shared" si="243"/>
        <v>0</v>
      </c>
      <c r="H324" s="67">
        <f t="shared" si="243"/>
        <v>0</v>
      </c>
      <c r="I324" s="67">
        <f t="shared" si="243"/>
        <v>71750066.299999997</v>
      </c>
      <c r="J324" s="67">
        <f t="shared" si="243"/>
        <v>0</v>
      </c>
      <c r="K324" s="67">
        <f t="shared" si="243"/>
        <v>0</v>
      </c>
      <c r="L324" s="67">
        <f t="shared" si="243"/>
        <v>0</v>
      </c>
      <c r="M324" s="67">
        <f t="shared" si="243"/>
        <v>0</v>
      </c>
      <c r="N324" s="67">
        <f t="shared" si="243"/>
        <v>0</v>
      </c>
      <c r="O324" s="67">
        <v>0</v>
      </c>
      <c r="P324" s="326">
        <f t="shared" si="230"/>
        <v>71750066.299999997</v>
      </c>
      <c r="Q324" s="461"/>
      <c r="R324" s="357" t="s">
        <v>693</v>
      </c>
    </row>
    <row r="325" spans="1:19" ht="14" thickBot="1" x14ac:dyDescent="0.2">
      <c r="A325" s="1" t="s">
        <v>714</v>
      </c>
      <c r="B325" s="355">
        <v>18</v>
      </c>
      <c r="C325" s="335" t="s">
        <v>314</v>
      </c>
      <c r="D325" s="67">
        <f t="shared" si="231"/>
        <v>-92550000</v>
      </c>
      <c r="E325" s="331">
        <f t="shared" ref="E325:N325" si="244">E324+E316</f>
        <v>80725250</v>
      </c>
      <c r="F325" s="331">
        <f t="shared" si="244"/>
        <v>74424666.875000045</v>
      </c>
      <c r="G325" s="331">
        <f t="shared" si="244"/>
        <v>64903693.742656231</v>
      </c>
      <c r="H325" s="331">
        <f t="shared" si="244"/>
        <v>53497766.751925558</v>
      </c>
      <c r="I325" s="331">
        <f t="shared" si="244"/>
        <v>111346307.81303519</v>
      </c>
      <c r="J325" s="331">
        <f t="shared" si="244"/>
        <v>0</v>
      </c>
      <c r="K325" s="331">
        <f t="shared" si="244"/>
        <v>0</v>
      </c>
      <c r="L325" s="331">
        <f t="shared" si="244"/>
        <v>0</v>
      </c>
      <c r="M325" s="331">
        <f t="shared" si="244"/>
        <v>0</v>
      </c>
      <c r="N325" s="331">
        <f t="shared" si="244"/>
        <v>0</v>
      </c>
      <c r="O325" s="331">
        <v>0</v>
      </c>
      <c r="P325" s="356">
        <f t="shared" si="230"/>
        <v>384897685.18261701</v>
      </c>
      <c r="Q325" s="463"/>
      <c r="R325" s="358">
        <f>IF(ISNUMBER(IRR(D325:N325)),IRR(D325:N325),"NMF")</f>
        <v>0.7736847937422795</v>
      </c>
      <c r="S325" s="1" t="s">
        <v>714</v>
      </c>
    </row>
  </sheetData>
  <sheetProtection password="AA36" sheet="1" objects="1" scenarios="1"/>
  <phoneticPr fontId="0" type="noConversion"/>
  <pageMargins left="0.75" right="0.75" top="1" bottom="1" header="0.5" footer="0.5"/>
  <pageSetup orientation="portrait" horizontalDpi="0" verticalDpi="0"/>
  <headerFooter alignWithMargins="0"/>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T325"/>
  <sheetViews>
    <sheetView zoomScale="75" workbookViewId="0"/>
  </sheetViews>
  <sheetFormatPr baseColWidth="10" defaultColWidth="8.83203125" defaultRowHeight="13" x14ac:dyDescent="0.15"/>
  <cols>
    <col min="1" max="1" width="13.6640625" customWidth="1"/>
    <col min="2" max="2" width="21.1640625" customWidth="1"/>
    <col min="3" max="3" width="42.83203125" customWidth="1"/>
    <col min="4" max="5" width="14.5" customWidth="1"/>
    <col min="6" max="9" width="21.83203125" customWidth="1"/>
    <col min="10" max="10" width="18.5" customWidth="1"/>
    <col min="11" max="11" width="17.5" customWidth="1"/>
    <col min="12" max="14" width="11.6640625" customWidth="1"/>
    <col min="15" max="15" width="3.5" customWidth="1"/>
    <col min="16" max="16" width="22.83203125" customWidth="1"/>
    <col min="17" max="17" width="14.6640625" customWidth="1"/>
    <col min="18" max="18" width="12.6640625" customWidth="1"/>
  </cols>
  <sheetData>
    <row r="1" spans="1:11" ht="19" thickBot="1" x14ac:dyDescent="0.25">
      <c r="A1" s="549" t="s">
        <v>716</v>
      </c>
    </row>
    <row r="2" spans="1:11" ht="14" thickBot="1" x14ac:dyDescent="0.2">
      <c r="F2" t="s">
        <v>684</v>
      </c>
      <c r="H2" s="323" t="s">
        <v>436</v>
      </c>
      <c r="I2" s="365" t="s">
        <v>685</v>
      </c>
      <c r="J2" s="320" t="s">
        <v>341</v>
      </c>
      <c r="K2" s="365" t="s">
        <v>685</v>
      </c>
    </row>
    <row r="3" spans="1:11" ht="18" thickBot="1" x14ac:dyDescent="0.25">
      <c r="C3" s="343" t="s">
        <v>279</v>
      </c>
      <c r="D3" s="344">
        <f>'Initial Inputs'!C43</f>
        <v>0.3</v>
      </c>
      <c r="G3" s="378" t="s">
        <v>412</v>
      </c>
      <c r="H3" s="379">
        <f>R42</f>
        <v>0.40549033935008683</v>
      </c>
      <c r="I3" s="372">
        <f>IF(H3="NMF","NMF",(H3-$H$8)/$H$8)</f>
        <v>0</v>
      </c>
      <c r="J3" s="375">
        <f>NPV($D$7,E42:N42)+D42</f>
        <v>60173850.627423048</v>
      </c>
      <c r="K3" s="372">
        <f>IF(J3="NMF","NMF",IF(ISNUMBER((J3-$J$8)/$J$8),(J3-$J$8)/$J$8,0))</f>
        <v>0</v>
      </c>
    </row>
    <row r="4" spans="1:11" ht="18" thickBot="1" x14ac:dyDescent="0.25">
      <c r="C4" s="345" t="s">
        <v>280</v>
      </c>
      <c r="D4" s="346">
        <f>'Initial Inputs'!C45</f>
        <v>0.18</v>
      </c>
      <c r="G4" s="381" t="s">
        <v>413</v>
      </c>
      <c r="H4" s="382">
        <f>R70</f>
        <v>0.40549033935008683</v>
      </c>
      <c r="I4" s="373">
        <f t="shared" ref="I4:I13" si="0">IF(H4="NMF","NMF",(H4-$H$8)/$H$8)</f>
        <v>0</v>
      </c>
      <c r="J4" s="376">
        <f>NPV($D$7,E70:N70)+D70</f>
        <v>60173850.627423048</v>
      </c>
      <c r="K4" s="372">
        <f t="shared" ref="K4:K13" si="1">IF(J4="NMF","NMF",IF(ISNUMBER((J4-$J$8)/$J$8),(J4-$J$8)/$J$8,0))</f>
        <v>0</v>
      </c>
    </row>
    <row r="5" spans="1:11" ht="18" thickBot="1" x14ac:dyDescent="0.25">
      <c r="C5" s="347" t="s">
        <v>281</v>
      </c>
      <c r="D5" s="350">
        <f>'Initial Inputs'!A47</f>
        <v>0</v>
      </c>
      <c r="G5" s="381" t="s">
        <v>414</v>
      </c>
      <c r="H5" s="382">
        <f>R98</f>
        <v>0.40549033935008683</v>
      </c>
      <c r="I5" s="373">
        <f t="shared" si="0"/>
        <v>0</v>
      </c>
      <c r="J5" s="376">
        <f>NPV($D$7,E98:N98)+D98</f>
        <v>60173850.627423048</v>
      </c>
      <c r="K5" s="372">
        <f t="shared" si="1"/>
        <v>0</v>
      </c>
    </row>
    <row r="6" spans="1:11" ht="17" thickBot="1" x14ac:dyDescent="0.25">
      <c r="C6" s="336"/>
      <c r="D6" s="349"/>
      <c r="G6" s="381" t="s">
        <v>415</v>
      </c>
      <c r="H6" s="382">
        <f>R126</f>
        <v>0.40549033935008683</v>
      </c>
      <c r="I6" s="373">
        <f t="shared" si="0"/>
        <v>0</v>
      </c>
      <c r="J6" s="376">
        <f>NPV($D$7,E126:N126)+D126</f>
        <v>60173850.627423048</v>
      </c>
      <c r="K6" s="372">
        <f t="shared" si="1"/>
        <v>0</v>
      </c>
    </row>
    <row r="7" spans="1:11" ht="18" thickBot="1" x14ac:dyDescent="0.25">
      <c r="C7" s="351" t="s">
        <v>686</v>
      </c>
      <c r="D7" s="352">
        <f>'Initial Inputs'!C5</f>
        <v>0.16</v>
      </c>
      <c r="G7" s="381" t="s">
        <v>416</v>
      </c>
      <c r="H7" s="382">
        <f>R154</f>
        <v>0.40549033935008683</v>
      </c>
      <c r="I7" s="373">
        <f t="shared" si="0"/>
        <v>0</v>
      </c>
      <c r="J7" s="376">
        <f>NPV($D$7,E154:N154)+D154</f>
        <v>60173850.627423048</v>
      </c>
      <c r="K7" s="372">
        <f t="shared" si="1"/>
        <v>0</v>
      </c>
    </row>
    <row r="8" spans="1:11" ht="17" thickBot="1" x14ac:dyDescent="0.25">
      <c r="C8" s="336"/>
      <c r="D8" s="349"/>
      <c r="G8" s="381" t="s">
        <v>653</v>
      </c>
      <c r="H8" s="382">
        <f>R182</f>
        <v>0.40549033935008683</v>
      </c>
      <c r="I8" s="373">
        <f t="shared" si="0"/>
        <v>0</v>
      </c>
      <c r="J8" s="376">
        <f>NPV($D$7,E182:N182)+D182</f>
        <v>60173850.627423048</v>
      </c>
      <c r="K8" s="372">
        <f t="shared" si="1"/>
        <v>0</v>
      </c>
    </row>
    <row r="9" spans="1:11" ht="17" thickBot="1" x14ac:dyDescent="0.25">
      <c r="C9" s="336"/>
      <c r="D9" s="349"/>
      <c r="G9" s="381" t="s">
        <v>418</v>
      </c>
      <c r="H9" s="382">
        <f>R213</f>
        <v>0.40549033935008683</v>
      </c>
      <c r="I9" s="373">
        <f t="shared" si="0"/>
        <v>0</v>
      </c>
      <c r="J9" s="376">
        <f>NPV($D$7,E213:N213)+D213</f>
        <v>60173850.627423048</v>
      </c>
      <c r="K9" s="372">
        <f t="shared" si="1"/>
        <v>0</v>
      </c>
    </row>
    <row r="10" spans="1:11" ht="17" thickBot="1" x14ac:dyDescent="0.25">
      <c r="C10" s="336"/>
      <c r="D10" s="349"/>
      <c r="G10" s="381" t="s">
        <v>419</v>
      </c>
      <c r="H10" s="382">
        <f>R241</f>
        <v>0.40549033935008683</v>
      </c>
      <c r="I10" s="373">
        <f t="shared" si="0"/>
        <v>0</v>
      </c>
      <c r="J10" s="376">
        <f>NPV($D$7,E241:N241)+D241</f>
        <v>60173850.627423048</v>
      </c>
      <c r="K10" s="372">
        <f t="shared" si="1"/>
        <v>0</v>
      </c>
    </row>
    <row r="11" spans="1:11" ht="17" thickBot="1" x14ac:dyDescent="0.25">
      <c r="C11" s="336"/>
      <c r="D11" s="349"/>
      <c r="G11" s="381" t="s">
        <v>420</v>
      </c>
      <c r="H11" s="382">
        <f>R269</f>
        <v>0.40549033935008683</v>
      </c>
      <c r="I11" s="373">
        <f t="shared" si="0"/>
        <v>0</v>
      </c>
      <c r="J11" s="376">
        <f>NPV($D$7,E269:N269)+D269</f>
        <v>60173850.627423048</v>
      </c>
      <c r="K11" s="372">
        <f t="shared" si="1"/>
        <v>0</v>
      </c>
    </row>
    <row r="12" spans="1:11" ht="17" thickBot="1" x14ac:dyDescent="0.25">
      <c r="C12" s="336"/>
      <c r="D12" s="342"/>
      <c r="G12" s="381" t="s">
        <v>421</v>
      </c>
      <c r="H12" s="382">
        <f>R297</f>
        <v>0.40549033935008683</v>
      </c>
      <c r="I12" s="373">
        <f t="shared" si="0"/>
        <v>0</v>
      </c>
      <c r="J12" s="376">
        <f>NPV($D$7,E297:N297)+D297</f>
        <v>60173850.627423048</v>
      </c>
      <c r="K12" s="372">
        <f t="shared" si="1"/>
        <v>0</v>
      </c>
    </row>
    <row r="13" spans="1:11" ht="17" thickBot="1" x14ac:dyDescent="0.25">
      <c r="C13" s="336"/>
      <c r="D13" s="342"/>
      <c r="G13" s="384" t="s">
        <v>422</v>
      </c>
      <c r="H13" s="385">
        <f>R325</f>
        <v>0.40549033935008683</v>
      </c>
      <c r="I13" s="374">
        <f t="shared" si="0"/>
        <v>0</v>
      </c>
      <c r="J13" s="377">
        <f>NPV($D$7,E325:N325)+D325</f>
        <v>60173850.627423048</v>
      </c>
      <c r="K13" s="372">
        <f t="shared" si="1"/>
        <v>0</v>
      </c>
    </row>
    <row r="14" spans="1:11" ht="16" x14ac:dyDescent="0.2">
      <c r="C14" s="336"/>
      <c r="D14" s="342"/>
      <c r="G14" t="s">
        <v>424</v>
      </c>
    </row>
    <row r="15" spans="1:11" ht="16" x14ac:dyDescent="0.2">
      <c r="B15" s="48" t="s">
        <v>716</v>
      </c>
      <c r="G15" s="90"/>
    </row>
    <row r="16" spans="1:11" ht="14" thickBot="1" x14ac:dyDescent="0.2"/>
    <row r="17" spans="1:17" ht="14" thickBot="1" x14ac:dyDescent="0.2">
      <c r="B17" s="323" t="str">
        <f>'After Tax Analysis'!B7</f>
        <v>Line/Source</v>
      </c>
      <c r="C17" s="324" t="str">
        <f>'After Tax Analysis'!C7</f>
        <v>Description</v>
      </c>
      <c r="D17" s="324"/>
      <c r="E17" s="324">
        <f>'After Tax Analysis'!E7</f>
        <v>1</v>
      </c>
      <c r="F17" s="324">
        <f>'After Tax Analysis'!F7</f>
        <v>2</v>
      </c>
      <c r="G17" s="324">
        <f>'After Tax Analysis'!G7</f>
        <v>3</v>
      </c>
      <c r="H17" s="324">
        <f>'After Tax Analysis'!H7</f>
        <v>4</v>
      </c>
      <c r="I17" s="324">
        <f>'After Tax Analysis'!I7</f>
        <v>5</v>
      </c>
      <c r="J17" s="324">
        <f>'After Tax Analysis'!J7</f>
        <v>6</v>
      </c>
      <c r="K17" s="324">
        <f>'After Tax Analysis'!K7</f>
        <v>7</v>
      </c>
      <c r="L17" s="324">
        <f>'After Tax Analysis'!L7</f>
        <v>8</v>
      </c>
      <c r="M17" s="324">
        <f>'After Tax Analysis'!M7</f>
        <v>9</v>
      </c>
      <c r="N17" s="324">
        <f>'After Tax Analysis'!N7</f>
        <v>10</v>
      </c>
      <c r="O17" s="324" t="str">
        <f>'After Tax Analysis'!O7</f>
        <v>10A</v>
      </c>
      <c r="P17" s="320" t="str">
        <f>'After Tax Analysis'!P7</f>
        <v>TOTAL</v>
      </c>
      <c r="Q17" s="22"/>
    </row>
    <row r="18" spans="1:17" x14ac:dyDescent="0.15">
      <c r="B18" s="339" t="s">
        <v>687</v>
      </c>
      <c r="C18" s="302" t="str">
        <f>'After Tax Analysis'!C8</f>
        <v>Operating Revenue</v>
      </c>
      <c r="D18" s="322">
        <f>D158</f>
        <v>0</v>
      </c>
      <c r="E18" s="322">
        <f>E158</f>
        <v>300000000</v>
      </c>
      <c r="F18" s="322">
        <f t="shared" ref="F18:N18" si="2">F158</f>
        <v>313500000.00000006</v>
      </c>
      <c r="G18" s="322">
        <f t="shared" si="2"/>
        <v>327607500.00000006</v>
      </c>
      <c r="H18" s="322">
        <f t="shared" si="2"/>
        <v>342349837.50000012</v>
      </c>
      <c r="I18" s="322">
        <f t="shared" si="2"/>
        <v>357755580.18750012</v>
      </c>
      <c r="J18" s="322">
        <f t="shared" si="2"/>
        <v>0</v>
      </c>
      <c r="K18" s="322">
        <f t="shared" si="2"/>
        <v>0</v>
      </c>
      <c r="L18" s="322">
        <f t="shared" si="2"/>
        <v>0</v>
      </c>
      <c r="M18" s="322">
        <f t="shared" si="2"/>
        <v>0</v>
      </c>
      <c r="N18" s="322">
        <f t="shared" si="2"/>
        <v>0</v>
      </c>
      <c r="O18" s="322">
        <f>'After Tax Analysis'!O8</f>
        <v>0</v>
      </c>
      <c r="P18" s="325">
        <f>SUM(E18:N18)</f>
        <v>1641212917.6875</v>
      </c>
      <c r="Q18" s="2"/>
    </row>
    <row r="19" spans="1:17" x14ac:dyDescent="0.15">
      <c r="A19" s="1" t="s">
        <v>688</v>
      </c>
      <c r="B19" s="340" t="s">
        <v>689</v>
      </c>
      <c r="C19" s="354" t="s">
        <v>689</v>
      </c>
      <c r="D19" s="67">
        <f>D159</f>
        <v>0</v>
      </c>
      <c r="E19" s="67">
        <f>E159</f>
        <v>300000000</v>
      </c>
      <c r="F19" s="67">
        <f t="shared" ref="F19:N19" si="3">F159</f>
        <v>313500000.00000006</v>
      </c>
      <c r="G19" s="67">
        <f t="shared" si="3"/>
        <v>327607500.00000006</v>
      </c>
      <c r="H19" s="67">
        <f t="shared" si="3"/>
        <v>342349837.50000012</v>
      </c>
      <c r="I19" s="67">
        <f t="shared" si="3"/>
        <v>357755580.18750012</v>
      </c>
      <c r="J19" s="67">
        <f t="shared" si="3"/>
        <v>0</v>
      </c>
      <c r="K19" s="67">
        <f t="shared" si="3"/>
        <v>0</v>
      </c>
      <c r="L19" s="67">
        <f t="shared" si="3"/>
        <v>0</v>
      </c>
      <c r="M19" s="67">
        <f t="shared" si="3"/>
        <v>0</v>
      </c>
      <c r="N19" s="67">
        <f t="shared" si="3"/>
        <v>0</v>
      </c>
      <c r="O19" s="67"/>
      <c r="P19" s="326">
        <f>SUM(E19:N19)</f>
        <v>1641212917.6875</v>
      </c>
      <c r="Q19" s="2"/>
    </row>
    <row r="20" spans="1:17" x14ac:dyDescent="0.15">
      <c r="B20" s="355" t="s">
        <v>690</v>
      </c>
      <c r="C20" s="362" t="s">
        <v>690</v>
      </c>
      <c r="D20" s="331">
        <f t="shared" ref="D20:D32" si="4">D160</f>
        <v>0</v>
      </c>
      <c r="E20" s="331">
        <f>E160*0.75</f>
        <v>0</v>
      </c>
      <c r="F20" s="331">
        <f t="shared" ref="F20:N20" si="5">F160*0.75</f>
        <v>0</v>
      </c>
      <c r="G20" s="331">
        <f t="shared" si="5"/>
        <v>0</v>
      </c>
      <c r="H20" s="331">
        <f t="shared" si="5"/>
        <v>0</v>
      </c>
      <c r="I20" s="331">
        <f t="shared" si="5"/>
        <v>0</v>
      </c>
      <c r="J20" s="331">
        <f t="shared" si="5"/>
        <v>0</v>
      </c>
      <c r="K20" s="331">
        <f t="shared" si="5"/>
        <v>0</v>
      </c>
      <c r="L20" s="331">
        <f t="shared" si="5"/>
        <v>0</v>
      </c>
      <c r="M20" s="331">
        <f t="shared" si="5"/>
        <v>0</v>
      </c>
      <c r="N20" s="331">
        <f t="shared" si="5"/>
        <v>0</v>
      </c>
      <c r="O20" s="331"/>
      <c r="P20" s="356">
        <f>SUM(E20:N20)</f>
        <v>0</v>
      </c>
      <c r="Q20" s="460"/>
    </row>
    <row r="21" spans="1:17" x14ac:dyDescent="0.15">
      <c r="B21" s="340" t="s">
        <v>691</v>
      </c>
      <c r="C21" s="354" t="s">
        <v>691</v>
      </c>
      <c r="D21" s="67">
        <f t="shared" si="4"/>
        <v>0</v>
      </c>
      <c r="E21" s="67">
        <f>E161</f>
        <v>0</v>
      </c>
      <c r="F21" s="67">
        <f t="shared" ref="F21:N21" si="6">F161</f>
        <v>0</v>
      </c>
      <c r="G21" s="67">
        <f t="shared" si="6"/>
        <v>0</v>
      </c>
      <c r="H21" s="67">
        <f t="shared" si="6"/>
        <v>0</v>
      </c>
      <c r="I21" s="67">
        <f t="shared" si="6"/>
        <v>0</v>
      </c>
      <c r="J21" s="67">
        <f t="shared" si="6"/>
        <v>0</v>
      </c>
      <c r="K21" s="67">
        <f t="shared" si="6"/>
        <v>0</v>
      </c>
      <c r="L21" s="67">
        <f t="shared" si="6"/>
        <v>0</v>
      </c>
      <c r="M21" s="67">
        <f t="shared" si="6"/>
        <v>0</v>
      </c>
      <c r="N21" s="67">
        <f t="shared" si="6"/>
        <v>0</v>
      </c>
      <c r="O21" s="67"/>
      <c r="P21" s="326">
        <f>SUM(E21:N21)</f>
        <v>0</v>
      </c>
      <c r="Q21" s="2"/>
    </row>
    <row r="22" spans="1:17" x14ac:dyDescent="0.15">
      <c r="B22" s="340" t="s">
        <v>692</v>
      </c>
      <c r="C22" s="354" t="s">
        <v>692</v>
      </c>
      <c r="D22" s="67">
        <f t="shared" si="4"/>
        <v>0</v>
      </c>
      <c r="E22" s="67">
        <f>E19+E20+E21</f>
        <v>300000000</v>
      </c>
      <c r="F22" s="67">
        <f t="shared" ref="F22:N22" si="7">F19+F20+F21</f>
        <v>313500000.00000006</v>
      </c>
      <c r="G22" s="67">
        <f t="shared" si="7"/>
        <v>327607500.00000006</v>
      </c>
      <c r="H22" s="67">
        <f t="shared" si="7"/>
        <v>342349837.50000012</v>
      </c>
      <c r="I22" s="67">
        <f t="shared" si="7"/>
        <v>357755580.18750012</v>
      </c>
      <c r="J22" s="67">
        <f t="shared" si="7"/>
        <v>0</v>
      </c>
      <c r="K22" s="67">
        <f t="shared" si="7"/>
        <v>0</v>
      </c>
      <c r="L22" s="67">
        <f t="shared" si="7"/>
        <v>0</v>
      </c>
      <c r="M22" s="67">
        <f t="shared" si="7"/>
        <v>0</v>
      </c>
      <c r="N22" s="67">
        <f t="shared" si="7"/>
        <v>0</v>
      </c>
      <c r="O22" s="67"/>
      <c r="P22" s="326">
        <f t="shared" ref="P22:P42" si="8">SUM(E22:N22)</f>
        <v>1641212917.6875</v>
      </c>
      <c r="Q22" s="2"/>
    </row>
    <row r="23" spans="1:17" x14ac:dyDescent="0.15">
      <c r="B23" s="340" t="str">
        <f>'After Tax Analysis'!B9</f>
        <v>2 / "Expenses"</v>
      </c>
      <c r="C23" s="12" t="str">
        <f>'After Tax Analysis'!C9</f>
        <v>Cash Expenses (Not including depreciation)</v>
      </c>
      <c r="D23" s="67">
        <f t="shared" si="4"/>
        <v>0</v>
      </c>
      <c r="E23" s="67">
        <f t="shared" ref="E23:N23" si="9">E163</f>
        <v>230170000</v>
      </c>
      <c r="F23" s="67">
        <f t="shared" si="9"/>
        <v>253018375.00000003</v>
      </c>
      <c r="G23" s="67">
        <f t="shared" si="9"/>
        <v>278725718.45125008</v>
      </c>
      <c r="H23" s="67">
        <f t="shared" si="9"/>
        <v>307665975.06072807</v>
      </c>
      <c r="I23" s="67">
        <f t="shared" si="9"/>
        <v>340262566.36057305</v>
      </c>
      <c r="J23" s="67">
        <f t="shared" si="9"/>
        <v>0</v>
      </c>
      <c r="K23" s="67">
        <f t="shared" si="9"/>
        <v>0</v>
      </c>
      <c r="L23" s="67">
        <f t="shared" si="9"/>
        <v>0</v>
      </c>
      <c r="M23" s="67">
        <f t="shared" si="9"/>
        <v>0</v>
      </c>
      <c r="N23" s="67">
        <f t="shared" si="9"/>
        <v>0</v>
      </c>
      <c r="O23" s="67">
        <f>'After Tax Analysis'!O9</f>
        <v>0</v>
      </c>
      <c r="P23" s="326">
        <f t="shared" si="8"/>
        <v>1409842634.8725512</v>
      </c>
      <c r="Q23" s="2"/>
    </row>
    <row r="24" spans="1:17" x14ac:dyDescent="0.15">
      <c r="B24" s="340">
        <f>'After Tax Analysis'!B10</f>
        <v>3</v>
      </c>
      <c r="C24" s="12" t="str">
        <f>'After Tax Analysis'!C10</f>
        <v>Oper. Income (1-2)</v>
      </c>
      <c r="D24" s="67">
        <f>D22-D23</f>
        <v>0</v>
      </c>
      <c r="E24" s="67">
        <f>E22-E23</f>
        <v>69830000</v>
      </c>
      <c r="F24" s="67">
        <f t="shared" ref="F24:N24" si="10">F22-F23</f>
        <v>60481625.00000003</v>
      </c>
      <c r="G24" s="67">
        <f t="shared" si="10"/>
        <v>48881781.548749983</v>
      </c>
      <c r="H24" s="67">
        <f t="shared" si="10"/>
        <v>34683862.439272046</v>
      </c>
      <c r="I24" s="67">
        <f t="shared" si="10"/>
        <v>17493013.826927066</v>
      </c>
      <c r="J24" s="67">
        <f t="shared" si="10"/>
        <v>0</v>
      </c>
      <c r="K24" s="67">
        <f t="shared" si="10"/>
        <v>0</v>
      </c>
      <c r="L24" s="67">
        <f t="shared" si="10"/>
        <v>0</v>
      </c>
      <c r="M24" s="67">
        <f t="shared" si="10"/>
        <v>0</v>
      </c>
      <c r="N24" s="67">
        <f t="shared" si="10"/>
        <v>0</v>
      </c>
      <c r="O24" s="67">
        <f>'After Tax Analysis'!O10</f>
        <v>0</v>
      </c>
      <c r="P24" s="326">
        <f t="shared" si="8"/>
        <v>231370282.81494913</v>
      </c>
      <c r="Q24" s="2"/>
    </row>
    <row r="25" spans="1:17" x14ac:dyDescent="0.15">
      <c r="B25" s="340" t="str">
        <f>'After Tax Analysis'!B11</f>
        <v>4 / "Expenses"</v>
      </c>
      <c r="C25" s="12" t="str">
        <f>'After Tax Analysis'!C11</f>
        <v>Depreciation</v>
      </c>
      <c r="D25" s="67">
        <f t="shared" si="4"/>
        <v>0</v>
      </c>
      <c r="E25" s="67">
        <f>E165</f>
        <v>3772500</v>
      </c>
      <c r="F25" s="67">
        <f t="shared" ref="F25:N25" si="11">F165</f>
        <v>6218850</v>
      </c>
      <c r="G25" s="67">
        <f t="shared" si="11"/>
        <v>4083150</v>
      </c>
      <c r="H25" s="67">
        <f t="shared" si="11"/>
        <v>2775510</v>
      </c>
      <c r="I25" s="67">
        <f t="shared" si="11"/>
        <v>1352955</v>
      </c>
      <c r="J25" s="67">
        <f t="shared" si="11"/>
        <v>0</v>
      </c>
      <c r="K25" s="67">
        <f t="shared" si="11"/>
        <v>0</v>
      </c>
      <c r="L25" s="67">
        <f t="shared" si="11"/>
        <v>0</v>
      </c>
      <c r="M25" s="67">
        <f t="shared" si="11"/>
        <v>0</v>
      </c>
      <c r="N25" s="67">
        <f t="shared" si="11"/>
        <v>0</v>
      </c>
      <c r="O25" s="67">
        <f>'After Tax Analysis'!O11</f>
        <v>0</v>
      </c>
      <c r="P25" s="326">
        <f t="shared" si="8"/>
        <v>18202965</v>
      </c>
      <c r="Q25" s="2"/>
    </row>
    <row r="26" spans="1:17" x14ac:dyDescent="0.15">
      <c r="B26" s="340">
        <f>'After Tax Analysis'!B12</f>
        <v>5</v>
      </c>
      <c r="C26" s="12" t="str">
        <f>'After Tax Analysis'!C12</f>
        <v>Oper. Income (3-4)</v>
      </c>
      <c r="D26" s="67">
        <f>D24-D25</f>
        <v>0</v>
      </c>
      <c r="E26" s="67">
        <f>E24-E25</f>
        <v>66057500</v>
      </c>
      <c r="F26" s="67">
        <f t="shared" ref="F26:N26" si="12">F24-F25</f>
        <v>54262775.00000003</v>
      </c>
      <c r="G26" s="67">
        <f t="shared" si="12"/>
        <v>44798631.548749983</v>
      </c>
      <c r="H26" s="67">
        <f t="shared" si="12"/>
        <v>31908352.439272046</v>
      </c>
      <c r="I26" s="67">
        <f t="shared" si="12"/>
        <v>16140058.826927066</v>
      </c>
      <c r="J26" s="67">
        <f t="shared" si="12"/>
        <v>0</v>
      </c>
      <c r="K26" s="67">
        <f t="shared" si="12"/>
        <v>0</v>
      </c>
      <c r="L26" s="67">
        <f t="shared" si="12"/>
        <v>0</v>
      </c>
      <c r="M26" s="67">
        <f t="shared" si="12"/>
        <v>0</v>
      </c>
      <c r="N26" s="67">
        <f t="shared" si="12"/>
        <v>0</v>
      </c>
      <c r="O26" s="67">
        <f>'After Tax Analysis'!O12</f>
        <v>0</v>
      </c>
      <c r="P26" s="326">
        <f t="shared" si="8"/>
        <v>213167317.81494913</v>
      </c>
      <c r="Q26" s="2"/>
    </row>
    <row r="27" spans="1:17" x14ac:dyDescent="0.15">
      <c r="B27" s="340" t="str">
        <f>'After Tax Analysis'!B13</f>
        <v>6 / "Loan Amortization"</v>
      </c>
      <c r="C27" s="12" t="str">
        <f>'After Tax Analysis'!C13</f>
        <v>Interest expense</v>
      </c>
      <c r="D27" s="67">
        <f t="shared" si="4"/>
        <v>0</v>
      </c>
      <c r="E27" s="67">
        <f>E167</f>
        <v>0</v>
      </c>
      <c r="F27" s="67">
        <f t="shared" ref="F27:N27" si="13">F167</f>
        <v>0</v>
      </c>
      <c r="G27" s="67">
        <f t="shared" si="13"/>
        <v>0</v>
      </c>
      <c r="H27" s="67">
        <f t="shared" si="13"/>
        <v>0</v>
      </c>
      <c r="I27" s="67">
        <f t="shared" si="13"/>
        <v>0</v>
      </c>
      <c r="J27" s="67">
        <f t="shared" si="13"/>
        <v>0</v>
      </c>
      <c r="K27" s="67">
        <f t="shared" si="13"/>
        <v>0</v>
      </c>
      <c r="L27" s="67">
        <f t="shared" si="13"/>
        <v>0</v>
      </c>
      <c r="M27" s="67">
        <f t="shared" si="13"/>
        <v>0</v>
      </c>
      <c r="N27" s="67">
        <f t="shared" si="13"/>
        <v>0</v>
      </c>
      <c r="O27" s="67">
        <f>'After Tax Analysis'!O13</f>
        <v>0</v>
      </c>
      <c r="P27" s="326">
        <f t="shared" si="8"/>
        <v>0</v>
      </c>
      <c r="Q27" s="2"/>
    </row>
    <row r="28" spans="1:17" x14ac:dyDescent="0.15">
      <c r="B28" s="340">
        <f>'After Tax Analysis'!B14</f>
        <v>7</v>
      </c>
      <c r="C28" s="12" t="str">
        <f>'After Tax Analysis'!C14</f>
        <v>Pretax Net Income (5-6)</v>
      </c>
      <c r="D28" s="67">
        <f>D26-D27</f>
        <v>0</v>
      </c>
      <c r="E28" s="67">
        <f>E26-E27</f>
        <v>66057500</v>
      </c>
      <c r="F28" s="67">
        <f t="shared" ref="F28:N28" si="14">F26-F27</f>
        <v>54262775.00000003</v>
      </c>
      <c r="G28" s="67">
        <f t="shared" si="14"/>
        <v>44798631.548749983</v>
      </c>
      <c r="H28" s="67">
        <f t="shared" si="14"/>
        <v>31908352.439272046</v>
      </c>
      <c r="I28" s="67">
        <f t="shared" si="14"/>
        <v>16140058.826927066</v>
      </c>
      <c r="J28" s="67">
        <f t="shared" si="14"/>
        <v>0</v>
      </c>
      <c r="K28" s="67">
        <f t="shared" si="14"/>
        <v>0</v>
      </c>
      <c r="L28" s="67">
        <f t="shared" si="14"/>
        <v>0</v>
      </c>
      <c r="M28" s="67">
        <f t="shared" si="14"/>
        <v>0</v>
      </c>
      <c r="N28" s="67">
        <f t="shared" si="14"/>
        <v>0</v>
      </c>
      <c r="O28" s="67">
        <f>'After Tax Analysis'!O14</f>
        <v>0</v>
      </c>
      <c r="P28" s="326">
        <f t="shared" si="8"/>
        <v>213167317.81494913</v>
      </c>
      <c r="Q28" s="2"/>
    </row>
    <row r="29" spans="1:17" x14ac:dyDescent="0.15">
      <c r="B29" s="340">
        <f>'After Tax Analysis'!B15</f>
        <v>8</v>
      </c>
      <c r="C29" s="12" t="str">
        <f>'After Tax Analysis'!C15</f>
        <v>Income taxes (at rate above)</v>
      </c>
      <c r="D29" s="67">
        <f t="shared" si="4"/>
        <v>0</v>
      </c>
      <c r="E29" s="67">
        <f>-E28*$D$3</f>
        <v>-19817250</v>
      </c>
      <c r="F29" s="67">
        <f t="shared" ref="F29:N29" si="15">-F28*$D$3</f>
        <v>-16278832.500000007</v>
      </c>
      <c r="G29" s="67">
        <f t="shared" si="15"/>
        <v>-13439589.464624995</v>
      </c>
      <c r="H29" s="67">
        <f t="shared" si="15"/>
        <v>-9572505.7317816131</v>
      </c>
      <c r="I29" s="67">
        <f t="shared" si="15"/>
        <v>-4842017.6480781194</v>
      </c>
      <c r="J29" s="67">
        <f t="shared" si="15"/>
        <v>0</v>
      </c>
      <c r="K29" s="67">
        <f t="shared" si="15"/>
        <v>0</v>
      </c>
      <c r="L29" s="67">
        <f t="shared" si="15"/>
        <v>0</v>
      </c>
      <c r="M29" s="67">
        <f t="shared" si="15"/>
        <v>0</v>
      </c>
      <c r="N29" s="67">
        <f t="shared" si="15"/>
        <v>0</v>
      </c>
      <c r="O29" s="67">
        <f>'After Tax Analysis'!O15</f>
        <v>0</v>
      </c>
      <c r="P29" s="326">
        <f t="shared" si="8"/>
        <v>-63950195.344484739</v>
      </c>
      <c r="Q29" s="2"/>
    </row>
    <row r="30" spans="1:17" x14ac:dyDescent="0.15">
      <c r="B30" s="340">
        <f>'After Tax Analysis'!B16</f>
        <v>9</v>
      </c>
      <c r="C30" s="12" t="str">
        <f>'After Tax Analysis'!C16</f>
        <v>Investment Tax Credit For Year 1 (at rate above)</v>
      </c>
      <c r="D30" s="67">
        <f t="shared" si="4"/>
        <v>0</v>
      </c>
      <c r="E30" s="67">
        <f>E170</f>
        <v>0</v>
      </c>
      <c r="F30" s="67">
        <f t="shared" ref="F30:N30" si="16">F170</f>
        <v>0</v>
      </c>
      <c r="G30" s="67">
        <f t="shared" si="16"/>
        <v>0</v>
      </c>
      <c r="H30" s="67">
        <f t="shared" si="16"/>
        <v>0</v>
      </c>
      <c r="I30" s="67">
        <f t="shared" si="16"/>
        <v>0</v>
      </c>
      <c r="J30" s="67">
        <f t="shared" si="16"/>
        <v>0</v>
      </c>
      <c r="K30" s="67">
        <f t="shared" si="16"/>
        <v>0</v>
      </c>
      <c r="L30" s="67">
        <f t="shared" si="16"/>
        <v>0</v>
      </c>
      <c r="M30" s="67">
        <f t="shared" si="16"/>
        <v>0</v>
      </c>
      <c r="N30" s="67">
        <f t="shared" si="16"/>
        <v>0</v>
      </c>
      <c r="O30" s="67">
        <f>'After Tax Analysis'!O16</f>
        <v>0</v>
      </c>
      <c r="P30" s="326">
        <f t="shared" si="8"/>
        <v>0</v>
      </c>
      <c r="Q30" s="2"/>
    </row>
    <row r="31" spans="1:17" x14ac:dyDescent="0.15">
      <c r="B31" s="340">
        <f>'After Tax Analysis'!B17</f>
        <v>10</v>
      </c>
      <c r="C31" s="12" t="str">
        <f>'After Tax Analysis'!C17</f>
        <v>Net Income AT (7-8+9)</v>
      </c>
      <c r="D31" s="67">
        <f>D28-D29+D30</f>
        <v>0</v>
      </c>
      <c r="E31" s="67">
        <f>E28+E29+E30</f>
        <v>46240250</v>
      </c>
      <c r="F31" s="67">
        <f t="shared" ref="F31:N31" si="17">F28+F29+F30</f>
        <v>37983942.500000022</v>
      </c>
      <c r="G31" s="67">
        <f t="shared" si="17"/>
        <v>31359042.08412499</v>
      </c>
      <c r="H31" s="67">
        <f t="shared" si="17"/>
        <v>22335846.707490433</v>
      </c>
      <c r="I31" s="67">
        <f t="shared" si="17"/>
        <v>11298041.178848946</v>
      </c>
      <c r="J31" s="67">
        <f t="shared" si="17"/>
        <v>0</v>
      </c>
      <c r="K31" s="67">
        <f t="shared" si="17"/>
        <v>0</v>
      </c>
      <c r="L31" s="67">
        <f t="shared" si="17"/>
        <v>0</v>
      </c>
      <c r="M31" s="67">
        <f t="shared" si="17"/>
        <v>0</v>
      </c>
      <c r="N31" s="67">
        <f t="shared" si="17"/>
        <v>0</v>
      </c>
      <c r="O31" s="67">
        <f>'After Tax Analysis'!O17</f>
        <v>0</v>
      </c>
      <c r="P31" s="326">
        <f t="shared" si="8"/>
        <v>149217122.47046441</v>
      </c>
      <c r="Q31" s="2"/>
    </row>
    <row r="32" spans="1:17" x14ac:dyDescent="0.15">
      <c r="B32" s="340" t="str">
        <f>'After Tax Analysis'!B18</f>
        <v>11 / "Expenses"</v>
      </c>
      <c r="C32" s="12" t="str">
        <f>'After Tax Analysis'!C18</f>
        <v>Depreciation</v>
      </c>
      <c r="D32" s="67">
        <f t="shared" si="4"/>
        <v>0</v>
      </c>
      <c r="E32" s="67">
        <f>E172</f>
        <v>3772500</v>
      </c>
      <c r="F32" s="67">
        <f t="shared" ref="F32:N32" si="18">F172</f>
        <v>6218850</v>
      </c>
      <c r="G32" s="67">
        <f t="shared" si="18"/>
        <v>4083150</v>
      </c>
      <c r="H32" s="67">
        <f t="shared" si="18"/>
        <v>2775510</v>
      </c>
      <c r="I32" s="67">
        <f t="shared" si="18"/>
        <v>1352955</v>
      </c>
      <c r="J32" s="67">
        <f t="shared" si="18"/>
        <v>0</v>
      </c>
      <c r="K32" s="67">
        <f t="shared" si="18"/>
        <v>0</v>
      </c>
      <c r="L32" s="67">
        <f t="shared" si="18"/>
        <v>0</v>
      </c>
      <c r="M32" s="67">
        <f t="shared" si="18"/>
        <v>0</v>
      </c>
      <c r="N32" s="67">
        <f t="shared" si="18"/>
        <v>0</v>
      </c>
      <c r="O32" s="67">
        <f>'After Tax Analysis'!O18</f>
        <v>0</v>
      </c>
      <c r="P32" s="326">
        <f t="shared" si="8"/>
        <v>18202965</v>
      </c>
      <c r="Q32" s="2"/>
    </row>
    <row r="33" spans="1:20" x14ac:dyDescent="0.15">
      <c r="B33" s="340">
        <f>'After Tax Analysis'!B19</f>
        <v>12</v>
      </c>
      <c r="C33" s="12" t="str">
        <f>'After Tax Analysis'!C19</f>
        <v>Net C.F. from Oper.(10+11)</v>
      </c>
      <c r="D33" s="67">
        <f>D31+D32</f>
        <v>0</v>
      </c>
      <c r="E33" s="67">
        <f>E31+E32</f>
        <v>50012750</v>
      </c>
      <c r="F33" s="67">
        <f t="shared" ref="F33:N33" si="19">F31+F32</f>
        <v>44202792.500000022</v>
      </c>
      <c r="G33" s="67">
        <f t="shared" si="19"/>
        <v>35442192.08412499</v>
      </c>
      <c r="H33" s="67">
        <f t="shared" si="19"/>
        <v>25111356.707490433</v>
      </c>
      <c r="I33" s="67">
        <f t="shared" si="19"/>
        <v>12650996.178848946</v>
      </c>
      <c r="J33" s="67">
        <f t="shared" si="19"/>
        <v>0</v>
      </c>
      <c r="K33" s="67">
        <f t="shared" si="19"/>
        <v>0</v>
      </c>
      <c r="L33" s="67">
        <f t="shared" si="19"/>
        <v>0</v>
      </c>
      <c r="M33" s="67">
        <f t="shared" si="19"/>
        <v>0</v>
      </c>
      <c r="N33" s="67">
        <f t="shared" si="19"/>
        <v>0</v>
      </c>
      <c r="O33" s="67">
        <f>'After Tax Analysis'!O19</f>
        <v>0</v>
      </c>
      <c r="P33" s="326">
        <f t="shared" si="8"/>
        <v>167420087.47046441</v>
      </c>
      <c r="Q33" s="2"/>
    </row>
    <row r="34" spans="1:20" x14ac:dyDescent="0.15">
      <c r="B34" s="340" t="str">
        <f>'After Tax Analysis'!B20</f>
        <v>13 / "Loan Amortization"</v>
      </c>
      <c r="C34" s="12" t="str">
        <f>'After Tax Analysis'!C20</f>
        <v>Principal Repayment</v>
      </c>
      <c r="D34" s="67">
        <v>0</v>
      </c>
      <c r="E34" s="67">
        <f t="shared" ref="E34:N34" si="20">E174</f>
        <v>0</v>
      </c>
      <c r="F34" s="67">
        <f t="shared" si="20"/>
        <v>0</v>
      </c>
      <c r="G34" s="67">
        <f t="shared" si="20"/>
        <v>0</v>
      </c>
      <c r="H34" s="67">
        <f t="shared" si="20"/>
        <v>0</v>
      </c>
      <c r="I34" s="67">
        <f t="shared" si="20"/>
        <v>0</v>
      </c>
      <c r="J34" s="67">
        <f t="shared" si="20"/>
        <v>0</v>
      </c>
      <c r="K34" s="67">
        <f t="shared" si="20"/>
        <v>0</v>
      </c>
      <c r="L34" s="67">
        <f t="shared" si="20"/>
        <v>0</v>
      </c>
      <c r="M34" s="67">
        <f t="shared" si="20"/>
        <v>0</v>
      </c>
      <c r="N34" s="67">
        <f t="shared" si="20"/>
        <v>0</v>
      </c>
      <c r="O34" s="67">
        <f>'After Tax Analysis'!O20</f>
        <v>0</v>
      </c>
      <c r="P34" s="326">
        <f t="shared" si="8"/>
        <v>0</v>
      </c>
      <c r="Q34" s="2"/>
    </row>
    <row r="35" spans="1:20" x14ac:dyDescent="0.15">
      <c r="B35" s="340">
        <f>'After Tax Analysis'!B21</f>
        <v>14</v>
      </c>
      <c r="C35" s="12" t="str">
        <f>'After Tax Analysis'!C21</f>
        <v>Equity Capital (14a+14b+14c)</v>
      </c>
      <c r="D35" s="67">
        <f>D36+D37+D38</f>
        <v>-32550000</v>
      </c>
      <c r="E35" s="67">
        <f t="shared" ref="E35:N35" si="21">E36+E37+E38</f>
        <v>0</v>
      </c>
      <c r="F35" s="67">
        <f t="shared" si="21"/>
        <v>0</v>
      </c>
      <c r="G35" s="67">
        <f t="shared" si="21"/>
        <v>0</v>
      </c>
      <c r="H35" s="67">
        <f t="shared" si="21"/>
        <v>0</v>
      </c>
      <c r="I35" s="67">
        <f t="shared" si="21"/>
        <v>14347035</v>
      </c>
      <c r="J35" s="67">
        <f t="shared" si="21"/>
        <v>0</v>
      </c>
      <c r="K35" s="67">
        <f t="shared" si="21"/>
        <v>0</v>
      </c>
      <c r="L35" s="67">
        <f t="shared" si="21"/>
        <v>0</v>
      </c>
      <c r="M35" s="67">
        <f t="shared" si="21"/>
        <v>0</v>
      </c>
      <c r="N35" s="67">
        <f t="shared" si="21"/>
        <v>0</v>
      </c>
      <c r="O35" s="67">
        <f>'After Tax Analysis'!O21</f>
        <v>0</v>
      </c>
      <c r="P35" s="326">
        <f t="shared" si="8"/>
        <v>14347035</v>
      </c>
      <c r="Q35" s="2"/>
    </row>
    <row r="36" spans="1:20" x14ac:dyDescent="0.15">
      <c r="B36" s="340" t="str">
        <f>'After Tax Analysis'!B22</f>
        <v>14a / "Capital &amp; Depr"</v>
      </c>
      <c r="C36" s="12" t="str">
        <f>'After Tax Analysis'!C22</f>
        <v>Depreciable Capital</v>
      </c>
      <c r="D36" s="67">
        <f>D176</f>
        <v>-31050000</v>
      </c>
      <c r="E36" s="67">
        <f t="shared" ref="E36:N36" si="22">E176</f>
        <v>0</v>
      </c>
      <c r="F36" s="67">
        <f t="shared" si="22"/>
        <v>0</v>
      </c>
      <c r="G36" s="67">
        <f t="shared" si="22"/>
        <v>0</v>
      </c>
      <c r="H36" s="67">
        <f t="shared" si="22"/>
        <v>0</v>
      </c>
      <c r="I36" s="67">
        <f t="shared" si="22"/>
        <v>12847035</v>
      </c>
      <c r="J36" s="67">
        <f t="shared" si="22"/>
        <v>0</v>
      </c>
      <c r="K36" s="67">
        <f t="shared" si="22"/>
        <v>0</v>
      </c>
      <c r="L36" s="67">
        <f t="shared" si="22"/>
        <v>0</v>
      </c>
      <c r="M36" s="67">
        <f t="shared" si="22"/>
        <v>0</v>
      </c>
      <c r="N36" s="67">
        <f t="shared" si="22"/>
        <v>0</v>
      </c>
      <c r="O36" s="67">
        <f>'After Tax Analysis'!O22</f>
        <v>0</v>
      </c>
      <c r="P36" s="326">
        <f t="shared" si="8"/>
        <v>12847035</v>
      </c>
      <c r="Q36" s="2"/>
    </row>
    <row r="37" spans="1:20" x14ac:dyDescent="0.15">
      <c r="B37" s="340" t="str">
        <f>'After Tax Analysis'!B23</f>
        <v>14b / "Capital &amp; Depr"</v>
      </c>
      <c r="C37" s="12" t="str">
        <f>'After Tax Analysis'!C23</f>
        <v>Non-depreciable capital</v>
      </c>
      <c r="D37" s="67">
        <f>D177</f>
        <v>-1500000</v>
      </c>
      <c r="E37" s="67">
        <f t="shared" ref="E37:N37" si="23">E177</f>
        <v>0</v>
      </c>
      <c r="F37" s="67">
        <f t="shared" si="23"/>
        <v>0</v>
      </c>
      <c r="G37" s="67">
        <f t="shared" si="23"/>
        <v>0</v>
      </c>
      <c r="H37" s="67">
        <f t="shared" si="23"/>
        <v>0</v>
      </c>
      <c r="I37" s="67">
        <f t="shared" si="23"/>
        <v>1500000</v>
      </c>
      <c r="J37" s="67">
        <f t="shared" si="23"/>
        <v>0</v>
      </c>
      <c r="K37" s="67">
        <f t="shared" si="23"/>
        <v>0</v>
      </c>
      <c r="L37" s="67">
        <f t="shared" si="23"/>
        <v>0</v>
      </c>
      <c r="M37" s="67">
        <f t="shared" si="23"/>
        <v>0</v>
      </c>
      <c r="N37" s="67">
        <f t="shared" si="23"/>
        <v>0</v>
      </c>
      <c r="O37" s="67">
        <f>'After Tax Analysis'!O23</f>
        <v>0</v>
      </c>
      <c r="P37" s="326">
        <f t="shared" si="8"/>
        <v>1500000</v>
      </c>
      <c r="Q37" s="2"/>
    </row>
    <row r="38" spans="1:20" x14ac:dyDescent="0.15">
      <c r="B38" s="340" t="str">
        <f>'After Tax Analysis'!B24</f>
        <v>14c / "Capital &amp; Depr"</v>
      </c>
      <c r="C38" s="12" t="str">
        <f>'After Tax Analysis'!C24</f>
        <v>Loan Proceeds</v>
      </c>
      <c r="D38" s="67">
        <f>D178</f>
        <v>0</v>
      </c>
      <c r="E38" s="67">
        <f t="shared" ref="E38:N38" si="24">E178</f>
        <v>0</v>
      </c>
      <c r="F38" s="67">
        <f t="shared" si="24"/>
        <v>0</v>
      </c>
      <c r="G38" s="67">
        <f t="shared" si="24"/>
        <v>0</v>
      </c>
      <c r="H38" s="67">
        <f t="shared" si="24"/>
        <v>0</v>
      </c>
      <c r="I38" s="67">
        <f t="shared" si="24"/>
        <v>0</v>
      </c>
      <c r="J38" s="67">
        <f t="shared" si="24"/>
        <v>0</v>
      </c>
      <c r="K38" s="67">
        <f t="shared" si="24"/>
        <v>0</v>
      </c>
      <c r="L38" s="67">
        <f t="shared" si="24"/>
        <v>0</v>
      </c>
      <c r="M38" s="67">
        <f t="shared" si="24"/>
        <v>0</v>
      </c>
      <c r="N38" s="67">
        <f t="shared" si="24"/>
        <v>0</v>
      </c>
      <c r="O38" s="67">
        <f>'After Tax Analysis'!O24</f>
        <v>0</v>
      </c>
      <c r="P38" s="326">
        <f t="shared" si="8"/>
        <v>0</v>
      </c>
      <c r="Q38" s="2"/>
    </row>
    <row r="39" spans="1:20" x14ac:dyDescent="0.15">
      <c r="B39" s="340" t="str">
        <f>'After Tax Analysis'!B25</f>
        <v>15 / "Capital Gains Wksht"</v>
      </c>
      <c r="C39" s="12" t="str">
        <f>'After Tax Analysis'!C25</f>
        <v>Capital Gains/Losses</v>
      </c>
      <c r="D39" s="67">
        <f>D179</f>
        <v>0</v>
      </c>
      <c r="E39" s="67">
        <f t="shared" ref="E39:N39" si="25">E179</f>
        <v>0</v>
      </c>
      <c r="F39" s="67">
        <f t="shared" si="25"/>
        <v>0</v>
      </c>
      <c r="G39" s="67">
        <f t="shared" si="25"/>
        <v>0</v>
      </c>
      <c r="H39" s="67">
        <f t="shared" si="25"/>
        <v>0</v>
      </c>
      <c r="I39" s="67">
        <f t="shared" si="25"/>
        <v>-2596968.7000000002</v>
      </c>
      <c r="J39" s="67">
        <f t="shared" si="25"/>
        <v>0</v>
      </c>
      <c r="K39" s="67">
        <f t="shared" si="25"/>
        <v>0</v>
      </c>
      <c r="L39" s="67">
        <f t="shared" si="25"/>
        <v>0</v>
      </c>
      <c r="M39" s="67">
        <f t="shared" si="25"/>
        <v>0</v>
      </c>
      <c r="N39" s="67">
        <f t="shared" si="25"/>
        <v>0</v>
      </c>
      <c r="O39" s="67">
        <f>'After Tax Analysis'!O25</f>
        <v>0</v>
      </c>
      <c r="P39" s="326">
        <f t="shared" si="8"/>
        <v>-2596968.7000000002</v>
      </c>
      <c r="Q39" s="2"/>
    </row>
    <row r="40" spans="1:20" ht="14" thickBot="1" x14ac:dyDescent="0.2">
      <c r="B40" s="340" t="str">
        <f>'After Tax Analysis'!B26</f>
        <v>16 / "Initial Inputs"</v>
      </c>
      <c r="C40" s="12" t="str">
        <f>'After Tax Analysis'!C26</f>
        <v>Working Capital</v>
      </c>
      <c r="D40" s="67">
        <f>D180</f>
        <v>-60000000</v>
      </c>
      <c r="E40" s="67">
        <f t="shared" ref="E40:N40" si="26">E180</f>
        <v>0</v>
      </c>
      <c r="F40" s="67">
        <f t="shared" si="26"/>
        <v>0</v>
      </c>
      <c r="G40" s="67">
        <f t="shared" si="26"/>
        <v>0</v>
      </c>
      <c r="H40" s="67">
        <f t="shared" si="26"/>
        <v>0</v>
      </c>
      <c r="I40" s="67">
        <f t="shared" si="26"/>
        <v>60000000</v>
      </c>
      <c r="J40" s="67">
        <f t="shared" si="26"/>
        <v>0</v>
      </c>
      <c r="K40" s="67">
        <f t="shared" si="26"/>
        <v>0</v>
      </c>
      <c r="L40" s="67">
        <f t="shared" si="26"/>
        <v>0</v>
      </c>
      <c r="M40" s="67">
        <f t="shared" si="26"/>
        <v>0</v>
      </c>
      <c r="N40" s="67">
        <f t="shared" si="26"/>
        <v>0</v>
      </c>
      <c r="O40" s="67">
        <f>'After Tax Analysis'!O26</f>
        <v>0</v>
      </c>
      <c r="P40" s="326">
        <f t="shared" si="8"/>
        <v>60000000</v>
      </c>
      <c r="Q40" s="2"/>
    </row>
    <row r="41" spans="1:20" ht="14" thickBot="1" x14ac:dyDescent="0.2">
      <c r="B41" s="340">
        <f>'After Tax Analysis'!B27</f>
        <v>17</v>
      </c>
      <c r="C41" s="12" t="str">
        <f>'After Tax Analysis'!C27</f>
        <v>Net Capital Cash Flow (13+14a+14b+14c+15+16)</v>
      </c>
      <c r="D41" s="67">
        <f>D34+D35+D39+D40</f>
        <v>-92550000</v>
      </c>
      <c r="E41" s="67">
        <f t="shared" ref="E41:N41" si="27">E34+E35+E39+E40</f>
        <v>0</v>
      </c>
      <c r="F41" s="67">
        <f t="shared" si="27"/>
        <v>0</v>
      </c>
      <c r="G41" s="67">
        <f t="shared" si="27"/>
        <v>0</v>
      </c>
      <c r="H41" s="67">
        <f t="shared" si="27"/>
        <v>0</v>
      </c>
      <c r="I41" s="67">
        <f t="shared" si="27"/>
        <v>71750066.299999997</v>
      </c>
      <c r="J41" s="67">
        <f t="shared" si="27"/>
        <v>0</v>
      </c>
      <c r="K41" s="67">
        <f t="shared" si="27"/>
        <v>0</v>
      </c>
      <c r="L41" s="67">
        <f t="shared" si="27"/>
        <v>0</v>
      </c>
      <c r="M41" s="67">
        <f t="shared" si="27"/>
        <v>0</v>
      </c>
      <c r="N41" s="67">
        <f t="shared" si="27"/>
        <v>0</v>
      </c>
      <c r="O41" s="67">
        <f>'After Tax Analysis'!O27</f>
        <v>0</v>
      </c>
      <c r="P41" s="326">
        <f t="shared" si="8"/>
        <v>71750066.299999997</v>
      </c>
      <c r="Q41" s="461"/>
      <c r="R41" s="357" t="s">
        <v>693</v>
      </c>
      <c r="T41" s="334"/>
    </row>
    <row r="42" spans="1:20" ht="14" thickBot="1" x14ac:dyDescent="0.2">
      <c r="A42" s="1" t="s">
        <v>688</v>
      </c>
      <c r="B42" s="355">
        <f>'After Tax Analysis'!B28</f>
        <v>18</v>
      </c>
      <c r="C42" s="335" t="str">
        <f>'After Tax Analysis'!C28</f>
        <v>Total Cash Flow (12+17)</v>
      </c>
      <c r="D42" s="331">
        <f>D41+D33</f>
        <v>-92550000</v>
      </c>
      <c r="E42" s="331">
        <f t="shared" ref="E42:N42" si="28">E41+E33</f>
        <v>50012750</v>
      </c>
      <c r="F42" s="331">
        <f t="shared" si="28"/>
        <v>44202792.500000022</v>
      </c>
      <c r="G42" s="331">
        <f t="shared" si="28"/>
        <v>35442192.08412499</v>
      </c>
      <c r="H42" s="331">
        <f t="shared" si="28"/>
        <v>25111356.707490433</v>
      </c>
      <c r="I42" s="331">
        <f t="shared" si="28"/>
        <v>84401062.478848949</v>
      </c>
      <c r="J42" s="331">
        <f t="shared" si="28"/>
        <v>0</v>
      </c>
      <c r="K42" s="331">
        <f t="shared" si="28"/>
        <v>0</v>
      </c>
      <c r="L42" s="331">
        <f t="shared" si="28"/>
        <v>0</v>
      </c>
      <c r="M42" s="331">
        <f t="shared" si="28"/>
        <v>0</v>
      </c>
      <c r="N42" s="331">
        <f t="shared" si="28"/>
        <v>0</v>
      </c>
      <c r="O42" s="331">
        <f>'After Tax Analysis'!O28</f>
        <v>0</v>
      </c>
      <c r="P42" s="326">
        <f t="shared" si="8"/>
        <v>239170153.77046442</v>
      </c>
      <c r="Q42" s="462"/>
      <c r="R42" s="358">
        <f>IF(ISNUMBER(IRR(D42:N42)),IRR(D42:N42),"NMF")</f>
        <v>0.40549033935008683</v>
      </c>
      <c r="S42" s="1" t="s">
        <v>688</v>
      </c>
    </row>
    <row r="43" spans="1:20" x14ac:dyDescent="0.15">
      <c r="S43" s="2"/>
    </row>
    <row r="44" spans="1:20" ht="14" thickBot="1" x14ac:dyDescent="0.2">
      <c r="S44" s="2"/>
    </row>
    <row r="45" spans="1:20" ht="14" thickBot="1" x14ac:dyDescent="0.2">
      <c r="B45" s="359" t="s">
        <v>282</v>
      </c>
      <c r="C45" s="360" t="s">
        <v>283</v>
      </c>
      <c r="D45" s="360"/>
      <c r="E45" s="360">
        <v>1</v>
      </c>
      <c r="F45" s="360">
        <v>2</v>
      </c>
      <c r="G45" s="360">
        <v>3</v>
      </c>
      <c r="H45" s="360">
        <v>4</v>
      </c>
      <c r="I45" s="360">
        <v>5</v>
      </c>
      <c r="J45" s="360">
        <v>6</v>
      </c>
      <c r="K45" s="360">
        <v>7</v>
      </c>
      <c r="L45" s="360">
        <v>8</v>
      </c>
      <c r="M45" s="360">
        <v>9</v>
      </c>
      <c r="N45" s="360">
        <v>10</v>
      </c>
      <c r="O45" s="360" t="s">
        <v>284</v>
      </c>
      <c r="P45" s="361" t="s">
        <v>285</v>
      </c>
      <c r="S45" s="2"/>
    </row>
    <row r="46" spans="1:20" x14ac:dyDescent="0.15">
      <c r="B46" s="339" t="s">
        <v>687</v>
      </c>
      <c r="C46" s="302" t="s">
        <v>287</v>
      </c>
      <c r="D46" s="322">
        <f t="shared" ref="D46:D61" si="29">D158</f>
        <v>0</v>
      </c>
      <c r="E46" s="322">
        <f t="shared" ref="E46:N46" si="30">E158</f>
        <v>300000000</v>
      </c>
      <c r="F46" s="322">
        <f t="shared" si="30"/>
        <v>313500000.00000006</v>
      </c>
      <c r="G46" s="322">
        <f t="shared" si="30"/>
        <v>327607500.00000006</v>
      </c>
      <c r="H46" s="322">
        <f t="shared" si="30"/>
        <v>342349837.50000012</v>
      </c>
      <c r="I46" s="322">
        <f t="shared" si="30"/>
        <v>357755580.18750012</v>
      </c>
      <c r="J46" s="322">
        <f t="shared" si="30"/>
        <v>0</v>
      </c>
      <c r="K46" s="322">
        <f t="shared" si="30"/>
        <v>0</v>
      </c>
      <c r="L46" s="322">
        <f t="shared" si="30"/>
        <v>0</v>
      </c>
      <c r="M46" s="322">
        <f t="shared" si="30"/>
        <v>0</v>
      </c>
      <c r="N46" s="322">
        <f t="shared" si="30"/>
        <v>0</v>
      </c>
      <c r="O46" s="322">
        <v>0</v>
      </c>
      <c r="P46" s="325">
        <f>SUM(E46:N46)</f>
        <v>1641212917.6875</v>
      </c>
      <c r="Q46" s="2"/>
      <c r="S46" s="2"/>
    </row>
    <row r="47" spans="1:20" x14ac:dyDescent="0.15">
      <c r="A47" s="1" t="s">
        <v>694</v>
      </c>
      <c r="B47" s="340" t="s">
        <v>689</v>
      </c>
      <c r="C47" s="354" t="s">
        <v>689</v>
      </c>
      <c r="D47" s="67">
        <f t="shared" si="29"/>
        <v>0</v>
      </c>
      <c r="E47" s="67">
        <f>E159</f>
        <v>300000000</v>
      </c>
      <c r="F47" s="67">
        <f t="shared" ref="F47:N47" si="31">F159</f>
        <v>313500000.00000006</v>
      </c>
      <c r="G47" s="67">
        <f t="shared" si="31"/>
        <v>327607500.00000006</v>
      </c>
      <c r="H47" s="67">
        <f t="shared" si="31"/>
        <v>342349837.50000012</v>
      </c>
      <c r="I47" s="67">
        <f t="shared" si="31"/>
        <v>357755580.18750012</v>
      </c>
      <c r="J47" s="67">
        <f t="shared" si="31"/>
        <v>0</v>
      </c>
      <c r="K47" s="67">
        <f t="shared" si="31"/>
        <v>0</v>
      </c>
      <c r="L47" s="67">
        <f t="shared" si="31"/>
        <v>0</v>
      </c>
      <c r="M47" s="67">
        <f t="shared" si="31"/>
        <v>0</v>
      </c>
      <c r="N47" s="67">
        <f t="shared" si="31"/>
        <v>0</v>
      </c>
      <c r="O47" s="67"/>
      <c r="P47" s="326">
        <f t="shared" ref="P47:P70" si="32">SUM(E47:N47)</f>
        <v>1641212917.6875</v>
      </c>
      <c r="Q47" s="2"/>
      <c r="S47" s="2"/>
    </row>
    <row r="48" spans="1:20" x14ac:dyDescent="0.15">
      <c r="B48" s="355" t="s">
        <v>690</v>
      </c>
      <c r="C48" s="362" t="s">
        <v>690</v>
      </c>
      <c r="D48" s="331">
        <f t="shared" si="29"/>
        <v>0</v>
      </c>
      <c r="E48" s="331">
        <f>E160*0.8</f>
        <v>0</v>
      </c>
      <c r="F48" s="331">
        <f t="shared" ref="F48:N48" si="33">F160*0.8</f>
        <v>0</v>
      </c>
      <c r="G48" s="331">
        <f t="shared" si="33"/>
        <v>0</v>
      </c>
      <c r="H48" s="331">
        <f t="shared" si="33"/>
        <v>0</v>
      </c>
      <c r="I48" s="331">
        <f t="shared" si="33"/>
        <v>0</v>
      </c>
      <c r="J48" s="331">
        <f t="shared" si="33"/>
        <v>0</v>
      </c>
      <c r="K48" s="331">
        <f t="shared" si="33"/>
        <v>0</v>
      </c>
      <c r="L48" s="331">
        <f t="shared" si="33"/>
        <v>0</v>
      </c>
      <c r="M48" s="331">
        <f t="shared" si="33"/>
        <v>0</v>
      </c>
      <c r="N48" s="331">
        <f t="shared" si="33"/>
        <v>0</v>
      </c>
      <c r="O48" s="363"/>
      <c r="P48" s="356">
        <f t="shared" si="32"/>
        <v>0</v>
      </c>
      <c r="Q48" s="460"/>
      <c r="S48" s="2"/>
    </row>
    <row r="49" spans="2:19" x14ac:dyDescent="0.15">
      <c r="B49" s="340" t="s">
        <v>691</v>
      </c>
      <c r="C49" s="354" t="s">
        <v>691</v>
      </c>
      <c r="D49" s="67">
        <f t="shared" si="29"/>
        <v>0</v>
      </c>
      <c r="E49" s="67">
        <f>E161</f>
        <v>0</v>
      </c>
      <c r="F49" s="67">
        <f t="shared" ref="F49:N49" si="34">F161</f>
        <v>0</v>
      </c>
      <c r="G49" s="67">
        <f t="shared" si="34"/>
        <v>0</v>
      </c>
      <c r="H49" s="67">
        <f t="shared" si="34"/>
        <v>0</v>
      </c>
      <c r="I49" s="67">
        <f t="shared" si="34"/>
        <v>0</v>
      </c>
      <c r="J49" s="67">
        <f t="shared" si="34"/>
        <v>0</v>
      </c>
      <c r="K49" s="67">
        <f t="shared" si="34"/>
        <v>0</v>
      </c>
      <c r="L49" s="67">
        <f t="shared" si="34"/>
        <v>0</v>
      </c>
      <c r="M49" s="67">
        <f t="shared" si="34"/>
        <v>0</v>
      </c>
      <c r="N49" s="67">
        <f t="shared" si="34"/>
        <v>0</v>
      </c>
      <c r="O49" s="67"/>
      <c r="P49" s="326">
        <f t="shared" si="32"/>
        <v>0</v>
      </c>
      <c r="Q49" s="2"/>
      <c r="S49" s="2"/>
    </row>
    <row r="50" spans="2:19" x14ac:dyDescent="0.15">
      <c r="B50" s="340" t="s">
        <v>695</v>
      </c>
      <c r="C50" s="12"/>
      <c r="D50" s="67">
        <f t="shared" si="29"/>
        <v>0</v>
      </c>
      <c r="E50" s="67">
        <f>E47+E48+E49</f>
        <v>300000000</v>
      </c>
      <c r="F50" s="67">
        <f t="shared" ref="F50:N50" si="35">F47+F48+F49</f>
        <v>313500000.00000006</v>
      </c>
      <c r="G50" s="67">
        <f t="shared" si="35"/>
        <v>327607500.00000006</v>
      </c>
      <c r="H50" s="67">
        <f t="shared" si="35"/>
        <v>342349837.50000012</v>
      </c>
      <c r="I50" s="67">
        <f t="shared" si="35"/>
        <v>357755580.18750012</v>
      </c>
      <c r="J50" s="67">
        <f t="shared" si="35"/>
        <v>0</v>
      </c>
      <c r="K50" s="67">
        <f t="shared" si="35"/>
        <v>0</v>
      </c>
      <c r="L50" s="67">
        <f t="shared" si="35"/>
        <v>0</v>
      </c>
      <c r="M50" s="67">
        <f t="shared" si="35"/>
        <v>0</v>
      </c>
      <c r="N50" s="67">
        <f t="shared" si="35"/>
        <v>0</v>
      </c>
      <c r="O50" s="67"/>
      <c r="P50" s="326">
        <f t="shared" si="32"/>
        <v>1641212917.6875</v>
      </c>
      <c r="Q50" s="2"/>
      <c r="S50" s="2"/>
    </row>
    <row r="51" spans="2:19" x14ac:dyDescent="0.15">
      <c r="B51" s="340" t="s">
        <v>696</v>
      </c>
      <c r="C51" s="12" t="s">
        <v>289</v>
      </c>
      <c r="D51" s="67">
        <f t="shared" si="29"/>
        <v>0</v>
      </c>
      <c r="E51" s="67">
        <f t="shared" ref="E51:N51" si="36">E163</f>
        <v>230170000</v>
      </c>
      <c r="F51" s="67">
        <f t="shared" si="36"/>
        <v>253018375.00000003</v>
      </c>
      <c r="G51" s="67">
        <f t="shared" si="36"/>
        <v>278725718.45125008</v>
      </c>
      <c r="H51" s="67">
        <f t="shared" si="36"/>
        <v>307665975.06072807</v>
      </c>
      <c r="I51" s="67">
        <f t="shared" si="36"/>
        <v>340262566.36057305</v>
      </c>
      <c r="J51" s="67">
        <f t="shared" si="36"/>
        <v>0</v>
      </c>
      <c r="K51" s="67">
        <f t="shared" si="36"/>
        <v>0</v>
      </c>
      <c r="L51" s="67">
        <f t="shared" si="36"/>
        <v>0</v>
      </c>
      <c r="M51" s="67">
        <f t="shared" si="36"/>
        <v>0</v>
      </c>
      <c r="N51" s="67">
        <f t="shared" si="36"/>
        <v>0</v>
      </c>
      <c r="O51" s="67">
        <v>0</v>
      </c>
      <c r="P51" s="326">
        <f t="shared" si="32"/>
        <v>1409842634.8725512</v>
      </c>
      <c r="Q51" s="2"/>
      <c r="S51" s="2"/>
    </row>
    <row r="52" spans="2:19" x14ac:dyDescent="0.15">
      <c r="B52" s="340">
        <v>3</v>
      </c>
      <c r="C52" s="12" t="s">
        <v>290</v>
      </c>
      <c r="D52" s="67">
        <f t="shared" si="29"/>
        <v>0</v>
      </c>
      <c r="E52" s="67">
        <f>E50-E51</f>
        <v>69830000</v>
      </c>
      <c r="F52" s="67">
        <f t="shared" ref="F52:N52" si="37">F50-F51</f>
        <v>60481625.00000003</v>
      </c>
      <c r="G52" s="67">
        <f t="shared" si="37"/>
        <v>48881781.548749983</v>
      </c>
      <c r="H52" s="67">
        <f t="shared" si="37"/>
        <v>34683862.439272046</v>
      </c>
      <c r="I52" s="67">
        <f t="shared" si="37"/>
        <v>17493013.826927066</v>
      </c>
      <c r="J52" s="67">
        <f t="shared" si="37"/>
        <v>0</v>
      </c>
      <c r="K52" s="67">
        <f t="shared" si="37"/>
        <v>0</v>
      </c>
      <c r="L52" s="67">
        <f t="shared" si="37"/>
        <v>0</v>
      </c>
      <c r="M52" s="67">
        <f t="shared" si="37"/>
        <v>0</v>
      </c>
      <c r="N52" s="67">
        <f t="shared" si="37"/>
        <v>0</v>
      </c>
      <c r="O52" s="67">
        <v>0</v>
      </c>
      <c r="P52" s="326">
        <f t="shared" si="32"/>
        <v>231370282.81494913</v>
      </c>
      <c r="Q52" s="2"/>
      <c r="S52" s="2"/>
    </row>
    <row r="53" spans="2:19" x14ac:dyDescent="0.15">
      <c r="B53" s="340" t="s">
        <v>697</v>
      </c>
      <c r="C53" s="12" t="s">
        <v>292</v>
      </c>
      <c r="D53" s="67">
        <f t="shared" si="29"/>
        <v>0</v>
      </c>
      <c r="E53" s="67">
        <f>E165</f>
        <v>3772500</v>
      </c>
      <c r="F53" s="67">
        <f t="shared" ref="F53:N53" si="38">F165</f>
        <v>6218850</v>
      </c>
      <c r="G53" s="67">
        <f t="shared" si="38"/>
        <v>4083150</v>
      </c>
      <c r="H53" s="67">
        <f t="shared" si="38"/>
        <v>2775510</v>
      </c>
      <c r="I53" s="67">
        <f t="shared" si="38"/>
        <v>1352955</v>
      </c>
      <c r="J53" s="67">
        <f t="shared" si="38"/>
        <v>0</v>
      </c>
      <c r="K53" s="67">
        <f t="shared" si="38"/>
        <v>0</v>
      </c>
      <c r="L53" s="67">
        <f t="shared" si="38"/>
        <v>0</v>
      </c>
      <c r="M53" s="67">
        <f t="shared" si="38"/>
        <v>0</v>
      </c>
      <c r="N53" s="67">
        <f t="shared" si="38"/>
        <v>0</v>
      </c>
      <c r="O53" s="67">
        <v>0</v>
      </c>
      <c r="P53" s="326">
        <f t="shared" si="32"/>
        <v>18202965</v>
      </c>
      <c r="Q53" s="2"/>
      <c r="S53" s="2"/>
    </row>
    <row r="54" spans="2:19" x14ac:dyDescent="0.15">
      <c r="B54" s="340">
        <v>5</v>
      </c>
      <c r="C54" s="12" t="s">
        <v>293</v>
      </c>
      <c r="D54" s="67">
        <f t="shared" si="29"/>
        <v>0</v>
      </c>
      <c r="E54" s="67">
        <f>E52-E53</f>
        <v>66057500</v>
      </c>
      <c r="F54" s="67">
        <f t="shared" ref="F54:N54" si="39">F52-F53</f>
        <v>54262775.00000003</v>
      </c>
      <c r="G54" s="67">
        <f t="shared" si="39"/>
        <v>44798631.548749983</v>
      </c>
      <c r="H54" s="67">
        <f t="shared" si="39"/>
        <v>31908352.439272046</v>
      </c>
      <c r="I54" s="67">
        <f t="shared" si="39"/>
        <v>16140058.826927066</v>
      </c>
      <c r="J54" s="67">
        <f t="shared" si="39"/>
        <v>0</v>
      </c>
      <c r="K54" s="67">
        <f t="shared" si="39"/>
        <v>0</v>
      </c>
      <c r="L54" s="67">
        <f t="shared" si="39"/>
        <v>0</v>
      </c>
      <c r="M54" s="67">
        <f t="shared" si="39"/>
        <v>0</v>
      </c>
      <c r="N54" s="67">
        <f t="shared" si="39"/>
        <v>0</v>
      </c>
      <c r="O54" s="67">
        <v>0</v>
      </c>
      <c r="P54" s="326">
        <f t="shared" si="32"/>
        <v>213167317.81494913</v>
      </c>
      <c r="Q54" s="2"/>
      <c r="S54" s="2"/>
    </row>
    <row r="55" spans="2:19" x14ac:dyDescent="0.15">
      <c r="B55" s="340" t="s">
        <v>698</v>
      </c>
      <c r="C55" s="12" t="s">
        <v>295</v>
      </c>
      <c r="D55" s="67">
        <f t="shared" si="29"/>
        <v>0</v>
      </c>
      <c r="E55" s="67">
        <f>E167</f>
        <v>0</v>
      </c>
      <c r="F55" s="67">
        <f t="shared" ref="F55:N55" si="40">F167</f>
        <v>0</v>
      </c>
      <c r="G55" s="67">
        <f t="shared" si="40"/>
        <v>0</v>
      </c>
      <c r="H55" s="67">
        <f t="shared" si="40"/>
        <v>0</v>
      </c>
      <c r="I55" s="67">
        <f t="shared" si="40"/>
        <v>0</v>
      </c>
      <c r="J55" s="67">
        <f t="shared" si="40"/>
        <v>0</v>
      </c>
      <c r="K55" s="67">
        <f t="shared" si="40"/>
        <v>0</v>
      </c>
      <c r="L55" s="67">
        <f t="shared" si="40"/>
        <v>0</v>
      </c>
      <c r="M55" s="67">
        <f t="shared" si="40"/>
        <v>0</v>
      </c>
      <c r="N55" s="67">
        <f t="shared" si="40"/>
        <v>0</v>
      </c>
      <c r="O55" s="67">
        <v>0</v>
      </c>
      <c r="P55" s="326">
        <f t="shared" si="32"/>
        <v>0</v>
      </c>
      <c r="Q55" s="2"/>
      <c r="S55" s="2"/>
    </row>
    <row r="56" spans="2:19" x14ac:dyDescent="0.15">
      <c r="B56" s="340">
        <v>7</v>
      </c>
      <c r="C56" s="12" t="s">
        <v>296</v>
      </c>
      <c r="D56" s="67">
        <f t="shared" si="29"/>
        <v>0</v>
      </c>
      <c r="E56" s="67">
        <f>E54-E55</f>
        <v>66057500</v>
      </c>
      <c r="F56" s="67">
        <f t="shared" ref="F56:N56" si="41">F54-F55</f>
        <v>54262775.00000003</v>
      </c>
      <c r="G56" s="67">
        <f t="shared" si="41"/>
        <v>44798631.548749983</v>
      </c>
      <c r="H56" s="67">
        <f t="shared" si="41"/>
        <v>31908352.439272046</v>
      </c>
      <c r="I56" s="67">
        <f t="shared" si="41"/>
        <v>16140058.826927066</v>
      </c>
      <c r="J56" s="67">
        <f t="shared" si="41"/>
        <v>0</v>
      </c>
      <c r="K56" s="67">
        <f t="shared" si="41"/>
        <v>0</v>
      </c>
      <c r="L56" s="67">
        <f t="shared" si="41"/>
        <v>0</v>
      </c>
      <c r="M56" s="67">
        <f t="shared" si="41"/>
        <v>0</v>
      </c>
      <c r="N56" s="67">
        <f t="shared" si="41"/>
        <v>0</v>
      </c>
      <c r="O56" s="67">
        <v>0</v>
      </c>
      <c r="P56" s="326">
        <f t="shared" si="32"/>
        <v>213167317.81494913</v>
      </c>
      <c r="Q56" s="2"/>
      <c r="S56" s="2"/>
    </row>
    <row r="57" spans="2:19" x14ac:dyDescent="0.15">
      <c r="B57" s="340">
        <v>8</v>
      </c>
      <c r="C57" s="12" t="s">
        <v>297</v>
      </c>
      <c r="D57" s="67">
        <f t="shared" si="29"/>
        <v>0</v>
      </c>
      <c r="E57" s="67">
        <f>-E56*$D$3</f>
        <v>-19817250</v>
      </c>
      <c r="F57" s="67">
        <f t="shared" ref="F57:N57" si="42">-F56*$D$3</f>
        <v>-16278832.500000007</v>
      </c>
      <c r="G57" s="67">
        <f t="shared" si="42"/>
        <v>-13439589.464624995</v>
      </c>
      <c r="H57" s="67">
        <f t="shared" si="42"/>
        <v>-9572505.7317816131</v>
      </c>
      <c r="I57" s="67">
        <f t="shared" si="42"/>
        <v>-4842017.6480781194</v>
      </c>
      <c r="J57" s="67">
        <f t="shared" si="42"/>
        <v>0</v>
      </c>
      <c r="K57" s="67">
        <f t="shared" si="42"/>
        <v>0</v>
      </c>
      <c r="L57" s="67">
        <f t="shared" si="42"/>
        <v>0</v>
      </c>
      <c r="M57" s="67">
        <f t="shared" si="42"/>
        <v>0</v>
      </c>
      <c r="N57" s="67">
        <f t="shared" si="42"/>
        <v>0</v>
      </c>
      <c r="O57" s="67">
        <v>0</v>
      </c>
      <c r="P57" s="326">
        <f t="shared" si="32"/>
        <v>-63950195.344484739</v>
      </c>
      <c r="Q57" s="2"/>
      <c r="S57" s="2"/>
    </row>
    <row r="58" spans="2:19" x14ac:dyDescent="0.15">
      <c r="B58" s="340">
        <v>9</v>
      </c>
      <c r="C58" s="12" t="s">
        <v>298</v>
      </c>
      <c r="D58" s="67">
        <f t="shared" si="29"/>
        <v>0</v>
      </c>
      <c r="E58" s="67">
        <f>E170</f>
        <v>0</v>
      </c>
      <c r="F58" s="67">
        <f t="shared" ref="F58:N58" si="43">F170</f>
        <v>0</v>
      </c>
      <c r="G58" s="67">
        <f t="shared" si="43"/>
        <v>0</v>
      </c>
      <c r="H58" s="67">
        <f t="shared" si="43"/>
        <v>0</v>
      </c>
      <c r="I58" s="67">
        <f t="shared" si="43"/>
        <v>0</v>
      </c>
      <c r="J58" s="67">
        <f t="shared" si="43"/>
        <v>0</v>
      </c>
      <c r="K58" s="67">
        <f t="shared" si="43"/>
        <v>0</v>
      </c>
      <c r="L58" s="67">
        <f t="shared" si="43"/>
        <v>0</v>
      </c>
      <c r="M58" s="67">
        <f t="shared" si="43"/>
        <v>0</v>
      </c>
      <c r="N58" s="67">
        <f t="shared" si="43"/>
        <v>0</v>
      </c>
      <c r="O58" s="67">
        <v>0</v>
      </c>
      <c r="P58" s="326">
        <f t="shared" si="32"/>
        <v>0</v>
      </c>
      <c r="Q58" s="2"/>
      <c r="S58" s="2"/>
    </row>
    <row r="59" spans="2:19" x14ac:dyDescent="0.15">
      <c r="B59" s="340">
        <v>10</v>
      </c>
      <c r="C59" s="12" t="s">
        <v>299</v>
      </c>
      <c r="D59" s="67">
        <f t="shared" si="29"/>
        <v>0</v>
      </c>
      <c r="E59" s="67">
        <f>E56+E57+E58</f>
        <v>46240250</v>
      </c>
      <c r="F59" s="67">
        <f t="shared" ref="F59:N59" si="44">F56+F57+F58</f>
        <v>37983942.500000022</v>
      </c>
      <c r="G59" s="67">
        <f t="shared" si="44"/>
        <v>31359042.08412499</v>
      </c>
      <c r="H59" s="67">
        <f t="shared" si="44"/>
        <v>22335846.707490433</v>
      </c>
      <c r="I59" s="67">
        <f t="shared" si="44"/>
        <v>11298041.178848946</v>
      </c>
      <c r="J59" s="67">
        <f t="shared" si="44"/>
        <v>0</v>
      </c>
      <c r="K59" s="67">
        <f t="shared" si="44"/>
        <v>0</v>
      </c>
      <c r="L59" s="67">
        <f t="shared" si="44"/>
        <v>0</v>
      </c>
      <c r="M59" s="67">
        <f t="shared" si="44"/>
        <v>0</v>
      </c>
      <c r="N59" s="67">
        <f t="shared" si="44"/>
        <v>0</v>
      </c>
      <c r="O59" s="67">
        <v>0</v>
      </c>
      <c r="P59" s="326">
        <f t="shared" si="32"/>
        <v>149217122.47046441</v>
      </c>
      <c r="Q59" s="2"/>
      <c r="S59" s="2"/>
    </row>
    <row r="60" spans="2:19" x14ac:dyDescent="0.15">
      <c r="B60" s="340" t="s">
        <v>699</v>
      </c>
      <c r="C60" s="12" t="s">
        <v>292</v>
      </c>
      <c r="D60" s="67">
        <f t="shared" si="29"/>
        <v>0</v>
      </c>
      <c r="E60" s="67">
        <f>E172</f>
        <v>3772500</v>
      </c>
      <c r="F60" s="67">
        <f t="shared" ref="F60:N60" si="45">F172</f>
        <v>6218850</v>
      </c>
      <c r="G60" s="67">
        <f t="shared" si="45"/>
        <v>4083150</v>
      </c>
      <c r="H60" s="67">
        <f t="shared" si="45"/>
        <v>2775510</v>
      </c>
      <c r="I60" s="67">
        <f t="shared" si="45"/>
        <v>1352955</v>
      </c>
      <c r="J60" s="67">
        <f t="shared" si="45"/>
        <v>0</v>
      </c>
      <c r="K60" s="67">
        <f t="shared" si="45"/>
        <v>0</v>
      </c>
      <c r="L60" s="67">
        <f t="shared" si="45"/>
        <v>0</v>
      </c>
      <c r="M60" s="67">
        <f t="shared" si="45"/>
        <v>0</v>
      </c>
      <c r="N60" s="67">
        <f t="shared" si="45"/>
        <v>0</v>
      </c>
      <c r="O60" s="67">
        <v>0</v>
      </c>
      <c r="P60" s="326">
        <f t="shared" si="32"/>
        <v>18202965</v>
      </c>
      <c r="Q60" s="2"/>
      <c r="S60" s="2"/>
    </row>
    <row r="61" spans="2:19" x14ac:dyDescent="0.15">
      <c r="B61" s="340">
        <v>12</v>
      </c>
      <c r="C61" s="12" t="s">
        <v>301</v>
      </c>
      <c r="D61" s="67">
        <f t="shared" si="29"/>
        <v>0</v>
      </c>
      <c r="E61" s="67">
        <f>E59+E60</f>
        <v>50012750</v>
      </c>
      <c r="F61" s="67">
        <f t="shared" ref="F61:N61" si="46">F59+F60</f>
        <v>44202792.500000022</v>
      </c>
      <c r="G61" s="67">
        <f t="shared" si="46"/>
        <v>35442192.08412499</v>
      </c>
      <c r="H61" s="67">
        <f t="shared" si="46"/>
        <v>25111356.707490433</v>
      </c>
      <c r="I61" s="67">
        <f t="shared" si="46"/>
        <v>12650996.178848946</v>
      </c>
      <c r="J61" s="67">
        <f t="shared" si="46"/>
        <v>0</v>
      </c>
      <c r="K61" s="67">
        <f t="shared" si="46"/>
        <v>0</v>
      </c>
      <c r="L61" s="67">
        <f t="shared" si="46"/>
        <v>0</v>
      </c>
      <c r="M61" s="67">
        <f t="shared" si="46"/>
        <v>0</v>
      </c>
      <c r="N61" s="67">
        <f t="shared" si="46"/>
        <v>0</v>
      </c>
      <c r="O61" s="67">
        <v>0</v>
      </c>
      <c r="P61" s="326">
        <f t="shared" si="32"/>
        <v>167420087.47046441</v>
      </c>
      <c r="Q61" s="2"/>
      <c r="S61" s="2"/>
    </row>
    <row r="62" spans="2:19" x14ac:dyDescent="0.15">
      <c r="B62" s="340" t="s">
        <v>700</v>
      </c>
      <c r="C62" s="12" t="s">
        <v>303</v>
      </c>
      <c r="D62" s="67">
        <v>0</v>
      </c>
      <c r="E62" s="67">
        <f t="shared" ref="E62:N62" si="47">E174</f>
        <v>0</v>
      </c>
      <c r="F62" s="67">
        <f t="shared" si="47"/>
        <v>0</v>
      </c>
      <c r="G62" s="67">
        <f t="shared" si="47"/>
        <v>0</v>
      </c>
      <c r="H62" s="67">
        <f t="shared" si="47"/>
        <v>0</v>
      </c>
      <c r="I62" s="67">
        <f t="shared" si="47"/>
        <v>0</v>
      </c>
      <c r="J62" s="67">
        <f t="shared" si="47"/>
        <v>0</v>
      </c>
      <c r="K62" s="67">
        <f t="shared" si="47"/>
        <v>0</v>
      </c>
      <c r="L62" s="67">
        <f t="shared" si="47"/>
        <v>0</v>
      </c>
      <c r="M62" s="67">
        <f t="shared" si="47"/>
        <v>0</v>
      </c>
      <c r="N62" s="67">
        <f t="shared" si="47"/>
        <v>0</v>
      </c>
      <c r="O62" s="67">
        <v>0</v>
      </c>
      <c r="P62" s="326">
        <f t="shared" si="32"/>
        <v>0</v>
      </c>
      <c r="Q62" s="2"/>
      <c r="S62" s="2"/>
    </row>
    <row r="63" spans="2:19" x14ac:dyDescent="0.15">
      <c r="B63" s="340">
        <v>14</v>
      </c>
      <c r="C63" s="12" t="s">
        <v>304</v>
      </c>
      <c r="D63" s="67">
        <f>D64+D65+D66</f>
        <v>-32550000</v>
      </c>
      <c r="E63" s="67">
        <f t="shared" ref="E63:N63" si="48">E64+E65+E66</f>
        <v>0</v>
      </c>
      <c r="F63" s="67">
        <f t="shared" si="48"/>
        <v>0</v>
      </c>
      <c r="G63" s="67">
        <f t="shared" si="48"/>
        <v>0</v>
      </c>
      <c r="H63" s="67">
        <f t="shared" si="48"/>
        <v>0</v>
      </c>
      <c r="I63" s="67">
        <f t="shared" si="48"/>
        <v>14347035</v>
      </c>
      <c r="J63" s="67">
        <f t="shared" si="48"/>
        <v>0</v>
      </c>
      <c r="K63" s="67">
        <f t="shared" si="48"/>
        <v>0</v>
      </c>
      <c r="L63" s="67">
        <f t="shared" si="48"/>
        <v>0</v>
      </c>
      <c r="M63" s="67">
        <f t="shared" si="48"/>
        <v>0</v>
      </c>
      <c r="N63" s="67">
        <f t="shared" si="48"/>
        <v>0</v>
      </c>
      <c r="O63" s="67">
        <v>0</v>
      </c>
      <c r="P63" s="326">
        <f t="shared" si="32"/>
        <v>14347035</v>
      </c>
      <c r="Q63" s="2"/>
      <c r="S63" s="2"/>
    </row>
    <row r="64" spans="2:19" x14ac:dyDescent="0.15">
      <c r="B64" s="340" t="s">
        <v>701</v>
      </c>
      <c r="C64" s="12" t="s">
        <v>207</v>
      </c>
      <c r="D64" s="67">
        <f>D176</f>
        <v>-31050000</v>
      </c>
      <c r="E64" s="67">
        <f t="shared" ref="E64:N64" si="49">E176</f>
        <v>0</v>
      </c>
      <c r="F64" s="67">
        <f t="shared" si="49"/>
        <v>0</v>
      </c>
      <c r="G64" s="67">
        <f t="shared" si="49"/>
        <v>0</v>
      </c>
      <c r="H64" s="67">
        <f t="shared" si="49"/>
        <v>0</v>
      </c>
      <c r="I64" s="67">
        <f t="shared" si="49"/>
        <v>12847035</v>
      </c>
      <c r="J64" s="67">
        <f t="shared" si="49"/>
        <v>0</v>
      </c>
      <c r="K64" s="67">
        <f t="shared" si="49"/>
        <v>0</v>
      </c>
      <c r="L64" s="67">
        <f t="shared" si="49"/>
        <v>0</v>
      </c>
      <c r="M64" s="67">
        <f t="shared" si="49"/>
        <v>0</v>
      </c>
      <c r="N64" s="67">
        <f t="shared" si="49"/>
        <v>0</v>
      </c>
      <c r="O64" s="67">
        <v>0</v>
      </c>
      <c r="P64" s="326">
        <f t="shared" si="32"/>
        <v>12847035</v>
      </c>
      <c r="Q64" s="2"/>
      <c r="S64" s="2"/>
    </row>
    <row r="65" spans="1:19" x14ac:dyDescent="0.15">
      <c r="B65" s="340" t="s">
        <v>702</v>
      </c>
      <c r="C65" s="12" t="s">
        <v>307</v>
      </c>
      <c r="D65" s="67">
        <f>D177</f>
        <v>-1500000</v>
      </c>
      <c r="E65" s="67">
        <f t="shared" ref="E65:N65" si="50">E177</f>
        <v>0</v>
      </c>
      <c r="F65" s="67">
        <f t="shared" si="50"/>
        <v>0</v>
      </c>
      <c r="G65" s="67">
        <f t="shared" si="50"/>
        <v>0</v>
      </c>
      <c r="H65" s="67">
        <f t="shared" si="50"/>
        <v>0</v>
      </c>
      <c r="I65" s="67">
        <f t="shared" si="50"/>
        <v>1500000</v>
      </c>
      <c r="J65" s="67">
        <f t="shared" si="50"/>
        <v>0</v>
      </c>
      <c r="K65" s="67">
        <f t="shared" si="50"/>
        <v>0</v>
      </c>
      <c r="L65" s="67">
        <f t="shared" si="50"/>
        <v>0</v>
      </c>
      <c r="M65" s="67">
        <f t="shared" si="50"/>
        <v>0</v>
      </c>
      <c r="N65" s="67">
        <f t="shared" si="50"/>
        <v>0</v>
      </c>
      <c r="O65" s="67">
        <v>0</v>
      </c>
      <c r="P65" s="326">
        <f t="shared" si="32"/>
        <v>1500000</v>
      </c>
      <c r="Q65" s="2"/>
      <c r="S65" s="2"/>
    </row>
    <row r="66" spans="1:19" x14ac:dyDescent="0.15">
      <c r="B66" s="340" t="s">
        <v>703</v>
      </c>
      <c r="C66" s="12" t="s">
        <v>309</v>
      </c>
      <c r="D66" s="67">
        <f>D178</f>
        <v>0</v>
      </c>
      <c r="E66" s="67">
        <f t="shared" ref="E66:N66" si="51">E178</f>
        <v>0</v>
      </c>
      <c r="F66" s="67">
        <f t="shared" si="51"/>
        <v>0</v>
      </c>
      <c r="G66" s="67">
        <f t="shared" si="51"/>
        <v>0</v>
      </c>
      <c r="H66" s="67">
        <f t="shared" si="51"/>
        <v>0</v>
      </c>
      <c r="I66" s="67">
        <f t="shared" si="51"/>
        <v>0</v>
      </c>
      <c r="J66" s="67">
        <f t="shared" si="51"/>
        <v>0</v>
      </c>
      <c r="K66" s="67">
        <f t="shared" si="51"/>
        <v>0</v>
      </c>
      <c r="L66" s="67">
        <f t="shared" si="51"/>
        <v>0</v>
      </c>
      <c r="M66" s="67">
        <f t="shared" si="51"/>
        <v>0</v>
      </c>
      <c r="N66" s="67">
        <f t="shared" si="51"/>
        <v>0</v>
      </c>
      <c r="O66" s="67">
        <v>0</v>
      </c>
      <c r="P66" s="326">
        <f t="shared" si="32"/>
        <v>0</v>
      </c>
      <c r="Q66" s="2"/>
      <c r="S66" s="2"/>
    </row>
    <row r="67" spans="1:19" x14ac:dyDescent="0.15">
      <c r="B67" s="340" t="s">
        <v>704</v>
      </c>
      <c r="C67" s="12" t="s">
        <v>311</v>
      </c>
      <c r="D67" s="67">
        <f>D179</f>
        <v>0</v>
      </c>
      <c r="E67" s="67">
        <f t="shared" ref="E67:N67" si="52">E179</f>
        <v>0</v>
      </c>
      <c r="F67" s="67">
        <f t="shared" si="52"/>
        <v>0</v>
      </c>
      <c r="G67" s="67">
        <f t="shared" si="52"/>
        <v>0</v>
      </c>
      <c r="H67" s="67">
        <f t="shared" si="52"/>
        <v>0</v>
      </c>
      <c r="I67" s="67">
        <f t="shared" si="52"/>
        <v>-2596968.7000000002</v>
      </c>
      <c r="J67" s="67">
        <f t="shared" si="52"/>
        <v>0</v>
      </c>
      <c r="K67" s="67">
        <f t="shared" si="52"/>
        <v>0</v>
      </c>
      <c r="L67" s="67">
        <f t="shared" si="52"/>
        <v>0</v>
      </c>
      <c r="M67" s="67">
        <f t="shared" si="52"/>
        <v>0</v>
      </c>
      <c r="N67" s="67">
        <f t="shared" si="52"/>
        <v>0</v>
      </c>
      <c r="O67" s="67">
        <v>0</v>
      </c>
      <c r="P67" s="326">
        <f t="shared" si="32"/>
        <v>-2596968.7000000002</v>
      </c>
      <c r="Q67" s="2"/>
      <c r="S67" s="2"/>
    </row>
    <row r="68" spans="1:19" ht="14" thickBot="1" x14ac:dyDescent="0.2">
      <c r="B68" s="340" t="s">
        <v>705</v>
      </c>
      <c r="C68" s="12" t="s">
        <v>115</v>
      </c>
      <c r="D68" s="67">
        <f>D180</f>
        <v>-60000000</v>
      </c>
      <c r="E68" s="67">
        <f t="shared" ref="E68:N68" si="53">E180</f>
        <v>0</v>
      </c>
      <c r="F68" s="67">
        <f t="shared" si="53"/>
        <v>0</v>
      </c>
      <c r="G68" s="67">
        <f t="shared" si="53"/>
        <v>0</v>
      </c>
      <c r="H68" s="67">
        <f t="shared" si="53"/>
        <v>0</v>
      </c>
      <c r="I68" s="67">
        <f t="shared" si="53"/>
        <v>60000000</v>
      </c>
      <c r="J68" s="67">
        <f t="shared" si="53"/>
        <v>0</v>
      </c>
      <c r="K68" s="67">
        <f t="shared" si="53"/>
        <v>0</v>
      </c>
      <c r="L68" s="67">
        <f t="shared" si="53"/>
        <v>0</v>
      </c>
      <c r="M68" s="67">
        <f t="shared" si="53"/>
        <v>0</v>
      </c>
      <c r="N68" s="67">
        <f t="shared" si="53"/>
        <v>0</v>
      </c>
      <c r="O68" s="67">
        <v>0</v>
      </c>
      <c r="P68" s="326">
        <f t="shared" si="32"/>
        <v>60000000</v>
      </c>
      <c r="Q68" s="2"/>
      <c r="S68" s="2"/>
    </row>
    <row r="69" spans="1:19" x14ac:dyDescent="0.15">
      <c r="B69" s="340">
        <v>17</v>
      </c>
      <c r="C69" s="12" t="s">
        <v>313</v>
      </c>
      <c r="D69" s="67">
        <f>D62+D63+D67+D68</f>
        <v>-92550000</v>
      </c>
      <c r="E69" s="67">
        <f t="shared" ref="E69:N69" si="54">E62+E63+E67+E68</f>
        <v>0</v>
      </c>
      <c r="F69" s="67">
        <f t="shared" si="54"/>
        <v>0</v>
      </c>
      <c r="G69" s="67">
        <f t="shared" si="54"/>
        <v>0</v>
      </c>
      <c r="H69" s="67">
        <f t="shared" si="54"/>
        <v>0</v>
      </c>
      <c r="I69" s="67">
        <f t="shared" si="54"/>
        <v>71750066.299999997</v>
      </c>
      <c r="J69" s="67">
        <f t="shared" si="54"/>
        <v>0</v>
      </c>
      <c r="K69" s="67">
        <f t="shared" si="54"/>
        <v>0</v>
      </c>
      <c r="L69" s="67">
        <f t="shared" si="54"/>
        <v>0</v>
      </c>
      <c r="M69" s="67">
        <f t="shared" si="54"/>
        <v>0</v>
      </c>
      <c r="N69" s="67">
        <f t="shared" si="54"/>
        <v>0</v>
      </c>
      <c r="O69" s="67">
        <v>0</v>
      </c>
      <c r="P69" s="326">
        <f t="shared" si="32"/>
        <v>71750066.299999997</v>
      </c>
      <c r="Q69" s="461"/>
      <c r="R69" s="357" t="s">
        <v>693</v>
      </c>
      <c r="S69" s="2"/>
    </row>
    <row r="70" spans="1:19" ht="14" thickBot="1" x14ac:dyDescent="0.2">
      <c r="A70" s="1" t="s">
        <v>694</v>
      </c>
      <c r="B70" s="355">
        <v>18</v>
      </c>
      <c r="C70" s="335" t="s">
        <v>314</v>
      </c>
      <c r="D70" s="331">
        <f>D69+D61</f>
        <v>-92550000</v>
      </c>
      <c r="E70" s="331">
        <f t="shared" ref="E70:N70" si="55">E69+E61</f>
        <v>50012750</v>
      </c>
      <c r="F70" s="331">
        <f t="shared" si="55"/>
        <v>44202792.500000022</v>
      </c>
      <c r="G70" s="331">
        <f t="shared" si="55"/>
        <v>35442192.08412499</v>
      </c>
      <c r="H70" s="331">
        <f t="shared" si="55"/>
        <v>25111356.707490433</v>
      </c>
      <c r="I70" s="331">
        <f t="shared" si="55"/>
        <v>84401062.478848949</v>
      </c>
      <c r="J70" s="331">
        <f t="shared" si="55"/>
        <v>0</v>
      </c>
      <c r="K70" s="331">
        <f t="shared" si="55"/>
        <v>0</v>
      </c>
      <c r="L70" s="331">
        <f t="shared" si="55"/>
        <v>0</v>
      </c>
      <c r="M70" s="331">
        <f t="shared" si="55"/>
        <v>0</v>
      </c>
      <c r="N70" s="331">
        <f t="shared" si="55"/>
        <v>0</v>
      </c>
      <c r="O70" s="331">
        <v>0</v>
      </c>
      <c r="P70" s="356">
        <f t="shared" si="32"/>
        <v>239170153.77046442</v>
      </c>
      <c r="Q70" s="463"/>
      <c r="R70" s="358">
        <f>IF(ISNUMBER(IRR(D70:N70)),IRR(D70:N70),"NMF")</f>
        <v>0.40549033935008683</v>
      </c>
      <c r="S70" s="1" t="s">
        <v>694</v>
      </c>
    </row>
    <row r="71" spans="1:19" x14ac:dyDescent="0.15">
      <c r="B71" s="145"/>
      <c r="S71" s="2"/>
    </row>
    <row r="72" spans="1:19" ht="14" thickBot="1" x14ac:dyDescent="0.2">
      <c r="B72" s="145"/>
      <c r="S72" s="2"/>
    </row>
    <row r="73" spans="1:19" ht="14" thickBot="1" x14ac:dyDescent="0.2">
      <c r="B73" s="359" t="s">
        <v>282</v>
      </c>
      <c r="C73" s="360" t="s">
        <v>283</v>
      </c>
      <c r="D73" s="360"/>
      <c r="E73" s="360">
        <v>1</v>
      </c>
      <c r="F73" s="360">
        <v>2</v>
      </c>
      <c r="G73" s="360">
        <v>3</v>
      </c>
      <c r="H73" s="360">
        <v>4</v>
      </c>
      <c r="I73" s="360">
        <v>5</v>
      </c>
      <c r="J73" s="360">
        <v>6</v>
      </c>
      <c r="K73" s="360">
        <v>7</v>
      </c>
      <c r="L73" s="360">
        <v>8</v>
      </c>
      <c r="M73" s="360">
        <v>9</v>
      </c>
      <c r="N73" s="360">
        <v>10</v>
      </c>
      <c r="O73" s="360" t="s">
        <v>284</v>
      </c>
      <c r="P73" s="361" t="s">
        <v>285</v>
      </c>
      <c r="S73" s="2"/>
    </row>
    <row r="74" spans="1:19" x14ac:dyDescent="0.15">
      <c r="B74" s="339" t="s">
        <v>687</v>
      </c>
      <c r="C74" s="302" t="s">
        <v>287</v>
      </c>
      <c r="D74" s="322">
        <f t="shared" ref="D74:D89" si="56">D158</f>
        <v>0</v>
      </c>
      <c r="E74" s="322">
        <f t="shared" ref="E74:N74" si="57">E158</f>
        <v>300000000</v>
      </c>
      <c r="F74" s="322">
        <f t="shared" si="57"/>
        <v>313500000.00000006</v>
      </c>
      <c r="G74" s="322">
        <f t="shared" si="57"/>
        <v>327607500.00000006</v>
      </c>
      <c r="H74" s="322">
        <f t="shared" si="57"/>
        <v>342349837.50000012</v>
      </c>
      <c r="I74" s="322">
        <f t="shared" si="57"/>
        <v>357755580.18750012</v>
      </c>
      <c r="J74" s="322">
        <f t="shared" si="57"/>
        <v>0</v>
      </c>
      <c r="K74" s="322">
        <f t="shared" si="57"/>
        <v>0</v>
      </c>
      <c r="L74" s="322">
        <f t="shared" si="57"/>
        <v>0</v>
      </c>
      <c r="M74" s="322">
        <f t="shared" si="57"/>
        <v>0</v>
      </c>
      <c r="N74" s="322">
        <f t="shared" si="57"/>
        <v>0</v>
      </c>
      <c r="O74" s="322">
        <v>0</v>
      </c>
      <c r="P74" s="325">
        <f>SUM(E74:N74)</f>
        <v>1641212917.6875</v>
      </c>
      <c r="Q74" s="2"/>
      <c r="S74" s="2"/>
    </row>
    <row r="75" spans="1:19" x14ac:dyDescent="0.15">
      <c r="A75" s="1" t="s">
        <v>706</v>
      </c>
      <c r="B75" s="340" t="s">
        <v>689</v>
      </c>
      <c r="C75" s="354" t="s">
        <v>689</v>
      </c>
      <c r="D75" s="67">
        <f t="shared" si="56"/>
        <v>0</v>
      </c>
      <c r="E75" s="67">
        <f>E159</f>
        <v>300000000</v>
      </c>
      <c r="F75" s="67">
        <f t="shared" ref="F75:N75" si="58">F159</f>
        <v>313500000.00000006</v>
      </c>
      <c r="G75" s="67">
        <f t="shared" si="58"/>
        <v>327607500.00000006</v>
      </c>
      <c r="H75" s="67">
        <f t="shared" si="58"/>
        <v>342349837.50000012</v>
      </c>
      <c r="I75" s="67">
        <f t="shared" si="58"/>
        <v>357755580.18750012</v>
      </c>
      <c r="J75" s="67">
        <f t="shared" si="58"/>
        <v>0</v>
      </c>
      <c r="K75" s="67">
        <f t="shared" si="58"/>
        <v>0</v>
      </c>
      <c r="L75" s="67">
        <f t="shared" si="58"/>
        <v>0</v>
      </c>
      <c r="M75" s="67">
        <f t="shared" si="58"/>
        <v>0</v>
      </c>
      <c r="N75" s="67">
        <f t="shared" si="58"/>
        <v>0</v>
      </c>
      <c r="O75" s="67"/>
      <c r="P75" s="326">
        <f t="shared" ref="P75:P98" si="59">SUM(E75:N75)</f>
        <v>1641212917.6875</v>
      </c>
      <c r="Q75" s="2"/>
      <c r="S75" s="2"/>
    </row>
    <row r="76" spans="1:19" x14ac:dyDescent="0.15">
      <c r="B76" s="355" t="s">
        <v>690</v>
      </c>
      <c r="C76" s="362" t="s">
        <v>690</v>
      </c>
      <c r="D76" s="331">
        <f t="shared" si="56"/>
        <v>0</v>
      </c>
      <c r="E76" s="331">
        <f>E160*0.85</f>
        <v>0</v>
      </c>
      <c r="F76" s="331">
        <f t="shared" ref="F76:N76" si="60">F160*0.85</f>
        <v>0</v>
      </c>
      <c r="G76" s="331">
        <f t="shared" si="60"/>
        <v>0</v>
      </c>
      <c r="H76" s="331">
        <f t="shared" si="60"/>
        <v>0</v>
      </c>
      <c r="I76" s="331">
        <f t="shared" si="60"/>
        <v>0</v>
      </c>
      <c r="J76" s="331">
        <f t="shared" si="60"/>
        <v>0</v>
      </c>
      <c r="K76" s="331">
        <f t="shared" si="60"/>
        <v>0</v>
      </c>
      <c r="L76" s="331">
        <f t="shared" si="60"/>
        <v>0</v>
      </c>
      <c r="M76" s="331">
        <f t="shared" si="60"/>
        <v>0</v>
      </c>
      <c r="N76" s="331">
        <f t="shared" si="60"/>
        <v>0</v>
      </c>
      <c r="O76" s="363"/>
      <c r="P76" s="356">
        <f t="shared" si="59"/>
        <v>0</v>
      </c>
      <c r="Q76" s="460"/>
      <c r="S76" s="2"/>
    </row>
    <row r="77" spans="1:19" x14ac:dyDescent="0.15">
      <c r="B77" s="340" t="s">
        <v>691</v>
      </c>
      <c r="C77" s="354" t="s">
        <v>691</v>
      </c>
      <c r="D77" s="67">
        <f t="shared" si="56"/>
        <v>0</v>
      </c>
      <c r="E77" s="67">
        <f>E161</f>
        <v>0</v>
      </c>
      <c r="F77" s="67">
        <f t="shared" ref="F77:N77" si="61">F161</f>
        <v>0</v>
      </c>
      <c r="G77" s="67">
        <f t="shared" si="61"/>
        <v>0</v>
      </c>
      <c r="H77" s="67">
        <f t="shared" si="61"/>
        <v>0</v>
      </c>
      <c r="I77" s="67">
        <f t="shared" si="61"/>
        <v>0</v>
      </c>
      <c r="J77" s="67">
        <f t="shared" si="61"/>
        <v>0</v>
      </c>
      <c r="K77" s="67">
        <f t="shared" si="61"/>
        <v>0</v>
      </c>
      <c r="L77" s="67">
        <f t="shared" si="61"/>
        <v>0</v>
      </c>
      <c r="M77" s="67">
        <f t="shared" si="61"/>
        <v>0</v>
      </c>
      <c r="N77" s="67">
        <f t="shared" si="61"/>
        <v>0</v>
      </c>
      <c r="O77" s="67"/>
      <c r="P77" s="326">
        <f t="shared" si="59"/>
        <v>0</v>
      </c>
      <c r="Q77" s="2"/>
      <c r="S77" s="2"/>
    </row>
    <row r="78" spans="1:19" x14ac:dyDescent="0.15">
      <c r="B78" s="340" t="s">
        <v>695</v>
      </c>
      <c r="C78" s="12"/>
      <c r="D78" s="67">
        <f t="shared" si="56"/>
        <v>0</v>
      </c>
      <c r="E78" s="67">
        <f>E77+E76+E75</f>
        <v>300000000</v>
      </c>
      <c r="F78" s="67">
        <f t="shared" ref="F78:N78" si="62">F77+F76+F75</f>
        <v>313500000.00000006</v>
      </c>
      <c r="G78" s="67">
        <f t="shared" si="62"/>
        <v>327607500.00000006</v>
      </c>
      <c r="H78" s="67">
        <f t="shared" si="62"/>
        <v>342349837.50000012</v>
      </c>
      <c r="I78" s="67">
        <f t="shared" si="62"/>
        <v>357755580.18750012</v>
      </c>
      <c r="J78" s="67">
        <f t="shared" si="62"/>
        <v>0</v>
      </c>
      <c r="K78" s="67">
        <f t="shared" si="62"/>
        <v>0</v>
      </c>
      <c r="L78" s="67">
        <f t="shared" si="62"/>
        <v>0</v>
      </c>
      <c r="M78" s="67">
        <f t="shared" si="62"/>
        <v>0</v>
      </c>
      <c r="N78" s="67">
        <f t="shared" si="62"/>
        <v>0</v>
      </c>
      <c r="O78" s="67"/>
      <c r="P78" s="326">
        <f t="shared" si="59"/>
        <v>1641212917.6875</v>
      </c>
      <c r="Q78" s="2"/>
      <c r="S78" s="2"/>
    </row>
    <row r="79" spans="1:19" x14ac:dyDescent="0.15">
      <c r="B79" s="340" t="s">
        <v>696</v>
      </c>
      <c r="C79" s="12" t="s">
        <v>289</v>
      </c>
      <c r="D79" s="67">
        <f t="shared" si="56"/>
        <v>0</v>
      </c>
      <c r="E79" s="67">
        <f t="shared" ref="E79:N79" si="63">E163</f>
        <v>230170000</v>
      </c>
      <c r="F79" s="67">
        <f t="shared" si="63"/>
        <v>253018375.00000003</v>
      </c>
      <c r="G79" s="67">
        <f t="shared" si="63"/>
        <v>278725718.45125008</v>
      </c>
      <c r="H79" s="67">
        <f t="shared" si="63"/>
        <v>307665975.06072807</v>
      </c>
      <c r="I79" s="67">
        <f t="shared" si="63"/>
        <v>340262566.36057305</v>
      </c>
      <c r="J79" s="67">
        <f t="shared" si="63"/>
        <v>0</v>
      </c>
      <c r="K79" s="67">
        <f t="shared" si="63"/>
        <v>0</v>
      </c>
      <c r="L79" s="67">
        <f t="shared" si="63"/>
        <v>0</v>
      </c>
      <c r="M79" s="67">
        <f t="shared" si="63"/>
        <v>0</v>
      </c>
      <c r="N79" s="67">
        <f t="shared" si="63"/>
        <v>0</v>
      </c>
      <c r="O79" s="67">
        <v>0</v>
      </c>
      <c r="P79" s="326">
        <f t="shared" si="59"/>
        <v>1409842634.8725512</v>
      </c>
      <c r="Q79" s="2"/>
      <c r="S79" s="2"/>
    </row>
    <row r="80" spans="1:19" x14ac:dyDescent="0.15">
      <c r="B80" s="340">
        <v>3</v>
      </c>
      <c r="C80" s="12" t="s">
        <v>290</v>
      </c>
      <c r="D80" s="67">
        <f t="shared" si="56"/>
        <v>0</v>
      </c>
      <c r="E80" s="67">
        <f>E78-E79</f>
        <v>69830000</v>
      </c>
      <c r="F80" s="67">
        <f t="shared" ref="F80:N80" si="64">F78-F79</f>
        <v>60481625.00000003</v>
      </c>
      <c r="G80" s="67">
        <f t="shared" si="64"/>
        <v>48881781.548749983</v>
      </c>
      <c r="H80" s="67">
        <f t="shared" si="64"/>
        <v>34683862.439272046</v>
      </c>
      <c r="I80" s="67">
        <f t="shared" si="64"/>
        <v>17493013.826927066</v>
      </c>
      <c r="J80" s="67">
        <f t="shared" si="64"/>
        <v>0</v>
      </c>
      <c r="K80" s="67">
        <f t="shared" si="64"/>
        <v>0</v>
      </c>
      <c r="L80" s="67">
        <f t="shared" si="64"/>
        <v>0</v>
      </c>
      <c r="M80" s="67">
        <f t="shared" si="64"/>
        <v>0</v>
      </c>
      <c r="N80" s="67">
        <f t="shared" si="64"/>
        <v>0</v>
      </c>
      <c r="O80" s="67">
        <v>0</v>
      </c>
      <c r="P80" s="326">
        <f t="shared" si="59"/>
        <v>231370282.81494913</v>
      </c>
      <c r="Q80" s="2"/>
      <c r="S80" s="2"/>
    </row>
    <row r="81" spans="2:19" x14ac:dyDescent="0.15">
      <c r="B81" s="340" t="s">
        <v>697</v>
      </c>
      <c r="C81" s="12" t="s">
        <v>292</v>
      </c>
      <c r="D81" s="67">
        <f t="shared" si="56"/>
        <v>0</v>
      </c>
      <c r="E81" s="67">
        <f>E165</f>
        <v>3772500</v>
      </c>
      <c r="F81" s="67">
        <f t="shared" ref="F81:N81" si="65">F165</f>
        <v>6218850</v>
      </c>
      <c r="G81" s="67">
        <f t="shared" si="65"/>
        <v>4083150</v>
      </c>
      <c r="H81" s="67">
        <f t="shared" si="65"/>
        <v>2775510</v>
      </c>
      <c r="I81" s="67">
        <f t="shared" si="65"/>
        <v>1352955</v>
      </c>
      <c r="J81" s="67">
        <f t="shared" si="65"/>
        <v>0</v>
      </c>
      <c r="K81" s="67">
        <f t="shared" si="65"/>
        <v>0</v>
      </c>
      <c r="L81" s="67">
        <f t="shared" si="65"/>
        <v>0</v>
      </c>
      <c r="M81" s="67">
        <f t="shared" si="65"/>
        <v>0</v>
      </c>
      <c r="N81" s="67">
        <f t="shared" si="65"/>
        <v>0</v>
      </c>
      <c r="O81" s="67">
        <v>0</v>
      </c>
      <c r="P81" s="326">
        <f t="shared" si="59"/>
        <v>18202965</v>
      </c>
      <c r="Q81" s="2"/>
      <c r="S81" s="2"/>
    </row>
    <row r="82" spans="2:19" x14ac:dyDescent="0.15">
      <c r="B82" s="340">
        <v>5</v>
      </c>
      <c r="C82" s="12" t="s">
        <v>293</v>
      </c>
      <c r="D82" s="67">
        <f t="shared" si="56"/>
        <v>0</v>
      </c>
      <c r="E82" s="67">
        <f>E80-E81</f>
        <v>66057500</v>
      </c>
      <c r="F82" s="67">
        <f t="shared" ref="F82:N82" si="66">F80-F81</f>
        <v>54262775.00000003</v>
      </c>
      <c r="G82" s="67">
        <f t="shared" si="66"/>
        <v>44798631.548749983</v>
      </c>
      <c r="H82" s="67">
        <f t="shared" si="66"/>
        <v>31908352.439272046</v>
      </c>
      <c r="I82" s="67">
        <f t="shared" si="66"/>
        <v>16140058.826927066</v>
      </c>
      <c r="J82" s="67">
        <f t="shared" si="66"/>
        <v>0</v>
      </c>
      <c r="K82" s="67">
        <f t="shared" si="66"/>
        <v>0</v>
      </c>
      <c r="L82" s="67">
        <f t="shared" si="66"/>
        <v>0</v>
      </c>
      <c r="M82" s="67">
        <f t="shared" si="66"/>
        <v>0</v>
      </c>
      <c r="N82" s="67">
        <f t="shared" si="66"/>
        <v>0</v>
      </c>
      <c r="O82" s="67">
        <v>0</v>
      </c>
      <c r="P82" s="326">
        <f t="shared" si="59"/>
        <v>213167317.81494913</v>
      </c>
      <c r="Q82" s="2"/>
      <c r="S82" s="2"/>
    </row>
    <row r="83" spans="2:19" x14ac:dyDescent="0.15">
      <c r="B83" s="340" t="s">
        <v>698</v>
      </c>
      <c r="C83" s="12" t="s">
        <v>295</v>
      </c>
      <c r="D83" s="67">
        <f t="shared" si="56"/>
        <v>0</v>
      </c>
      <c r="E83" s="67">
        <f>E167</f>
        <v>0</v>
      </c>
      <c r="F83" s="67">
        <f t="shared" ref="F83:N83" si="67">F167</f>
        <v>0</v>
      </c>
      <c r="G83" s="67">
        <f t="shared" si="67"/>
        <v>0</v>
      </c>
      <c r="H83" s="67">
        <f t="shared" si="67"/>
        <v>0</v>
      </c>
      <c r="I83" s="67">
        <f t="shared" si="67"/>
        <v>0</v>
      </c>
      <c r="J83" s="67">
        <f t="shared" si="67"/>
        <v>0</v>
      </c>
      <c r="K83" s="67">
        <f t="shared" si="67"/>
        <v>0</v>
      </c>
      <c r="L83" s="67">
        <f t="shared" si="67"/>
        <v>0</v>
      </c>
      <c r="M83" s="67">
        <f t="shared" si="67"/>
        <v>0</v>
      </c>
      <c r="N83" s="67">
        <f t="shared" si="67"/>
        <v>0</v>
      </c>
      <c r="O83" s="67">
        <v>0</v>
      </c>
      <c r="P83" s="326">
        <f t="shared" si="59"/>
        <v>0</v>
      </c>
      <c r="Q83" s="2"/>
      <c r="S83" s="2"/>
    </row>
    <row r="84" spans="2:19" x14ac:dyDescent="0.15">
      <c r="B84" s="340">
        <v>7</v>
      </c>
      <c r="C84" s="12" t="s">
        <v>296</v>
      </c>
      <c r="D84" s="67">
        <f t="shared" si="56"/>
        <v>0</v>
      </c>
      <c r="E84" s="67">
        <f>E82-E83</f>
        <v>66057500</v>
      </c>
      <c r="F84" s="67">
        <f t="shared" ref="F84:N84" si="68">F82-F83</f>
        <v>54262775.00000003</v>
      </c>
      <c r="G84" s="67">
        <f t="shared" si="68"/>
        <v>44798631.548749983</v>
      </c>
      <c r="H84" s="67">
        <f t="shared" si="68"/>
        <v>31908352.439272046</v>
      </c>
      <c r="I84" s="67">
        <f t="shared" si="68"/>
        <v>16140058.826927066</v>
      </c>
      <c r="J84" s="67">
        <f t="shared" si="68"/>
        <v>0</v>
      </c>
      <c r="K84" s="67">
        <f t="shared" si="68"/>
        <v>0</v>
      </c>
      <c r="L84" s="67">
        <f t="shared" si="68"/>
        <v>0</v>
      </c>
      <c r="M84" s="67">
        <f t="shared" si="68"/>
        <v>0</v>
      </c>
      <c r="N84" s="67">
        <f t="shared" si="68"/>
        <v>0</v>
      </c>
      <c r="O84" s="67">
        <v>0</v>
      </c>
      <c r="P84" s="326">
        <f t="shared" si="59"/>
        <v>213167317.81494913</v>
      </c>
      <c r="Q84" s="2"/>
      <c r="S84" s="2"/>
    </row>
    <row r="85" spans="2:19" x14ac:dyDescent="0.15">
      <c r="B85" s="340">
        <v>8</v>
      </c>
      <c r="C85" s="12" t="s">
        <v>297</v>
      </c>
      <c r="D85" s="67">
        <f t="shared" si="56"/>
        <v>0</v>
      </c>
      <c r="E85" s="67">
        <f>-E84*$D$3</f>
        <v>-19817250</v>
      </c>
      <c r="F85" s="67">
        <f t="shared" ref="F85:N85" si="69">-F84*$D$3</f>
        <v>-16278832.500000007</v>
      </c>
      <c r="G85" s="67">
        <f t="shared" si="69"/>
        <v>-13439589.464624995</v>
      </c>
      <c r="H85" s="67">
        <f t="shared" si="69"/>
        <v>-9572505.7317816131</v>
      </c>
      <c r="I85" s="67">
        <f t="shared" si="69"/>
        <v>-4842017.6480781194</v>
      </c>
      <c r="J85" s="67">
        <f t="shared" si="69"/>
        <v>0</v>
      </c>
      <c r="K85" s="67">
        <f t="shared" si="69"/>
        <v>0</v>
      </c>
      <c r="L85" s="67">
        <f t="shared" si="69"/>
        <v>0</v>
      </c>
      <c r="M85" s="67">
        <f t="shared" si="69"/>
        <v>0</v>
      </c>
      <c r="N85" s="67">
        <f t="shared" si="69"/>
        <v>0</v>
      </c>
      <c r="O85" s="67">
        <v>0</v>
      </c>
      <c r="P85" s="326">
        <f t="shared" si="59"/>
        <v>-63950195.344484739</v>
      </c>
      <c r="Q85" s="2"/>
      <c r="S85" s="2"/>
    </row>
    <row r="86" spans="2:19" x14ac:dyDescent="0.15">
      <c r="B86" s="340">
        <v>9</v>
      </c>
      <c r="C86" s="12" t="s">
        <v>298</v>
      </c>
      <c r="D86" s="67">
        <f t="shared" si="56"/>
        <v>0</v>
      </c>
      <c r="E86" s="67">
        <f>E170</f>
        <v>0</v>
      </c>
      <c r="F86" s="67">
        <f t="shared" ref="F86:N86" si="70">F170</f>
        <v>0</v>
      </c>
      <c r="G86" s="67">
        <f t="shared" si="70"/>
        <v>0</v>
      </c>
      <c r="H86" s="67">
        <f t="shared" si="70"/>
        <v>0</v>
      </c>
      <c r="I86" s="67">
        <f t="shared" si="70"/>
        <v>0</v>
      </c>
      <c r="J86" s="67">
        <f t="shared" si="70"/>
        <v>0</v>
      </c>
      <c r="K86" s="67">
        <f t="shared" si="70"/>
        <v>0</v>
      </c>
      <c r="L86" s="67">
        <f t="shared" si="70"/>
        <v>0</v>
      </c>
      <c r="M86" s="67">
        <f t="shared" si="70"/>
        <v>0</v>
      </c>
      <c r="N86" s="67">
        <f t="shared" si="70"/>
        <v>0</v>
      </c>
      <c r="O86" s="67">
        <v>0</v>
      </c>
      <c r="P86" s="326">
        <f t="shared" si="59"/>
        <v>0</v>
      </c>
      <c r="Q86" s="2"/>
      <c r="S86" s="2"/>
    </row>
    <row r="87" spans="2:19" x14ac:dyDescent="0.15">
      <c r="B87" s="340">
        <v>10</v>
      </c>
      <c r="C87" s="12" t="s">
        <v>299</v>
      </c>
      <c r="D87" s="67">
        <f t="shared" si="56"/>
        <v>0</v>
      </c>
      <c r="E87" s="67">
        <f>E84+E85+E86</f>
        <v>46240250</v>
      </c>
      <c r="F87" s="67">
        <f t="shared" ref="F87:N87" si="71">F84+F85+F86</f>
        <v>37983942.500000022</v>
      </c>
      <c r="G87" s="67">
        <f t="shared" si="71"/>
        <v>31359042.08412499</v>
      </c>
      <c r="H87" s="67">
        <f t="shared" si="71"/>
        <v>22335846.707490433</v>
      </c>
      <c r="I87" s="67">
        <f t="shared" si="71"/>
        <v>11298041.178848946</v>
      </c>
      <c r="J87" s="67">
        <f t="shared" si="71"/>
        <v>0</v>
      </c>
      <c r="K87" s="67">
        <f t="shared" si="71"/>
        <v>0</v>
      </c>
      <c r="L87" s="67">
        <f t="shared" si="71"/>
        <v>0</v>
      </c>
      <c r="M87" s="67">
        <f t="shared" si="71"/>
        <v>0</v>
      </c>
      <c r="N87" s="67">
        <f t="shared" si="71"/>
        <v>0</v>
      </c>
      <c r="O87" s="67">
        <v>0</v>
      </c>
      <c r="P87" s="326">
        <f t="shared" si="59"/>
        <v>149217122.47046441</v>
      </c>
      <c r="Q87" s="2"/>
      <c r="S87" s="2"/>
    </row>
    <row r="88" spans="2:19" x14ac:dyDescent="0.15">
      <c r="B88" s="340" t="s">
        <v>699</v>
      </c>
      <c r="C88" s="12" t="s">
        <v>292</v>
      </c>
      <c r="D88" s="67">
        <f t="shared" si="56"/>
        <v>0</v>
      </c>
      <c r="E88" s="67">
        <f>E172</f>
        <v>3772500</v>
      </c>
      <c r="F88" s="67">
        <f t="shared" ref="F88:N88" si="72">F172</f>
        <v>6218850</v>
      </c>
      <c r="G88" s="67">
        <f t="shared" si="72"/>
        <v>4083150</v>
      </c>
      <c r="H88" s="67">
        <f t="shared" si="72"/>
        <v>2775510</v>
      </c>
      <c r="I88" s="67">
        <f t="shared" si="72"/>
        <v>1352955</v>
      </c>
      <c r="J88" s="67">
        <f t="shared" si="72"/>
        <v>0</v>
      </c>
      <c r="K88" s="67">
        <f t="shared" si="72"/>
        <v>0</v>
      </c>
      <c r="L88" s="67">
        <f t="shared" si="72"/>
        <v>0</v>
      </c>
      <c r="M88" s="67">
        <f t="shared" si="72"/>
        <v>0</v>
      </c>
      <c r="N88" s="67">
        <f t="shared" si="72"/>
        <v>0</v>
      </c>
      <c r="O88" s="67">
        <v>0</v>
      </c>
      <c r="P88" s="326">
        <f t="shared" si="59"/>
        <v>18202965</v>
      </c>
      <c r="Q88" s="2"/>
      <c r="S88" s="2"/>
    </row>
    <row r="89" spans="2:19" x14ac:dyDescent="0.15">
      <c r="B89" s="340">
        <v>12</v>
      </c>
      <c r="C89" s="12" t="s">
        <v>301</v>
      </c>
      <c r="D89" s="67">
        <f t="shared" si="56"/>
        <v>0</v>
      </c>
      <c r="E89" s="67">
        <f>E87+E88</f>
        <v>50012750</v>
      </c>
      <c r="F89" s="67">
        <f t="shared" ref="F89:N89" si="73">F87+F88</f>
        <v>44202792.500000022</v>
      </c>
      <c r="G89" s="67">
        <f t="shared" si="73"/>
        <v>35442192.08412499</v>
      </c>
      <c r="H89" s="67">
        <f t="shared" si="73"/>
        <v>25111356.707490433</v>
      </c>
      <c r="I89" s="67">
        <f t="shared" si="73"/>
        <v>12650996.178848946</v>
      </c>
      <c r="J89" s="67">
        <f t="shared" si="73"/>
        <v>0</v>
      </c>
      <c r="K89" s="67">
        <f t="shared" si="73"/>
        <v>0</v>
      </c>
      <c r="L89" s="67">
        <f t="shared" si="73"/>
        <v>0</v>
      </c>
      <c r="M89" s="67">
        <f t="shared" si="73"/>
        <v>0</v>
      </c>
      <c r="N89" s="67">
        <f t="shared" si="73"/>
        <v>0</v>
      </c>
      <c r="O89" s="67">
        <v>0</v>
      </c>
      <c r="P89" s="326">
        <f t="shared" si="59"/>
        <v>167420087.47046441</v>
      </c>
      <c r="Q89" s="2"/>
      <c r="S89" s="2"/>
    </row>
    <row r="90" spans="2:19" x14ac:dyDescent="0.15">
      <c r="B90" s="340" t="s">
        <v>700</v>
      </c>
      <c r="C90" s="12" t="s">
        <v>303</v>
      </c>
      <c r="D90" s="67">
        <v>0</v>
      </c>
      <c r="E90" s="67">
        <f t="shared" ref="E90:N90" si="74">E174</f>
        <v>0</v>
      </c>
      <c r="F90" s="67">
        <f t="shared" si="74"/>
        <v>0</v>
      </c>
      <c r="G90" s="67">
        <f t="shared" si="74"/>
        <v>0</v>
      </c>
      <c r="H90" s="67">
        <f t="shared" si="74"/>
        <v>0</v>
      </c>
      <c r="I90" s="67">
        <f t="shared" si="74"/>
        <v>0</v>
      </c>
      <c r="J90" s="67">
        <f t="shared" si="74"/>
        <v>0</v>
      </c>
      <c r="K90" s="67">
        <f t="shared" si="74"/>
        <v>0</v>
      </c>
      <c r="L90" s="67">
        <f t="shared" si="74"/>
        <v>0</v>
      </c>
      <c r="M90" s="67">
        <f t="shared" si="74"/>
        <v>0</v>
      </c>
      <c r="N90" s="67">
        <f t="shared" si="74"/>
        <v>0</v>
      </c>
      <c r="O90" s="67">
        <v>0</v>
      </c>
      <c r="P90" s="326">
        <f t="shared" si="59"/>
        <v>0</v>
      </c>
      <c r="Q90" s="2"/>
      <c r="S90" s="2"/>
    </row>
    <row r="91" spans="2:19" x14ac:dyDescent="0.15">
      <c r="B91" s="340">
        <v>14</v>
      </c>
      <c r="C91" s="12" t="s">
        <v>304</v>
      </c>
      <c r="D91" s="67">
        <f>D92+D93+D94</f>
        <v>-32550000</v>
      </c>
      <c r="E91" s="67">
        <f t="shared" ref="E91:N91" si="75">E92+E93+E94</f>
        <v>0</v>
      </c>
      <c r="F91" s="67">
        <f t="shared" si="75"/>
        <v>0</v>
      </c>
      <c r="G91" s="67">
        <f t="shared" si="75"/>
        <v>0</v>
      </c>
      <c r="H91" s="67">
        <f t="shared" si="75"/>
        <v>0</v>
      </c>
      <c r="I91" s="67">
        <f t="shared" si="75"/>
        <v>14347035</v>
      </c>
      <c r="J91" s="67">
        <f t="shared" si="75"/>
        <v>0</v>
      </c>
      <c r="K91" s="67">
        <f t="shared" si="75"/>
        <v>0</v>
      </c>
      <c r="L91" s="67">
        <f t="shared" si="75"/>
        <v>0</v>
      </c>
      <c r="M91" s="67">
        <f t="shared" si="75"/>
        <v>0</v>
      </c>
      <c r="N91" s="67">
        <f t="shared" si="75"/>
        <v>0</v>
      </c>
      <c r="O91" s="67">
        <v>0</v>
      </c>
      <c r="P91" s="326">
        <f t="shared" si="59"/>
        <v>14347035</v>
      </c>
      <c r="Q91" s="2"/>
      <c r="S91" s="2"/>
    </row>
    <row r="92" spans="2:19" x14ac:dyDescent="0.15">
      <c r="B92" s="340" t="s">
        <v>701</v>
      </c>
      <c r="C92" s="12" t="s">
        <v>207</v>
      </c>
      <c r="D92" s="67">
        <f>D176</f>
        <v>-31050000</v>
      </c>
      <c r="E92" s="67">
        <f t="shared" ref="E92:N92" si="76">E176</f>
        <v>0</v>
      </c>
      <c r="F92" s="67">
        <f t="shared" si="76"/>
        <v>0</v>
      </c>
      <c r="G92" s="67">
        <f t="shared" si="76"/>
        <v>0</v>
      </c>
      <c r="H92" s="67">
        <f t="shared" si="76"/>
        <v>0</v>
      </c>
      <c r="I92" s="67">
        <f t="shared" si="76"/>
        <v>12847035</v>
      </c>
      <c r="J92" s="67">
        <f t="shared" si="76"/>
        <v>0</v>
      </c>
      <c r="K92" s="67">
        <f t="shared" si="76"/>
        <v>0</v>
      </c>
      <c r="L92" s="67">
        <f t="shared" si="76"/>
        <v>0</v>
      </c>
      <c r="M92" s="67">
        <f t="shared" si="76"/>
        <v>0</v>
      </c>
      <c r="N92" s="67">
        <f t="shared" si="76"/>
        <v>0</v>
      </c>
      <c r="O92" s="67">
        <v>0</v>
      </c>
      <c r="P92" s="326">
        <f t="shared" si="59"/>
        <v>12847035</v>
      </c>
      <c r="Q92" s="2"/>
      <c r="S92" s="2"/>
    </row>
    <row r="93" spans="2:19" x14ac:dyDescent="0.15">
      <c r="B93" s="340" t="s">
        <v>702</v>
      </c>
      <c r="C93" s="12" t="s">
        <v>307</v>
      </c>
      <c r="D93" s="67">
        <f>D177</f>
        <v>-1500000</v>
      </c>
      <c r="E93" s="67">
        <f t="shared" ref="E93:N93" si="77">E177</f>
        <v>0</v>
      </c>
      <c r="F93" s="67">
        <f t="shared" si="77"/>
        <v>0</v>
      </c>
      <c r="G93" s="67">
        <f t="shared" si="77"/>
        <v>0</v>
      </c>
      <c r="H93" s="67">
        <f t="shared" si="77"/>
        <v>0</v>
      </c>
      <c r="I93" s="67">
        <f t="shared" si="77"/>
        <v>1500000</v>
      </c>
      <c r="J93" s="67">
        <f t="shared" si="77"/>
        <v>0</v>
      </c>
      <c r="K93" s="67">
        <f t="shared" si="77"/>
        <v>0</v>
      </c>
      <c r="L93" s="67">
        <f t="shared" si="77"/>
        <v>0</v>
      </c>
      <c r="M93" s="67">
        <f t="shared" si="77"/>
        <v>0</v>
      </c>
      <c r="N93" s="67">
        <f t="shared" si="77"/>
        <v>0</v>
      </c>
      <c r="O93" s="67">
        <v>0</v>
      </c>
      <c r="P93" s="326">
        <f t="shared" si="59"/>
        <v>1500000</v>
      </c>
      <c r="Q93" s="2"/>
      <c r="S93" s="2"/>
    </row>
    <row r="94" spans="2:19" x14ac:dyDescent="0.15">
      <c r="B94" s="340" t="s">
        <v>703</v>
      </c>
      <c r="C94" s="12" t="s">
        <v>309</v>
      </c>
      <c r="D94" s="67">
        <f>D178</f>
        <v>0</v>
      </c>
      <c r="E94" s="67">
        <f t="shared" ref="E94:N94" si="78">E178</f>
        <v>0</v>
      </c>
      <c r="F94" s="67">
        <f t="shared" si="78"/>
        <v>0</v>
      </c>
      <c r="G94" s="67">
        <f t="shared" si="78"/>
        <v>0</v>
      </c>
      <c r="H94" s="67">
        <f t="shared" si="78"/>
        <v>0</v>
      </c>
      <c r="I94" s="67">
        <f t="shared" si="78"/>
        <v>0</v>
      </c>
      <c r="J94" s="67">
        <f t="shared" si="78"/>
        <v>0</v>
      </c>
      <c r="K94" s="67">
        <f t="shared" si="78"/>
        <v>0</v>
      </c>
      <c r="L94" s="67">
        <f t="shared" si="78"/>
        <v>0</v>
      </c>
      <c r="M94" s="67">
        <f t="shared" si="78"/>
        <v>0</v>
      </c>
      <c r="N94" s="67">
        <f t="shared" si="78"/>
        <v>0</v>
      </c>
      <c r="O94" s="67">
        <v>0</v>
      </c>
      <c r="P94" s="326">
        <f t="shared" si="59"/>
        <v>0</v>
      </c>
      <c r="Q94" s="2"/>
      <c r="S94" s="2"/>
    </row>
    <row r="95" spans="2:19" x14ac:dyDescent="0.15">
      <c r="B95" s="340" t="s">
        <v>704</v>
      </c>
      <c r="C95" s="12" t="s">
        <v>311</v>
      </c>
      <c r="D95" s="67">
        <f>D179</f>
        <v>0</v>
      </c>
      <c r="E95" s="67">
        <f t="shared" ref="E95:N95" si="79">E179</f>
        <v>0</v>
      </c>
      <c r="F95" s="67">
        <f t="shared" si="79"/>
        <v>0</v>
      </c>
      <c r="G95" s="67">
        <f t="shared" si="79"/>
        <v>0</v>
      </c>
      <c r="H95" s="67">
        <f t="shared" si="79"/>
        <v>0</v>
      </c>
      <c r="I95" s="67">
        <f t="shared" si="79"/>
        <v>-2596968.7000000002</v>
      </c>
      <c r="J95" s="67">
        <f t="shared" si="79"/>
        <v>0</v>
      </c>
      <c r="K95" s="67">
        <f t="shared" si="79"/>
        <v>0</v>
      </c>
      <c r="L95" s="67">
        <f t="shared" si="79"/>
        <v>0</v>
      </c>
      <c r="M95" s="67">
        <f t="shared" si="79"/>
        <v>0</v>
      </c>
      <c r="N95" s="67">
        <f t="shared" si="79"/>
        <v>0</v>
      </c>
      <c r="O95" s="67">
        <v>0</v>
      </c>
      <c r="P95" s="326">
        <f t="shared" si="59"/>
        <v>-2596968.7000000002</v>
      </c>
      <c r="Q95" s="2"/>
      <c r="S95" s="2"/>
    </row>
    <row r="96" spans="2:19" ht="14" thickBot="1" x14ac:dyDescent="0.2">
      <c r="B96" s="340" t="s">
        <v>705</v>
      </c>
      <c r="C96" s="12" t="s">
        <v>115</v>
      </c>
      <c r="D96" s="67">
        <f>D180</f>
        <v>-60000000</v>
      </c>
      <c r="E96" s="67">
        <f t="shared" ref="E96:N96" si="80">E180</f>
        <v>0</v>
      </c>
      <c r="F96" s="67">
        <f t="shared" si="80"/>
        <v>0</v>
      </c>
      <c r="G96" s="67">
        <f t="shared" si="80"/>
        <v>0</v>
      </c>
      <c r="H96" s="67">
        <f t="shared" si="80"/>
        <v>0</v>
      </c>
      <c r="I96" s="67">
        <f t="shared" si="80"/>
        <v>60000000</v>
      </c>
      <c r="J96" s="67">
        <f t="shared" si="80"/>
        <v>0</v>
      </c>
      <c r="K96" s="67">
        <f t="shared" si="80"/>
        <v>0</v>
      </c>
      <c r="L96" s="67">
        <f t="shared" si="80"/>
        <v>0</v>
      </c>
      <c r="M96" s="67">
        <f t="shared" si="80"/>
        <v>0</v>
      </c>
      <c r="N96" s="67">
        <f t="shared" si="80"/>
        <v>0</v>
      </c>
      <c r="O96" s="67">
        <v>0</v>
      </c>
      <c r="P96" s="326">
        <f t="shared" si="59"/>
        <v>60000000</v>
      </c>
      <c r="Q96" s="2"/>
      <c r="S96" s="2"/>
    </row>
    <row r="97" spans="1:19" x14ac:dyDescent="0.15">
      <c r="B97" s="340">
        <v>17</v>
      </c>
      <c r="C97" s="12" t="s">
        <v>313</v>
      </c>
      <c r="D97" s="67">
        <f>D90+D91+D95+D96</f>
        <v>-92550000</v>
      </c>
      <c r="E97" s="67">
        <f t="shared" ref="E97:N97" si="81">E90+E91+E95+E96</f>
        <v>0</v>
      </c>
      <c r="F97" s="67">
        <f t="shared" si="81"/>
        <v>0</v>
      </c>
      <c r="G97" s="67">
        <f t="shared" si="81"/>
        <v>0</v>
      </c>
      <c r="H97" s="67">
        <f t="shared" si="81"/>
        <v>0</v>
      </c>
      <c r="I97" s="67">
        <f t="shared" si="81"/>
        <v>71750066.299999997</v>
      </c>
      <c r="J97" s="67">
        <f t="shared" si="81"/>
        <v>0</v>
      </c>
      <c r="K97" s="67">
        <f t="shared" si="81"/>
        <v>0</v>
      </c>
      <c r="L97" s="67">
        <f t="shared" si="81"/>
        <v>0</v>
      </c>
      <c r="M97" s="67">
        <f t="shared" si="81"/>
        <v>0</v>
      </c>
      <c r="N97" s="67">
        <f t="shared" si="81"/>
        <v>0</v>
      </c>
      <c r="O97" s="67">
        <v>0</v>
      </c>
      <c r="P97" s="326">
        <f t="shared" si="59"/>
        <v>71750066.299999997</v>
      </c>
      <c r="Q97" s="461"/>
      <c r="R97" s="357" t="s">
        <v>693</v>
      </c>
      <c r="S97" s="2"/>
    </row>
    <row r="98" spans="1:19" ht="14" thickBot="1" x14ac:dyDescent="0.2">
      <c r="A98" s="1" t="s">
        <v>706</v>
      </c>
      <c r="B98" s="355">
        <v>18</v>
      </c>
      <c r="C98" s="335" t="s">
        <v>314</v>
      </c>
      <c r="D98" s="331">
        <f>D97+D89</f>
        <v>-92550000</v>
      </c>
      <c r="E98" s="331">
        <f t="shared" ref="E98:N98" si="82">E97+E89</f>
        <v>50012750</v>
      </c>
      <c r="F98" s="331">
        <f t="shared" si="82"/>
        <v>44202792.500000022</v>
      </c>
      <c r="G98" s="331">
        <f t="shared" si="82"/>
        <v>35442192.08412499</v>
      </c>
      <c r="H98" s="331">
        <f t="shared" si="82"/>
        <v>25111356.707490433</v>
      </c>
      <c r="I98" s="331">
        <f t="shared" si="82"/>
        <v>84401062.478848949</v>
      </c>
      <c r="J98" s="331">
        <f t="shared" si="82"/>
        <v>0</v>
      </c>
      <c r="K98" s="331">
        <f t="shared" si="82"/>
        <v>0</v>
      </c>
      <c r="L98" s="331">
        <f t="shared" si="82"/>
        <v>0</v>
      </c>
      <c r="M98" s="331">
        <f t="shared" si="82"/>
        <v>0</v>
      </c>
      <c r="N98" s="331">
        <f t="shared" si="82"/>
        <v>0</v>
      </c>
      <c r="O98" s="331">
        <v>0</v>
      </c>
      <c r="P98" s="356">
        <f t="shared" si="59"/>
        <v>239170153.77046442</v>
      </c>
      <c r="Q98" s="463"/>
      <c r="R98" s="358">
        <f>IF(ISNUMBER(IRR(D98:N98)),IRR(D98:N98),"NMF")</f>
        <v>0.40549033935008683</v>
      </c>
      <c r="S98" s="1" t="s">
        <v>706</v>
      </c>
    </row>
    <row r="99" spans="1:19" x14ac:dyDescent="0.15">
      <c r="B99" s="145"/>
      <c r="S99" s="2"/>
    </row>
    <row r="100" spans="1:19" ht="14" thickBot="1" x14ac:dyDescent="0.2">
      <c r="B100" s="145"/>
      <c r="S100" s="2"/>
    </row>
    <row r="101" spans="1:19" ht="14" thickBot="1" x14ac:dyDescent="0.2">
      <c r="B101" s="359" t="s">
        <v>282</v>
      </c>
      <c r="C101" s="360" t="s">
        <v>283</v>
      </c>
      <c r="D101" s="360"/>
      <c r="E101" s="360">
        <v>1</v>
      </c>
      <c r="F101" s="360">
        <v>2</v>
      </c>
      <c r="G101" s="360">
        <v>3</v>
      </c>
      <c r="H101" s="360">
        <v>4</v>
      </c>
      <c r="I101" s="360">
        <v>5</v>
      </c>
      <c r="J101" s="360">
        <v>6</v>
      </c>
      <c r="K101" s="360">
        <v>7</v>
      </c>
      <c r="L101" s="360">
        <v>8</v>
      </c>
      <c r="M101" s="360">
        <v>9</v>
      </c>
      <c r="N101" s="360">
        <v>10</v>
      </c>
      <c r="O101" s="360" t="s">
        <v>284</v>
      </c>
      <c r="P101" s="361" t="s">
        <v>285</v>
      </c>
      <c r="S101" s="2"/>
    </row>
    <row r="102" spans="1:19" x14ac:dyDescent="0.15">
      <c r="B102" s="339" t="s">
        <v>687</v>
      </c>
      <c r="C102" s="302" t="s">
        <v>287</v>
      </c>
      <c r="D102" s="322">
        <f t="shared" ref="D102:D117" si="83">D158</f>
        <v>0</v>
      </c>
      <c r="E102" s="322">
        <f t="shared" ref="E102:N102" si="84">E158</f>
        <v>300000000</v>
      </c>
      <c r="F102" s="322">
        <f t="shared" si="84"/>
        <v>313500000.00000006</v>
      </c>
      <c r="G102" s="322">
        <f t="shared" si="84"/>
        <v>327607500.00000006</v>
      </c>
      <c r="H102" s="322">
        <f t="shared" si="84"/>
        <v>342349837.50000012</v>
      </c>
      <c r="I102" s="322">
        <f t="shared" si="84"/>
        <v>357755580.18750012</v>
      </c>
      <c r="J102" s="322">
        <f t="shared" si="84"/>
        <v>0</v>
      </c>
      <c r="K102" s="322">
        <f t="shared" si="84"/>
        <v>0</v>
      </c>
      <c r="L102" s="322">
        <f t="shared" si="84"/>
        <v>0</v>
      </c>
      <c r="M102" s="322">
        <f t="shared" si="84"/>
        <v>0</v>
      </c>
      <c r="N102" s="322">
        <f t="shared" si="84"/>
        <v>0</v>
      </c>
      <c r="O102" s="322">
        <v>0</v>
      </c>
      <c r="P102" s="325">
        <f>SUM(E102:N102)</f>
        <v>1641212917.6875</v>
      </c>
      <c r="Q102" s="2"/>
      <c r="S102" s="2"/>
    </row>
    <row r="103" spans="1:19" x14ac:dyDescent="0.15">
      <c r="A103" s="1" t="s">
        <v>707</v>
      </c>
      <c r="B103" s="340" t="s">
        <v>689</v>
      </c>
      <c r="C103" s="354" t="s">
        <v>689</v>
      </c>
      <c r="D103" s="67">
        <f t="shared" si="83"/>
        <v>0</v>
      </c>
      <c r="E103" s="67">
        <f>E159</f>
        <v>300000000</v>
      </c>
      <c r="F103" s="67">
        <f t="shared" ref="F103:N103" si="85">F159</f>
        <v>313500000.00000006</v>
      </c>
      <c r="G103" s="67">
        <f t="shared" si="85"/>
        <v>327607500.00000006</v>
      </c>
      <c r="H103" s="67">
        <f t="shared" si="85"/>
        <v>342349837.50000012</v>
      </c>
      <c r="I103" s="67">
        <f t="shared" si="85"/>
        <v>357755580.18750012</v>
      </c>
      <c r="J103" s="67">
        <f t="shared" si="85"/>
        <v>0</v>
      </c>
      <c r="K103" s="67">
        <f t="shared" si="85"/>
        <v>0</v>
      </c>
      <c r="L103" s="67">
        <f t="shared" si="85"/>
        <v>0</v>
      </c>
      <c r="M103" s="67">
        <f t="shared" si="85"/>
        <v>0</v>
      </c>
      <c r="N103" s="67">
        <f t="shared" si="85"/>
        <v>0</v>
      </c>
      <c r="O103" s="67"/>
      <c r="P103" s="326">
        <f t="shared" ref="P103:P126" si="86">SUM(E103:N103)</f>
        <v>1641212917.6875</v>
      </c>
      <c r="Q103" s="2"/>
      <c r="S103" s="2"/>
    </row>
    <row r="104" spans="1:19" x14ac:dyDescent="0.15">
      <c r="B104" s="355" t="s">
        <v>690</v>
      </c>
      <c r="C104" s="362" t="s">
        <v>690</v>
      </c>
      <c r="D104" s="331">
        <f t="shared" si="83"/>
        <v>0</v>
      </c>
      <c r="E104" s="331">
        <f>E160*0.9</f>
        <v>0</v>
      </c>
      <c r="F104" s="331">
        <f t="shared" ref="F104:N104" si="87">F160*0.9</f>
        <v>0</v>
      </c>
      <c r="G104" s="331">
        <f t="shared" si="87"/>
        <v>0</v>
      </c>
      <c r="H104" s="331">
        <f t="shared" si="87"/>
        <v>0</v>
      </c>
      <c r="I104" s="331">
        <f t="shared" si="87"/>
        <v>0</v>
      </c>
      <c r="J104" s="331">
        <f t="shared" si="87"/>
        <v>0</v>
      </c>
      <c r="K104" s="331">
        <f t="shared" si="87"/>
        <v>0</v>
      </c>
      <c r="L104" s="331">
        <f t="shared" si="87"/>
        <v>0</v>
      </c>
      <c r="M104" s="331">
        <f t="shared" si="87"/>
        <v>0</v>
      </c>
      <c r="N104" s="331">
        <f t="shared" si="87"/>
        <v>0</v>
      </c>
      <c r="O104" s="363"/>
      <c r="P104" s="356">
        <f t="shared" si="86"/>
        <v>0</v>
      </c>
      <c r="Q104" s="460"/>
      <c r="S104" s="2"/>
    </row>
    <row r="105" spans="1:19" x14ac:dyDescent="0.15">
      <c r="B105" s="340" t="s">
        <v>691</v>
      </c>
      <c r="C105" s="354" t="s">
        <v>691</v>
      </c>
      <c r="D105" s="67">
        <f t="shared" si="83"/>
        <v>0</v>
      </c>
      <c r="E105" s="67">
        <f>E161</f>
        <v>0</v>
      </c>
      <c r="F105" s="67">
        <f t="shared" ref="F105:N105" si="88">F161</f>
        <v>0</v>
      </c>
      <c r="G105" s="67">
        <f t="shared" si="88"/>
        <v>0</v>
      </c>
      <c r="H105" s="67">
        <f t="shared" si="88"/>
        <v>0</v>
      </c>
      <c r="I105" s="67">
        <f t="shared" si="88"/>
        <v>0</v>
      </c>
      <c r="J105" s="67">
        <f t="shared" si="88"/>
        <v>0</v>
      </c>
      <c r="K105" s="67">
        <f t="shared" si="88"/>
        <v>0</v>
      </c>
      <c r="L105" s="67">
        <f t="shared" si="88"/>
        <v>0</v>
      </c>
      <c r="M105" s="67">
        <f t="shared" si="88"/>
        <v>0</v>
      </c>
      <c r="N105" s="67">
        <f t="shared" si="88"/>
        <v>0</v>
      </c>
      <c r="O105" s="67"/>
      <c r="P105" s="326">
        <f t="shared" si="86"/>
        <v>0</v>
      </c>
      <c r="Q105" s="2"/>
      <c r="S105" s="2"/>
    </row>
    <row r="106" spans="1:19" x14ac:dyDescent="0.15">
      <c r="B106" s="340" t="s">
        <v>695</v>
      </c>
      <c r="C106" s="12"/>
      <c r="D106" s="67">
        <f t="shared" si="83"/>
        <v>0</v>
      </c>
      <c r="E106" s="67">
        <f>E105+E104+E103</f>
        <v>300000000</v>
      </c>
      <c r="F106" s="67">
        <f t="shared" ref="F106:N106" si="89">F105+F104+F103</f>
        <v>313500000.00000006</v>
      </c>
      <c r="G106" s="67">
        <f t="shared" si="89"/>
        <v>327607500.00000006</v>
      </c>
      <c r="H106" s="67">
        <f t="shared" si="89"/>
        <v>342349837.50000012</v>
      </c>
      <c r="I106" s="67">
        <f t="shared" si="89"/>
        <v>357755580.18750012</v>
      </c>
      <c r="J106" s="67">
        <f t="shared" si="89"/>
        <v>0</v>
      </c>
      <c r="K106" s="67">
        <f t="shared" si="89"/>
        <v>0</v>
      </c>
      <c r="L106" s="67">
        <f t="shared" si="89"/>
        <v>0</v>
      </c>
      <c r="M106" s="67">
        <f t="shared" si="89"/>
        <v>0</v>
      </c>
      <c r="N106" s="67">
        <f t="shared" si="89"/>
        <v>0</v>
      </c>
      <c r="O106" s="67"/>
      <c r="P106" s="326">
        <f t="shared" si="86"/>
        <v>1641212917.6875</v>
      </c>
      <c r="Q106" s="2"/>
      <c r="S106" s="2"/>
    </row>
    <row r="107" spans="1:19" x14ac:dyDescent="0.15">
      <c r="B107" s="340" t="s">
        <v>696</v>
      </c>
      <c r="C107" s="12" t="s">
        <v>289</v>
      </c>
      <c r="D107" s="67">
        <f t="shared" si="83"/>
        <v>0</v>
      </c>
      <c r="E107" s="67">
        <f t="shared" ref="E107:N107" si="90">E163</f>
        <v>230170000</v>
      </c>
      <c r="F107" s="67">
        <f t="shared" si="90"/>
        <v>253018375.00000003</v>
      </c>
      <c r="G107" s="67">
        <f t="shared" si="90"/>
        <v>278725718.45125008</v>
      </c>
      <c r="H107" s="67">
        <f t="shared" si="90"/>
        <v>307665975.06072807</v>
      </c>
      <c r="I107" s="67">
        <f t="shared" si="90"/>
        <v>340262566.36057305</v>
      </c>
      <c r="J107" s="67">
        <f t="shared" si="90"/>
        <v>0</v>
      </c>
      <c r="K107" s="67">
        <f t="shared" si="90"/>
        <v>0</v>
      </c>
      <c r="L107" s="67">
        <f t="shared" si="90"/>
        <v>0</v>
      </c>
      <c r="M107" s="67">
        <f t="shared" si="90"/>
        <v>0</v>
      </c>
      <c r="N107" s="67">
        <f t="shared" si="90"/>
        <v>0</v>
      </c>
      <c r="O107" s="67">
        <v>0</v>
      </c>
      <c r="P107" s="326">
        <f t="shared" si="86"/>
        <v>1409842634.8725512</v>
      </c>
      <c r="Q107" s="2"/>
      <c r="S107" s="2"/>
    </row>
    <row r="108" spans="1:19" x14ac:dyDescent="0.15">
      <c r="B108" s="340">
        <v>3</v>
      </c>
      <c r="C108" s="12" t="s">
        <v>290</v>
      </c>
      <c r="D108" s="67">
        <f t="shared" si="83"/>
        <v>0</v>
      </c>
      <c r="E108" s="67">
        <f>E106-E107</f>
        <v>69830000</v>
      </c>
      <c r="F108" s="67">
        <f t="shared" ref="F108:N108" si="91">F106-F107</f>
        <v>60481625.00000003</v>
      </c>
      <c r="G108" s="67">
        <f t="shared" si="91"/>
        <v>48881781.548749983</v>
      </c>
      <c r="H108" s="67">
        <f t="shared" si="91"/>
        <v>34683862.439272046</v>
      </c>
      <c r="I108" s="67">
        <f t="shared" si="91"/>
        <v>17493013.826927066</v>
      </c>
      <c r="J108" s="67">
        <f t="shared" si="91"/>
        <v>0</v>
      </c>
      <c r="K108" s="67">
        <f t="shared" si="91"/>
        <v>0</v>
      </c>
      <c r="L108" s="67">
        <f t="shared" si="91"/>
        <v>0</v>
      </c>
      <c r="M108" s="67">
        <f t="shared" si="91"/>
        <v>0</v>
      </c>
      <c r="N108" s="67">
        <f t="shared" si="91"/>
        <v>0</v>
      </c>
      <c r="O108" s="67">
        <v>0</v>
      </c>
      <c r="P108" s="326">
        <f t="shared" si="86"/>
        <v>231370282.81494913</v>
      </c>
      <c r="Q108" s="2"/>
      <c r="S108" s="2"/>
    </row>
    <row r="109" spans="1:19" x14ac:dyDescent="0.15">
      <c r="B109" s="340" t="s">
        <v>697</v>
      </c>
      <c r="C109" s="12" t="s">
        <v>292</v>
      </c>
      <c r="D109" s="67">
        <f t="shared" si="83"/>
        <v>0</v>
      </c>
      <c r="E109" s="67">
        <f>E165</f>
        <v>3772500</v>
      </c>
      <c r="F109" s="67">
        <f t="shared" ref="F109:N109" si="92">F165</f>
        <v>6218850</v>
      </c>
      <c r="G109" s="67">
        <f t="shared" si="92"/>
        <v>4083150</v>
      </c>
      <c r="H109" s="67">
        <f t="shared" si="92"/>
        <v>2775510</v>
      </c>
      <c r="I109" s="67">
        <f t="shared" si="92"/>
        <v>1352955</v>
      </c>
      <c r="J109" s="67">
        <f t="shared" si="92"/>
        <v>0</v>
      </c>
      <c r="K109" s="67">
        <f t="shared" si="92"/>
        <v>0</v>
      </c>
      <c r="L109" s="67">
        <f t="shared" si="92"/>
        <v>0</v>
      </c>
      <c r="M109" s="67">
        <f t="shared" si="92"/>
        <v>0</v>
      </c>
      <c r="N109" s="67">
        <f t="shared" si="92"/>
        <v>0</v>
      </c>
      <c r="O109" s="67">
        <v>0</v>
      </c>
      <c r="P109" s="326">
        <f t="shared" si="86"/>
        <v>18202965</v>
      </c>
      <c r="Q109" s="2"/>
      <c r="S109" s="2"/>
    </row>
    <row r="110" spans="1:19" x14ac:dyDescent="0.15">
      <c r="B110" s="340">
        <v>5</v>
      </c>
      <c r="C110" s="12" t="s">
        <v>293</v>
      </c>
      <c r="D110" s="67">
        <f t="shared" si="83"/>
        <v>0</v>
      </c>
      <c r="E110" s="67">
        <f>E108-E109</f>
        <v>66057500</v>
      </c>
      <c r="F110" s="67">
        <f t="shared" ref="F110:N110" si="93">F108-F109</f>
        <v>54262775.00000003</v>
      </c>
      <c r="G110" s="67">
        <f t="shared" si="93"/>
        <v>44798631.548749983</v>
      </c>
      <c r="H110" s="67">
        <f t="shared" si="93"/>
        <v>31908352.439272046</v>
      </c>
      <c r="I110" s="67">
        <f t="shared" si="93"/>
        <v>16140058.826927066</v>
      </c>
      <c r="J110" s="67">
        <f t="shared" si="93"/>
        <v>0</v>
      </c>
      <c r="K110" s="67">
        <f t="shared" si="93"/>
        <v>0</v>
      </c>
      <c r="L110" s="67">
        <f t="shared" si="93"/>
        <v>0</v>
      </c>
      <c r="M110" s="67">
        <f t="shared" si="93"/>
        <v>0</v>
      </c>
      <c r="N110" s="67">
        <f t="shared" si="93"/>
        <v>0</v>
      </c>
      <c r="O110" s="67">
        <v>0</v>
      </c>
      <c r="P110" s="326">
        <f t="shared" si="86"/>
        <v>213167317.81494913</v>
      </c>
      <c r="Q110" s="2"/>
      <c r="S110" s="2"/>
    </row>
    <row r="111" spans="1:19" x14ac:dyDescent="0.15">
      <c r="B111" s="340" t="s">
        <v>698</v>
      </c>
      <c r="C111" s="12" t="s">
        <v>295</v>
      </c>
      <c r="D111" s="67">
        <f t="shared" si="83"/>
        <v>0</v>
      </c>
      <c r="E111" s="67">
        <f>E167</f>
        <v>0</v>
      </c>
      <c r="F111" s="67">
        <f t="shared" ref="F111:N111" si="94">F167</f>
        <v>0</v>
      </c>
      <c r="G111" s="67">
        <f t="shared" si="94"/>
        <v>0</v>
      </c>
      <c r="H111" s="67">
        <f t="shared" si="94"/>
        <v>0</v>
      </c>
      <c r="I111" s="67">
        <f t="shared" si="94"/>
        <v>0</v>
      </c>
      <c r="J111" s="67">
        <f t="shared" si="94"/>
        <v>0</v>
      </c>
      <c r="K111" s="67">
        <f t="shared" si="94"/>
        <v>0</v>
      </c>
      <c r="L111" s="67">
        <f t="shared" si="94"/>
        <v>0</v>
      </c>
      <c r="M111" s="67">
        <f t="shared" si="94"/>
        <v>0</v>
      </c>
      <c r="N111" s="67">
        <f t="shared" si="94"/>
        <v>0</v>
      </c>
      <c r="O111" s="67">
        <v>0</v>
      </c>
      <c r="P111" s="326">
        <f t="shared" si="86"/>
        <v>0</v>
      </c>
      <c r="Q111" s="2"/>
      <c r="S111" s="2"/>
    </row>
    <row r="112" spans="1:19" x14ac:dyDescent="0.15">
      <c r="B112" s="340">
        <v>7</v>
      </c>
      <c r="C112" s="12" t="s">
        <v>296</v>
      </c>
      <c r="D112" s="67">
        <f t="shared" si="83"/>
        <v>0</v>
      </c>
      <c r="E112" s="67">
        <f>E110-E111</f>
        <v>66057500</v>
      </c>
      <c r="F112" s="67">
        <f t="shared" ref="F112:N112" si="95">F110-F111</f>
        <v>54262775.00000003</v>
      </c>
      <c r="G112" s="67">
        <f t="shared" si="95"/>
        <v>44798631.548749983</v>
      </c>
      <c r="H112" s="67">
        <f t="shared" si="95"/>
        <v>31908352.439272046</v>
      </c>
      <c r="I112" s="67">
        <f t="shared" si="95"/>
        <v>16140058.826927066</v>
      </c>
      <c r="J112" s="67">
        <f t="shared" si="95"/>
        <v>0</v>
      </c>
      <c r="K112" s="67">
        <f t="shared" si="95"/>
        <v>0</v>
      </c>
      <c r="L112" s="67">
        <f t="shared" si="95"/>
        <v>0</v>
      </c>
      <c r="M112" s="67">
        <f t="shared" si="95"/>
        <v>0</v>
      </c>
      <c r="N112" s="67">
        <f t="shared" si="95"/>
        <v>0</v>
      </c>
      <c r="O112" s="67">
        <v>0</v>
      </c>
      <c r="P112" s="326">
        <f t="shared" si="86"/>
        <v>213167317.81494913</v>
      </c>
      <c r="Q112" s="2"/>
      <c r="S112" s="2"/>
    </row>
    <row r="113" spans="1:19" x14ac:dyDescent="0.15">
      <c r="B113" s="340">
        <v>8</v>
      </c>
      <c r="C113" s="12" t="s">
        <v>297</v>
      </c>
      <c r="D113" s="67">
        <f t="shared" si="83"/>
        <v>0</v>
      </c>
      <c r="E113" s="67">
        <f>-E112*$D$3</f>
        <v>-19817250</v>
      </c>
      <c r="F113" s="67">
        <f t="shared" ref="F113:N113" si="96">-F112*$D$3</f>
        <v>-16278832.500000007</v>
      </c>
      <c r="G113" s="67">
        <f t="shared" si="96"/>
        <v>-13439589.464624995</v>
      </c>
      <c r="H113" s="67">
        <f t="shared" si="96"/>
        <v>-9572505.7317816131</v>
      </c>
      <c r="I113" s="67">
        <f t="shared" si="96"/>
        <v>-4842017.6480781194</v>
      </c>
      <c r="J113" s="67">
        <f t="shared" si="96"/>
        <v>0</v>
      </c>
      <c r="K113" s="67">
        <f t="shared" si="96"/>
        <v>0</v>
      </c>
      <c r="L113" s="67">
        <f t="shared" si="96"/>
        <v>0</v>
      </c>
      <c r="M113" s="67">
        <f t="shared" si="96"/>
        <v>0</v>
      </c>
      <c r="N113" s="67">
        <f t="shared" si="96"/>
        <v>0</v>
      </c>
      <c r="O113" s="67">
        <v>0</v>
      </c>
      <c r="P113" s="326">
        <f t="shared" si="86"/>
        <v>-63950195.344484739</v>
      </c>
      <c r="Q113" s="2"/>
      <c r="S113" s="2"/>
    </row>
    <row r="114" spans="1:19" x14ac:dyDescent="0.15">
      <c r="B114" s="340">
        <v>9</v>
      </c>
      <c r="C114" s="12" t="s">
        <v>298</v>
      </c>
      <c r="D114" s="67">
        <f t="shared" si="83"/>
        <v>0</v>
      </c>
      <c r="E114" s="67">
        <f>E170</f>
        <v>0</v>
      </c>
      <c r="F114" s="67">
        <f t="shared" ref="F114:N114" si="97">F170</f>
        <v>0</v>
      </c>
      <c r="G114" s="67">
        <f t="shared" si="97"/>
        <v>0</v>
      </c>
      <c r="H114" s="67">
        <f t="shared" si="97"/>
        <v>0</v>
      </c>
      <c r="I114" s="67">
        <f t="shared" si="97"/>
        <v>0</v>
      </c>
      <c r="J114" s="67">
        <f t="shared" si="97"/>
        <v>0</v>
      </c>
      <c r="K114" s="67">
        <f t="shared" si="97"/>
        <v>0</v>
      </c>
      <c r="L114" s="67">
        <f t="shared" si="97"/>
        <v>0</v>
      </c>
      <c r="M114" s="67">
        <f t="shared" si="97"/>
        <v>0</v>
      </c>
      <c r="N114" s="67">
        <f t="shared" si="97"/>
        <v>0</v>
      </c>
      <c r="O114" s="67">
        <v>0</v>
      </c>
      <c r="P114" s="326">
        <f t="shared" si="86"/>
        <v>0</v>
      </c>
      <c r="Q114" s="2"/>
      <c r="S114" s="2"/>
    </row>
    <row r="115" spans="1:19" x14ac:dyDescent="0.15">
      <c r="B115" s="340">
        <v>10</v>
      </c>
      <c r="C115" s="12" t="s">
        <v>299</v>
      </c>
      <c r="D115" s="67">
        <f t="shared" si="83"/>
        <v>0</v>
      </c>
      <c r="E115" s="67">
        <f>E112+E113+E114</f>
        <v>46240250</v>
      </c>
      <c r="F115" s="67">
        <f t="shared" ref="F115:N115" si="98">F112+F113+F114</f>
        <v>37983942.500000022</v>
      </c>
      <c r="G115" s="67">
        <f t="shared" si="98"/>
        <v>31359042.08412499</v>
      </c>
      <c r="H115" s="67">
        <f t="shared" si="98"/>
        <v>22335846.707490433</v>
      </c>
      <c r="I115" s="67">
        <f t="shared" si="98"/>
        <v>11298041.178848946</v>
      </c>
      <c r="J115" s="67">
        <f t="shared" si="98"/>
        <v>0</v>
      </c>
      <c r="K115" s="67">
        <f t="shared" si="98"/>
        <v>0</v>
      </c>
      <c r="L115" s="67">
        <f t="shared" si="98"/>
        <v>0</v>
      </c>
      <c r="M115" s="67">
        <f t="shared" si="98"/>
        <v>0</v>
      </c>
      <c r="N115" s="67">
        <f t="shared" si="98"/>
        <v>0</v>
      </c>
      <c r="O115" s="67">
        <v>0</v>
      </c>
      <c r="P115" s="326">
        <f t="shared" si="86"/>
        <v>149217122.47046441</v>
      </c>
      <c r="Q115" s="2"/>
      <c r="S115" s="2"/>
    </row>
    <row r="116" spans="1:19" x14ac:dyDescent="0.15">
      <c r="B116" s="340" t="s">
        <v>699</v>
      </c>
      <c r="C116" s="12" t="s">
        <v>292</v>
      </c>
      <c r="D116" s="67">
        <f t="shared" si="83"/>
        <v>0</v>
      </c>
      <c r="E116" s="67">
        <f>E172</f>
        <v>3772500</v>
      </c>
      <c r="F116" s="67">
        <f t="shared" ref="F116:N116" si="99">F172</f>
        <v>6218850</v>
      </c>
      <c r="G116" s="67">
        <f t="shared" si="99"/>
        <v>4083150</v>
      </c>
      <c r="H116" s="67">
        <f t="shared" si="99"/>
        <v>2775510</v>
      </c>
      <c r="I116" s="67">
        <f t="shared" si="99"/>
        <v>1352955</v>
      </c>
      <c r="J116" s="67">
        <f t="shared" si="99"/>
        <v>0</v>
      </c>
      <c r="K116" s="67">
        <f t="shared" si="99"/>
        <v>0</v>
      </c>
      <c r="L116" s="67">
        <f t="shared" si="99"/>
        <v>0</v>
      </c>
      <c r="M116" s="67">
        <f t="shared" si="99"/>
        <v>0</v>
      </c>
      <c r="N116" s="67">
        <f t="shared" si="99"/>
        <v>0</v>
      </c>
      <c r="O116" s="67">
        <v>0</v>
      </c>
      <c r="P116" s="326">
        <f t="shared" si="86"/>
        <v>18202965</v>
      </c>
      <c r="Q116" s="2"/>
      <c r="S116" s="2"/>
    </row>
    <row r="117" spans="1:19" x14ac:dyDescent="0.15">
      <c r="B117" s="340">
        <v>12</v>
      </c>
      <c r="C117" s="12" t="s">
        <v>301</v>
      </c>
      <c r="D117" s="67">
        <f t="shared" si="83"/>
        <v>0</v>
      </c>
      <c r="E117" s="67">
        <f>E115+E116</f>
        <v>50012750</v>
      </c>
      <c r="F117" s="67">
        <f t="shared" ref="F117:N117" si="100">F115+F116</f>
        <v>44202792.500000022</v>
      </c>
      <c r="G117" s="67">
        <f t="shared" si="100"/>
        <v>35442192.08412499</v>
      </c>
      <c r="H117" s="67">
        <f t="shared" si="100"/>
        <v>25111356.707490433</v>
      </c>
      <c r="I117" s="67">
        <f t="shared" si="100"/>
        <v>12650996.178848946</v>
      </c>
      <c r="J117" s="67">
        <f t="shared" si="100"/>
        <v>0</v>
      </c>
      <c r="K117" s="67">
        <f t="shared" si="100"/>
        <v>0</v>
      </c>
      <c r="L117" s="67">
        <f t="shared" si="100"/>
        <v>0</v>
      </c>
      <c r="M117" s="67">
        <f t="shared" si="100"/>
        <v>0</v>
      </c>
      <c r="N117" s="67">
        <f t="shared" si="100"/>
        <v>0</v>
      </c>
      <c r="O117" s="67">
        <v>0</v>
      </c>
      <c r="P117" s="326">
        <f t="shared" si="86"/>
        <v>167420087.47046441</v>
      </c>
      <c r="Q117" s="2"/>
      <c r="S117" s="2"/>
    </row>
    <row r="118" spans="1:19" x14ac:dyDescent="0.15">
      <c r="B118" s="340" t="s">
        <v>700</v>
      </c>
      <c r="C118" s="12" t="s">
        <v>303</v>
      </c>
      <c r="D118" s="67">
        <v>0</v>
      </c>
      <c r="E118" s="67">
        <f t="shared" ref="E118:N118" si="101">E174</f>
        <v>0</v>
      </c>
      <c r="F118" s="67">
        <f t="shared" si="101"/>
        <v>0</v>
      </c>
      <c r="G118" s="67">
        <f t="shared" si="101"/>
        <v>0</v>
      </c>
      <c r="H118" s="67">
        <f t="shared" si="101"/>
        <v>0</v>
      </c>
      <c r="I118" s="67">
        <f t="shared" si="101"/>
        <v>0</v>
      </c>
      <c r="J118" s="67">
        <f t="shared" si="101"/>
        <v>0</v>
      </c>
      <c r="K118" s="67">
        <f t="shared" si="101"/>
        <v>0</v>
      </c>
      <c r="L118" s="67">
        <f t="shared" si="101"/>
        <v>0</v>
      </c>
      <c r="M118" s="67">
        <f t="shared" si="101"/>
        <v>0</v>
      </c>
      <c r="N118" s="67">
        <f t="shared" si="101"/>
        <v>0</v>
      </c>
      <c r="O118" s="67">
        <v>0</v>
      </c>
      <c r="P118" s="326">
        <f t="shared" si="86"/>
        <v>0</v>
      </c>
      <c r="Q118" s="2"/>
      <c r="S118" s="2"/>
    </row>
    <row r="119" spans="1:19" x14ac:dyDescent="0.15">
      <c r="B119" s="340">
        <v>14</v>
      </c>
      <c r="C119" s="12" t="s">
        <v>304</v>
      </c>
      <c r="D119" s="67">
        <f>D120+D121+D122</f>
        <v>-32550000</v>
      </c>
      <c r="E119" s="67">
        <f t="shared" ref="E119:N119" si="102">E120+E121+E122</f>
        <v>0</v>
      </c>
      <c r="F119" s="67">
        <f t="shared" si="102"/>
        <v>0</v>
      </c>
      <c r="G119" s="67">
        <f t="shared" si="102"/>
        <v>0</v>
      </c>
      <c r="H119" s="67">
        <f t="shared" si="102"/>
        <v>0</v>
      </c>
      <c r="I119" s="67">
        <f t="shared" si="102"/>
        <v>14347035</v>
      </c>
      <c r="J119" s="67">
        <f t="shared" si="102"/>
        <v>0</v>
      </c>
      <c r="K119" s="67">
        <f t="shared" si="102"/>
        <v>0</v>
      </c>
      <c r="L119" s="67">
        <f t="shared" si="102"/>
        <v>0</v>
      </c>
      <c r="M119" s="67">
        <f t="shared" si="102"/>
        <v>0</v>
      </c>
      <c r="N119" s="67">
        <f t="shared" si="102"/>
        <v>0</v>
      </c>
      <c r="O119" s="67">
        <v>0</v>
      </c>
      <c r="P119" s="326">
        <f t="shared" si="86"/>
        <v>14347035</v>
      </c>
      <c r="Q119" s="2"/>
      <c r="S119" s="2"/>
    </row>
    <row r="120" spans="1:19" x14ac:dyDescent="0.15">
      <c r="B120" s="340" t="s">
        <v>701</v>
      </c>
      <c r="C120" s="12" t="s">
        <v>207</v>
      </c>
      <c r="D120" s="67">
        <f>D176</f>
        <v>-31050000</v>
      </c>
      <c r="E120" s="67">
        <f t="shared" ref="E120:N120" si="103">E176</f>
        <v>0</v>
      </c>
      <c r="F120" s="67">
        <f t="shared" si="103"/>
        <v>0</v>
      </c>
      <c r="G120" s="67">
        <f t="shared" si="103"/>
        <v>0</v>
      </c>
      <c r="H120" s="67">
        <f t="shared" si="103"/>
        <v>0</v>
      </c>
      <c r="I120" s="67">
        <f t="shared" si="103"/>
        <v>12847035</v>
      </c>
      <c r="J120" s="67">
        <f t="shared" si="103"/>
        <v>0</v>
      </c>
      <c r="K120" s="67">
        <f t="shared" si="103"/>
        <v>0</v>
      </c>
      <c r="L120" s="67">
        <f t="shared" si="103"/>
        <v>0</v>
      </c>
      <c r="M120" s="67">
        <f t="shared" si="103"/>
        <v>0</v>
      </c>
      <c r="N120" s="67">
        <f t="shared" si="103"/>
        <v>0</v>
      </c>
      <c r="O120" s="67">
        <v>0</v>
      </c>
      <c r="P120" s="326">
        <f t="shared" si="86"/>
        <v>12847035</v>
      </c>
      <c r="Q120" s="2"/>
      <c r="S120" s="2"/>
    </row>
    <row r="121" spans="1:19" x14ac:dyDescent="0.15">
      <c r="B121" s="340" t="s">
        <v>702</v>
      </c>
      <c r="C121" s="12" t="s">
        <v>307</v>
      </c>
      <c r="D121" s="67">
        <f>D177</f>
        <v>-1500000</v>
      </c>
      <c r="E121" s="67">
        <f t="shared" ref="E121:N121" si="104">E177</f>
        <v>0</v>
      </c>
      <c r="F121" s="67">
        <f t="shared" si="104"/>
        <v>0</v>
      </c>
      <c r="G121" s="67">
        <f t="shared" si="104"/>
        <v>0</v>
      </c>
      <c r="H121" s="67">
        <f t="shared" si="104"/>
        <v>0</v>
      </c>
      <c r="I121" s="67">
        <f t="shared" si="104"/>
        <v>1500000</v>
      </c>
      <c r="J121" s="67">
        <f t="shared" si="104"/>
        <v>0</v>
      </c>
      <c r="K121" s="67">
        <f t="shared" si="104"/>
        <v>0</v>
      </c>
      <c r="L121" s="67">
        <f t="shared" si="104"/>
        <v>0</v>
      </c>
      <c r="M121" s="67">
        <f t="shared" si="104"/>
        <v>0</v>
      </c>
      <c r="N121" s="67">
        <f t="shared" si="104"/>
        <v>0</v>
      </c>
      <c r="O121" s="67">
        <v>0</v>
      </c>
      <c r="P121" s="326">
        <f t="shared" si="86"/>
        <v>1500000</v>
      </c>
      <c r="Q121" s="2"/>
      <c r="S121" s="2"/>
    </row>
    <row r="122" spans="1:19" x14ac:dyDescent="0.15">
      <c r="B122" s="340" t="s">
        <v>703</v>
      </c>
      <c r="C122" s="12" t="s">
        <v>309</v>
      </c>
      <c r="D122" s="67">
        <f>D178</f>
        <v>0</v>
      </c>
      <c r="E122" s="67">
        <f t="shared" ref="E122:N122" si="105">E178</f>
        <v>0</v>
      </c>
      <c r="F122" s="67">
        <f t="shared" si="105"/>
        <v>0</v>
      </c>
      <c r="G122" s="67">
        <f t="shared" si="105"/>
        <v>0</v>
      </c>
      <c r="H122" s="67">
        <f t="shared" si="105"/>
        <v>0</v>
      </c>
      <c r="I122" s="67">
        <f t="shared" si="105"/>
        <v>0</v>
      </c>
      <c r="J122" s="67">
        <f t="shared" si="105"/>
        <v>0</v>
      </c>
      <c r="K122" s="67">
        <f t="shared" si="105"/>
        <v>0</v>
      </c>
      <c r="L122" s="67">
        <f t="shared" si="105"/>
        <v>0</v>
      </c>
      <c r="M122" s="67">
        <f t="shared" si="105"/>
        <v>0</v>
      </c>
      <c r="N122" s="67">
        <f t="shared" si="105"/>
        <v>0</v>
      </c>
      <c r="O122" s="67">
        <v>0</v>
      </c>
      <c r="P122" s="326">
        <f t="shared" si="86"/>
        <v>0</v>
      </c>
      <c r="Q122" s="2"/>
      <c r="S122" s="2"/>
    </row>
    <row r="123" spans="1:19" x14ac:dyDescent="0.15">
      <c r="B123" s="340" t="s">
        <v>704</v>
      </c>
      <c r="C123" s="12" t="s">
        <v>311</v>
      </c>
      <c r="D123" s="67">
        <f>D179</f>
        <v>0</v>
      </c>
      <c r="E123" s="67">
        <f t="shared" ref="E123:N123" si="106">E179</f>
        <v>0</v>
      </c>
      <c r="F123" s="67">
        <f t="shared" si="106"/>
        <v>0</v>
      </c>
      <c r="G123" s="67">
        <f t="shared" si="106"/>
        <v>0</v>
      </c>
      <c r="H123" s="67">
        <f t="shared" si="106"/>
        <v>0</v>
      </c>
      <c r="I123" s="67">
        <f t="shared" si="106"/>
        <v>-2596968.7000000002</v>
      </c>
      <c r="J123" s="67">
        <f t="shared" si="106"/>
        <v>0</v>
      </c>
      <c r="K123" s="67">
        <f t="shared" si="106"/>
        <v>0</v>
      </c>
      <c r="L123" s="67">
        <f t="shared" si="106"/>
        <v>0</v>
      </c>
      <c r="M123" s="67">
        <f t="shared" si="106"/>
        <v>0</v>
      </c>
      <c r="N123" s="67">
        <f t="shared" si="106"/>
        <v>0</v>
      </c>
      <c r="O123" s="67">
        <v>0</v>
      </c>
      <c r="P123" s="326">
        <f t="shared" si="86"/>
        <v>-2596968.7000000002</v>
      </c>
      <c r="Q123" s="2"/>
      <c r="S123" s="2"/>
    </row>
    <row r="124" spans="1:19" ht="14" thickBot="1" x14ac:dyDescent="0.2">
      <c r="B124" s="340" t="s">
        <v>705</v>
      </c>
      <c r="C124" s="12" t="s">
        <v>115</v>
      </c>
      <c r="D124" s="67">
        <f>D180</f>
        <v>-60000000</v>
      </c>
      <c r="E124" s="67">
        <f t="shared" ref="E124:N124" si="107">E180</f>
        <v>0</v>
      </c>
      <c r="F124" s="67">
        <f t="shared" si="107"/>
        <v>0</v>
      </c>
      <c r="G124" s="67">
        <f t="shared" si="107"/>
        <v>0</v>
      </c>
      <c r="H124" s="67">
        <f t="shared" si="107"/>
        <v>0</v>
      </c>
      <c r="I124" s="67">
        <f t="shared" si="107"/>
        <v>60000000</v>
      </c>
      <c r="J124" s="67">
        <f t="shared" si="107"/>
        <v>0</v>
      </c>
      <c r="K124" s="67">
        <f t="shared" si="107"/>
        <v>0</v>
      </c>
      <c r="L124" s="67">
        <f t="shared" si="107"/>
        <v>0</v>
      </c>
      <c r="M124" s="67">
        <f t="shared" si="107"/>
        <v>0</v>
      </c>
      <c r="N124" s="67">
        <f t="shared" si="107"/>
        <v>0</v>
      </c>
      <c r="O124" s="67">
        <v>0</v>
      </c>
      <c r="P124" s="326">
        <f t="shared" si="86"/>
        <v>60000000</v>
      </c>
      <c r="Q124" s="2"/>
      <c r="S124" s="2"/>
    </row>
    <row r="125" spans="1:19" x14ac:dyDescent="0.15">
      <c r="B125" s="340">
        <v>17</v>
      </c>
      <c r="C125" s="12" t="s">
        <v>313</v>
      </c>
      <c r="D125" s="67">
        <f>D118+D119+D123+D124</f>
        <v>-92550000</v>
      </c>
      <c r="E125" s="67">
        <f t="shared" ref="E125:N125" si="108">E118+E119+E123+E124</f>
        <v>0</v>
      </c>
      <c r="F125" s="67">
        <f t="shared" si="108"/>
        <v>0</v>
      </c>
      <c r="G125" s="67">
        <f t="shared" si="108"/>
        <v>0</v>
      </c>
      <c r="H125" s="67">
        <f t="shared" si="108"/>
        <v>0</v>
      </c>
      <c r="I125" s="67">
        <f t="shared" si="108"/>
        <v>71750066.299999997</v>
      </c>
      <c r="J125" s="67">
        <f t="shared" si="108"/>
        <v>0</v>
      </c>
      <c r="K125" s="67">
        <f t="shared" si="108"/>
        <v>0</v>
      </c>
      <c r="L125" s="67">
        <f t="shared" si="108"/>
        <v>0</v>
      </c>
      <c r="M125" s="67">
        <f t="shared" si="108"/>
        <v>0</v>
      </c>
      <c r="N125" s="67">
        <f t="shared" si="108"/>
        <v>0</v>
      </c>
      <c r="O125" s="67">
        <v>0</v>
      </c>
      <c r="P125" s="326">
        <f t="shared" si="86"/>
        <v>71750066.299999997</v>
      </c>
      <c r="Q125" s="461"/>
      <c r="R125" s="357" t="s">
        <v>693</v>
      </c>
      <c r="S125" s="2"/>
    </row>
    <row r="126" spans="1:19" ht="14" thickBot="1" x14ac:dyDescent="0.2">
      <c r="A126" s="1" t="s">
        <v>707</v>
      </c>
      <c r="B126" s="355">
        <v>18</v>
      </c>
      <c r="C126" s="335" t="s">
        <v>314</v>
      </c>
      <c r="D126" s="331">
        <f>D125+D117</f>
        <v>-92550000</v>
      </c>
      <c r="E126" s="331">
        <f t="shared" ref="E126:N126" si="109">E125+E117</f>
        <v>50012750</v>
      </c>
      <c r="F126" s="331">
        <f t="shared" si="109"/>
        <v>44202792.500000022</v>
      </c>
      <c r="G126" s="331">
        <f t="shared" si="109"/>
        <v>35442192.08412499</v>
      </c>
      <c r="H126" s="331">
        <f t="shared" si="109"/>
        <v>25111356.707490433</v>
      </c>
      <c r="I126" s="331">
        <f t="shared" si="109"/>
        <v>84401062.478848949</v>
      </c>
      <c r="J126" s="331">
        <f t="shared" si="109"/>
        <v>0</v>
      </c>
      <c r="K126" s="331">
        <f t="shared" si="109"/>
        <v>0</v>
      </c>
      <c r="L126" s="331">
        <f t="shared" si="109"/>
        <v>0</v>
      </c>
      <c r="M126" s="331">
        <f t="shared" si="109"/>
        <v>0</v>
      </c>
      <c r="N126" s="331">
        <f t="shared" si="109"/>
        <v>0</v>
      </c>
      <c r="O126" s="331">
        <v>0</v>
      </c>
      <c r="P126" s="356">
        <f t="shared" si="86"/>
        <v>239170153.77046442</v>
      </c>
      <c r="Q126" s="463"/>
      <c r="R126" s="358">
        <f>IF(ISNUMBER(IRR(D126:N126)),IRR(D126:N126),"NMF")</f>
        <v>0.40549033935008683</v>
      </c>
      <c r="S126" s="1" t="s">
        <v>707</v>
      </c>
    </row>
    <row r="127" spans="1:19" x14ac:dyDescent="0.15">
      <c r="S127" s="2"/>
    </row>
    <row r="128" spans="1:19" ht="14" thickBot="1" x14ac:dyDescent="0.2">
      <c r="S128" s="2"/>
    </row>
    <row r="129" spans="1:19" ht="14" thickBot="1" x14ac:dyDescent="0.2">
      <c r="B129" s="359" t="s">
        <v>282</v>
      </c>
      <c r="C129" s="360" t="s">
        <v>283</v>
      </c>
      <c r="D129" s="360"/>
      <c r="E129" s="360">
        <v>1</v>
      </c>
      <c r="F129" s="360">
        <v>2</v>
      </c>
      <c r="G129" s="360">
        <v>3</v>
      </c>
      <c r="H129" s="360">
        <v>4</v>
      </c>
      <c r="I129" s="360">
        <v>5</v>
      </c>
      <c r="J129" s="360">
        <v>6</v>
      </c>
      <c r="K129" s="360">
        <v>7</v>
      </c>
      <c r="L129" s="360">
        <v>8</v>
      </c>
      <c r="M129" s="360">
        <v>9</v>
      </c>
      <c r="N129" s="360">
        <v>10</v>
      </c>
      <c r="O129" s="360" t="s">
        <v>284</v>
      </c>
      <c r="P129" s="361" t="s">
        <v>285</v>
      </c>
      <c r="S129" s="2"/>
    </row>
    <row r="130" spans="1:19" x14ac:dyDescent="0.15">
      <c r="B130" s="339" t="s">
        <v>687</v>
      </c>
      <c r="C130" s="302" t="s">
        <v>287</v>
      </c>
      <c r="D130" s="322">
        <f t="shared" ref="D130:D145" si="110">D158</f>
        <v>0</v>
      </c>
      <c r="E130" s="322">
        <f t="shared" ref="E130:N130" si="111">E158</f>
        <v>300000000</v>
      </c>
      <c r="F130" s="322">
        <f t="shared" si="111"/>
        <v>313500000.00000006</v>
      </c>
      <c r="G130" s="322">
        <f t="shared" si="111"/>
        <v>327607500.00000006</v>
      </c>
      <c r="H130" s="322">
        <f t="shared" si="111"/>
        <v>342349837.50000012</v>
      </c>
      <c r="I130" s="322">
        <f t="shared" si="111"/>
        <v>357755580.18750012</v>
      </c>
      <c r="J130" s="322">
        <f t="shared" si="111"/>
        <v>0</v>
      </c>
      <c r="K130" s="322">
        <f t="shared" si="111"/>
        <v>0</v>
      </c>
      <c r="L130" s="322">
        <f t="shared" si="111"/>
        <v>0</v>
      </c>
      <c r="M130" s="322">
        <f t="shared" si="111"/>
        <v>0</v>
      </c>
      <c r="N130" s="322">
        <f t="shared" si="111"/>
        <v>0</v>
      </c>
      <c r="O130" s="322">
        <v>0</v>
      </c>
      <c r="P130" s="325">
        <f>SUM(E130:N130)</f>
        <v>1641212917.6875</v>
      </c>
      <c r="Q130" s="2"/>
      <c r="S130" s="2"/>
    </row>
    <row r="131" spans="1:19" x14ac:dyDescent="0.15">
      <c r="A131" s="1" t="s">
        <v>708</v>
      </c>
      <c r="B131" s="340" t="s">
        <v>689</v>
      </c>
      <c r="C131" s="354" t="s">
        <v>689</v>
      </c>
      <c r="D131" s="67">
        <f t="shared" si="110"/>
        <v>0</v>
      </c>
      <c r="E131" s="67">
        <f>E159</f>
        <v>300000000</v>
      </c>
      <c r="F131" s="67">
        <f t="shared" ref="F131:N131" si="112">F159</f>
        <v>313500000.00000006</v>
      </c>
      <c r="G131" s="67">
        <f t="shared" si="112"/>
        <v>327607500.00000006</v>
      </c>
      <c r="H131" s="67">
        <f t="shared" si="112"/>
        <v>342349837.50000012</v>
      </c>
      <c r="I131" s="67">
        <f t="shared" si="112"/>
        <v>357755580.18750012</v>
      </c>
      <c r="J131" s="67">
        <f t="shared" si="112"/>
        <v>0</v>
      </c>
      <c r="K131" s="67">
        <f t="shared" si="112"/>
        <v>0</v>
      </c>
      <c r="L131" s="67">
        <f t="shared" si="112"/>
        <v>0</v>
      </c>
      <c r="M131" s="67">
        <f t="shared" si="112"/>
        <v>0</v>
      </c>
      <c r="N131" s="67">
        <f t="shared" si="112"/>
        <v>0</v>
      </c>
      <c r="O131" s="67"/>
      <c r="P131" s="326">
        <f>SUM(E131:N131)</f>
        <v>1641212917.6875</v>
      </c>
      <c r="Q131" s="2"/>
      <c r="S131" s="2"/>
    </row>
    <row r="132" spans="1:19" x14ac:dyDescent="0.15">
      <c r="B132" s="355" t="s">
        <v>690</v>
      </c>
      <c r="C132" s="362" t="s">
        <v>690</v>
      </c>
      <c r="D132" s="331">
        <f t="shared" si="110"/>
        <v>0</v>
      </c>
      <c r="E132" s="331">
        <f>E160*0.95</f>
        <v>0</v>
      </c>
      <c r="F132" s="331">
        <f t="shared" ref="F132:N132" si="113">F160*0.95</f>
        <v>0</v>
      </c>
      <c r="G132" s="331">
        <f t="shared" si="113"/>
        <v>0</v>
      </c>
      <c r="H132" s="331">
        <f t="shared" si="113"/>
        <v>0</v>
      </c>
      <c r="I132" s="331">
        <f t="shared" si="113"/>
        <v>0</v>
      </c>
      <c r="J132" s="331">
        <f t="shared" si="113"/>
        <v>0</v>
      </c>
      <c r="K132" s="331">
        <f t="shared" si="113"/>
        <v>0</v>
      </c>
      <c r="L132" s="331">
        <f t="shared" si="113"/>
        <v>0</v>
      </c>
      <c r="M132" s="331">
        <f t="shared" si="113"/>
        <v>0</v>
      </c>
      <c r="N132" s="331">
        <f t="shared" si="113"/>
        <v>0</v>
      </c>
      <c r="O132" s="363"/>
      <c r="P132" s="356">
        <f>SUM(E132:N132)</f>
        <v>0</v>
      </c>
      <c r="Q132" s="460"/>
      <c r="S132" s="2"/>
    </row>
    <row r="133" spans="1:19" x14ac:dyDescent="0.15">
      <c r="B133" s="340" t="s">
        <v>691</v>
      </c>
      <c r="C133" s="354" t="s">
        <v>691</v>
      </c>
      <c r="D133" s="67">
        <f t="shared" si="110"/>
        <v>0</v>
      </c>
      <c r="E133" s="67">
        <f>E161</f>
        <v>0</v>
      </c>
      <c r="F133" s="67">
        <f t="shared" ref="F133:N133" si="114">F161</f>
        <v>0</v>
      </c>
      <c r="G133" s="67">
        <f t="shared" si="114"/>
        <v>0</v>
      </c>
      <c r="H133" s="67">
        <f t="shared" si="114"/>
        <v>0</v>
      </c>
      <c r="I133" s="67">
        <f t="shared" si="114"/>
        <v>0</v>
      </c>
      <c r="J133" s="67">
        <f t="shared" si="114"/>
        <v>0</v>
      </c>
      <c r="K133" s="67">
        <f t="shared" si="114"/>
        <v>0</v>
      </c>
      <c r="L133" s="67">
        <f t="shared" si="114"/>
        <v>0</v>
      </c>
      <c r="M133" s="67">
        <f t="shared" si="114"/>
        <v>0</v>
      </c>
      <c r="N133" s="67">
        <f t="shared" si="114"/>
        <v>0</v>
      </c>
      <c r="O133" s="67"/>
      <c r="P133" s="326">
        <f>SUM(E133:N133)</f>
        <v>0</v>
      </c>
      <c r="Q133" s="2"/>
      <c r="S133" s="2"/>
    </row>
    <row r="134" spans="1:19" x14ac:dyDescent="0.15">
      <c r="B134" s="340" t="s">
        <v>695</v>
      </c>
      <c r="C134" s="12"/>
      <c r="D134" s="67">
        <f t="shared" si="110"/>
        <v>0</v>
      </c>
      <c r="E134" s="67">
        <f>E133+E132+E131</f>
        <v>300000000</v>
      </c>
      <c r="F134" s="67">
        <f t="shared" ref="F134:N134" si="115">F133+F132+F131</f>
        <v>313500000.00000006</v>
      </c>
      <c r="G134" s="67">
        <f t="shared" si="115"/>
        <v>327607500.00000006</v>
      </c>
      <c r="H134" s="67">
        <f t="shared" si="115"/>
        <v>342349837.50000012</v>
      </c>
      <c r="I134" s="67">
        <f t="shared" si="115"/>
        <v>357755580.18750012</v>
      </c>
      <c r="J134" s="67">
        <f t="shared" si="115"/>
        <v>0</v>
      </c>
      <c r="K134" s="67">
        <f t="shared" si="115"/>
        <v>0</v>
      </c>
      <c r="L134" s="67">
        <f t="shared" si="115"/>
        <v>0</v>
      </c>
      <c r="M134" s="67">
        <f t="shared" si="115"/>
        <v>0</v>
      </c>
      <c r="N134" s="67">
        <f t="shared" si="115"/>
        <v>0</v>
      </c>
      <c r="O134" s="67"/>
      <c r="P134" s="326">
        <f t="shared" ref="P134:P154" si="116">SUM(E134:N134)</f>
        <v>1641212917.6875</v>
      </c>
      <c r="Q134" s="2"/>
      <c r="S134" s="2"/>
    </row>
    <row r="135" spans="1:19" x14ac:dyDescent="0.15">
      <c r="B135" s="340" t="s">
        <v>696</v>
      </c>
      <c r="C135" s="12" t="s">
        <v>289</v>
      </c>
      <c r="D135" s="67">
        <f t="shared" si="110"/>
        <v>0</v>
      </c>
      <c r="E135" s="67">
        <f t="shared" ref="E135:N135" si="117">E163</f>
        <v>230170000</v>
      </c>
      <c r="F135" s="67">
        <f t="shared" si="117"/>
        <v>253018375.00000003</v>
      </c>
      <c r="G135" s="67">
        <f t="shared" si="117"/>
        <v>278725718.45125008</v>
      </c>
      <c r="H135" s="67">
        <f t="shared" si="117"/>
        <v>307665975.06072807</v>
      </c>
      <c r="I135" s="67">
        <f t="shared" si="117"/>
        <v>340262566.36057305</v>
      </c>
      <c r="J135" s="67">
        <f t="shared" si="117"/>
        <v>0</v>
      </c>
      <c r="K135" s="67">
        <f t="shared" si="117"/>
        <v>0</v>
      </c>
      <c r="L135" s="67">
        <f t="shared" si="117"/>
        <v>0</v>
      </c>
      <c r="M135" s="67">
        <f t="shared" si="117"/>
        <v>0</v>
      </c>
      <c r="N135" s="67">
        <f t="shared" si="117"/>
        <v>0</v>
      </c>
      <c r="O135" s="67">
        <v>0</v>
      </c>
      <c r="P135" s="326">
        <f t="shared" si="116"/>
        <v>1409842634.8725512</v>
      </c>
      <c r="Q135" s="2"/>
      <c r="S135" s="2"/>
    </row>
    <row r="136" spans="1:19" x14ac:dyDescent="0.15">
      <c r="B136" s="340">
        <v>3</v>
      </c>
      <c r="C136" s="12" t="s">
        <v>290</v>
      </c>
      <c r="D136" s="67">
        <f t="shared" si="110"/>
        <v>0</v>
      </c>
      <c r="E136" s="67">
        <f>E134-E135</f>
        <v>69830000</v>
      </c>
      <c r="F136" s="67">
        <f t="shared" ref="F136:N136" si="118">F134-F135</f>
        <v>60481625.00000003</v>
      </c>
      <c r="G136" s="67">
        <f t="shared" si="118"/>
        <v>48881781.548749983</v>
      </c>
      <c r="H136" s="67">
        <f t="shared" si="118"/>
        <v>34683862.439272046</v>
      </c>
      <c r="I136" s="67">
        <f t="shared" si="118"/>
        <v>17493013.826927066</v>
      </c>
      <c r="J136" s="67">
        <f t="shared" si="118"/>
        <v>0</v>
      </c>
      <c r="K136" s="67">
        <f t="shared" si="118"/>
        <v>0</v>
      </c>
      <c r="L136" s="67">
        <f t="shared" si="118"/>
        <v>0</v>
      </c>
      <c r="M136" s="67">
        <f t="shared" si="118"/>
        <v>0</v>
      </c>
      <c r="N136" s="67">
        <f t="shared" si="118"/>
        <v>0</v>
      </c>
      <c r="O136" s="67">
        <v>0</v>
      </c>
      <c r="P136" s="326">
        <f t="shared" si="116"/>
        <v>231370282.81494913</v>
      </c>
      <c r="Q136" s="2"/>
      <c r="S136" s="2"/>
    </row>
    <row r="137" spans="1:19" x14ac:dyDescent="0.15">
      <c r="B137" s="340" t="s">
        <v>697</v>
      </c>
      <c r="C137" s="12" t="s">
        <v>292</v>
      </c>
      <c r="D137" s="67">
        <f t="shared" si="110"/>
        <v>0</v>
      </c>
      <c r="E137" s="67">
        <f>E165</f>
        <v>3772500</v>
      </c>
      <c r="F137" s="67">
        <f t="shared" ref="F137:N137" si="119">F165</f>
        <v>6218850</v>
      </c>
      <c r="G137" s="67">
        <f t="shared" si="119"/>
        <v>4083150</v>
      </c>
      <c r="H137" s="67">
        <f t="shared" si="119"/>
        <v>2775510</v>
      </c>
      <c r="I137" s="67">
        <f t="shared" si="119"/>
        <v>1352955</v>
      </c>
      <c r="J137" s="67">
        <f t="shared" si="119"/>
        <v>0</v>
      </c>
      <c r="K137" s="67">
        <f t="shared" si="119"/>
        <v>0</v>
      </c>
      <c r="L137" s="67">
        <f t="shared" si="119"/>
        <v>0</v>
      </c>
      <c r="M137" s="67">
        <f t="shared" si="119"/>
        <v>0</v>
      </c>
      <c r="N137" s="67">
        <f t="shared" si="119"/>
        <v>0</v>
      </c>
      <c r="O137" s="67">
        <v>0</v>
      </c>
      <c r="P137" s="326">
        <f t="shared" si="116"/>
        <v>18202965</v>
      </c>
      <c r="Q137" s="2"/>
      <c r="S137" s="2"/>
    </row>
    <row r="138" spans="1:19" x14ac:dyDescent="0.15">
      <c r="B138" s="340">
        <v>5</v>
      </c>
      <c r="C138" s="12" t="s">
        <v>293</v>
      </c>
      <c r="D138" s="67">
        <f t="shared" si="110"/>
        <v>0</v>
      </c>
      <c r="E138" s="67">
        <f>E136-E137</f>
        <v>66057500</v>
      </c>
      <c r="F138" s="67">
        <f t="shared" ref="F138:N138" si="120">F136-F137</f>
        <v>54262775.00000003</v>
      </c>
      <c r="G138" s="67">
        <f t="shared" si="120"/>
        <v>44798631.548749983</v>
      </c>
      <c r="H138" s="67">
        <f t="shared" si="120"/>
        <v>31908352.439272046</v>
      </c>
      <c r="I138" s="67">
        <f t="shared" si="120"/>
        <v>16140058.826927066</v>
      </c>
      <c r="J138" s="67">
        <f t="shared" si="120"/>
        <v>0</v>
      </c>
      <c r="K138" s="67">
        <f t="shared" si="120"/>
        <v>0</v>
      </c>
      <c r="L138" s="67">
        <f t="shared" si="120"/>
        <v>0</v>
      </c>
      <c r="M138" s="67">
        <f t="shared" si="120"/>
        <v>0</v>
      </c>
      <c r="N138" s="67">
        <f t="shared" si="120"/>
        <v>0</v>
      </c>
      <c r="O138" s="67">
        <v>0</v>
      </c>
      <c r="P138" s="326">
        <f t="shared" si="116"/>
        <v>213167317.81494913</v>
      </c>
      <c r="Q138" s="2"/>
      <c r="S138" s="2"/>
    </row>
    <row r="139" spans="1:19" x14ac:dyDescent="0.15">
      <c r="B139" s="340" t="s">
        <v>698</v>
      </c>
      <c r="C139" s="12" t="s">
        <v>295</v>
      </c>
      <c r="D139" s="67">
        <f t="shared" si="110"/>
        <v>0</v>
      </c>
      <c r="E139" s="67">
        <f>E167</f>
        <v>0</v>
      </c>
      <c r="F139" s="67">
        <f t="shared" ref="F139:N139" si="121">F167</f>
        <v>0</v>
      </c>
      <c r="G139" s="67">
        <f t="shared" si="121"/>
        <v>0</v>
      </c>
      <c r="H139" s="67">
        <f t="shared" si="121"/>
        <v>0</v>
      </c>
      <c r="I139" s="67">
        <f t="shared" si="121"/>
        <v>0</v>
      </c>
      <c r="J139" s="67">
        <f t="shared" si="121"/>
        <v>0</v>
      </c>
      <c r="K139" s="67">
        <f t="shared" si="121"/>
        <v>0</v>
      </c>
      <c r="L139" s="67">
        <f t="shared" si="121"/>
        <v>0</v>
      </c>
      <c r="M139" s="67">
        <f t="shared" si="121"/>
        <v>0</v>
      </c>
      <c r="N139" s="67">
        <f t="shared" si="121"/>
        <v>0</v>
      </c>
      <c r="O139" s="67">
        <v>0</v>
      </c>
      <c r="P139" s="326">
        <f t="shared" si="116"/>
        <v>0</v>
      </c>
      <c r="Q139" s="2"/>
      <c r="S139" s="2"/>
    </row>
    <row r="140" spans="1:19" x14ac:dyDescent="0.15">
      <c r="B140" s="340">
        <v>7</v>
      </c>
      <c r="C140" s="12" t="s">
        <v>296</v>
      </c>
      <c r="D140" s="67">
        <f t="shared" si="110"/>
        <v>0</v>
      </c>
      <c r="E140" s="67">
        <f>E138-E139</f>
        <v>66057500</v>
      </c>
      <c r="F140" s="67">
        <f t="shared" ref="F140:N140" si="122">F138-F139</f>
        <v>54262775.00000003</v>
      </c>
      <c r="G140" s="67">
        <f t="shared" si="122"/>
        <v>44798631.548749983</v>
      </c>
      <c r="H140" s="67">
        <f t="shared" si="122"/>
        <v>31908352.439272046</v>
      </c>
      <c r="I140" s="67">
        <f t="shared" si="122"/>
        <v>16140058.826927066</v>
      </c>
      <c r="J140" s="67">
        <f t="shared" si="122"/>
        <v>0</v>
      </c>
      <c r="K140" s="67">
        <f t="shared" si="122"/>
        <v>0</v>
      </c>
      <c r="L140" s="67">
        <f t="shared" si="122"/>
        <v>0</v>
      </c>
      <c r="M140" s="67">
        <f t="shared" si="122"/>
        <v>0</v>
      </c>
      <c r="N140" s="67">
        <f t="shared" si="122"/>
        <v>0</v>
      </c>
      <c r="O140" s="67">
        <v>0</v>
      </c>
      <c r="P140" s="326">
        <f t="shared" si="116"/>
        <v>213167317.81494913</v>
      </c>
      <c r="Q140" s="2"/>
      <c r="S140" s="2"/>
    </row>
    <row r="141" spans="1:19" x14ac:dyDescent="0.15">
      <c r="B141" s="340">
        <v>8</v>
      </c>
      <c r="C141" s="12" t="s">
        <v>297</v>
      </c>
      <c r="D141" s="67">
        <f t="shared" si="110"/>
        <v>0</v>
      </c>
      <c r="E141" s="67">
        <f>-E140*$D$3</f>
        <v>-19817250</v>
      </c>
      <c r="F141" s="67">
        <f t="shared" ref="F141:N141" si="123">-F140*$D$3</f>
        <v>-16278832.500000007</v>
      </c>
      <c r="G141" s="67">
        <f t="shared" si="123"/>
        <v>-13439589.464624995</v>
      </c>
      <c r="H141" s="67">
        <f t="shared" si="123"/>
        <v>-9572505.7317816131</v>
      </c>
      <c r="I141" s="67">
        <f t="shared" si="123"/>
        <v>-4842017.6480781194</v>
      </c>
      <c r="J141" s="67">
        <f t="shared" si="123"/>
        <v>0</v>
      </c>
      <c r="K141" s="67">
        <f t="shared" si="123"/>
        <v>0</v>
      </c>
      <c r="L141" s="67">
        <f t="shared" si="123"/>
        <v>0</v>
      </c>
      <c r="M141" s="67">
        <f t="shared" si="123"/>
        <v>0</v>
      </c>
      <c r="N141" s="67">
        <f t="shared" si="123"/>
        <v>0</v>
      </c>
      <c r="O141" s="67">
        <v>0</v>
      </c>
      <c r="P141" s="326">
        <f t="shared" si="116"/>
        <v>-63950195.344484739</v>
      </c>
      <c r="Q141" s="2"/>
      <c r="S141" s="2"/>
    </row>
    <row r="142" spans="1:19" x14ac:dyDescent="0.15">
      <c r="B142" s="340">
        <v>9</v>
      </c>
      <c r="C142" s="12" t="s">
        <v>298</v>
      </c>
      <c r="D142" s="67">
        <f t="shared" si="110"/>
        <v>0</v>
      </c>
      <c r="E142" s="67">
        <f>E170</f>
        <v>0</v>
      </c>
      <c r="F142" s="67">
        <f t="shared" ref="F142:N142" si="124">F170</f>
        <v>0</v>
      </c>
      <c r="G142" s="67">
        <f t="shared" si="124"/>
        <v>0</v>
      </c>
      <c r="H142" s="67">
        <f t="shared" si="124"/>
        <v>0</v>
      </c>
      <c r="I142" s="67">
        <f t="shared" si="124"/>
        <v>0</v>
      </c>
      <c r="J142" s="67">
        <f t="shared" si="124"/>
        <v>0</v>
      </c>
      <c r="K142" s="67">
        <f t="shared" si="124"/>
        <v>0</v>
      </c>
      <c r="L142" s="67">
        <f t="shared" si="124"/>
        <v>0</v>
      </c>
      <c r="M142" s="67">
        <f t="shared" si="124"/>
        <v>0</v>
      </c>
      <c r="N142" s="67">
        <f t="shared" si="124"/>
        <v>0</v>
      </c>
      <c r="O142" s="67">
        <v>0</v>
      </c>
      <c r="P142" s="326">
        <f t="shared" si="116"/>
        <v>0</v>
      </c>
      <c r="Q142" s="2"/>
      <c r="S142" s="2"/>
    </row>
    <row r="143" spans="1:19" x14ac:dyDescent="0.15">
      <c r="B143" s="340">
        <v>10</v>
      </c>
      <c r="C143" s="12" t="s">
        <v>299</v>
      </c>
      <c r="D143" s="67">
        <f t="shared" si="110"/>
        <v>0</v>
      </c>
      <c r="E143" s="67">
        <f>E140+E141+E142</f>
        <v>46240250</v>
      </c>
      <c r="F143" s="67">
        <f t="shared" ref="F143:N143" si="125">F140+F141+F142</f>
        <v>37983942.500000022</v>
      </c>
      <c r="G143" s="67">
        <f t="shared" si="125"/>
        <v>31359042.08412499</v>
      </c>
      <c r="H143" s="67">
        <f t="shared" si="125"/>
        <v>22335846.707490433</v>
      </c>
      <c r="I143" s="67">
        <f t="shared" si="125"/>
        <v>11298041.178848946</v>
      </c>
      <c r="J143" s="67">
        <f t="shared" si="125"/>
        <v>0</v>
      </c>
      <c r="K143" s="67">
        <f t="shared" si="125"/>
        <v>0</v>
      </c>
      <c r="L143" s="67">
        <f t="shared" si="125"/>
        <v>0</v>
      </c>
      <c r="M143" s="67">
        <f t="shared" si="125"/>
        <v>0</v>
      </c>
      <c r="N143" s="67">
        <f t="shared" si="125"/>
        <v>0</v>
      </c>
      <c r="O143" s="67">
        <v>0</v>
      </c>
      <c r="P143" s="326">
        <f t="shared" si="116"/>
        <v>149217122.47046441</v>
      </c>
      <c r="Q143" s="2"/>
      <c r="S143" s="2"/>
    </row>
    <row r="144" spans="1:19" x14ac:dyDescent="0.15">
      <c r="B144" s="340" t="s">
        <v>699</v>
      </c>
      <c r="C144" s="12" t="s">
        <v>292</v>
      </c>
      <c r="D144" s="67">
        <f t="shared" si="110"/>
        <v>0</v>
      </c>
      <c r="E144" s="67">
        <f>E172</f>
        <v>3772500</v>
      </c>
      <c r="F144" s="67">
        <f t="shared" ref="F144:N144" si="126">F172</f>
        <v>6218850</v>
      </c>
      <c r="G144" s="67">
        <f t="shared" si="126"/>
        <v>4083150</v>
      </c>
      <c r="H144" s="67">
        <f t="shared" si="126"/>
        <v>2775510</v>
      </c>
      <c r="I144" s="67">
        <f t="shared" si="126"/>
        <v>1352955</v>
      </c>
      <c r="J144" s="67">
        <f t="shared" si="126"/>
        <v>0</v>
      </c>
      <c r="K144" s="67">
        <f t="shared" si="126"/>
        <v>0</v>
      </c>
      <c r="L144" s="67">
        <f t="shared" si="126"/>
        <v>0</v>
      </c>
      <c r="M144" s="67">
        <f t="shared" si="126"/>
        <v>0</v>
      </c>
      <c r="N144" s="67">
        <f t="shared" si="126"/>
        <v>0</v>
      </c>
      <c r="O144" s="67">
        <v>0</v>
      </c>
      <c r="P144" s="326">
        <f t="shared" si="116"/>
        <v>18202965</v>
      </c>
      <c r="Q144" s="2"/>
      <c r="S144" s="2"/>
    </row>
    <row r="145" spans="1:19" x14ac:dyDescent="0.15">
      <c r="B145" s="340">
        <v>12</v>
      </c>
      <c r="C145" s="12" t="s">
        <v>301</v>
      </c>
      <c r="D145" s="67">
        <f t="shared" si="110"/>
        <v>0</v>
      </c>
      <c r="E145" s="67">
        <f>E143+E144</f>
        <v>50012750</v>
      </c>
      <c r="F145" s="67">
        <f t="shared" ref="F145:N145" si="127">F143+F144</f>
        <v>44202792.500000022</v>
      </c>
      <c r="G145" s="67">
        <f t="shared" si="127"/>
        <v>35442192.08412499</v>
      </c>
      <c r="H145" s="67">
        <f t="shared" si="127"/>
        <v>25111356.707490433</v>
      </c>
      <c r="I145" s="67">
        <f t="shared" si="127"/>
        <v>12650996.178848946</v>
      </c>
      <c r="J145" s="67">
        <f t="shared" si="127"/>
        <v>0</v>
      </c>
      <c r="K145" s="67">
        <f t="shared" si="127"/>
        <v>0</v>
      </c>
      <c r="L145" s="67">
        <f t="shared" si="127"/>
        <v>0</v>
      </c>
      <c r="M145" s="67">
        <f t="shared" si="127"/>
        <v>0</v>
      </c>
      <c r="N145" s="67">
        <f t="shared" si="127"/>
        <v>0</v>
      </c>
      <c r="O145" s="67">
        <v>0</v>
      </c>
      <c r="P145" s="326">
        <f t="shared" si="116"/>
        <v>167420087.47046441</v>
      </c>
      <c r="Q145" s="2"/>
      <c r="S145" s="2"/>
    </row>
    <row r="146" spans="1:19" x14ac:dyDescent="0.15">
      <c r="B146" s="340" t="s">
        <v>700</v>
      </c>
      <c r="C146" s="12" t="s">
        <v>303</v>
      </c>
      <c r="D146" s="67">
        <v>0</v>
      </c>
      <c r="E146" s="67">
        <f t="shared" ref="E146:N146" si="128">E174</f>
        <v>0</v>
      </c>
      <c r="F146" s="67">
        <f t="shared" si="128"/>
        <v>0</v>
      </c>
      <c r="G146" s="67">
        <f t="shared" si="128"/>
        <v>0</v>
      </c>
      <c r="H146" s="67">
        <f t="shared" si="128"/>
        <v>0</v>
      </c>
      <c r="I146" s="67">
        <f t="shared" si="128"/>
        <v>0</v>
      </c>
      <c r="J146" s="67">
        <f t="shared" si="128"/>
        <v>0</v>
      </c>
      <c r="K146" s="67">
        <f t="shared" si="128"/>
        <v>0</v>
      </c>
      <c r="L146" s="67">
        <f t="shared" si="128"/>
        <v>0</v>
      </c>
      <c r="M146" s="67">
        <f t="shared" si="128"/>
        <v>0</v>
      </c>
      <c r="N146" s="67">
        <f t="shared" si="128"/>
        <v>0</v>
      </c>
      <c r="O146" s="67">
        <v>0</v>
      </c>
      <c r="P146" s="326">
        <f t="shared" si="116"/>
        <v>0</v>
      </c>
      <c r="Q146" s="2"/>
      <c r="S146" s="2"/>
    </row>
    <row r="147" spans="1:19" x14ac:dyDescent="0.15">
      <c r="B147" s="340">
        <v>14</v>
      </c>
      <c r="C147" s="12" t="s">
        <v>304</v>
      </c>
      <c r="D147" s="67">
        <f>D148+D149+D150</f>
        <v>-32550000</v>
      </c>
      <c r="E147" s="67">
        <f t="shared" ref="E147:N147" si="129">E148+E149+E150</f>
        <v>0</v>
      </c>
      <c r="F147" s="67">
        <f t="shared" si="129"/>
        <v>0</v>
      </c>
      <c r="G147" s="67">
        <f t="shared" si="129"/>
        <v>0</v>
      </c>
      <c r="H147" s="67">
        <f t="shared" si="129"/>
        <v>0</v>
      </c>
      <c r="I147" s="67">
        <f t="shared" si="129"/>
        <v>14347035</v>
      </c>
      <c r="J147" s="67">
        <f t="shared" si="129"/>
        <v>0</v>
      </c>
      <c r="K147" s="67">
        <f t="shared" si="129"/>
        <v>0</v>
      </c>
      <c r="L147" s="67">
        <f t="shared" si="129"/>
        <v>0</v>
      </c>
      <c r="M147" s="67">
        <f t="shared" si="129"/>
        <v>0</v>
      </c>
      <c r="N147" s="67">
        <f t="shared" si="129"/>
        <v>0</v>
      </c>
      <c r="O147" s="67">
        <v>0</v>
      </c>
      <c r="P147" s="326">
        <f t="shared" si="116"/>
        <v>14347035</v>
      </c>
      <c r="Q147" s="2"/>
      <c r="S147" s="2"/>
    </row>
    <row r="148" spans="1:19" x14ac:dyDescent="0.15">
      <c r="B148" s="340" t="s">
        <v>701</v>
      </c>
      <c r="C148" s="12" t="s">
        <v>207</v>
      </c>
      <c r="D148" s="67">
        <f>D176</f>
        <v>-31050000</v>
      </c>
      <c r="E148" s="67">
        <f t="shared" ref="E148:N148" si="130">E176</f>
        <v>0</v>
      </c>
      <c r="F148" s="67">
        <f t="shared" si="130"/>
        <v>0</v>
      </c>
      <c r="G148" s="67">
        <f t="shared" si="130"/>
        <v>0</v>
      </c>
      <c r="H148" s="67">
        <f t="shared" si="130"/>
        <v>0</v>
      </c>
      <c r="I148" s="67">
        <f t="shared" si="130"/>
        <v>12847035</v>
      </c>
      <c r="J148" s="67">
        <f t="shared" si="130"/>
        <v>0</v>
      </c>
      <c r="K148" s="67">
        <f t="shared" si="130"/>
        <v>0</v>
      </c>
      <c r="L148" s="67">
        <f t="shared" si="130"/>
        <v>0</v>
      </c>
      <c r="M148" s="67">
        <f t="shared" si="130"/>
        <v>0</v>
      </c>
      <c r="N148" s="67">
        <f t="shared" si="130"/>
        <v>0</v>
      </c>
      <c r="O148" s="67">
        <v>0</v>
      </c>
      <c r="P148" s="326">
        <f t="shared" si="116"/>
        <v>12847035</v>
      </c>
      <c r="Q148" s="2"/>
      <c r="S148" s="2"/>
    </row>
    <row r="149" spans="1:19" x14ac:dyDescent="0.15">
      <c r="B149" s="340" t="s">
        <v>702</v>
      </c>
      <c r="C149" s="12" t="s">
        <v>307</v>
      </c>
      <c r="D149" s="67">
        <f>D177</f>
        <v>-1500000</v>
      </c>
      <c r="E149" s="67">
        <f t="shared" ref="E149:N149" si="131">E177</f>
        <v>0</v>
      </c>
      <c r="F149" s="67">
        <f t="shared" si="131"/>
        <v>0</v>
      </c>
      <c r="G149" s="67">
        <f t="shared" si="131"/>
        <v>0</v>
      </c>
      <c r="H149" s="67">
        <f t="shared" si="131"/>
        <v>0</v>
      </c>
      <c r="I149" s="67">
        <f t="shared" si="131"/>
        <v>1500000</v>
      </c>
      <c r="J149" s="67">
        <f t="shared" si="131"/>
        <v>0</v>
      </c>
      <c r="K149" s="67">
        <f t="shared" si="131"/>
        <v>0</v>
      </c>
      <c r="L149" s="67">
        <f t="shared" si="131"/>
        <v>0</v>
      </c>
      <c r="M149" s="67">
        <f t="shared" si="131"/>
        <v>0</v>
      </c>
      <c r="N149" s="67">
        <f t="shared" si="131"/>
        <v>0</v>
      </c>
      <c r="O149" s="67">
        <v>0</v>
      </c>
      <c r="P149" s="326">
        <f t="shared" si="116"/>
        <v>1500000</v>
      </c>
      <c r="Q149" s="2"/>
      <c r="S149" s="2"/>
    </row>
    <row r="150" spans="1:19" x14ac:dyDescent="0.15">
      <c r="B150" s="340" t="s">
        <v>703</v>
      </c>
      <c r="C150" s="12" t="s">
        <v>309</v>
      </c>
      <c r="D150" s="67">
        <f>D178</f>
        <v>0</v>
      </c>
      <c r="E150" s="67">
        <f t="shared" ref="E150:N150" si="132">E178</f>
        <v>0</v>
      </c>
      <c r="F150" s="67">
        <f t="shared" si="132"/>
        <v>0</v>
      </c>
      <c r="G150" s="67">
        <f t="shared" si="132"/>
        <v>0</v>
      </c>
      <c r="H150" s="67">
        <f t="shared" si="132"/>
        <v>0</v>
      </c>
      <c r="I150" s="67">
        <f t="shared" si="132"/>
        <v>0</v>
      </c>
      <c r="J150" s="67">
        <f t="shared" si="132"/>
        <v>0</v>
      </c>
      <c r="K150" s="67">
        <f t="shared" si="132"/>
        <v>0</v>
      </c>
      <c r="L150" s="67">
        <f t="shared" si="132"/>
        <v>0</v>
      </c>
      <c r="M150" s="67">
        <f t="shared" si="132"/>
        <v>0</v>
      </c>
      <c r="N150" s="67">
        <f t="shared" si="132"/>
        <v>0</v>
      </c>
      <c r="O150" s="67">
        <v>0</v>
      </c>
      <c r="P150" s="326">
        <f t="shared" si="116"/>
        <v>0</v>
      </c>
      <c r="Q150" s="2"/>
      <c r="S150" s="2"/>
    </row>
    <row r="151" spans="1:19" x14ac:dyDescent="0.15">
      <c r="B151" s="340" t="s">
        <v>704</v>
      </c>
      <c r="C151" s="12" t="s">
        <v>311</v>
      </c>
      <c r="D151" s="67">
        <f>D179</f>
        <v>0</v>
      </c>
      <c r="E151" s="67">
        <f t="shared" ref="E151:N151" si="133">E179</f>
        <v>0</v>
      </c>
      <c r="F151" s="67">
        <f t="shared" si="133"/>
        <v>0</v>
      </c>
      <c r="G151" s="67">
        <f t="shared" si="133"/>
        <v>0</v>
      </c>
      <c r="H151" s="67">
        <f t="shared" si="133"/>
        <v>0</v>
      </c>
      <c r="I151" s="67">
        <f t="shared" si="133"/>
        <v>-2596968.7000000002</v>
      </c>
      <c r="J151" s="67">
        <f t="shared" si="133"/>
        <v>0</v>
      </c>
      <c r="K151" s="67">
        <f t="shared" si="133"/>
        <v>0</v>
      </c>
      <c r="L151" s="67">
        <f t="shared" si="133"/>
        <v>0</v>
      </c>
      <c r="M151" s="67">
        <f t="shared" si="133"/>
        <v>0</v>
      </c>
      <c r="N151" s="67">
        <f t="shared" si="133"/>
        <v>0</v>
      </c>
      <c r="O151" s="67">
        <v>0</v>
      </c>
      <c r="P151" s="326">
        <f t="shared" si="116"/>
        <v>-2596968.7000000002</v>
      </c>
      <c r="Q151" s="2"/>
      <c r="S151" s="2"/>
    </row>
    <row r="152" spans="1:19" ht="14" thickBot="1" x14ac:dyDescent="0.2">
      <c r="B152" s="340" t="s">
        <v>705</v>
      </c>
      <c r="C152" s="12" t="s">
        <v>115</v>
      </c>
      <c r="D152" s="67">
        <f>D180</f>
        <v>-60000000</v>
      </c>
      <c r="E152" s="67">
        <f t="shared" ref="E152:N152" si="134">E180</f>
        <v>0</v>
      </c>
      <c r="F152" s="67">
        <f t="shared" si="134"/>
        <v>0</v>
      </c>
      <c r="G152" s="67">
        <f t="shared" si="134"/>
        <v>0</v>
      </c>
      <c r="H152" s="67">
        <f t="shared" si="134"/>
        <v>0</v>
      </c>
      <c r="I152" s="67">
        <f t="shared" si="134"/>
        <v>60000000</v>
      </c>
      <c r="J152" s="67">
        <f t="shared" si="134"/>
        <v>0</v>
      </c>
      <c r="K152" s="67">
        <f t="shared" si="134"/>
        <v>0</v>
      </c>
      <c r="L152" s="67">
        <f t="shared" si="134"/>
        <v>0</v>
      </c>
      <c r="M152" s="67">
        <f t="shared" si="134"/>
        <v>0</v>
      </c>
      <c r="N152" s="67">
        <f t="shared" si="134"/>
        <v>0</v>
      </c>
      <c r="O152" s="67">
        <v>0</v>
      </c>
      <c r="P152" s="326">
        <f t="shared" si="116"/>
        <v>60000000</v>
      </c>
      <c r="Q152" s="2"/>
      <c r="S152" s="2"/>
    </row>
    <row r="153" spans="1:19" x14ac:dyDescent="0.15">
      <c r="B153" s="340">
        <v>17</v>
      </c>
      <c r="C153" s="12" t="s">
        <v>313</v>
      </c>
      <c r="D153" s="67">
        <f>D146+D147+D151+D152</f>
        <v>-92550000</v>
      </c>
      <c r="E153" s="67">
        <f t="shared" ref="E153:N153" si="135">E146+E147+E151+E152</f>
        <v>0</v>
      </c>
      <c r="F153" s="67">
        <f t="shared" si="135"/>
        <v>0</v>
      </c>
      <c r="G153" s="67">
        <f t="shared" si="135"/>
        <v>0</v>
      </c>
      <c r="H153" s="67">
        <f t="shared" si="135"/>
        <v>0</v>
      </c>
      <c r="I153" s="67">
        <f t="shared" si="135"/>
        <v>71750066.299999997</v>
      </c>
      <c r="J153" s="67">
        <f t="shared" si="135"/>
        <v>0</v>
      </c>
      <c r="K153" s="67">
        <f t="shared" si="135"/>
        <v>0</v>
      </c>
      <c r="L153" s="67">
        <f t="shared" si="135"/>
        <v>0</v>
      </c>
      <c r="M153" s="67">
        <f t="shared" si="135"/>
        <v>0</v>
      </c>
      <c r="N153" s="67">
        <f t="shared" si="135"/>
        <v>0</v>
      </c>
      <c r="O153" s="67">
        <v>0</v>
      </c>
      <c r="P153" s="326">
        <f t="shared" si="116"/>
        <v>71750066.299999997</v>
      </c>
      <c r="Q153" s="461"/>
      <c r="R153" s="357" t="s">
        <v>693</v>
      </c>
      <c r="S153" s="2"/>
    </row>
    <row r="154" spans="1:19" ht="14" thickBot="1" x14ac:dyDescent="0.2">
      <c r="A154" s="1" t="s">
        <v>708</v>
      </c>
      <c r="B154" s="355">
        <v>18</v>
      </c>
      <c r="C154" s="335" t="s">
        <v>314</v>
      </c>
      <c r="D154" s="331">
        <f>D153+D145</f>
        <v>-92550000</v>
      </c>
      <c r="E154" s="331">
        <f t="shared" ref="E154:N154" si="136">E153+E145</f>
        <v>50012750</v>
      </c>
      <c r="F154" s="331">
        <f t="shared" si="136"/>
        <v>44202792.500000022</v>
      </c>
      <c r="G154" s="331">
        <f t="shared" si="136"/>
        <v>35442192.08412499</v>
      </c>
      <c r="H154" s="331">
        <f t="shared" si="136"/>
        <v>25111356.707490433</v>
      </c>
      <c r="I154" s="331">
        <f t="shared" si="136"/>
        <v>84401062.478848949</v>
      </c>
      <c r="J154" s="331">
        <f t="shared" si="136"/>
        <v>0</v>
      </c>
      <c r="K154" s="331">
        <f t="shared" si="136"/>
        <v>0</v>
      </c>
      <c r="L154" s="331">
        <f t="shared" si="136"/>
        <v>0</v>
      </c>
      <c r="M154" s="331">
        <f t="shared" si="136"/>
        <v>0</v>
      </c>
      <c r="N154" s="331">
        <f t="shared" si="136"/>
        <v>0</v>
      </c>
      <c r="O154" s="331">
        <v>0</v>
      </c>
      <c r="P154" s="356">
        <f t="shared" si="116"/>
        <v>239170153.77046442</v>
      </c>
      <c r="Q154" s="463"/>
      <c r="R154" s="358">
        <f>IF(ISNUMBER(IRR(D154:N154)),IRR(D154:N154),"NMF")</f>
        <v>0.40549033935008683</v>
      </c>
      <c r="S154" s="1" t="s">
        <v>708</v>
      </c>
    </row>
    <row r="155" spans="1:19" x14ac:dyDescent="0.15">
      <c r="S155" s="2"/>
    </row>
    <row r="156" spans="1:19" ht="14" thickBot="1" x14ac:dyDescent="0.2">
      <c r="S156" s="2"/>
    </row>
    <row r="157" spans="1:19" ht="14" thickBot="1" x14ac:dyDescent="0.2">
      <c r="B157" s="339" t="s">
        <v>282</v>
      </c>
      <c r="C157" s="302" t="s">
        <v>283</v>
      </c>
      <c r="D157" s="302"/>
      <c r="E157" s="302">
        <v>1</v>
      </c>
      <c r="F157" s="302">
        <v>2</v>
      </c>
      <c r="G157" s="302">
        <v>3</v>
      </c>
      <c r="H157" s="302">
        <v>4</v>
      </c>
      <c r="I157" s="302">
        <v>5</v>
      </c>
      <c r="J157" s="302">
        <v>6</v>
      </c>
      <c r="K157" s="302">
        <v>7</v>
      </c>
      <c r="L157" s="302">
        <v>8</v>
      </c>
      <c r="M157" s="302">
        <v>9</v>
      </c>
      <c r="N157" s="302">
        <v>10</v>
      </c>
      <c r="O157" s="302" t="s">
        <v>284</v>
      </c>
      <c r="P157" s="361" t="s">
        <v>285</v>
      </c>
      <c r="S157" s="2"/>
    </row>
    <row r="158" spans="1:19" ht="14" thickBot="1" x14ac:dyDescent="0.2">
      <c r="B158" s="340" t="s">
        <v>687</v>
      </c>
      <c r="C158" s="12" t="s">
        <v>287</v>
      </c>
      <c r="D158" s="321">
        <f>'After Tax Analysis'!D8</f>
        <v>0</v>
      </c>
      <c r="E158" s="321">
        <f>'After Tax Analysis'!E8</f>
        <v>300000000</v>
      </c>
      <c r="F158" s="321">
        <f>'After Tax Analysis'!F8</f>
        <v>313500000.00000006</v>
      </c>
      <c r="G158" s="321">
        <f>'After Tax Analysis'!G8</f>
        <v>327607500.00000006</v>
      </c>
      <c r="H158" s="321">
        <f>'After Tax Analysis'!H8</f>
        <v>342349837.50000012</v>
      </c>
      <c r="I158" s="321">
        <f>'After Tax Analysis'!I8</f>
        <v>357755580.18750012</v>
      </c>
      <c r="J158" s="321">
        <f>'After Tax Analysis'!J8</f>
        <v>0</v>
      </c>
      <c r="K158" s="321">
        <f>'After Tax Analysis'!K8</f>
        <v>0</v>
      </c>
      <c r="L158" s="321">
        <f>'After Tax Analysis'!L8</f>
        <v>0</v>
      </c>
      <c r="M158" s="321">
        <f>'After Tax Analysis'!M8</f>
        <v>0</v>
      </c>
      <c r="N158" s="321">
        <f>'After Tax Analysis'!N8</f>
        <v>0</v>
      </c>
      <c r="O158" s="93">
        <v>0</v>
      </c>
      <c r="P158" s="459">
        <f>SUM(D158:N158)</f>
        <v>1641212917.6875</v>
      </c>
      <c r="Q158" s="2"/>
      <c r="S158" s="2"/>
    </row>
    <row r="159" spans="1:19" x14ac:dyDescent="0.15">
      <c r="A159" s="1" t="s">
        <v>417</v>
      </c>
      <c r="B159" s="340" t="s">
        <v>689</v>
      </c>
      <c r="C159" s="340" t="s">
        <v>689</v>
      </c>
      <c r="D159" s="329"/>
      <c r="E159" s="329">
        <f>Revenues!D9</f>
        <v>300000000</v>
      </c>
      <c r="F159" s="329">
        <f>Revenues!E9</f>
        <v>313500000.00000006</v>
      </c>
      <c r="G159" s="329">
        <f>Revenues!F9</f>
        <v>327607500.00000006</v>
      </c>
      <c r="H159" s="329">
        <f>Revenues!G9</f>
        <v>342349837.50000012</v>
      </c>
      <c r="I159" s="329">
        <f>Revenues!H9</f>
        <v>357755580.18750012</v>
      </c>
      <c r="J159" s="329">
        <f>Revenues!I9</f>
        <v>0</v>
      </c>
      <c r="K159" s="329">
        <f>Revenues!J9</f>
        <v>0</v>
      </c>
      <c r="L159" s="329">
        <f>Revenues!K9</f>
        <v>0</v>
      </c>
      <c r="M159" s="329">
        <f>Revenues!L9</f>
        <v>0</v>
      </c>
      <c r="N159" s="329">
        <f>Revenues!M9</f>
        <v>0</v>
      </c>
      <c r="O159" s="67"/>
      <c r="P159" s="458">
        <f t="shared" ref="P159:P185" si="137">SUM(D159:N159)</f>
        <v>1641212917.6875</v>
      </c>
      <c r="Q159" s="2"/>
      <c r="S159" s="2"/>
    </row>
    <row r="160" spans="1:19" x14ac:dyDescent="0.15">
      <c r="B160" s="355" t="s">
        <v>690</v>
      </c>
      <c r="C160" s="355" t="s">
        <v>690</v>
      </c>
      <c r="D160" s="337"/>
      <c r="E160" s="337">
        <f>Revenues!D16</f>
        <v>0</v>
      </c>
      <c r="F160" s="337">
        <f>Revenues!E16</f>
        <v>0</v>
      </c>
      <c r="G160" s="337">
        <f>Revenues!F16</f>
        <v>0</v>
      </c>
      <c r="H160" s="337">
        <f>Revenues!G16</f>
        <v>0</v>
      </c>
      <c r="I160" s="337">
        <f>Revenues!H16</f>
        <v>0</v>
      </c>
      <c r="J160" s="337">
        <f>Revenues!I16</f>
        <v>0</v>
      </c>
      <c r="K160" s="337">
        <f>Revenues!J16</f>
        <v>0</v>
      </c>
      <c r="L160" s="337">
        <f>Revenues!K16</f>
        <v>0</v>
      </c>
      <c r="M160" s="337">
        <f>Revenues!L16</f>
        <v>0</v>
      </c>
      <c r="N160" s="337">
        <f>Revenues!M16</f>
        <v>0</v>
      </c>
      <c r="O160" s="331"/>
      <c r="P160" s="326">
        <f t="shared" si="137"/>
        <v>0</v>
      </c>
      <c r="Q160" s="2"/>
      <c r="S160" s="2"/>
    </row>
    <row r="161" spans="2:19" x14ac:dyDescent="0.15">
      <c r="B161" s="340" t="s">
        <v>691</v>
      </c>
      <c r="C161" s="340" t="s">
        <v>691</v>
      </c>
      <c r="D161" s="329"/>
      <c r="E161" s="329">
        <f>Revenues!D23</f>
        <v>0</v>
      </c>
      <c r="F161" s="329">
        <f>Revenues!E23</f>
        <v>0</v>
      </c>
      <c r="G161" s="329">
        <f>Revenues!F23</f>
        <v>0</v>
      </c>
      <c r="H161" s="329">
        <f>Revenues!G23</f>
        <v>0</v>
      </c>
      <c r="I161" s="329">
        <f>Revenues!H23</f>
        <v>0</v>
      </c>
      <c r="J161" s="329">
        <f>Revenues!I23</f>
        <v>0</v>
      </c>
      <c r="K161" s="329">
        <f>Revenues!J23</f>
        <v>0</v>
      </c>
      <c r="L161" s="329">
        <f>Revenues!K23</f>
        <v>0</v>
      </c>
      <c r="M161" s="329">
        <f>Revenues!L23</f>
        <v>0</v>
      </c>
      <c r="N161" s="329">
        <f>Revenues!M23</f>
        <v>0</v>
      </c>
      <c r="O161" s="67"/>
      <c r="P161" s="326">
        <f t="shared" si="137"/>
        <v>0</v>
      </c>
      <c r="Q161" s="2"/>
      <c r="S161" s="2"/>
    </row>
    <row r="162" spans="2:19" x14ac:dyDescent="0.15">
      <c r="B162" s="340" t="s">
        <v>695</v>
      </c>
      <c r="C162" s="12"/>
      <c r="D162" s="329"/>
      <c r="E162" s="67">
        <f>SUM(E159:E161)</f>
        <v>300000000</v>
      </c>
      <c r="F162" s="67">
        <f t="shared" ref="F162:N162" si="138">SUM(F159:F161)</f>
        <v>313500000.00000006</v>
      </c>
      <c r="G162" s="67">
        <f t="shared" si="138"/>
        <v>327607500.00000006</v>
      </c>
      <c r="H162" s="67">
        <f t="shared" si="138"/>
        <v>342349837.50000012</v>
      </c>
      <c r="I162" s="67">
        <f t="shared" si="138"/>
        <v>357755580.18750012</v>
      </c>
      <c r="J162" s="67">
        <f t="shared" si="138"/>
        <v>0</v>
      </c>
      <c r="K162" s="67">
        <f t="shared" si="138"/>
        <v>0</v>
      </c>
      <c r="L162" s="67">
        <f t="shared" si="138"/>
        <v>0</v>
      </c>
      <c r="M162" s="67">
        <f t="shared" si="138"/>
        <v>0</v>
      </c>
      <c r="N162" s="67">
        <f t="shared" si="138"/>
        <v>0</v>
      </c>
      <c r="O162" s="67"/>
      <c r="P162" s="326">
        <f t="shared" si="137"/>
        <v>1641212917.6875</v>
      </c>
      <c r="Q162" s="2">
        <f>'After Tax Analysis'!P8</f>
        <v>1641212917.6875</v>
      </c>
      <c r="S162" s="2"/>
    </row>
    <row r="163" spans="2:19" x14ac:dyDescent="0.15">
      <c r="B163" s="340" t="s">
        <v>696</v>
      </c>
      <c r="C163" s="12" t="s">
        <v>289</v>
      </c>
      <c r="D163" s="388">
        <f>'After Tax Analysis'!D9</f>
        <v>0</v>
      </c>
      <c r="E163" s="388">
        <f>'After Tax Analysis'!E9</f>
        <v>230170000</v>
      </c>
      <c r="F163" s="388">
        <f>'After Tax Analysis'!F9</f>
        <v>253018375.00000003</v>
      </c>
      <c r="G163" s="388">
        <f>'After Tax Analysis'!G9</f>
        <v>278725718.45125008</v>
      </c>
      <c r="H163" s="388">
        <f>'After Tax Analysis'!H9</f>
        <v>307665975.06072807</v>
      </c>
      <c r="I163" s="388">
        <f>'After Tax Analysis'!I9</f>
        <v>340262566.36057305</v>
      </c>
      <c r="J163" s="388">
        <f>'After Tax Analysis'!J9</f>
        <v>0</v>
      </c>
      <c r="K163" s="388">
        <f>'After Tax Analysis'!K9</f>
        <v>0</v>
      </c>
      <c r="L163" s="388">
        <f>'After Tax Analysis'!L9</f>
        <v>0</v>
      </c>
      <c r="M163" s="388">
        <f>'After Tax Analysis'!M9</f>
        <v>0</v>
      </c>
      <c r="N163" s="388">
        <f>'After Tax Analysis'!N9</f>
        <v>0</v>
      </c>
      <c r="O163" s="67">
        <v>0</v>
      </c>
      <c r="P163" s="326">
        <f t="shared" si="137"/>
        <v>1409842634.8725512</v>
      </c>
      <c r="Q163" s="2">
        <f>'After Tax Analysis'!P9</f>
        <v>1409842634.8725512</v>
      </c>
      <c r="S163" s="2"/>
    </row>
    <row r="164" spans="2:19" x14ac:dyDescent="0.15">
      <c r="B164" s="340">
        <v>3</v>
      </c>
      <c r="C164" s="12" t="s">
        <v>290</v>
      </c>
      <c r="D164" s="387"/>
      <c r="E164" s="67">
        <f t="shared" ref="E164:N164" si="139">E162-E163</f>
        <v>69830000</v>
      </c>
      <c r="F164" s="67">
        <f t="shared" si="139"/>
        <v>60481625.00000003</v>
      </c>
      <c r="G164" s="67">
        <f t="shared" si="139"/>
        <v>48881781.548749983</v>
      </c>
      <c r="H164" s="67">
        <f t="shared" si="139"/>
        <v>34683862.439272046</v>
      </c>
      <c r="I164" s="67">
        <f t="shared" si="139"/>
        <v>17493013.826927066</v>
      </c>
      <c r="J164" s="67">
        <f t="shared" si="139"/>
        <v>0</v>
      </c>
      <c r="K164" s="67">
        <f t="shared" si="139"/>
        <v>0</v>
      </c>
      <c r="L164" s="67">
        <f t="shared" si="139"/>
        <v>0</v>
      </c>
      <c r="M164" s="67">
        <f t="shared" si="139"/>
        <v>0</v>
      </c>
      <c r="N164" s="67">
        <f t="shared" si="139"/>
        <v>0</v>
      </c>
      <c r="O164" s="67">
        <v>0</v>
      </c>
      <c r="P164" s="326">
        <f t="shared" si="137"/>
        <v>231370282.81494913</v>
      </c>
      <c r="Q164" s="2">
        <f>'After Tax Analysis'!P10</f>
        <v>231370282.81494913</v>
      </c>
      <c r="S164" s="2"/>
    </row>
    <row r="165" spans="2:19" x14ac:dyDescent="0.15">
      <c r="B165" s="340" t="s">
        <v>697</v>
      </c>
      <c r="C165" s="12" t="s">
        <v>292</v>
      </c>
      <c r="D165" s="388">
        <f>'After Tax Analysis'!D11</f>
        <v>0</v>
      </c>
      <c r="E165" s="388">
        <f>'After Tax Analysis'!E11</f>
        <v>3772500</v>
      </c>
      <c r="F165" s="388">
        <f>'After Tax Analysis'!F11</f>
        <v>6218850</v>
      </c>
      <c r="G165" s="388">
        <f>'After Tax Analysis'!G11</f>
        <v>4083150</v>
      </c>
      <c r="H165" s="388">
        <f>'After Tax Analysis'!H11</f>
        <v>2775510</v>
      </c>
      <c r="I165" s="388">
        <f>'After Tax Analysis'!I11</f>
        <v>1352955</v>
      </c>
      <c r="J165" s="388">
        <f>'After Tax Analysis'!J11</f>
        <v>0</v>
      </c>
      <c r="K165" s="388">
        <f>'After Tax Analysis'!K11</f>
        <v>0</v>
      </c>
      <c r="L165" s="388">
        <f>'After Tax Analysis'!L11</f>
        <v>0</v>
      </c>
      <c r="M165" s="388">
        <f>'After Tax Analysis'!M11</f>
        <v>0</v>
      </c>
      <c r="N165" s="388">
        <f>'After Tax Analysis'!N11</f>
        <v>0</v>
      </c>
      <c r="O165" s="67">
        <v>0</v>
      </c>
      <c r="P165" s="326">
        <f t="shared" si="137"/>
        <v>18202965</v>
      </c>
      <c r="Q165" s="2">
        <f>'After Tax Analysis'!P11</f>
        <v>18202965</v>
      </c>
      <c r="S165" s="2"/>
    </row>
    <row r="166" spans="2:19" x14ac:dyDescent="0.15">
      <c r="B166" s="340">
        <v>5</v>
      </c>
      <c r="C166" s="12" t="s">
        <v>293</v>
      </c>
      <c r="D166" s="387"/>
      <c r="E166" s="67">
        <f t="shared" ref="E166:N166" si="140">E164-E165</f>
        <v>66057500</v>
      </c>
      <c r="F166" s="67">
        <f t="shared" si="140"/>
        <v>54262775.00000003</v>
      </c>
      <c r="G166" s="67">
        <f t="shared" si="140"/>
        <v>44798631.548749983</v>
      </c>
      <c r="H166" s="67">
        <f t="shared" si="140"/>
        <v>31908352.439272046</v>
      </c>
      <c r="I166" s="67">
        <f t="shared" si="140"/>
        <v>16140058.826927066</v>
      </c>
      <c r="J166" s="67">
        <f t="shared" si="140"/>
        <v>0</v>
      </c>
      <c r="K166" s="67">
        <f t="shared" si="140"/>
        <v>0</v>
      </c>
      <c r="L166" s="67">
        <f t="shared" si="140"/>
        <v>0</v>
      </c>
      <c r="M166" s="67">
        <f t="shared" si="140"/>
        <v>0</v>
      </c>
      <c r="N166" s="67">
        <f t="shared" si="140"/>
        <v>0</v>
      </c>
      <c r="O166" s="67">
        <v>0</v>
      </c>
      <c r="P166" s="326">
        <f t="shared" si="137"/>
        <v>213167317.81494913</v>
      </c>
      <c r="Q166" s="2">
        <f>'After Tax Analysis'!P12</f>
        <v>213167317.81494913</v>
      </c>
      <c r="S166" s="2"/>
    </row>
    <row r="167" spans="2:19" x14ac:dyDescent="0.15">
      <c r="B167" s="340" t="s">
        <v>698</v>
      </c>
      <c r="C167" s="12" t="s">
        <v>295</v>
      </c>
      <c r="D167" s="388">
        <f>'After Tax Analysis'!D13</f>
        <v>0</v>
      </c>
      <c r="E167" s="388">
        <f>'After Tax Analysis'!E13</f>
        <v>0</v>
      </c>
      <c r="F167" s="388">
        <f>'After Tax Analysis'!F13</f>
        <v>0</v>
      </c>
      <c r="G167" s="388">
        <f>'After Tax Analysis'!G13</f>
        <v>0</v>
      </c>
      <c r="H167" s="388">
        <f>'After Tax Analysis'!H13</f>
        <v>0</v>
      </c>
      <c r="I167" s="388">
        <f>'After Tax Analysis'!I13</f>
        <v>0</v>
      </c>
      <c r="J167" s="388">
        <f>'After Tax Analysis'!J13</f>
        <v>0</v>
      </c>
      <c r="K167" s="388">
        <f>'After Tax Analysis'!K13</f>
        <v>0</v>
      </c>
      <c r="L167" s="388">
        <f>'After Tax Analysis'!L13</f>
        <v>0</v>
      </c>
      <c r="M167" s="388">
        <f>'After Tax Analysis'!M13</f>
        <v>0</v>
      </c>
      <c r="N167" s="388">
        <f>'After Tax Analysis'!N13</f>
        <v>0</v>
      </c>
      <c r="O167" s="67">
        <v>0</v>
      </c>
      <c r="P167" s="326">
        <f t="shared" si="137"/>
        <v>0</v>
      </c>
      <c r="Q167" s="2">
        <f>'After Tax Analysis'!P13</f>
        <v>0</v>
      </c>
      <c r="S167" s="2"/>
    </row>
    <row r="168" spans="2:19" x14ac:dyDescent="0.15">
      <c r="B168" s="340">
        <v>7</v>
      </c>
      <c r="C168" s="12" t="s">
        <v>296</v>
      </c>
      <c r="D168" s="387">
        <f>D166-D167</f>
        <v>0</v>
      </c>
      <c r="E168" s="387">
        <f t="shared" ref="E168:N168" si="141">E166-E167</f>
        <v>66057500</v>
      </c>
      <c r="F168" s="387">
        <f t="shared" si="141"/>
        <v>54262775.00000003</v>
      </c>
      <c r="G168" s="387">
        <f t="shared" si="141"/>
        <v>44798631.548749983</v>
      </c>
      <c r="H168" s="387">
        <f t="shared" si="141"/>
        <v>31908352.439272046</v>
      </c>
      <c r="I168" s="387">
        <f t="shared" si="141"/>
        <v>16140058.826927066</v>
      </c>
      <c r="J168" s="387">
        <f t="shared" si="141"/>
        <v>0</v>
      </c>
      <c r="K168" s="387">
        <f t="shared" si="141"/>
        <v>0</v>
      </c>
      <c r="L168" s="387">
        <f t="shared" si="141"/>
        <v>0</v>
      </c>
      <c r="M168" s="387">
        <f t="shared" si="141"/>
        <v>0</v>
      </c>
      <c r="N168" s="387">
        <f t="shared" si="141"/>
        <v>0</v>
      </c>
      <c r="O168" s="67">
        <v>0</v>
      </c>
      <c r="P168" s="326">
        <f t="shared" si="137"/>
        <v>213167317.81494913</v>
      </c>
      <c r="Q168" s="2">
        <f>'After Tax Analysis'!P14</f>
        <v>213167317.81494913</v>
      </c>
      <c r="S168" s="2"/>
    </row>
    <row r="169" spans="2:19" x14ac:dyDescent="0.15">
      <c r="B169" s="340">
        <v>8</v>
      </c>
      <c r="C169" s="12" t="s">
        <v>297</v>
      </c>
      <c r="D169" s="67">
        <f t="shared" ref="D169:N169" si="142">D168*$D$3</f>
        <v>0</v>
      </c>
      <c r="E169" s="67">
        <f t="shared" si="142"/>
        <v>19817250</v>
      </c>
      <c r="F169" s="67">
        <f t="shared" si="142"/>
        <v>16278832.500000007</v>
      </c>
      <c r="G169" s="67">
        <f t="shared" si="142"/>
        <v>13439589.464624995</v>
      </c>
      <c r="H169" s="67">
        <f t="shared" si="142"/>
        <v>9572505.7317816131</v>
      </c>
      <c r="I169" s="67">
        <f t="shared" si="142"/>
        <v>4842017.6480781194</v>
      </c>
      <c r="J169" s="67">
        <f t="shared" si="142"/>
        <v>0</v>
      </c>
      <c r="K169" s="67">
        <f t="shared" si="142"/>
        <v>0</v>
      </c>
      <c r="L169" s="67">
        <f t="shared" si="142"/>
        <v>0</v>
      </c>
      <c r="M169" s="67">
        <f t="shared" si="142"/>
        <v>0</v>
      </c>
      <c r="N169" s="67">
        <f t="shared" si="142"/>
        <v>0</v>
      </c>
      <c r="O169" s="67">
        <v>0</v>
      </c>
      <c r="P169" s="326">
        <f t="shared" si="137"/>
        <v>63950195.344484739</v>
      </c>
      <c r="Q169" s="2">
        <f>'After Tax Analysis'!P15</f>
        <v>63950195.344484739</v>
      </c>
      <c r="S169" s="2"/>
    </row>
    <row r="170" spans="2:19" x14ac:dyDescent="0.15">
      <c r="B170" s="340">
        <v>9</v>
      </c>
      <c r="C170" s="12" t="s">
        <v>298</v>
      </c>
      <c r="D170" s="388">
        <f>'After Tax Analysis'!D16</f>
        <v>0</v>
      </c>
      <c r="E170" s="388">
        <f>'After Tax Analysis'!E16</f>
        <v>0</v>
      </c>
      <c r="F170" s="388">
        <f>'After Tax Analysis'!F16</f>
        <v>0</v>
      </c>
      <c r="G170" s="388">
        <f>'After Tax Analysis'!G16</f>
        <v>0</v>
      </c>
      <c r="H170" s="388">
        <f>'After Tax Analysis'!H16</f>
        <v>0</v>
      </c>
      <c r="I170" s="388">
        <f>'After Tax Analysis'!I16</f>
        <v>0</v>
      </c>
      <c r="J170" s="388">
        <f>'After Tax Analysis'!J16</f>
        <v>0</v>
      </c>
      <c r="K170" s="388">
        <f>'After Tax Analysis'!K16</f>
        <v>0</v>
      </c>
      <c r="L170" s="388">
        <f>'After Tax Analysis'!L16</f>
        <v>0</v>
      </c>
      <c r="M170" s="388">
        <f>'After Tax Analysis'!M16</f>
        <v>0</v>
      </c>
      <c r="N170" s="388">
        <f>'After Tax Analysis'!N16</f>
        <v>0</v>
      </c>
      <c r="O170" s="67">
        <v>0</v>
      </c>
      <c r="P170" s="326">
        <f t="shared" si="137"/>
        <v>0</v>
      </c>
      <c r="Q170" s="2">
        <f>'After Tax Analysis'!P16</f>
        <v>0</v>
      </c>
      <c r="S170" s="2"/>
    </row>
    <row r="171" spans="2:19" x14ac:dyDescent="0.15">
      <c r="B171" s="340">
        <v>10</v>
      </c>
      <c r="C171" s="12" t="s">
        <v>299</v>
      </c>
      <c r="D171" s="387">
        <f>D168-D169+D170</f>
        <v>0</v>
      </c>
      <c r="E171" s="387">
        <f t="shared" ref="E171:N171" si="143">E168-E169+E170</f>
        <v>46240250</v>
      </c>
      <c r="F171" s="387">
        <f t="shared" si="143"/>
        <v>37983942.500000022</v>
      </c>
      <c r="G171" s="387">
        <f t="shared" si="143"/>
        <v>31359042.08412499</v>
      </c>
      <c r="H171" s="387">
        <f t="shared" si="143"/>
        <v>22335846.707490433</v>
      </c>
      <c r="I171" s="387">
        <f t="shared" si="143"/>
        <v>11298041.178848946</v>
      </c>
      <c r="J171" s="387">
        <f t="shared" si="143"/>
        <v>0</v>
      </c>
      <c r="K171" s="387">
        <f t="shared" si="143"/>
        <v>0</v>
      </c>
      <c r="L171" s="387">
        <f t="shared" si="143"/>
        <v>0</v>
      </c>
      <c r="M171" s="387">
        <f t="shared" si="143"/>
        <v>0</v>
      </c>
      <c r="N171" s="387">
        <f t="shared" si="143"/>
        <v>0</v>
      </c>
      <c r="O171" s="67">
        <v>0</v>
      </c>
      <c r="P171" s="326">
        <f t="shared" si="137"/>
        <v>149217122.47046441</v>
      </c>
      <c r="Q171" s="2">
        <f>'After Tax Analysis'!P17</f>
        <v>149217122.47046441</v>
      </c>
      <c r="S171" s="2"/>
    </row>
    <row r="172" spans="2:19" x14ac:dyDescent="0.15">
      <c r="B172" s="340" t="s">
        <v>699</v>
      </c>
      <c r="C172" s="12" t="s">
        <v>292</v>
      </c>
      <c r="D172" s="388">
        <f>'After Tax Analysis'!D18</f>
        <v>0</v>
      </c>
      <c r="E172" s="388">
        <f>'After Tax Analysis'!E18</f>
        <v>3772500</v>
      </c>
      <c r="F172" s="388">
        <f>'After Tax Analysis'!F18</f>
        <v>6218850</v>
      </c>
      <c r="G172" s="388">
        <f>'After Tax Analysis'!G18</f>
        <v>4083150</v>
      </c>
      <c r="H172" s="388">
        <f>'After Tax Analysis'!H18</f>
        <v>2775510</v>
      </c>
      <c r="I172" s="388">
        <f>'After Tax Analysis'!I18</f>
        <v>1352955</v>
      </c>
      <c r="J172" s="388">
        <f>'After Tax Analysis'!J18</f>
        <v>0</v>
      </c>
      <c r="K172" s="388">
        <f>'After Tax Analysis'!K18</f>
        <v>0</v>
      </c>
      <c r="L172" s="388">
        <f>'After Tax Analysis'!L18</f>
        <v>0</v>
      </c>
      <c r="M172" s="388">
        <f>'After Tax Analysis'!M18</f>
        <v>0</v>
      </c>
      <c r="N172" s="388">
        <f>'After Tax Analysis'!N18</f>
        <v>0</v>
      </c>
      <c r="O172" s="67">
        <v>0</v>
      </c>
      <c r="P172" s="326">
        <f t="shared" si="137"/>
        <v>18202965</v>
      </c>
      <c r="Q172" s="2">
        <f>'After Tax Analysis'!P18</f>
        <v>18202965</v>
      </c>
      <c r="S172" s="2"/>
    </row>
    <row r="173" spans="2:19" x14ac:dyDescent="0.15">
      <c r="B173" s="340">
        <v>12</v>
      </c>
      <c r="C173" s="12" t="s">
        <v>301</v>
      </c>
      <c r="D173" s="387">
        <f>D171+D172</f>
        <v>0</v>
      </c>
      <c r="E173" s="387">
        <f t="shared" ref="E173:N173" si="144">E171+E172</f>
        <v>50012750</v>
      </c>
      <c r="F173" s="387">
        <f t="shared" si="144"/>
        <v>44202792.500000022</v>
      </c>
      <c r="G173" s="387">
        <f t="shared" si="144"/>
        <v>35442192.08412499</v>
      </c>
      <c r="H173" s="387">
        <f t="shared" si="144"/>
        <v>25111356.707490433</v>
      </c>
      <c r="I173" s="387">
        <f t="shared" si="144"/>
        <v>12650996.178848946</v>
      </c>
      <c r="J173" s="387">
        <f t="shared" si="144"/>
        <v>0</v>
      </c>
      <c r="K173" s="387">
        <f t="shared" si="144"/>
        <v>0</v>
      </c>
      <c r="L173" s="387">
        <f t="shared" si="144"/>
        <v>0</v>
      </c>
      <c r="M173" s="387">
        <f t="shared" si="144"/>
        <v>0</v>
      </c>
      <c r="N173" s="387">
        <f t="shared" si="144"/>
        <v>0</v>
      </c>
      <c r="O173" s="67">
        <v>0</v>
      </c>
      <c r="P173" s="326">
        <f t="shared" si="137"/>
        <v>167420087.47046441</v>
      </c>
      <c r="Q173" s="2">
        <f>'After Tax Analysis'!P19</f>
        <v>167420087.47046441</v>
      </c>
      <c r="S173" s="2"/>
    </row>
    <row r="174" spans="2:19" x14ac:dyDescent="0.15">
      <c r="B174" s="340" t="s">
        <v>700</v>
      </c>
      <c r="C174" s="12" t="s">
        <v>303</v>
      </c>
      <c r="D174" s="396">
        <f>'After Tax Analysis'!D20</f>
        <v>0</v>
      </c>
      <c r="E174" s="396">
        <f>'After Tax Analysis'!E20</f>
        <v>0</v>
      </c>
      <c r="F174" s="396">
        <f>'After Tax Analysis'!F20</f>
        <v>0</v>
      </c>
      <c r="G174" s="396">
        <f>'After Tax Analysis'!G20</f>
        <v>0</v>
      </c>
      <c r="H174" s="396">
        <f>'After Tax Analysis'!H20</f>
        <v>0</v>
      </c>
      <c r="I174" s="396">
        <f>'After Tax Analysis'!I20</f>
        <v>0</v>
      </c>
      <c r="J174" s="396">
        <f>'After Tax Analysis'!J20</f>
        <v>0</v>
      </c>
      <c r="K174" s="396">
        <f>'After Tax Analysis'!K20</f>
        <v>0</v>
      </c>
      <c r="L174" s="396">
        <f>'After Tax Analysis'!L20</f>
        <v>0</v>
      </c>
      <c r="M174" s="396">
        <f>'After Tax Analysis'!M20</f>
        <v>0</v>
      </c>
      <c r="N174" s="396">
        <f>'After Tax Analysis'!N20</f>
        <v>0</v>
      </c>
      <c r="O174" s="67">
        <v>0</v>
      </c>
      <c r="P174" s="326">
        <f t="shared" si="137"/>
        <v>0</v>
      </c>
      <c r="Q174" s="2">
        <f>'After Tax Analysis'!P20</f>
        <v>0</v>
      </c>
      <c r="S174" s="2"/>
    </row>
    <row r="175" spans="2:19" x14ac:dyDescent="0.15">
      <c r="B175" s="340">
        <v>14</v>
      </c>
      <c r="C175" s="12" t="s">
        <v>304</v>
      </c>
      <c r="D175" s="67">
        <f>D176+D177+D178</f>
        <v>-32550000</v>
      </c>
      <c r="E175" s="67">
        <f t="shared" ref="E175:N175" si="145">E176+E177+E178</f>
        <v>0</v>
      </c>
      <c r="F175" s="67">
        <f t="shared" si="145"/>
        <v>0</v>
      </c>
      <c r="G175" s="67">
        <f t="shared" si="145"/>
        <v>0</v>
      </c>
      <c r="H175" s="67">
        <f t="shared" si="145"/>
        <v>0</v>
      </c>
      <c r="I175" s="67">
        <f t="shared" si="145"/>
        <v>14347035</v>
      </c>
      <c r="J175" s="67">
        <f t="shared" si="145"/>
        <v>0</v>
      </c>
      <c r="K175" s="67">
        <f t="shared" si="145"/>
        <v>0</v>
      </c>
      <c r="L175" s="67">
        <f t="shared" si="145"/>
        <v>0</v>
      </c>
      <c r="M175" s="67">
        <f t="shared" si="145"/>
        <v>0</v>
      </c>
      <c r="N175" s="67">
        <f t="shared" si="145"/>
        <v>0</v>
      </c>
      <c r="O175" s="67">
        <v>0</v>
      </c>
      <c r="P175" s="326">
        <f t="shared" si="137"/>
        <v>-18202965</v>
      </c>
      <c r="Q175" s="2">
        <f>'After Tax Analysis'!P21</f>
        <v>-18202965</v>
      </c>
      <c r="S175" s="2"/>
    </row>
    <row r="176" spans="2:19" x14ac:dyDescent="0.15">
      <c r="B176" s="340" t="s">
        <v>701</v>
      </c>
      <c r="C176" s="12" t="s">
        <v>207</v>
      </c>
      <c r="D176" s="396">
        <f>'After Tax Analysis'!D22</f>
        <v>-31050000</v>
      </c>
      <c r="E176" s="396">
        <f>'After Tax Analysis'!E22</f>
        <v>0</v>
      </c>
      <c r="F176" s="396">
        <f>'After Tax Analysis'!F22</f>
        <v>0</v>
      </c>
      <c r="G176" s="396">
        <f>'After Tax Analysis'!G22</f>
        <v>0</v>
      </c>
      <c r="H176" s="396">
        <f>'After Tax Analysis'!H22</f>
        <v>0</v>
      </c>
      <c r="I176" s="396">
        <f>'After Tax Analysis'!I22</f>
        <v>12847035</v>
      </c>
      <c r="J176" s="396">
        <f>'After Tax Analysis'!J22</f>
        <v>0</v>
      </c>
      <c r="K176" s="396">
        <f>'After Tax Analysis'!K22</f>
        <v>0</v>
      </c>
      <c r="L176" s="396">
        <f>'After Tax Analysis'!L22</f>
        <v>0</v>
      </c>
      <c r="M176" s="396">
        <f>'After Tax Analysis'!M22</f>
        <v>0</v>
      </c>
      <c r="N176" s="396">
        <f>'After Tax Analysis'!N22</f>
        <v>0</v>
      </c>
      <c r="O176" s="67">
        <v>0</v>
      </c>
      <c r="P176" s="326">
        <f t="shared" si="137"/>
        <v>-18202965</v>
      </c>
      <c r="Q176" s="2">
        <f>'After Tax Analysis'!P22</f>
        <v>-18202965</v>
      </c>
      <c r="S176" s="2"/>
    </row>
    <row r="177" spans="1:19" x14ac:dyDescent="0.15">
      <c r="B177" s="340" t="s">
        <v>702</v>
      </c>
      <c r="C177" s="12" t="s">
        <v>307</v>
      </c>
      <c r="D177" s="396">
        <f>'After Tax Analysis'!D23</f>
        <v>-1500000</v>
      </c>
      <c r="E177" s="396">
        <f>'After Tax Analysis'!E23</f>
        <v>0</v>
      </c>
      <c r="F177" s="396">
        <f>'After Tax Analysis'!F23</f>
        <v>0</v>
      </c>
      <c r="G177" s="396">
        <f>'After Tax Analysis'!G23</f>
        <v>0</v>
      </c>
      <c r="H177" s="396">
        <f>'After Tax Analysis'!H23</f>
        <v>0</v>
      </c>
      <c r="I177" s="396">
        <f>'After Tax Analysis'!I23</f>
        <v>1500000</v>
      </c>
      <c r="J177" s="396">
        <f>'After Tax Analysis'!J23</f>
        <v>0</v>
      </c>
      <c r="K177" s="396">
        <f>'After Tax Analysis'!K23</f>
        <v>0</v>
      </c>
      <c r="L177" s="396">
        <f>'After Tax Analysis'!L23</f>
        <v>0</v>
      </c>
      <c r="M177" s="396">
        <f>'After Tax Analysis'!M23</f>
        <v>0</v>
      </c>
      <c r="N177" s="396">
        <f>'After Tax Analysis'!N23</f>
        <v>0</v>
      </c>
      <c r="O177" s="67">
        <v>0</v>
      </c>
      <c r="P177" s="326">
        <f t="shared" si="137"/>
        <v>0</v>
      </c>
      <c r="Q177" s="2">
        <f>'After Tax Analysis'!P23</f>
        <v>0</v>
      </c>
      <c r="S177" s="2"/>
    </row>
    <row r="178" spans="1:19" x14ac:dyDescent="0.15">
      <c r="B178" s="340" t="s">
        <v>703</v>
      </c>
      <c r="C178" s="12" t="s">
        <v>309</v>
      </c>
      <c r="D178" s="396">
        <f>'After Tax Analysis'!D24</f>
        <v>0</v>
      </c>
      <c r="E178" s="396">
        <f>'After Tax Analysis'!E24</f>
        <v>0</v>
      </c>
      <c r="F178" s="396">
        <f>'After Tax Analysis'!F24</f>
        <v>0</v>
      </c>
      <c r="G178" s="396">
        <f>'After Tax Analysis'!G24</f>
        <v>0</v>
      </c>
      <c r="H178" s="396">
        <f>'After Tax Analysis'!H24</f>
        <v>0</v>
      </c>
      <c r="I178" s="396">
        <f>'After Tax Analysis'!I24</f>
        <v>0</v>
      </c>
      <c r="J178" s="396">
        <f>'After Tax Analysis'!J24</f>
        <v>0</v>
      </c>
      <c r="K178" s="396">
        <f>'After Tax Analysis'!K24</f>
        <v>0</v>
      </c>
      <c r="L178" s="396">
        <f>'After Tax Analysis'!L24</f>
        <v>0</v>
      </c>
      <c r="M178" s="396">
        <f>'After Tax Analysis'!M24</f>
        <v>0</v>
      </c>
      <c r="N178" s="396">
        <f>'After Tax Analysis'!N24</f>
        <v>0</v>
      </c>
      <c r="O178" s="67">
        <v>0</v>
      </c>
      <c r="P178" s="326">
        <f t="shared" si="137"/>
        <v>0</v>
      </c>
      <c r="Q178" s="2">
        <f>'After Tax Analysis'!P24</f>
        <v>0</v>
      </c>
      <c r="S178" s="2"/>
    </row>
    <row r="179" spans="1:19" x14ac:dyDescent="0.15">
      <c r="B179" s="340" t="s">
        <v>704</v>
      </c>
      <c r="C179" s="12" t="s">
        <v>311</v>
      </c>
      <c r="D179" s="396">
        <f>'After Tax Analysis'!D25</f>
        <v>0</v>
      </c>
      <c r="E179" s="396">
        <f>'After Tax Analysis'!E25</f>
        <v>0</v>
      </c>
      <c r="F179" s="396">
        <f>'After Tax Analysis'!F25</f>
        <v>0</v>
      </c>
      <c r="G179" s="396">
        <f>'After Tax Analysis'!G25</f>
        <v>0</v>
      </c>
      <c r="H179" s="396">
        <f>'After Tax Analysis'!H25</f>
        <v>0</v>
      </c>
      <c r="I179" s="396">
        <f>'After Tax Analysis'!I25</f>
        <v>-2596968.7000000002</v>
      </c>
      <c r="J179" s="396">
        <f>'After Tax Analysis'!J25</f>
        <v>0</v>
      </c>
      <c r="K179" s="396">
        <f>'After Tax Analysis'!K25</f>
        <v>0</v>
      </c>
      <c r="L179" s="396">
        <f>'After Tax Analysis'!L25</f>
        <v>0</v>
      </c>
      <c r="M179" s="396">
        <f>'After Tax Analysis'!M25</f>
        <v>0</v>
      </c>
      <c r="N179" s="396">
        <f>'After Tax Analysis'!N25</f>
        <v>0</v>
      </c>
      <c r="O179" s="67">
        <v>0</v>
      </c>
      <c r="P179" s="326">
        <f t="shared" si="137"/>
        <v>-2596968.7000000002</v>
      </c>
      <c r="Q179" s="2">
        <f>'After Tax Analysis'!P25</f>
        <v>-2596968.7000000002</v>
      </c>
      <c r="S179" s="2"/>
    </row>
    <row r="180" spans="1:19" ht="14" thickBot="1" x14ac:dyDescent="0.2">
      <c r="B180" s="340" t="s">
        <v>705</v>
      </c>
      <c r="C180" s="12" t="s">
        <v>115</v>
      </c>
      <c r="D180" s="67">
        <f>'After Tax Analysis'!D26</f>
        <v>-60000000</v>
      </c>
      <c r="E180" s="67">
        <f>'After Tax Analysis'!E26</f>
        <v>0</v>
      </c>
      <c r="F180" s="67">
        <f>'After Tax Analysis'!F26</f>
        <v>0</v>
      </c>
      <c r="G180" s="67">
        <f>'After Tax Analysis'!G26</f>
        <v>0</v>
      </c>
      <c r="H180" s="67">
        <f>'After Tax Analysis'!H26</f>
        <v>0</v>
      </c>
      <c r="I180" s="67">
        <f>'After Tax Analysis'!I26</f>
        <v>60000000</v>
      </c>
      <c r="J180" s="67">
        <f>'After Tax Analysis'!J26</f>
        <v>0</v>
      </c>
      <c r="K180" s="67">
        <f>'After Tax Analysis'!K26</f>
        <v>0</v>
      </c>
      <c r="L180" s="67">
        <f>'After Tax Analysis'!L26</f>
        <v>0</v>
      </c>
      <c r="M180" s="67">
        <f>'After Tax Analysis'!M26</f>
        <v>0</v>
      </c>
      <c r="N180" s="67">
        <f>'After Tax Analysis'!N26</f>
        <v>0</v>
      </c>
      <c r="O180" s="67">
        <v>0</v>
      </c>
      <c r="P180" s="326">
        <f t="shared" si="137"/>
        <v>0</v>
      </c>
      <c r="Q180" s="2">
        <f>'After Tax Analysis'!P26</f>
        <v>0</v>
      </c>
      <c r="S180" s="2"/>
    </row>
    <row r="181" spans="1:19" x14ac:dyDescent="0.15">
      <c r="B181" s="340">
        <v>17</v>
      </c>
      <c r="C181" s="12" t="s">
        <v>313</v>
      </c>
      <c r="D181" s="67">
        <f t="shared" ref="D181:N181" si="146">D174+D175+D179+D180</f>
        <v>-92550000</v>
      </c>
      <c r="E181" s="67">
        <f t="shared" si="146"/>
        <v>0</v>
      </c>
      <c r="F181" s="67">
        <f t="shared" si="146"/>
        <v>0</v>
      </c>
      <c r="G181" s="67">
        <f t="shared" si="146"/>
        <v>0</v>
      </c>
      <c r="H181" s="67">
        <f t="shared" si="146"/>
        <v>0</v>
      </c>
      <c r="I181" s="67">
        <f t="shared" si="146"/>
        <v>71750066.299999997</v>
      </c>
      <c r="J181" s="67">
        <f t="shared" si="146"/>
        <v>0</v>
      </c>
      <c r="K181" s="67">
        <f t="shared" si="146"/>
        <v>0</v>
      </c>
      <c r="L181" s="67">
        <f t="shared" si="146"/>
        <v>0</v>
      </c>
      <c r="M181" s="67">
        <f t="shared" si="146"/>
        <v>0</v>
      </c>
      <c r="N181" s="67">
        <f t="shared" si="146"/>
        <v>0</v>
      </c>
      <c r="O181" s="67">
        <v>0</v>
      </c>
      <c r="P181" s="326">
        <f t="shared" si="137"/>
        <v>-20799933.700000003</v>
      </c>
      <c r="Q181" s="2">
        <f>'After Tax Analysis'!P27</f>
        <v>-20799933.700000003</v>
      </c>
      <c r="R181" s="333" t="s">
        <v>693</v>
      </c>
      <c r="S181" s="2"/>
    </row>
    <row r="182" spans="1:19" ht="14" thickBot="1" x14ac:dyDescent="0.2">
      <c r="B182" s="355">
        <v>18</v>
      </c>
      <c r="C182" s="335" t="s">
        <v>314</v>
      </c>
      <c r="D182" s="331">
        <f>D181+D173</f>
        <v>-92550000</v>
      </c>
      <c r="E182" s="331">
        <f>E181+E173</f>
        <v>50012750</v>
      </c>
      <c r="F182" s="331">
        <f t="shared" ref="F182:N182" si="147">F181+F173</f>
        <v>44202792.500000022</v>
      </c>
      <c r="G182" s="331">
        <f t="shared" si="147"/>
        <v>35442192.08412499</v>
      </c>
      <c r="H182" s="331">
        <f t="shared" si="147"/>
        <v>25111356.707490433</v>
      </c>
      <c r="I182" s="331">
        <f t="shared" si="147"/>
        <v>84401062.478848949</v>
      </c>
      <c r="J182" s="331">
        <f t="shared" si="147"/>
        <v>0</v>
      </c>
      <c r="K182" s="331">
        <f t="shared" si="147"/>
        <v>0</v>
      </c>
      <c r="L182" s="331">
        <f t="shared" si="147"/>
        <v>0</v>
      </c>
      <c r="M182" s="331">
        <f t="shared" si="147"/>
        <v>0</v>
      </c>
      <c r="N182" s="331">
        <f t="shared" si="147"/>
        <v>0</v>
      </c>
      <c r="O182" s="331">
        <v>0</v>
      </c>
      <c r="P182" s="326">
        <f t="shared" si="137"/>
        <v>146620153.77046439</v>
      </c>
      <c r="Q182" s="2">
        <f>'After Tax Analysis'!P28</f>
        <v>146620153.77046439</v>
      </c>
      <c r="R182" s="338">
        <f>IF(ISNUMBER(IRR(D182:N182)),IRR(D182:N182),"NMF")</f>
        <v>0.40549033935008683</v>
      </c>
      <c r="S182" s="353" t="str">
        <f>A159</f>
        <v>Base Case</v>
      </c>
    </row>
    <row r="183" spans="1:19" x14ac:dyDescent="0.15">
      <c r="B183" s="340">
        <v>19</v>
      </c>
      <c r="C183" s="12" t="s">
        <v>315</v>
      </c>
      <c r="D183" s="53">
        <v>1</v>
      </c>
      <c r="E183" s="53">
        <v>0.86956521739130443</v>
      </c>
      <c r="F183" s="53">
        <v>0.7561436672967865</v>
      </c>
      <c r="G183" s="53">
        <v>0.65751623243198831</v>
      </c>
      <c r="H183" s="53">
        <v>0.57175324559303342</v>
      </c>
      <c r="I183" s="53">
        <v>0.49717673529828987</v>
      </c>
      <c r="J183" s="53">
        <v>0.43232759591155645</v>
      </c>
      <c r="K183" s="53">
        <v>0.37593703992309269</v>
      </c>
      <c r="L183" s="53">
        <v>0.32690177384616753</v>
      </c>
      <c r="M183" s="53">
        <v>0.28426241204014574</v>
      </c>
      <c r="N183" s="53">
        <v>0.24718470612186585</v>
      </c>
      <c r="O183" s="67">
        <v>0</v>
      </c>
      <c r="P183" s="326">
        <f t="shared" si="137"/>
        <v>6.0187686258542321</v>
      </c>
      <c r="Q183" s="2">
        <f>'After Tax Analysis'!P30</f>
        <v>5.8332274784574745</v>
      </c>
      <c r="S183" s="2"/>
    </row>
    <row r="184" spans="1:19" x14ac:dyDescent="0.15">
      <c r="B184" s="340">
        <v>20</v>
      </c>
      <c r="C184" s="12" t="s">
        <v>316</v>
      </c>
      <c r="D184" s="67">
        <f>D183+D182</f>
        <v>-92549999</v>
      </c>
      <c r="E184" s="67">
        <v>-32470546.086956523</v>
      </c>
      <c r="F184" s="67">
        <v>-32470545.086956501</v>
      </c>
      <c r="G184" s="67">
        <v>-32470544.086956501</v>
      </c>
      <c r="H184" s="67">
        <v>-32470543.086956501</v>
      </c>
      <c r="I184" s="67">
        <v>-32470542.086956501</v>
      </c>
      <c r="J184" s="67">
        <v>-32470541.086956501</v>
      </c>
      <c r="K184" s="67">
        <v>-32470540.086956501</v>
      </c>
      <c r="L184" s="67">
        <v>-32470539.086956501</v>
      </c>
      <c r="M184" s="67">
        <v>-32470538.086956501</v>
      </c>
      <c r="N184" s="67">
        <v>-32470537.086956501</v>
      </c>
      <c r="O184" s="67">
        <v>0</v>
      </c>
      <c r="P184" s="326">
        <f t="shared" si="137"/>
        <v>-417255414.86956501</v>
      </c>
      <c r="Q184" s="2">
        <f>'After Tax Analysis'!P31</f>
        <v>60173850.627423033</v>
      </c>
      <c r="S184" s="2"/>
    </row>
    <row r="185" spans="1:19" ht="14" thickBot="1" x14ac:dyDescent="0.2">
      <c r="B185" s="341">
        <v>21</v>
      </c>
      <c r="C185" s="201" t="s">
        <v>317</v>
      </c>
      <c r="D185" s="327">
        <f>D184</f>
        <v>-92549999</v>
      </c>
      <c r="E185" s="327">
        <f>E184+D185</f>
        <v>-125020545.08695653</v>
      </c>
      <c r="F185" s="327">
        <f t="shared" ref="F185:N185" si="148">F184+E185</f>
        <v>-157491090.17391303</v>
      </c>
      <c r="G185" s="327">
        <f t="shared" si="148"/>
        <v>-189961634.26086953</v>
      </c>
      <c r="H185" s="327">
        <f t="shared" si="148"/>
        <v>-222432177.34782603</v>
      </c>
      <c r="I185" s="327">
        <f t="shared" si="148"/>
        <v>-254902719.43478253</v>
      </c>
      <c r="J185" s="327">
        <f t="shared" si="148"/>
        <v>-287373260.52173901</v>
      </c>
      <c r="K185" s="327">
        <f t="shared" si="148"/>
        <v>-319843800.60869551</v>
      </c>
      <c r="L185" s="327">
        <f t="shared" si="148"/>
        <v>-352314339.69565201</v>
      </c>
      <c r="M185" s="327">
        <f t="shared" si="148"/>
        <v>-384784877.78260851</v>
      </c>
      <c r="N185" s="327">
        <f t="shared" si="148"/>
        <v>-417255414.86956501</v>
      </c>
      <c r="O185" s="327">
        <v>0</v>
      </c>
      <c r="P185" s="326">
        <f t="shared" si="137"/>
        <v>-2803929858.7826076</v>
      </c>
      <c r="Q185" s="2">
        <f>'After Tax Analysis'!P32</f>
        <v>0</v>
      </c>
      <c r="S185" s="2"/>
    </row>
    <row r="186" spans="1:19" x14ac:dyDescent="0.15">
      <c r="B186" t="s">
        <v>717</v>
      </c>
      <c r="D186" s="2">
        <f>'After Tax Analysis'!D28</f>
        <v>-92550000</v>
      </c>
      <c r="E186" s="2">
        <f>'After Tax Analysis'!E28</f>
        <v>50012750</v>
      </c>
      <c r="F186" s="2">
        <f>'After Tax Analysis'!F28</f>
        <v>44202792.500000022</v>
      </c>
      <c r="G186" s="2">
        <f>'After Tax Analysis'!G28</f>
        <v>35442192.08412499</v>
      </c>
      <c r="H186" s="2">
        <f>'After Tax Analysis'!H28</f>
        <v>25111356.707490433</v>
      </c>
      <c r="I186" s="2">
        <f>'After Tax Analysis'!I28</f>
        <v>84401062.478848949</v>
      </c>
      <c r="J186" s="2">
        <f>'After Tax Analysis'!J28</f>
        <v>0</v>
      </c>
      <c r="K186" s="2">
        <f>'After Tax Analysis'!K28</f>
        <v>0</v>
      </c>
      <c r="L186" s="2">
        <f>'After Tax Analysis'!L28</f>
        <v>0</v>
      </c>
      <c r="M186" s="2">
        <f>'After Tax Analysis'!M28</f>
        <v>0</v>
      </c>
      <c r="N186" s="2">
        <f>'After Tax Analysis'!N28</f>
        <v>0</v>
      </c>
      <c r="O186" s="2">
        <f>'After Tax Analysis'!O28</f>
        <v>0</v>
      </c>
      <c r="P186" s="2">
        <f>'After Tax Analysis'!P28</f>
        <v>146620153.77046439</v>
      </c>
      <c r="Q186" s="2"/>
      <c r="S186" s="2"/>
    </row>
    <row r="187" spans="1:19" ht="14" thickBot="1" x14ac:dyDescent="0.2">
      <c r="S187" s="2"/>
    </row>
    <row r="188" spans="1:19" ht="14" thickBot="1" x14ac:dyDescent="0.2">
      <c r="B188" s="359" t="s">
        <v>282</v>
      </c>
      <c r="C188" s="360" t="s">
        <v>283</v>
      </c>
      <c r="D188" s="360"/>
      <c r="E188" s="360">
        <v>1</v>
      </c>
      <c r="F188" s="360">
        <v>2</v>
      </c>
      <c r="G188" s="360">
        <v>3</v>
      </c>
      <c r="H188" s="360">
        <v>4</v>
      </c>
      <c r="I188" s="360">
        <v>5</v>
      </c>
      <c r="J188" s="360">
        <v>6</v>
      </c>
      <c r="K188" s="360">
        <v>7</v>
      </c>
      <c r="L188" s="360">
        <v>8</v>
      </c>
      <c r="M188" s="360">
        <v>9</v>
      </c>
      <c r="N188" s="360">
        <v>10</v>
      </c>
      <c r="O188" s="360" t="s">
        <v>284</v>
      </c>
      <c r="P188" s="361" t="s">
        <v>285</v>
      </c>
      <c r="S188" s="2"/>
    </row>
    <row r="189" spans="1:19" x14ac:dyDescent="0.15">
      <c r="B189" s="339" t="s">
        <v>687</v>
      </c>
      <c r="C189" s="302" t="s">
        <v>287</v>
      </c>
      <c r="D189" s="322">
        <f t="shared" ref="D189:D204" si="149">D158</f>
        <v>0</v>
      </c>
      <c r="E189" s="322">
        <f t="shared" ref="E189:N189" si="150">E158</f>
        <v>300000000</v>
      </c>
      <c r="F189" s="322">
        <f t="shared" si="150"/>
        <v>313500000.00000006</v>
      </c>
      <c r="G189" s="322">
        <f t="shared" si="150"/>
        <v>327607500.00000006</v>
      </c>
      <c r="H189" s="322">
        <f t="shared" si="150"/>
        <v>342349837.50000012</v>
      </c>
      <c r="I189" s="322">
        <f t="shared" si="150"/>
        <v>357755580.18750012</v>
      </c>
      <c r="J189" s="322">
        <f t="shared" si="150"/>
        <v>0</v>
      </c>
      <c r="K189" s="322">
        <f t="shared" si="150"/>
        <v>0</v>
      </c>
      <c r="L189" s="322">
        <f t="shared" si="150"/>
        <v>0</v>
      </c>
      <c r="M189" s="322">
        <f t="shared" si="150"/>
        <v>0</v>
      </c>
      <c r="N189" s="322">
        <f t="shared" si="150"/>
        <v>0</v>
      </c>
      <c r="O189" s="322">
        <v>0</v>
      </c>
      <c r="P189" s="325">
        <f>SUM(E189:N189)</f>
        <v>1641212917.6875</v>
      </c>
      <c r="Q189" s="2"/>
      <c r="S189" s="2"/>
    </row>
    <row r="190" spans="1:19" x14ac:dyDescent="0.15">
      <c r="A190" s="1" t="s">
        <v>709</v>
      </c>
      <c r="B190" s="340" t="s">
        <v>689</v>
      </c>
      <c r="C190" s="354" t="s">
        <v>689</v>
      </c>
      <c r="D190" s="67">
        <f t="shared" si="149"/>
        <v>0</v>
      </c>
      <c r="E190" s="67">
        <f>E159</f>
        <v>300000000</v>
      </c>
      <c r="F190" s="67">
        <f t="shared" ref="F190:N190" si="151">F159</f>
        <v>313500000.00000006</v>
      </c>
      <c r="G190" s="67">
        <f t="shared" si="151"/>
        <v>327607500.00000006</v>
      </c>
      <c r="H190" s="67">
        <f t="shared" si="151"/>
        <v>342349837.50000012</v>
      </c>
      <c r="I190" s="67">
        <f t="shared" si="151"/>
        <v>357755580.18750012</v>
      </c>
      <c r="J190" s="67">
        <f t="shared" si="151"/>
        <v>0</v>
      </c>
      <c r="K190" s="67">
        <f t="shared" si="151"/>
        <v>0</v>
      </c>
      <c r="L190" s="67">
        <f t="shared" si="151"/>
        <v>0</v>
      </c>
      <c r="M190" s="67">
        <f t="shared" si="151"/>
        <v>0</v>
      </c>
      <c r="N190" s="67">
        <f t="shared" si="151"/>
        <v>0</v>
      </c>
      <c r="O190" s="67"/>
      <c r="P190" s="326">
        <f t="shared" ref="P190:P213" si="152">SUM(E190:N190)</f>
        <v>1641212917.6875</v>
      </c>
      <c r="Q190" s="2"/>
      <c r="S190" s="2"/>
    </row>
    <row r="191" spans="1:19" x14ac:dyDescent="0.15">
      <c r="B191" s="355" t="s">
        <v>690</v>
      </c>
      <c r="C191" s="362" t="s">
        <v>690</v>
      </c>
      <c r="D191" s="331">
        <f t="shared" si="149"/>
        <v>0</v>
      </c>
      <c r="E191" s="331">
        <f>E160*1.05</f>
        <v>0</v>
      </c>
      <c r="F191" s="331">
        <f t="shared" ref="F191:N191" si="153">F160*1.05</f>
        <v>0</v>
      </c>
      <c r="G191" s="331">
        <f t="shared" si="153"/>
        <v>0</v>
      </c>
      <c r="H191" s="331">
        <f t="shared" si="153"/>
        <v>0</v>
      </c>
      <c r="I191" s="331">
        <f t="shared" si="153"/>
        <v>0</v>
      </c>
      <c r="J191" s="331">
        <f t="shared" si="153"/>
        <v>0</v>
      </c>
      <c r="K191" s="331">
        <f t="shared" si="153"/>
        <v>0</v>
      </c>
      <c r="L191" s="331">
        <f t="shared" si="153"/>
        <v>0</v>
      </c>
      <c r="M191" s="331">
        <f t="shared" si="153"/>
        <v>0</v>
      </c>
      <c r="N191" s="331">
        <f t="shared" si="153"/>
        <v>0</v>
      </c>
      <c r="O191" s="363"/>
      <c r="P191" s="356">
        <f t="shared" si="152"/>
        <v>0</v>
      </c>
      <c r="Q191" s="460"/>
      <c r="S191" s="2"/>
    </row>
    <row r="192" spans="1:19" x14ac:dyDescent="0.15">
      <c r="B192" s="340" t="s">
        <v>691</v>
      </c>
      <c r="C192" s="354" t="s">
        <v>691</v>
      </c>
      <c r="D192" s="67">
        <f t="shared" si="149"/>
        <v>0</v>
      </c>
      <c r="E192" s="67">
        <f>E161</f>
        <v>0</v>
      </c>
      <c r="F192" s="67">
        <f t="shared" ref="F192:N192" si="154">F161</f>
        <v>0</v>
      </c>
      <c r="G192" s="67">
        <f t="shared" si="154"/>
        <v>0</v>
      </c>
      <c r="H192" s="67">
        <f t="shared" si="154"/>
        <v>0</v>
      </c>
      <c r="I192" s="67">
        <f t="shared" si="154"/>
        <v>0</v>
      </c>
      <c r="J192" s="67">
        <f t="shared" si="154"/>
        <v>0</v>
      </c>
      <c r="K192" s="67">
        <f t="shared" si="154"/>
        <v>0</v>
      </c>
      <c r="L192" s="67">
        <f t="shared" si="154"/>
        <v>0</v>
      </c>
      <c r="M192" s="67">
        <f t="shared" si="154"/>
        <v>0</v>
      </c>
      <c r="N192" s="67">
        <f t="shared" si="154"/>
        <v>0</v>
      </c>
      <c r="O192" s="67"/>
      <c r="P192" s="326">
        <f t="shared" si="152"/>
        <v>0</v>
      </c>
      <c r="Q192" s="2"/>
      <c r="S192" s="2"/>
    </row>
    <row r="193" spans="2:19" x14ac:dyDescent="0.15">
      <c r="B193" s="340" t="s">
        <v>695</v>
      </c>
      <c r="C193" s="12"/>
      <c r="D193" s="67">
        <f t="shared" si="149"/>
        <v>0</v>
      </c>
      <c r="E193" s="67">
        <f>E190+E191+E192</f>
        <v>300000000</v>
      </c>
      <c r="F193" s="67">
        <f t="shared" ref="F193:N193" si="155">F190+F191+F192</f>
        <v>313500000.00000006</v>
      </c>
      <c r="G193" s="67">
        <f t="shared" si="155"/>
        <v>327607500.00000006</v>
      </c>
      <c r="H193" s="67">
        <f t="shared" si="155"/>
        <v>342349837.50000012</v>
      </c>
      <c r="I193" s="67">
        <f t="shared" si="155"/>
        <v>357755580.18750012</v>
      </c>
      <c r="J193" s="67">
        <f t="shared" si="155"/>
        <v>0</v>
      </c>
      <c r="K193" s="67">
        <f t="shared" si="155"/>
        <v>0</v>
      </c>
      <c r="L193" s="67">
        <f t="shared" si="155"/>
        <v>0</v>
      </c>
      <c r="M193" s="67">
        <f t="shared" si="155"/>
        <v>0</v>
      </c>
      <c r="N193" s="67">
        <f t="shared" si="155"/>
        <v>0</v>
      </c>
      <c r="O193" s="67"/>
      <c r="P193" s="326">
        <f t="shared" si="152"/>
        <v>1641212917.6875</v>
      </c>
      <c r="Q193" s="2"/>
      <c r="S193" s="2"/>
    </row>
    <row r="194" spans="2:19" x14ac:dyDescent="0.15">
      <c r="B194" s="340" t="s">
        <v>696</v>
      </c>
      <c r="C194" s="12" t="s">
        <v>289</v>
      </c>
      <c r="D194" s="67">
        <f t="shared" si="149"/>
        <v>0</v>
      </c>
      <c r="E194" s="67">
        <f t="shared" ref="E194:N194" si="156">E163</f>
        <v>230170000</v>
      </c>
      <c r="F194" s="67">
        <f t="shared" si="156"/>
        <v>253018375.00000003</v>
      </c>
      <c r="G194" s="67">
        <f t="shared" si="156"/>
        <v>278725718.45125008</v>
      </c>
      <c r="H194" s="67">
        <f t="shared" si="156"/>
        <v>307665975.06072807</v>
      </c>
      <c r="I194" s="67">
        <f t="shared" si="156"/>
        <v>340262566.36057305</v>
      </c>
      <c r="J194" s="67">
        <f t="shared" si="156"/>
        <v>0</v>
      </c>
      <c r="K194" s="67">
        <f t="shared" si="156"/>
        <v>0</v>
      </c>
      <c r="L194" s="67">
        <f t="shared" si="156"/>
        <v>0</v>
      </c>
      <c r="M194" s="67">
        <f t="shared" si="156"/>
        <v>0</v>
      </c>
      <c r="N194" s="67">
        <f t="shared" si="156"/>
        <v>0</v>
      </c>
      <c r="O194" s="67">
        <v>0</v>
      </c>
      <c r="P194" s="326">
        <f t="shared" si="152"/>
        <v>1409842634.8725512</v>
      </c>
      <c r="Q194" s="2"/>
      <c r="S194" s="2"/>
    </row>
    <row r="195" spans="2:19" x14ac:dyDescent="0.15">
      <c r="B195" s="340">
        <v>3</v>
      </c>
      <c r="C195" s="12" t="s">
        <v>290</v>
      </c>
      <c r="D195" s="67">
        <f t="shared" si="149"/>
        <v>0</v>
      </c>
      <c r="E195" s="67">
        <f>E193-E194</f>
        <v>69830000</v>
      </c>
      <c r="F195" s="67">
        <f t="shared" ref="F195:N195" si="157">F193-F194</f>
        <v>60481625.00000003</v>
      </c>
      <c r="G195" s="67">
        <f t="shared" si="157"/>
        <v>48881781.548749983</v>
      </c>
      <c r="H195" s="67">
        <f t="shared" si="157"/>
        <v>34683862.439272046</v>
      </c>
      <c r="I195" s="67">
        <f t="shared" si="157"/>
        <v>17493013.826927066</v>
      </c>
      <c r="J195" s="67">
        <f t="shared" si="157"/>
        <v>0</v>
      </c>
      <c r="K195" s="67">
        <f t="shared" si="157"/>
        <v>0</v>
      </c>
      <c r="L195" s="67">
        <f t="shared" si="157"/>
        <v>0</v>
      </c>
      <c r="M195" s="67">
        <f t="shared" si="157"/>
        <v>0</v>
      </c>
      <c r="N195" s="67">
        <f t="shared" si="157"/>
        <v>0</v>
      </c>
      <c r="O195" s="67">
        <v>0</v>
      </c>
      <c r="P195" s="326">
        <f t="shared" si="152"/>
        <v>231370282.81494913</v>
      </c>
      <c r="Q195" s="2"/>
      <c r="S195" s="2"/>
    </row>
    <row r="196" spans="2:19" x14ac:dyDescent="0.15">
      <c r="B196" s="340" t="s">
        <v>697</v>
      </c>
      <c r="C196" s="12" t="s">
        <v>292</v>
      </c>
      <c r="D196" s="67">
        <f t="shared" si="149"/>
        <v>0</v>
      </c>
      <c r="E196" s="67">
        <f>E165</f>
        <v>3772500</v>
      </c>
      <c r="F196" s="67">
        <f t="shared" ref="F196:N196" si="158">F165</f>
        <v>6218850</v>
      </c>
      <c r="G196" s="67">
        <f t="shared" si="158"/>
        <v>4083150</v>
      </c>
      <c r="H196" s="67">
        <f t="shared" si="158"/>
        <v>2775510</v>
      </c>
      <c r="I196" s="67">
        <f t="shared" si="158"/>
        <v>1352955</v>
      </c>
      <c r="J196" s="67">
        <f t="shared" si="158"/>
        <v>0</v>
      </c>
      <c r="K196" s="67">
        <f t="shared" si="158"/>
        <v>0</v>
      </c>
      <c r="L196" s="67">
        <f t="shared" si="158"/>
        <v>0</v>
      </c>
      <c r="M196" s="67">
        <f t="shared" si="158"/>
        <v>0</v>
      </c>
      <c r="N196" s="67">
        <f t="shared" si="158"/>
        <v>0</v>
      </c>
      <c r="O196" s="67">
        <v>0</v>
      </c>
      <c r="P196" s="326">
        <f t="shared" si="152"/>
        <v>18202965</v>
      </c>
      <c r="Q196" s="2"/>
      <c r="S196" s="2"/>
    </row>
    <row r="197" spans="2:19" x14ac:dyDescent="0.15">
      <c r="B197" s="340">
        <v>5</v>
      </c>
      <c r="C197" s="12" t="s">
        <v>293</v>
      </c>
      <c r="D197" s="67">
        <f t="shared" si="149"/>
        <v>0</v>
      </c>
      <c r="E197" s="67">
        <f>E195-E196</f>
        <v>66057500</v>
      </c>
      <c r="F197" s="67">
        <f t="shared" ref="F197:N197" si="159">F195-F196</f>
        <v>54262775.00000003</v>
      </c>
      <c r="G197" s="67">
        <f t="shared" si="159"/>
        <v>44798631.548749983</v>
      </c>
      <c r="H197" s="67">
        <f t="shared" si="159"/>
        <v>31908352.439272046</v>
      </c>
      <c r="I197" s="67">
        <f t="shared" si="159"/>
        <v>16140058.826927066</v>
      </c>
      <c r="J197" s="67">
        <f t="shared" si="159"/>
        <v>0</v>
      </c>
      <c r="K197" s="67">
        <f t="shared" si="159"/>
        <v>0</v>
      </c>
      <c r="L197" s="67">
        <f t="shared" si="159"/>
        <v>0</v>
      </c>
      <c r="M197" s="67">
        <f t="shared" si="159"/>
        <v>0</v>
      </c>
      <c r="N197" s="67">
        <f t="shared" si="159"/>
        <v>0</v>
      </c>
      <c r="O197" s="67">
        <v>0</v>
      </c>
      <c r="P197" s="326">
        <f t="shared" si="152"/>
        <v>213167317.81494913</v>
      </c>
      <c r="Q197" s="2"/>
      <c r="S197" s="2"/>
    </row>
    <row r="198" spans="2:19" x14ac:dyDescent="0.15">
      <c r="B198" s="340" t="s">
        <v>698</v>
      </c>
      <c r="C198" s="12" t="s">
        <v>295</v>
      </c>
      <c r="D198" s="67">
        <f t="shared" si="149"/>
        <v>0</v>
      </c>
      <c r="E198" s="67">
        <f>E167</f>
        <v>0</v>
      </c>
      <c r="F198" s="67">
        <f t="shared" ref="F198:N198" si="160">F167</f>
        <v>0</v>
      </c>
      <c r="G198" s="67">
        <f t="shared" si="160"/>
        <v>0</v>
      </c>
      <c r="H198" s="67">
        <f t="shared" si="160"/>
        <v>0</v>
      </c>
      <c r="I198" s="67">
        <f t="shared" si="160"/>
        <v>0</v>
      </c>
      <c r="J198" s="67">
        <f t="shared" si="160"/>
        <v>0</v>
      </c>
      <c r="K198" s="67">
        <f t="shared" si="160"/>
        <v>0</v>
      </c>
      <c r="L198" s="67">
        <f t="shared" si="160"/>
        <v>0</v>
      </c>
      <c r="M198" s="67">
        <f t="shared" si="160"/>
        <v>0</v>
      </c>
      <c r="N198" s="67">
        <f t="shared" si="160"/>
        <v>0</v>
      </c>
      <c r="O198" s="67">
        <v>0</v>
      </c>
      <c r="P198" s="326">
        <f t="shared" si="152"/>
        <v>0</v>
      </c>
      <c r="Q198" s="2"/>
      <c r="S198" s="2"/>
    </row>
    <row r="199" spans="2:19" x14ac:dyDescent="0.15">
      <c r="B199" s="340">
        <v>7</v>
      </c>
      <c r="C199" s="12" t="s">
        <v>296</v>
      </c>
      <c r="D199" s="67">
        <f t="shared" si="149"/>
        <v>0</v>
      </c>
      <c r="E199" s="67">
        <f>E197-E198</f>
        <v>66057500</v>
      </c>
      <c r="F199" s="67">
        <f t="shared" ref="F199:N199" si="161">F197-F198</f>
        <v>54262775.00000003</v>
      </c>
      <c r="G199" s="67">
        <f t="shared" si="161"/>
        <v>44798631.548749983</v>
      </c>
      <c r="H199" s="67">
        <f t="shared" si="161"/>
        <v>31908352.439272046</v>
      </c>
      <c r="I199" s="67">
        <f t="shared" si="161"/>
        <v>16140058.826927066</v>
      </c>
      <c r="J199" s="67">
        <f t="shared" si="161"/>
        <v>0</v>
      </c>
      <c r="K199" s="67">
        <f t="shared" si="161"/>
        <v>0</v>
      </c>
      <c r="L199" s="67">
        <f t="shared" si="161"/>
        <v>0</v>
      </c>
      <c r="M199" s="67">
        <f t="shared" si="161"/>
        <v>0</v>
      </c>
      <c r="N199" s="67">
        <f t="shared" si="161"/>
        <v>0</v>
      </c>
      <c r="O199" s="67">
        <v>0</v>
      </c>
      <c r="P199" s="326">
        <f t="shared" si="152"/>
        <v>213167317.81494913</v>
      </c>
      <c r="Q199" s="2"/>
      <c r="S199" s="2"/>
    </row>
    <row r="200" spans="2:19" x14ac:dyDescent="0.15">
      <c r="B200" s="340">
        <v>8</v>
      </c>
      <c r="C200" s="12" t="s">
        <v>297</v>
      </c>
      <c r="D200" s="67">
        <f t="shared" si="149"/>
        <v>0</v>
      </c>
      <c r="E200" s="67">
        <f>-E199*$D$3</f>
        <v>-19817250</v>
      </c>
      <c r="F200" s="67">
        <f t="shared" ref="F200:N200" si="162">-F199*$D$3</f>
        <v>-16278832.500000007</v>
      </c>
      <c r="G200" s="67">
        <f t="shared" si="162"/>
        <v>-13439589.464624995</v>
      </c>
      <c r="H200" s="67">
        <f t="shared" si="162"/>
        <v>-9572505.7317816131</v>
      </c>
      <c r="I200" s="67">
        <f t="shared" si="162"/>
        <v>-4842017.6480781194</v>
      </c>
      <c r="J200" s="67">
        <f t="shared" si="162"/>
        <v>0</v>
      </c>
      <c r="K200" s="67">
        <f t="shared" si="162"/>
        <v>0</v>
      </c>
      <c r="L200" s="67">
        <f t="shared" si="162"/>
        <v>0</v>
      </c>
      <c r="M200" s="67">
        <f t="shared" si="162"/>
        <v>0</v>
      </c>
      <c r="N200" s="67">
        <f t="shared" si="162"/>
        <v>0</v>
      </c>
      <c r="O200" s="67">
        <v>0</v>
      </c>
      <c r="P200" s="326">
        <f t="shared" si="152"/>
        <v>-63950195.344484739</v>
      </c>
      <c r="Q200" s="2"/>
      <c r="S200" s="2"/>
    </row>
    <row r="201" spans="2:19" x14ac:dyDescent="0.15">
      <c r="B201" s="340">
        <v>9</v>
      </c>
      <c r="C201" s="12" t="s">
        <v>298</v>
      </c>
      <c r="D201" s="67">
        <f t="shared" si="149"/>
        <v>0</v>
      </c>
      <c r="E201" s="67">
        <f>E170</f>
        <v>0</v>
      </c>
      <c r="F201" s="67">
        <f t="shared" ref="F201:N201" si="163">F170</f>
        <v>0</v>
      </c>
      <c r="G201" s="67">
        <f t="shared" si="163"/>
        <v>0</v>
      </c>
      <c r="H201" s="67">
        <f t="shared" si="163"/>
        <v>0</v>
      </c>
      <c r="I201" s="67">
        <f t="shared" si="163"/>
        <v>0</v>
      </c>
      <c r="J201" s="67">
        <f t="shared" si="163"/>
        <v>0</v>
      </c>
      <c r="K201" s="67">
        <f t="shared" si="163"/>
        <v>0</v>
      </c>
      <c r="L201" s="67">
        <f t="shared" si="163"/>
        <v>0</v>
      </c>
      <c r="M201" s="67">
        <f t="shared" si="163"/>
        <v>0</v>
      </c>
      <c r="N201" s="67">
        <f t="shared" si="163"/>
        <v>0</v>
      </c>
      <c r="O201" s="67">
        <v>0</v>
      </c>
      <c r="P201" s="326">
        <f t="shared" si="152"/>
        <v>0</v>
      </c>
      <c r="Q201" s="2"/>
      <c r="S201" s="2"/>
    </row>
    <row r="202" spans="2:19" x14ac:dyDescent="0.15">
      <c r="B202" s="340">
        <v>10</v>
      </c>
      <c r="C202" s="12" t="s">
        <v>299</v>
      </c>
      <c r="D202" s="67">
        <f t="shared" si="149"/>
        <v>0</v>
      </c>
      <c r="E202" s="67">
        <f>E199+E200+E201</f>
        <v>46240250</v>
      </c>
      <c r="F202" s="67">
        <f t="shared" ref="F202:N202" si="164">F199+F200+F201</f>
        <v>37983942.500000022</v>
      </c>
      <c r="G202" s="67">
        <f t="shared" si="164"/>
        <v>31359042.08412499</v>
      </c>
      <c r="H202" s="67">
        <f t="shared" si="164"/>
        <v>22335846.707490433</v>
      </c>
      <c r="I202" s="67">
        <f t="shared" si="164"/>
        <v>11298041.178848946</v>
      </c>
      <c r="J202" s="67">
        <f t="shared" si="164"/>
        <v>0</v>
      </c>
      <c r="K202" s="67">
        <f t="shared" si="164"/>
        <v>0</v>
      </c>
      <c r="L202" s="67">
        <f t="shared" si="164"/>
        <v>0</v>
      </c>
      <c r="M202" s="67">
        <f t="shared" si="164"/>
        <v>0</v>
      </c>
      <c r="N202" s="67">
        <f t="shared" si="164"/>
        <v>0</v>
      </c>
      <c r="O202" s="67">
        <v>0</v>
      </c>
      <c r="P202" s="326">
        <f t="shared" si="152"/>
        <v>149217122.47046441</v>
      </c>
      <c r="Q202" s="2"/>
      <c r="S202" s="2"/>
    </row>
    <row r="203" spans="2:19" x14ac:dyDescent="0.15">
      <c r="B203" s="340" t="s">
        <v>699</v>
      </c>
      <c r="C203" s="12" t="s">
        <v>292</v>
      </c>
      <c r="D203" s="67">
        <f t="shared" si="149"/>
        <v>0</v>
      </c>
      <c r="E203" s="67">
        <f>E172</f>
        <v>3772500</v>
      </c>
      <c r="F203" s="67">
        <f t="shared" ref="F203:N203" si="165">F172</f>
        <v>6218850</v>
      </c>
      <c r="G203" s="67">
        <f t="shared" si="165"/>
        <v>4083150</v>
      </c>
      <c r="H203" s="67">
        <f t="shared" si="165"/>
        <v>2775510</v>
      </c>
      <c r="I203" s="67">
        <f t="shared" si="165"/>
        <v>1352955</v>
      </c>
      <c r="J203" s="67">
        <f t="shared" si="165"/>
        <v>0</v>
      </c>
      <c r="K203" s="67">
        <f t="shared" si="165"/>
        <v>0</v>
      </c>
      <c r="L203" s="67">
        <f t="shared" si="165"/>
        <v>0</v>
      </c>
      <c r="M203" s="67">
        <f t="shared" si="165"/>
        <v>0</v>
      </c>
      <c r="N203" s="67">
        <f t="shared" si="165"/>
        <v>0</v>
      </c>
      <c r="O203" s="67">
        <v>0</v>
      </c>
      <c r="P203" s="326">
        <f t="shared" si="152"/>
        <v>18202965</v>
      </c>
      <c r="Q203" s="2"/>
      <c r="S203" s="2"/>
    </row>
    <row r="204" spans="2:19" x14ac:dyDescent="0.15">
      <c r="B204" s="340">
        <v>12</v>
      </c>
      <c r="C204" s="12" t="s">
        <v>301</v>
      </c>
      <c r="D204" s="67">
        <f t="shared" si="149"/>
        <v>0</v>
      </c>
      <c r="E204" s="67">
        <f>E202+E203</f>
        <v>50012750</v>
      </c>
      <c r="F204" s="67">
        <f t="shared" ref="F204:N204" si="166">F202+F203</f>
        <v>44202792.500000022</v>
      </c>
      <c r="G204" s="67">
        <f t="shared" si="166"/>
        <v>35442192.08412499</v>
      </c>
      <c r="H204" s="67">
        <f t="shared" si="166"/>
        <v>25111356.707490433</v>
      </c>
      <c r="I204" s="67">
        <f t="shared" si="166"/>
        <v>12650996.178848946</v>
      </c>
      <c r="J204" s="67">
        <f t="shared" si="166"/>
        <v>0</v>
      </c>
      <c r="K204" s="67">
        <f t="shared" si="166"/>
        <v>0</v>
      </c>
      <c r="L204" s="67">
        <f t="shared" si="166"/>
        <v>0</v>
      </c>
      <c r="M204" s="67">
        <f t="shared" si="166"/>
        <v>0</v>
      </c>
      <c r="N204" s="67">
        <f t="shared" si="166"/>
        <v>0</v>
      </c>
      <c r="O204" s="67">
        <v>0</v>
      </c>
      <c r="P204" s="326">
        <f t="shared" si="152"/>
        <v>167420087.47046441</v>
      </c>
      <c r="Q204" s="2"/>
      <c r="S204" s="2"/>
    </row>
    <row r="205" spans="2:19" x14ac:dyDescent="0.15">
      <c r="B205" s="340" t="s">
        <v>700</v>
      </c>
      <c r="C205" s="12" t="s">
        <v>303</v>
      </c>
      <c r="D205" s="67">
        <v>0</v>
      </c>
      <c r="E205" s="67">
        <f t="shared" ref="E205:N205" si="167">E174</f>
        <v>0</v>
      </c>
      <c r="F205" s="67">
        <f t="shared" si="167"/>
        <v>0</v>
      </c>
      <c r="G205" s="67">
        <f t="shared" si="167"/>
        <v>0</v>
      </c>
      <c r="H205" s="67">
        <f t="shared" si="167"/>
        <v>0</v>
      </c>
      <c r="I205" s="67">
        <f t="shared" si="167"/>
        <v>0</v>
      </c>
      <c r="J205" s="67">
        <f t="shared" si="167"/>
        <v>0</v>
      </c>
      <c r="K205" s="67">
        <f t="shared" si="167"/>
        <v>0</v>
      </c>
      <c r="L205" s="67">
        <f t="shared" si="167"/>
        <v>0</v>
      </c>
      <c r="M205" s="67">
        <f t="shared" si="167"/>
        <v>0</v>
      </c>
      <c r="N205" s="67">
        <f t="shared" si="167"/>
        <v>0</v>
      </c>
      <c r="O205" s="67">
        <v>0</v>
      </c>
      <c r="P205" s="326">
        <f t="shared" si="152"/>
        <v>0</v>
      </c>
      <c r="Q205" s="2"/>
      <c r="S205" s="2"/>
    </row>
    <row r="206" spans="2:19" x14ac:dyDescent="0.15">
      <c r="B206" s="340">
        <v>14</v>
      </c>
      <c r="C206" s="12" t="s">
        <v>304</v>
      </c>
      <c r="D206" s="67">
        <f>D207+D208+D209</f>
        <v>-32550000</v>
      </c>
      <c r="E206" s="67">
        <f t="shared" ref="E206:N206" si="168">E207+E208+E209</f>
        <v>0</v>
      </c>
      <c r="F206" s="67">
        <f t="shared" si="168"/>
        <v>0</v>
      </c>
      <c r="G206" s="67">
        <f t="shared" si="168"/>
        <v>0</v>
      </c>
      <c r="H206" s="67">
        <f t="shared" si="168"/>
        <v>0</v>
      </c>
      <c r="I206" s="67">
        <f t="shared" si="168"/>
        <v>14347035</v>
      </c>
      <c r="J206" s="67">
        <f t="shared" si="168"/>
        <v>0</v>
      </c>
      <c r="K206" s="67">
        <f t="shared" si="168"/>
        <v>0</v>
      </c>
      <c r="L206" s="67">
        <f t="shared" si="168"/>
        <v>0</v>
      </c>
      <c r="M206" s="67">
        <f t="shared" si="168"/>
        <v>0</v>
      </c>
      <c r="N206" s="67">
        <f t="shared" si="168"/>
        <v>0</v>
      </c>
      <c r="O206" s="67">
        <v>0</v>
      </c>
      <c r="P206" s="326">
        <f t="shared" si="152"/>
        <v>14347035</v>
      </c>
      <c r="Q206" s="2"/>
      <c r="S206" s="2"/>
    </row>
    <row r="207" spans="2:19" x14ac:dyDescent="0.15">
      <c r="B207" s="340" t="s">
        <v>701</v>
      </c>
      <c r="C207" s="12" t="s">
        <v>207</v>
      </c>
      <c r="D207" s="67">
        <f t="shared" ref="D207:N211" si="169">D176</f>
        <v>-31050000</v>
      </c>
      <c r="E207" s="67">
        <f t="shared" si="169"/>
        <v>0</v>
      </c>
      <c r="F207" s="67">
        <f t="shared" si="169"/>
        <v>0</v>
      </c>
      <c r="G207" s="67">
        <f t="shared" si="169"/>
        <v>0</v>
      </c>
      <c r="H207" s="67">
        <f t="shared" si="169"/>
        <v>0</v>
      </c>
      <c r="I207" s="67">
        <f t="shared" si="169"/>
        <v>12847035</v>
      </c>
      <c r="J207" s="67">
        <f t="shared" si="169"/>
        <v>0</v>
      </c>
      <c r="K207" s="67">
        <f t="shared" si="169"/>
        <v>0</v>
      </c>
      <c r="L207" s="67">
        <f t="shared" si="169"/>
        <v>0</v>
      </c>
      <c r="M207" s="67">
        <f t="shared" si="169"/>
        <v>0</v>
      </c>
      <c r="N207" s="67">
        <f t="shared" si="169"/>
        <v>0</v>
      </c>
      <c r="O207" s="67">
        <v>0</v>
      </c>
      <c r="P207" s="326">
        <f t="shared" si="152"/>
        <v>12847035</v>
      </c>
      <c r="Q207" s="2"/>
      <c r="S207" s="2"/>
    </row>
    <row r="208" spans="2:19" x14ac:dyDescent="0.15">
      <c r="B208" s="340" t="s">
        <v>702</v>
      </c>
      <c r="C208" s="12" t="s">
        <v>307</v>
      </c>
      <c r="D208" s="67">
        <f t="shared" si="169"/>
        <v>-1500000</v>
      </c>
      <c r="E208" s="67">
        <f t="shared" si="169"/>
        <v>0</v>
      </c>
      <c r="F208" s="67">
        <f t="shared" si="169"/>
        <v>0</v>
      </c>
      <c r="G208" s="67">
        <f t="shared" si="169"/>
        <v>0</v>
      </c>
      <c r="H208" s="67">
        <f t="shared" si="169"/>
        <v>0</v>
      </c>
      <c r="I208" s="67">
        <f t="shared" si="169"/>
        <v>1500000</v>
      </c>
      <c r="J208" s="67">
        <f t="shared" si="169"/>
        <v>0</v>
      </c>
      <c r="K208" s="67">
        <f t="shared" si="169"/>
        <v>0</v>
      </c>
      <c r="L208" s="67">
        <f t="shared" si="169"/>
        <v>0</v>
      </c>
      <c r="M208" s="67">
        <f t="shared" si="169"/>
        <v>0</v>
      </c>
      <c r="N208" s="67">
        <f t="shared" si="169"/>
        <v>0</v>
      </c>
      <c r="O208" s="67">
        <v>0</v>
      </c>
      <c r="P208" s="326">
        <f t="shared" si="152"/>
        <v>1500000</v>
      </c>
      <c r="Q208" s="2"/>
      <c r="S208" s="2"/>
    </row>
    <row r="209" spans="1:19" x14ac:dyDescent="0.15">
      <c r="B209" s="340" t="s">
        <v>703</v>
      </c>
      <c r="C209" s="12" t="s">
        <v>309</v>
      </c>
      <c r="D209" s="67">
        <f t="shared" si="169"/>
        <v>0</v>
      </c>
      <c r="E209" s="67">
        <f t="shared" si="169"/>
        <v>0</v>
      </c>
      <c r="F209" s="67">
        <f t="shared" si="169"/>
        <v>0</v>
      </c>
      <c r="G209" s="67">
        <f t="shared" si="169"/>
        <v>0</v>
      </c>
      <c r="H209" s="67">
        <f t="shared" si="169"/>
        <v>0</v>
      </c>
      <c r="I209" s="67">
        <f t="shared" si="169"/>
        <v>0</v>
      </c>
      <c r="J209" s="67">
        <f t="shared" si="169"/>
        <v>0</v>
      </c>
      <c r="K209" s="67">
        <f t="shared" si="169"/>
        <v>0</v>
      </c>
      <c r="L209" s="67">
        <f t="shared" si="169"/>
        <v>0</v>
      </c>
      <c r="M209" s="67">
        <f t="shared" si="169"/>
        <v>0</v>
      </c>
      <c r="N209" s="67">
        <f t="shared" si="169"/>
        <v>0</v>
      </c>
      <c r="O209" s="67">
        <v>0</v>
      </c>
      <c r="P209" s="326">
        <f t="shared" si="152"/>
        <v>0</v>
      </c>
      <c r="Q209" s="2"/>
      <c r="S209" s="2"/>
    </row>
    <row r="210" spans="1:19" x14ac:dyDescent="0.15">
      <c r="B210" s="340" t="s">
        <v>704</v>
      </c>
      <c r="C210" s="12" t="s">
        <v>311</v>
      </c>
      <c r="D210" s="67">
        <f t="shared" si="169"/>
        <v>0</v>
      </c>
      <c r="E210" s="67">
        <f t="shared" si="169"/>
        <v>0</v>
      </c>
      <c r="F210" s="67">
        <f t="shared" si="169"/>
        <v>0</v>
      </c>
      <c r="G210" s="67">
        <f t="shared" si="169"/>
        <v>0</v>
      </c>
      <c r="H210" s="67">
        <f t="shared" si="169"/>
        <v>0</v>
      </c>
      <c r="I210" s="67">
        <f t="shared" si="169"/>
        <v>-2596968.7000000002</v>
      </c>
      <c r="J210" s="67">
        <f t="shared" si="169"/>
        <v>0</v>
      </c>
      <c r="K210" s="67">
        <f t="shared" si="169"/>
        <v>0</v>
      </c>
      <c r="L210" s="67">
        <f t="shared" si="169"/>
        <v>0</v>
      </c>
      <c r="M210" s="67">
        <f t="shared" si="169"/>
        <v>0</v>
      </c>
      <c r="N210" s="67">
        <f t="shared" si="169"/>
        <v>0</v>
      </c>
      <c r="O210" s="67">
        <v>0</v>
      </c>
      <c r="P210" s="326">
        <f t="shared" si="152"/>
        <v>-2596968.7000000002</v>
      </c>
      <c r="Q210" s="2"/>
      <c r="S210" s="2"/>
    </row>
    <row r="211" spans="1:19" ht="14" thickBot="1" x14ac:dyDescent="0.2">
      <c r="B211" s="340" t="s">
        <v>705</v>
      </c>
      <c r="C211" s="12" t="s">
        <v>115</v>
      </c>
      <c r="D211" s="67">
        <f t="shared" si="169"/>
        <v>-60000000</v>
      </c>
      <c r="E211" s="67">
        <f t="shared" si="169"/>
        <v>0</v>
      </c>
      <c r="F211" s="67">
        <f t="shared" si="169"/>
        <v>0</v>
      </c>
      <c r="G211" s="67">
        <f t="shared" si="169"/>
        <v>0</v>
      </c>
      <c r="H211" s="67">
        <f t="shared" si="169"/>
        <v>0</v>
      </c>
      <c r="I211" s="67">
        <f t="shared" si="169"/>
        <v>60000000</v>
      </c>
      <c r="J211" s="67">
        <f t="shared" si="169"/>
        <v>0</v>
      </c>
      <c r="K211" s="67">
        <f t="shared" si="169"/>
        <v>0</v>
      </c>
      <c r="L211" s="67">
        <f t="shared" si="169"/>
        <v>0</v>
      </c>
      <c r="M211" s="67">
        <f t="shared" si="169"/>
        <v>0</v>
      </c>
      <c r="N211" s="67">
        <f t="shared" si="169"/>
        <v>0</v>
      </c>
      <c r="O211" s="67">
        <v>0</v>
      </c>
      <c r="P211" s="326">
        <f t="shared" si="152"/>
        <v>60000000</v>
      </c>
      <c r="Q211" s="2"/>
      <c r="S211" s="2"/>
    </row>
    <row r="212" spans="1:19" x14ac:dyDescent="0.15">
      <c r="B212" s="340">
        <v>17</v>
      </c>
      <c r="C212" s="12" t="s">
        <v>313</v>
      </c>
      <c r="D212" s="67">
        <f>D205+D206+D210+D211</f>
        <v>-92550000</v>
      </c>
      <c r="E212" s="67">
        <f t="shared" ref="E212:N212" si="170">E205+E206+E210+E211</f>
        <v>0</v>
      </c>
      <c r="F212" s="67">
        <f t="shared" si="170"/>
        <v>0</v>
      </c>
      <c r="G212" s="67">
        <f t="shared" si="170"/>
        <v>0</v>
      </c>
      <c r="H212" s="67">
        <f t="shared" si="170"/>
        <v>0</v>
      </c>
      <c r="I212" s="67">
        <f t="shared" si="170"/>
        <v>71750066.299999997</v>
      </c>
      <c r="J212" s="67">
        <f t="shared" si="170"/>
        <v>0</v>
      </c>
      <c r="K212" s="67">
        <f t="shared" si="170"/>
        <v>0</v>
      </c>
      <c r="L212" s="67">
        <f t="shared" si="170"/>
        <v>0</v>
      </c>
      <c r="M212" s="67">
        <f t="shared" si="170"/>
        <v>0</v>
      </c>
      <c r="N212" s="67">
        <f t="shared" si="170"/>
        <v>0</v>
      </c>
      <c r="O212" s="67">
        <v>0</v>
      </c>
      <c r="P212" s="326">
        <f t="shared" si="152"/>
        <v>71750066.299999997</v>
      </c>
      <c r="Q212" s="461"/>
      <c r="R212" s="357" t="s">
        <v>693</v>
      </c>
      <c r="S212" s="2"/>
    </row>
    <row r="213" spans="1:19" ht="14" thickBot="1" x14ac:dyDescent="0.2">
      <c r="A213" s="1" t="s">
        <v>709</v>
      </c>
      <c r="B213" s="355">
        <v>18</v>
      </c>
      <c r="C213" s="335" t="s">
        <v>314</v>
      </c>
      <c r="D213" s="331">
        <f>D212+D204</f>
        <v>-92550000</v>
      </c>
      <c r="E213" s="331">
        <f t="shared" ref="E213:N213" si="171">E212+E204</f>
        <v>50012750</v>
      </c>
      <c r="F213" s="331">
        <f t="shared" si="171"/>
        <v>44202792.500000022</v>
      </c>
      <c r="G213" s="331">
        <f t="shared" si="171"/>
        <v>35442192.08412499</v>
      </c>
      <c r="H213" s="331">
        <f t="shared" si="171"/>
        <v>25111356.707490433</v>
      </c>
      <c r="I213" s="331">
        <f t="shared" si="171"/>
        <v>84401062.478848949</v>
      </c>
      <c r="J213" s="331">
        <f t="shared" si="171"/>
        <v>0</v>
      </c>
      <c r="K213" s="331">
        <f t="shared" si="171"/>
        <v>0</v>
      </c>
      <c r="L213" s="331">
        <f t="shared" si="171"/>
        <v>0</v>
      </c>
      <c r="M213" s="331">
        <f t="shared" si="171"/>
        <v>0</v>
      </c>
      <c r="N213" s="331">
        <f t="shared" si="171"/>
        <v>0</v>
      </c>
      <c r="O213" s="331">
        <v>0</v>
      </c>
      <c r="P213" s="356">
        <f t="shared" si="152"/>
        <v>239170153.77046442</v>
      </c>
      <c r="Q213" s="463"/>
      <c r="R213" s="358">
        <f>IF(ISNUMBER(IRR(D213:N213)),IRR(D213:N213),"NMF")</f>
        <v>0.40549033935008683</v>
      </c>
      <c r="S213" s="1" t="s">
        <v>709</v>
      </c>
    </row>
    <row r="214" spans="1:19" x14ac:dyDescent="0.15">
      <c r="S214" s="2"/>
    </row>
    <row r="215" spans="1:19" ht="14" thickBot="1" x14ac:dyDescent="0.2">
      <c r="S215" s="2"/>
    </row>
    <row r="216" spans="1:19" ht="14" thickBot="1" x14ac:dyDescent="0.2">
      <c r="B216" s="359" t="s">
        <v>282</v>
      </c>
      <c r="C216" s="360" t="s">
        <v>283</v>
      </c>
      <c r="D216" s="360"/>
      <c r="E216" s="360">
        <v>1</v>
      </c>
      <c r="F216" s="360">
        <v>2</v>
      </c>
      <c r="G216" s="360">
        <v>3</v>
      </c>
      <c r="H216" s="360">
        <v>4</v>
      </c>
      <c r="I216" s="360">
        <v>5</v>
      </c>
      <c r="J216" s="360">
        <v>6</v>
      </c>
      <c r="K216" s="360">
        <v>7</v>
      </c>
      <c r="L216" s="360">
        <v>8</v>
      </c>
      <c r="M216" s="360">
        <v>9</v>
      </c>
      <c r="N216" s="360">
        <v>10</v>
      </c>
      <c r="O216" s="360" t="s">
        <v>284</v>
      </c>
      <c r="P216" s="361" t="s">
        <v>285</v>
      </c>
      <c r="S216" s="2"/>
    </row>
    <row r="217" spans="1:19" x14ac:dyDescent="0.15">
      <c r="B217" s="339" t="s">
        <v>687</v>
      </c>
      <c r="C217" s="302" t="s">
        <v>287</v>
      </c>
      <c r="D217" s="322">
        <f t="shared" ref="D217:D232" si="172">D158</f>
        <v>0</v>
      </c>
      <c r="E217" s="322">
        <f t="shared" ref="E217:N217" si="173">E158</f>
        <v>300000000</v>
      </c>
      <c r="F217" s="322">
        <f t="shared" si="173"/>
        <v>313500000.00000006</v>
      </c>
      <c r="G217" s="322">
        <f t="shared" si="173"/>
        <v>327607500.00000006</v>
      </c>
      <c r="H217" s="322">
        <f t="shared" si="173"/>
        <v>342349837.50000012</v>
      </c>
      <c r="I217" s="322">
        <f t="shared" si="173"/>
        <v>357755580.18750012</v>
      </c>
      <c r="J217" s="322">
        <f t="shared" si="173"/>
        <v>0</v>
      </c>
      <c r="K217" s="322">
        <f t="shared" si="173"/>
        <v>0</v>
      </c>
      <c r="L217" s="322">
        <f t="shared" si="173"/>
        <v>0</v>
      </c>
      <c r="M217" s="322">
        <f t="shared" si="173"/>
        <v>0</v>
      </c>
      <c r="N217" s="322">
        <f t="shared" si="173"/>
        <v>0</v>
      </c>
      <c r="O217" s="322">
        <v>0</v>
      </c>
      <c r="P217" s="325">
        <f>SUM(E217:N217)</f>
        <v>1641212917.6875</v>
      </c>
      <c r="Q217" s="2"/>
      <c r="S217" s="2"/>
    </row>
    <row r="218" spans="1:19" x14ac:dyDescent="0.15">
      <c r="A218" s="1" t="s">
        <v>710</v>
      </c>
      <c r="B218" s="340" t="s">
        <v>689</v>
      </c>
      <c r="C218" s="354" t="s">
        <v>689</v>
      </c>
      <c r="D218" s="67">
        <f t="shared" si="172"/>
        <v>0</v>
      </c>
      <c r="E218" s="67">
        <f>E159</f>
        <v>300000000</v>
      </c>
      <c r="F218" s="67">
        <f t="shared" ref="F218:N218" si="174">F159</f>
        <v>313500000.00000006</v>
      </c>
      <c r="G218" s="67">
        <f t="shared" si="174"/>
        <v>327607500.00000006</v>
      </c>
      <c r="H218" s="67">
        <f t="shared" si="174"/>
        <v>342349837.50000012</v>
      </c>
      <c r="I218" s="67">
        <f t="shared" si="174"/>
        <v>357755580.18750012</v>
      </c>
      <c r="J218" s="67">
        <f t="shared" si="174"/>
        <v>0</v>
      </c>
      <c r="K218" s="67">
        <f t="shared" si="174"/>
        <v>0</v>
      </c>
      <c r="L218" s="67">
        <f t="shared" si="174"/>
        <v>0</v>
      </c>
      <c r="M218" s="67">
        <f t="shared" si="174"/>
        <v>0</v>
      </c>
      <c r="N218" s="67">
        <f t="shared" si="174"/>
        <v>0</v>
      </c>
      <c r="O218" s="67"/>
      <c r="P218" s="326">
        <f t="shared" ref="P218:P241" si="175">SUM(E218:N218)</f>
        <v>1641212917.6875</v>
      </c>
      <c r="Q218" s="2"/>
      <c r="S218" s="2"/>
    </row>
    <row r="219" spans="1:19" x14ac:dyDescent="0.15">
      <c r="B219" s="355" t="s">
        <v>690</v>
      </c>
      <c r="C219" s="362" t="s">
        <v>690</v>
      </c>
      <c r="D219" s="331">
        <f t="shared" si="172"/>
        <v>0</v>
      </c>
      <c r="E219" s="331">
        <f>E160*1.1</f>
        <v>0</v>
      </c>
      <c r="F219" s="331">
        <f t="shared" ref="F219:N219" si="176">F160*1.1</f>
        <v>0</v>
      </c>
      <c r="G219" s="331">
        <f t="shared" si="176"/>
        <v>0</v>
      </c>
      <c r="H219" s="331">
        <f t="shared" si="176"/>
        <v>0</v>
      </c>
      <c r="I219" s="331">
        <f t="shared" si="176"/>
        <v>0</v>
      </c>
      <c r="J219" s="331">
        <f t="shared" si="176"/>
        <v>0</v>
      </c>
      <c r="K219" s="331">
        <f t="shared" si="176"/>
        <v>0</v>
      </c>
      <c r="L219" s="331">
        <f t="shared" si="176"/>
        <v>0</v>
      </c>
      <c r="M219" s="331">
        <f t="shared" si="176"/>
        <v>0</v>
      </c>
      <c r="N219" s="331">
        <f t="shared" si="176"/>
        <v>0</v>
      </c>
      <c r="O219" s="363"/>
      <c r="P219" s="356">
        <f t="shared" si="175"/>
        <v>0</v>
      </c>
      <c r="Q219" s="460"/>
      <c r="S219" s="2"/>
    </row>
    <row r="220" spans="1:19" x14ac:dyDescent="0.15">
      <c r="B220" s="340" t="s">
        <v>691</v>
      </c>
      <c r="C220" s="354" t="s">
        <v>691</v>
      </c>
      <c r="D220" s="67">
        <f t="shared" si="172"/>
        <v>0</v>
      </c>
      <c r="E220" s="67">
        <f>E161</f>
        <v>0</v>
      </c>
      <c r="F220" s="67">
        <f t="shared" ref="F220:N220" si="177">F161</f>
        <v>0</v>
      </c>
      <c r="G220" s="67">
        <f t="shared" si="177"/>
        <v>0</v>
      </c>
      <c r="H220" s="67">
        <f t="shared" si="177"/>
        <v>0</v>
      </c>
      <c r="I220" s="67">
        <f t="shared" si="177"/>
        <v>0</v>
      </c>
      <c r="J220" s="67">
        <f t="shared" si="177"/>
        <v>0</v>
      </c>
      <c r="K220" s="67">
        <f t="shared" si="177"/>
        <v>0</v>
      </c>
      <c r="L220" s="67">
        <f t="shared" si="177"/>
        <v>0</v>
      </c>
      <c r="M220" s="67">
        <f t="shared" si="177"/>
        <v>0</v>
      </c>
      <c r="N220" s="67">
        <f t="shared" si="177"/>
        <v>0</v>
      </c>
      <c r="O220" s="67"/>
      <c r="P220" s="326">
        <f t="shared" si="175"/>
        <v>0</v>
      </c>
      <c r="Q220" s="2"/>
      <c r="S220" s="2"/>
    </row>
    <row r="221" spans="1:19" x14ac:dyDescent="0.15">
      <c r="B221" s="340" t="s">
        <v>695</v>
      </c>
      <c r="C221" s="12"/>
      <c r="D221" s="67">
        <f t="shared" si="172"/>
        <v>0</v>
      </c>
      <c r="E221" s="67">
        <f>E218+E219+E220</f>
        <v>300000000</v>
      </c>
      <c r="F221" s="67">
        <f t="shared" ref="F221:N221" si="178">F218+F219+F220</f>
        <v>313500000.00000006</v>
      </c>
      <c r="G221" s="67">
        <f t="shared" si="178"/>
        <v>327607500.00000006</v>
      </c>
      <c r="H221" s="67">
        <f t="shared" si="178"/>
        <v>342349837.50000012</v>
      </c>
      <c r="I221" s="67">
        <f t="shared" si="178"/>
        <v>357755580.18750012</v>
      </c>
      <c r="J221" s="67">
        <f t="shared" si="178"/>
        <v>0</v>
      </c>
      <c r="K221" s="67">
        <f t="shared" si="178"/>
        <v>0</v>
      </c>
      <c r="L221" s="67">
        <f t="shared" si="178"/>
        <v>0</v>
      </c>
      <c r="M221" s="67">
        <f t="shared" si="178"/>
        <v>0</v>
      </c>
      <c r="N221" s="67">
        <f t="shared" si="178"/>
        <v>0</v>
      </c>
      <c r="O221" s="67"/>
      <c r="P221" s="326">
        <f t="shared" si="175"/>
        <v>1641212917.6875</v>
      </c>
      <c r="Q221" s="2"/>
      <c r="S221" s="2"/>
    </row>
    <row r="222" spans="1:19" x14ac:dyDescent="0.15">
      <c r="B222" s="340" t="s">
        <v>696</v>
      </c>
      <c r="C222" s="12" t="s">
        <v>289</v>
      </c>
      <c r="D222" s="67">
        <f t="shared" si="172"/>
        <v>0</v>
      </c>
      <c r="E222" s="67">
        <f t="shared" ref="E222:N222" si="179">E163</f>
        <v>230170000</v>
      </c>
      <c r="F222" s="67">
        <f t="shared" si="179"/>
        <v>253018375.00000003</v>
      </c>
      <c r="G222" s="67">
        <f t="shared" si="179"/>
        <v>278725718.45125008</v>
      </c>
      <c r="H222" s="67">
        <f t="shared" si="179"/>
        <v>307665975.06072807</v>
      </c>
      <c r="I222" s="67">
        <f t="shared" si="179"/>
        <v>340262566.36057305</v>
      </c>
      <c r="J222" s="67">
        <f t="shared" si="179"/>
        <v>0</v>
      </c>
      <c r="K222" s="67">
        <f t="shared" si="179"/>
        <v>0</v>
      </c>
      <c r="L222" s="67">
        <f t="shared" si="179"/>
        <v>0</v>
      </c>
      <c r="M222" s="67">
        <f t="shared" si="179"/>
        <v>0</v>
      </c>
      <c r="N222" s="67">
        <f t="shared" si="179"/>
        <v>0</v>
      </c>
      <c r="O222" s="67">
        <v>0</v>
      </c>
      <c r="P222" s="326">
        <f t="shared" si="175"/>
        <v>1409842634.8725512</v>
      </c>
      <c r="Q222" s="2"/>
      <c r="S222" s="2"/>
    </row>
    <row r="223" spans="1:19" x14ac:dyDescent="0.15">
      <c r="B223" s="340">
        <v>3</v>
      </c>
      <c r="C223" s="12" t="s">
        <v>290</v>
      </c>
      <c r="D223" s="67">
        <f t="shared" si="172"/>
        <v>0</v>
      </c>
      <c r="E223" s="67">
        <f>E221-E222</f>
        <v>69830000</v>
      </c>
      <c r="F223" s="67">
        <f t="shared" ref="F223:N223" si="180">F221-F222</f>
        <v>60481625.00000003</v>
      </c>
      <c r="G223" s="67">
        <f t="shared" si="180"/>
        <v>48881781.548749983</v>
      </c>
      <c r="H223" s="67">
        <f t="shared" si="180"/>
        <v>34683862.439272046</v>
      </c>
      <c r="I223" s="67">
        <f t="shared" si="180"/>
        <v>17493013.826927066</v>
      </c>
      <c r="J223" s="67">
        <f t="shared" si="180"/>
        <v>0</v>
      </c>
      <c r="K223" s="67">
        <f t="shared" si="180"/>
        <v>0</v>
      </c>
      <c r="L223" s="67">
        <f t="shared" si="180"/>
        <v>0</v>
      </c>
      <c r="M223" s="67">
        <f t="shared" si="180"/>
        <v>0</v>
      </c>
      <c r="N223" s="67">
        <f t="shared" si="180"/>
        <v>0</v>
      </c>
      <c r="O223" s="67">
        <v>0</v>
      </c>
      <c r="P223" s="326">
        <f t="shared" si="175"/>
        <v>231370282.81494913</v>
      </c>
      <c r="Q223" s="2"/>
      <c r="S223" s="2"/>
    </row>
    <row r="224" spans="1:19" x14ac:dyDescent="0.15">
      <c r="B224" s="340" t="s">
        <v>697</v>
      </c>
      <c r="C224" s="12" t="s">
        <v>292</v>
      </c>
      <c r="D224" s="67">
        <f t="shared" si="172"/>
        <v>0</v>
      </c>
      <c r="E224" s="67">
        <f>E165</f>
        <v>3772500</v>
      </c>
      <c r="F224" s="67">
        <f t="shared" ref="F224:N224" si="181">F165</f>
        <v>6218850</v>
      </c>
      <c r="G224" s="67">
        <f t="shared" si="181"/>
        <v>4083150</v>
      </c>
      <c r="H224" s="67">
        <f t="shared" si="181"/>
        <v>2775510</v>
      </c>
      <c r="I224" s="67">
        <f t="shared" si="181"/>
        <v>1352955</v>
      </c>
      <c r="J224" s="67">
        <f t="shared" si="181"/>
        <v>0</v>
      </c>
      <c r="K224" s="67">
        <f t="shared" si="181"/>
        <v>0</v>
      </c>
      <c r="L224" s="67">
        <f t="shared" si="181"/>
        <v>0</v>
      </c>
      <c r="M224" s="67">
        <f t="shared" si="181"/>
        <v>0</v>
      </c>
      <c r="N224" s="67">
        <f t="shared" si="181"/>
        <v>0</v>
      </c>
      <c r="O224" s="67">
        <v>0</v>
      </c>
      <c r="P224" s="326">
        <f t="shared" si="175"/>
        <v>18202965</v>
      </c>
      <c r="Q224" s="2"/>
      <c r="S224" s="2"/>
    </row>
    <row r="225" spans="2:19" x14ac:dyDescent="0.15">
      <c r="B225" s="340">
        <v>5</v>
      </c>
      <c r="C225" s="12" t="s">
        <v>293</v>
      </c>
      <c r="D225" s="67">
        <f t="shared" si="172"/>
        <v>0</v>
      </c>
      <c r="E225" s="67">
        <f>E223-E224</f>
        <v>66057500</v>
      </c>
      <c r="F225" s="67">
        <f t="shared" ref="F225:N225" si="182">F223-F224</f>
        <v>54262775.00000003</v>
      </c>
      <c r="G225" s="67">
        <f t="shared" si="182"/>
        <v>44798631.548749983</v>
      </c>
      <c r="H225" s="67">
        <f t="shared" si="182"/>
        <v>31908352.439272046</v>
      </c>
      <c r="I225" s="67">
        <f t="shared" si="182"/>
        <v>16140058.826927066</v>
      </c>
      <c r="J225" s="67">
        <f t="shared" si="182"/>
        <v>0</v>
      </c>
      <c r="K225" s="67">
        <f t="shared" si="182"/>
        <v>0</v>
      </c>
      <c r="L225" s="67">
        <f t="shared" si="182"/>
        <v>0</v>
      </c>
      <c r="M225" s="67">
        <f t="shared" si="182"/>
        <v>0</v>
      </c>
      <c r="N225" s="67">
        <f t="shared" si="182"/>
        <v>0</v>
      </c>
      <c r="O225" s="67">
        <v>0</v>
      </c>
      <c r="P225" s="326">
        <f t="shared" si="175"/>
        <v>213167317.81494913</v>
      </c>
      <c r="Q225" s="2"/>
      <c r="S225" s="2"/>
    </row>
    <row r="226" spans="2:19" x14ac:dyDescent="0.15">
      <c r="B226" s="340" t="s">
        <v>698</v>
      </c>
      <c r="C226" s="12" t="s">
        <v>295</v>
      </c>
      <c r="D226" s="67">
        <f t="shared" si="172"/>
        <v>0</v>
      </c>
      <c r="E226" s="67">
        <f>E167</f>
        <v>0</v>
      </c>
      <c r="F226" s="67">
        <f t="shared" ref="F226:N226" si="183">F167</f>
        <v>0</v>
      </c>
      <c r="G226" s="67">
        <f t="shared" si="183"/>
        <v>0</v>
      </c>
      <c r="H226" s="67">
        <f t="shared" si="183"/>
        <v>0</v>
      </c>
      <c r="I226" s="67">
        <f t="shared" si="183"/>
        <v>0</v>
      </c>
      <c r="J226" s="67">
        <f t="shared" si="183"/>
        <v>0</v>
      </c>
      <c r="K226" s="67">
        <f t="shared" si="183"/>
        <v>0</v>
      </c>
      <c r="L226" s="67">
        <f t="shared" si="183"/>
        <v>0</v>
      </c>
      <c r="M226" s="67">
        <f t="shared" si="183"/>
        <v>0</v>
      </c>
      <c r="N226" s="67">
        <f t="shared" si="183"/>
        <v>0</v>
      </c>
      <c r="O226" s="67">
        <v>0</v>
      </c>
      <c r="P226" s="326">
        <f t="shared" si="175"/>
        <v>0</v>
      </c>
      <c r="Q226" s="2"/>
      <c r="S226" s="2"/>
    </row>
    <row r="227" spans="2:19" x14ac:dyDescent="0.15">
      <c r="B227" s="340">
        <v>7</v>
      </c>
      <c r="C227" s="12" t="s">
        <v>296</v>
      </c>
      <c r="D227" s="67">
        <f t="shared" si="172"/>
        <v>0</v>
      </c>
      <c r="E227" s="67">
        <f>E225-E226</f>
        <v>66057500</v>
      </c>
      <c r="F227" s="67">
        <f t="shared" ref="F227:N227" si="184">F225-F226</f>
        <v>54262775.00000003</v>
      </c>
      <c r="G227" s="67">
        <f t="shared" si="184"/>
        <v>44798631.548749983</v>
      </c>
      <c r="H227" s="67">
        <f t="shared" si="184"/>
        <v>31908352.439272046</v>
      </c>
      <c r="I227" s="67">
        <f t="shared" si="184"/>
        <v>16140058.826927066</v>
      </c>
      <c r="J227" s="67">
        <f t="shared" si="184"/>
        <v>0</v>
      </c>
      <c r="K227" s="67">
        <f t="shared" si="184"/>
        <v>0</v>
      </c>
      <c r="L227" s="67">
        <f t="shared" si="184"/>
        <v>0</v>
      </c>
      <c r="M227" s="67">
        <f t="shared" si="184"/>
        <v>0</v>
      </c>
      <c r="N227" s="67">
        <f t="shared" si="184"/>
        <v>0</v>
      </c>
      <c r="O227" s="67">
        <v>0</v>
      </c>
      <c r="P227" s="326">
        <f t="shared" si="175"/>
        <v>213167317.81494913</v>
      </c>
      <c r="Q227" s="2"/>
      <c r="S227" s="2"/>
    </row>
    <row r="228" spans="2:19" x14ac:dyDescent="0.15">
      <c r="B228" s="340">
        <v>8</v>
      </c>
      <c r="C228" s="12" t="s">
        <v>297</v>
      </c>
      <c r="D228" s="67">
        <f t="shared" si="172"/>
        <v>0</v>
      </c>
      <c r="E228" s="67">
        <f>-E227*$D$3</f>
        <v>-19817250</v>
      </c>
      <c r="F228" s="67">
        <f t="shared" ref="F228:N228" si="185">-F227*$D$3</f>
        <v>-16278832.500000007</v>
      </c>
      <c r="G228" s="67">
        <f t="shared" si="185"/>
        <v>-13439589.464624995</v>
      </c>
      <c r="H228" s="67">
        <f t="shared" si="185"/>
        <v>-9572505.7317816131</v>
      </c>
      <c r="I228" s="67">
        <f t="shared" si="185"/>
        <v>-4842017.6480781194</v>
      </c>
      <c r="J228" s="67">
        <f t="shared" si="185"/>
        <v>0</v>
      </c>
      <c r="K228" s="67">
        <f t="shared" si="185"/>
        <v>0</v>
      </c>
      <c r="L228" s="67">
        <f t="shared" si="185"/>
        <v>0</v>
      </c>
      <c r="M228" s="67">
        <f t="shared" si="185"/>
        <v>0</v>
      </c>
      <c r="N228" s="67">
        <f t="shared" si="185"/>
        <v>0</v>
      </c>
      <c r="O228" s="67">
        <v>0</v>
      </c>
      <c r="P228" s="326">
        <f t="shared" si="175"/>
        <v>-63950195.344484739</v>
      </c>
      <c r="Q228" s="2"/>
      <c r="S228" s="2"/>
    </row>
    <row r="229" spans="2:19" x14ac:dyDescent="0.15">
      <c r="B229" s="340">
        <v>9</v>
      </c>
      <c r="C229" s="12" t="s">
        <v>298</v>
      </c>
      <c r="D229" s="67">
        <f t="shared" si="172"/>
        <v>0</v>
      </c>
      <c r="E229" s="67">
        <f>E170</f>
        <v>0</v>
      </c>
      <c r="F229" s="67">
        <f t="shared" ref="F229:N229" si="186">F170</f>
        <v>0</v>
      </c>
      <c r="G229" s="67">
        <f t="shared" si="186"/>
        <v>0</v>
      </c>
      <c r="H229" s="67">
        <f t="shared" si="186"/>
        <v>0</v>
      </c>
      <c r="I229" s="67">
        <f t="shared" si="186"/>
        <v>0</v>
      </c>
      <c r="J229" s="67">
        <f t="shared" si="186"/>
        <v>0</v>
      </c>
      <c r="K229" s="67">
        <f t="shared" si="186"/>
        <v>0</v>
      </c>
      <c r="L229" s="67">
        <f t="shared" si="186"/>
        <v>0</v>
      </c>
      <c r="M229" s="67">
        <f t="shared" si="186"/>
        <v>0</v>
      </c>
      <c r="N229" s="67">
        <f t="shared" si="186"/>
        <v>0</v>
      </c>
      <c r="O229" s="67">
        <v>0</v>
      </c>
      <c r="P229" s="326">
        <f t="shared" si="175"/>
        <v>0</v>
      </c>
      <c r="Q229" s="2"/>
      <c r="S229" s="2"/>
    </row>
    <row r="230" spans="2:19" x14ac:dyDescent="0.15">
      <c r="B230" s="340">
        <v>10</v>
      </c>
      <c r="C230" s="12" t="s">
        <v>299</v>
      </c>
      <c r="D230" s="67">
        <f t="shared" si="172"/>
        <v>0</v>
      </c>
      <c r="E230" s="67">
        <f>E227+E228+E229</f>
        <v>46240250</v>
      </c>
      <c r="F230" s="67">
        <f t="shared" ref="F230:N230" si="187">F227+F228+F229</f>
        <v>37983942.500000022</v>
      </c>
      <c r="G230" s="67">
        <f t="shared" si="187"/>
        <v>31359042.08412499</v>
      </c>
      <c r="H230" s="67">
        <f t="shared" si="187"/>
        <v>22335846.707490433</v>
      </c>
      <c r="I230" s="67">
        <f t="shared" si="187"/>
        <v>11298041.178848946</v>
      </c>
      <c r="J230" s="67">
        <f t="shared" si="187"/>
        <v>0</v>
      </c>
      <c r="K230" s="67">
        <f t="shared" si="187"/>
        <v>0</v>
      </c>
      <c r="L230" s="67">
        <f t="shared" si="187"/>
        <v>0</v>
      </c>
      <c r="M230" s="67">
        <f t="shared" si="187"/>
        <v>0</v>
      </c>
      <c r="N230" s="67">
        <f t="shared" si="187"/>
        <v>0</v>
      </c>
      <c r="O230" s="67">
        <v>0</v>
      </c>
      <c r="P230" s="326">
        <f t="shared" si="175"/>
        <v>149217122.47046441</v>
      </c>
      <c r="Q230" s="2"/>
      <c r="S230" s="2"/>
    </row>
    <row r="231" spans="2:19" x14ac:dyDescent="0.15">
      <c r="B231" s="340" t="s">
        <v>699</v>
      </c>
      <c r="C231" s="12" t="s">
        <v>292</v>
      </c>
      <c r="D231" s="67">
        <f t="shared" si="172"/>
        <v>0</v>
      </c>
      <c r="E231" s="67">
        <f>E172</f>
        <v>3772500</v>
      </c>
      <c r="F231" s="67">
        <f t="shared" ref="F231:N231" si="188">F172</f>
        <v>6218850</v>
      </c>
      <c r="G231" s="67">
        <f t="shared" si="188"/>
        <v>4083150</v>
      </c>
      <c r="H231" s="67">
        <f t="shared" si="188"/>
        <v>2775510</v>
      </c>
      <c r="I231" s="67">
        <f t="shared" si="188"/>
        <v>1352955</v>
      </c>
      <c r="J231" s="67">
        <f t="shared" si="188"/>
        <v>0</v>
      </c>
      <c r="K231" s="67">
        <f t="shared" si="188"/>
        <v>0</v>
      </c>
      <c r="L231" s="67">
        <f t="shared" si="188"/>
        <v>0</v>
      </c>
      <c r="M231" s="67">
        <f t="shared" si="188"/>
        <v>0</v>
      </c>
      <c r="N231" s="67">
        <f t="shared" si="188"/>
        <v>0</v>
      </c>
      <c r="O231" s="67">
        <v>0</v>
      </c>
      <c r="P231" s="326">
        <f t="shared" si="175"/>
        <v>18202965</v>
      </c>
      <c r="Q231" s="2"/>
      <c r="S231" s="2"/>
    </row>
    <row r="232" spans="2:19" x14ac:dyDescent="0.15">
      <c r="B232" s="340">
        <v>12</v>
      </c>
      <c r="C232" s="12" t="s">
        <v>301</v>
      </c>
      <c r="D232" s="67">
        <f t="shared" si="172"/>
        <v>0</v>
      </c>
      <c r="E232" s="67">
        <f>E230+E231</f>
        <v>50012750</v>
      </c>
      <c r="F232" s="67">
        <f t="shared" ref="F232:N232" si="189">F230+F231</f>
        <v>44202792.500000022</v>
      </c>
      <c r="G232" s="67">
        <f t="shared" si="189"/>
        <v>35442192.08412499</v>
      </c>
      <c r="H232" s="67">
        <f t="shared" si="189"/>
        <v>25111356.707490433</v>
      </c>
      <c r="I232" s="67">
        <f t="shared" si="189"/>
        <v>12650996.178848946</v>
      </c>
      <c r="J232" s="67">
        <f t="shared" si="189"/>
        <v>0</v>
      </c>
      <c r="K232" s="67">
        <f t="shared" si="189"/>
        <v>0</v>
      </c>
      <c r="L232" s="67">
        <f t="shared" si="189"/>
        <v>0</v>
      </c>
      <c r="M232" s="67">
        <f t="shared" si="189"/>
        <v>0</v>
      </c>
      <c r="N232" s="67">
        <f t="shared" si="189"/>
        <v>0</v>
      </c>
      <c r="O232" s="67">
        <v>0</v>
      </c>
      <c r="P232" s="326">
        <f t="shared" si="175"/>
        <v>167420087.47046441</v>
      </c>
      <c r="Q232" s="2"/>
      <c r="S232" s="2"/>
    </row>
    <row r="233" spans="2:19" x14ac:dyDescent="0.15">
      <c r="B233" s="340" t="s">
        <v>700</v>
      </c>
      <c r="C233" s="12" t="s">
        <v>303</v>
      </c>
      <c r="D233" s="67">
        <v>0</v>
      </c>
      <c r="E233" s="67">
        <f t="shared" ref="E233:N233" si="190">E174</f>
        <v>0</v>
      </c>
      <c r="F233" s="67">
        <f t="shared" si="190"/>
        <v>0</v>
      </c>
      <c r="G233" s="67">
        <f t="shared" si="190"/>
        <v>0</v>
      </c>
      <c r="H233" s="67">
        <f t="shared" si="190"/>
        <v>0</v>
      </c>
      <c r="I233" s="67">
        <f t="shared" si="190"/>
        <v>0</v>
      </c>
      <c r="J233" s="67">
        <f t="shared" si="190"/>
        <v>0</v>
      </c>
      <c r="K233" s="67">
        <f t="shared" si="190"/>
        <v>0</v>
      </c>
      <c r="L233" s="67">
        <f t="shared" si="190"/>
        <v>0</v>
      </c>
      <c r="M233" s="67">
        <f t="shared" si="190"/>
        <v>0</v>
      </c>
      <c r="N233" s="67">
        <f t="shared" si="190"/>
        <v>0</v>
      </c>
      <c r="O233" s="67">
        <v>0</v>
      </c>
      <c r="P233" s="326">
        <f t="shared" si="175"/>
        <v>0</v>
      </c>
      <c r="Q233" s="2"/>
      <c r="S233" s="2"/>
    </row>
    <row r="234" spans="2:19" x14ac:dyDescent="0.15">
      <c r="B234" s="340">
        <v>14</v>
      </c>
      <c r="C234" s="12" t="s">
        <v>304</v>
      </c>
      <c r="D234" s="67">
        <f>D235+D236+D237</f>
        <v>-32550000</v>
      </c>
      <c r="E234" s="67">
        <f t="shared" ref="E234:N234" si="191">E235+E236+E237</f>
        <v>0</v>
      </c>
      <c r="F234" s="67">
        <f t="shared" si="191"/>
        <v>0</v>
      </c>
      <c r="G234" s="67">
        <f t="shared" si="191"/>
        <v>0</v>
      </c>
      <c r="H234" s="67">
        <f t="shared" si="191"/>
        <v>0</v>
      </c>
      <c r="I234" s="67">
        <f t="shared" si="191"/>
        <v>14347035</v>
      </c>
      <c r="J234" s="67">
        <f t="shared" si="191"/>
        <v>0</v>
      </c>
      <c r="K234" s="67">
        <f t="shared" si="191"/>
        <v>0</v>
      </c>
      <c r="L234" s="67">
        <f t="shared" si="191"/>
        <v>0</v>
      </c>
      <c r="M234" s="67">
        <f t="shared" si="191"/>
        <v>0</v>
      </c>
      <c r="N234" s="67">
        <f t="shared" si="191"/>
        <v>0</v>
      </c>
      <c r="O234" s="67">
        <v>0</v>
      </c>
      <c r="P234" s="326">
        <f t="shared" si="175"/>
        <v>14347035</v>
      </c>
      <c r="Q234" s="2"/>
      <c r="S234" s="2"/>
    </row>
    <row r="235" spans="2:19" x14ac:dyDescent="0.15">
      <c r="B235" s="340" t="s">
        <v>701</v>
      </c>
      <c r="C235" s="12" t="s">
        <v>207</v>
      </c>
      <c r="D235" s="67">
        <f t="shared" ref="D235:N239" si="192">D176</f>
        <v>-31050000</v>
      </c>
      <c r="E235" s="67">
        <f t="shared" si="192"/>
        <v>0</v>
      </c>
      <c r="F235" s="67">
        <f t="shared" si="192"/>
        <v>0</v>
      </c>
      <c r="G235" s="67">
        <f t="shared" si="192"/>
        <v>0</v>
      </c>
      <c r="H235" s="67">
        <f t="shared" si="192"/>
        <v>0</v>
      </c>
      <c r="I235" s="67">
        <f t="shared" si="192"/>
        <v>12847035</v>
      </c>
      <c r="J235" s="67">
        <f t="shared" si="192"/>
        <v>0</v>
      </c>
      <c r="K235" s="67">
        <f t="shared" si="192"/>
        <v>0</v>
      </c>
      <c r="L235" s="67">
        <f t="shared" si="192"/>
        <v>0</v>
      </c>
      <c r="M235" s="67">
        <f t="shared" si="192"/>
        <v>0</v>
      </c>
      <c r="N235" s="67">
        <f t="shared" si="192"/>
        <v>0</v>
      </c>
      <c r="O235" s="67">
        <v>0</v>
      </c>
      <c r="P235" s="326">
        <f t="shared" si="175"/>
        <v>12847035</v>
      </c>
      <c r="Q235" s="2"/>
      <c r="S235" s="2"/>
    </row>
    <row r="236" spans="2:19" x14ac:dyDescent="0.15">
      <c r="B236" s="340" t="s">
        <v>702</v>
      </c>
      <c r="C236" s="12" t="s">
        <v>307</v>
      </c>
      <c r="D236" s="67">
        <f t="shared" si="192"/>
        <v>-1500000</v>
      </c>
      <c r="E236" s="67">
        <f t="shared" si="192"/>
        <v>0</v>
      </c>
      <c r="F236" s="67">
        <f t="shared" si="192"/>
        <v>0</v>
      </c>
      <c r="G236" s="67">
        <f t="shared" si="192"/>
        <v>0</v>
      </c>
      <c r="H236" s="67">
        <f t="shared" si="192"/>
        <v>0</v>
      </c>
      <c r="I236" s="67">
        <f t="shared" si="192"/>
        <v>1500000</v>
      </c>
      <c r="J236" s="67">
        <f t="shared" si="192"/>
        <v>0</v>
      </c>
      <c r="K236" s="67">
        <f t="shared" si="192"/>
        <v>0</v>
      </c>
      <c r="L236" s="67">
        <f t="shared" si="192"/>
        <v>0</v>
      </c>
      <c r="M236" s="67">
        <f t="shared" si="192"/>
        <v>0</v>
      </c>
      <c r="N236" s="67">
        <f t="shared" si="192"/>
        <v>0</v>
      </c>
      <c r="O236" s="67">
        <v>0</v>
      </c>
      <c r="P236" s="326">
        <f t="shared" si="175"/>
        <v>1500000</v>
      </c>
      <c r="Q236" s="2"/>
      <c r="S236" s="2"/>
    </row>
    <row r="237" spans="2:19" x14ac:dyDescent="0.15">
      <c r="B237" s="340" t="s">
        <v>703</v>
      </c>
      <c r="C237" s="12" t="s">
        <v>309</v>
      </c>
      <c r="D237" s="67">
        <f t="shared" si="192"/>
        <v>0</v>
      </c>
      <c r="E237" s="67">
        <f t="shared" si="192"/>
        <v>0</v>
      </c>
      <c r="F237" s="67">
        <f t="shared" si="192"/>
        <v>0</v>
      </c>
      <c r="G237" s="67">
        <f t="shared" si="192"/>
        <v>0</v>
      </c>
      <c r="H237" s="67">
        <f t="shared" si="192"/>
        <v>0</v>
      </c>
      <c r="I237" s="67">
        <f t="shared" si="192"/>
        <v>0</v>
      </c>
      <c r="J237" s="67">
        <f t="shared" si="192"/>
        <v>0</v>
      </c>
      <c r="K237" s="67">
        <f t="shared" si="192"/>
        <v>0</v>
      </c>
      <c r="L237" s="67">
        <f t="shared" si="192"/>
        <v>0</v>
      </c>
      <c r="M237" s="67">
        <f t="shared" si="192"/>
        <v>0</v>
      </c>
      <c r="N237" s="67">
        <f t="shared" si="192"/>
        <v>0</v>
      </c>
      <c r="O237" s="67">
        <v>0</v>
      </c>
      <c r="P237" s="326">
        <f t="shared" si="175"/>
        <v>0</v>
      </c>
      <c r="Q237" s="2"/>
      <c r="S237" s="2"/>
    </row>
    <row r="238" spans="2:19" x14ac:dyDescent="0.15">
      <c r="B238" s="340" t="s">
        <v>704</v>
      </c>
      <c r="C238" s="12" t="s">
        <v>311</v>
      </c>
      <c r="D238" s="67">
        <f t="shared" si="192"/>
        <v>0</v>
      </c>
      <c r="E238" s="67">
        <f t="shared" si="192"/>
        <v>0</v>
      </c>
      <c r="F238" s="67">
        <f t="shared" si="192"/>
        <v>0</v>
      </c>
      <c r="G238" s="67">
        <f t="shared" si="192"/>
        <v>0</v>
      </c>
      <c r="H238" s="67">
        <f t="shared" si="192"/>
        <v>0</v>
      </c>
      <c r="I238" s="67">
        <f t="shared" si="192"/>
        <v>-2596968.7000000002</v>
      </c>
      <c r="J238" s="67">
        <f t="shared" si="192"/>
        <v>0</v>
      </c>
      <c r="K238" s="67">
        <f t="shared" si="192"/>
        <v>0</v>
      </c>
      <c r="L238" s="67">
        <f t="shared" si="192"/>
        <v>0</v>
      </c>
      <c r="M238" s="67">
        <f t="shared" si="192"/>
        <v>0</v>
      </c>
      <c r="N238" s="67">
        <f t="shared" si="192"/>
        <v>0</v>
      </c>
      <c r="O238" s="67">
        <v>0</v>
      </c>
      <c r="P238" s="326">
        <f t="shared" si="175"/>
        <v>-2596968.7000000002</v>
      </c>
      <c r="Q238" s="2"/>
      <c r="S238" s="2"/>
    </row>
    <row r="239" spans="2:19" ht="14" thickBot="1" x14ac:dyDescent="0.2">
      <c r="B239" s="340" t="s">
        <v>705</v>
      </c>
      <c r="C239" s="12" t="s">
        <v>115</v>
      </c>
      <c r="D239" s="67">
        <f t="shared" si="192"/>
        <v>-60000000</v>
      </c>
      <c r="E239" s="67">
        <f t="shared" si="192"/>
        <v>0</v>
      </c>
      <c r="F239" s="67">
        <f t="shared" si="192"/>
        <v>0</v>
      </c>
      <c r="G239" s="67">
        <f t="shared" si="192"/>
        <v>0</v>
      </c>
      <c r="H239" s="67">
        <f t="shared" si="192"/>
        <v>0</v>
      </c>
      <c r="I239" s="67">
        <f t="shared" si="192"/>
        <v>60000000</v>
      </c>
      <c r="J239" s="67">
        <f t="shared" si="192"/>
        <v>0</v>
      </c>
      <c r="K239" s="67">
        <f t="shared" si="192"/>
        <v>0</v>
      </c>
      <c r="L239" s="67">
        <f t="shared" si="192"/>
        <v>0</v>
      </c>
      <c r="M239" s="67">
        <f t="shared" si="192"/>
        <v>0</v>
      </c>
      <c r="N239" s="67">
        <f t="shared" si="192"/>
        <v>0</v>
      </c>
      <c r="O239" s="67">
        <v>0</v>
      </c>
      <c r="P239" s="326">
        <f t="shared" si="175"/>
        <v>60000000</v>
      </c>
      <c r="Q239" s="2"/>
      <c r="S239" s="2"/>
    </row>
    <row r="240" spans="2:19" x14ac:dyDescent="0.15">
      <c r="B240" s="340">
        <v>17</v>
      </c>
      <c r="C240" s="12" t="s">
        <v>313</v>
      </c>
      <c r="D240" s="67">
        <f>D233+D234+D238+D239</f>
        <v>-92550000</v>
      </c>
      <c r="E240" s="67">
        <f t="shared" ref="E240:N240" si="193">E233+E234+E238+E239</f>
        <v>0</v>
      </c>
      <c r="F240" s="67">
        <f t="shared" si="193"/>
        <v>0</v>
      </c>
      <c r="G240" s="67">
        <f t="shared" si="193"/>
        <v>0</v>
      </c>
      <c r="H240" s="67">
        <f t="shared" si="193"/>
        <v>0</v>
      </c>
      <c r="I240" s="67">
        <f t="shared" si="193"/>
        <v>71750066.299999997</v>
      </c>
      <c r="J240" s="67">
        <f t="shared" si="193"/>
        <v>0</v>
      </c>
      <c r="K240" s="67">
        <f t="shared" si="193"/>
        <v>0</v>
      </c>
      <c r="L240" s="67">
        <f t="shared" si="193"/>
        <v>0</v>
      </c>
      <c r="M240" s="67">
        <f t="shared" si="193"/>
        <v>0</v>
      </c>
      <c r="N240" s="67">
        <f t="shared" si="193"/>
        <v>0</v>
      </c>
      <c r="O240" s="67">
        <v>0</v>
      </c>
      <c r="P240" s="326">
        <f t="shared" si="175"/>
        <v>71750066.299999997</v>
      </c>
      <c r="Q240" s="461"/>
      <c r="R240" s="357" t="s">
        <v>693</v>
      </c>
      <c r="S240" s="2"/>
    </row>
    <row r="241" spans="1:19" ht="14" thickBot="1" x14ac:dyDescent="0.2">
      <c r="A241" s="1" t="s">
        <v>710</v>
      </c>
      <c r="B241" s="355">
        <v>18</v>
      </c>
      <c r="C241" s="335" t="s">
        <v>314</v>
      </c>
      <c r="D241" s="331">
        <f>D240+D232</f>
        <v>-92550000</v>
      </c>
      <c r="E241" s="331">
        <f t="shared" ref="E241:N241" si="194">E240+E232</f>
        <v>50012750</v>
      </c>
      <c r="F241" s="331">
        <f t="shared" si="194"/>
        <v>44202792.500000022</v>
      </c>
      <c r="G241" s="331">
        <f t="shared" si="194"/>
        <v>35442192.08412499</v>
      </c>
      <c r="H241" s="331">
        <f t="shared" si="194"/>
        <v>25111356.707490433</v>
      </c>
      <c r="I241" s="331">
        <f t="shared" si="194"/>
        <v>84401062.478848949</v>
      </c>
      <c r="J241" s="331">
        <f t="shared" si="194"/>
        <v>0</v>
      </c>
      <c r="K241" s="331">
        <f t="shared" si="194"/>
        <v>0</v>
      </c>
      <c r="L241" s="331">
        <f t="shared" si="194"/>
        <v>0</v>
      </c>
      <c r="M241" s="331">
        <f t="shared" si="194"/>
        <v>0</v>
      </c>
      <c r="N241" s="331">
        <f t="shared" si="194"/>
        <v>0</v>
      </c>
      <c r="O241" s="331">
        <v>0</v>
      </c>
      <c r="P241" s="356">
        <f t="shared" si="175"/>
        <v>239170153.77046442</v>
      </c>
      <c r="Q241" s="463"/>
      <c r="R241" s="358">
        <f>IF(ISNUMBER(IRR(D241:N241)),IRR(D241:N241),"NMF")</f>
        <v>0.40549033935008683</v>
      </c>
      <c r="S241" s="1" t="s">
        <v>710</v>
      </c>
    </row>
    <row r="242" spans="1:19" x14ac:dyDescent="0.15">
      <c r="S242" s="2"/>
    </row>
    <row r="243" spans="1:19" ht="14" thickBot="1" x14ac:dyDescent="0.2">
      <c r="S243" s="2"/>
    </row>
    <row r="244" spans="1:19" ht="14" thickBot="1" x14ac:dyDescent="0.2">
      <c r="B244" s="359" t="s">
        <v>282</v>
      </c>
      <c r="C244" s="360" t="s">
        <v>283</v>
      </c>
      <c r="D244" s="360"/>
      <c r="E244" s="360">
        <v>1</v>
      </c>
      <c r="F244" s="360">
        <v>2</v>
      </c>
      <c r="G244" s="360">
        <v>3</v>
      </c>
      <c r="H244" s="360">
        <v>4</v>
      </c>
      <c r="I244" s="360">
        <v>5</v>
      </c>
      <c r="J244" s="360">
        <v>6</v>
      </c>
      <c r="K244" s="360">
        <v>7</v>
      </c>
      <c r="L244" s="360">
        <v>8</v>
      </c>
      <c r="M244" s="360">
        <v>9</v>
      </c>
      <c r="N244" s="360">
        <v>10</v>
      </c>
      <c r="O244" s="360" t="s">
        <v>284</v>
      </c>
      <c r="P244" s="361" t="s">
        <v>285</v>
      </c>
      <c r="S244" s="2"/>
    </row>
    <row r="245" spans="1:19" x14ac:dyDescent="0.15">
      <c r="B245" s="339" t="s">
        <v>687</v>
      </c>
      <c r="C245" s="302" t="s">
        <v>287</v>
      </c>
      <c r="D245" s="322">
        <f t="shared" ref="D245:D260" si="195">D158</f>
        <v>0</v>
      </c>
      <c r="E245" s="322">
        <f t="shared" ref="E245:N245" si="196">E158</f>
        <v>300000000</v>
      </c>
      <c r="F245" s="322">
        <f t="shared" si="196"/>
        <v>313500000.00000006</v>
      </c>
      <c r="G245" s="322">
        <f t="shared" si="196"/>
        <v>327607500.00000006</v>
      </c>
      <c r="H245" s="322">
        <f t="shared" si="196"/>
        <v>342349837.50000012</v>
      </c>
      <c r="I245" s="322">
        <f t="shared" si="196"/>
        <v>357755580.18750012</v>
      </c>
      <c r="J245" s="322">
        <f t="shared" si="196"/>
        <v>0</v>
      </c>
      <c r="K245" s="322">
        <f t="shared" si="196"/>
        <v>0</v>
      </c>
      <c r="L245" s="322">
        <f t="shared" si="196"/>
        <v>0</v>
      </c>
      <c r="M245" s="322">
        <f t="shared" si="196"/>
        <v>0</v>
      </c>
      <c r="N245" s="322">
        <f t="shared" si="196"/>
        <v>0</v>
      </c>
      <c r="O245" s="322">
        <v>0</v>
      </c>
      <c r="P245" s="325">
        <f>SUM(E245:N245)</f>
        <v>1641212917.6875</v>
      </c>
      <c r="Q245" s="2"/>
      <c r="S245" s="2"/>
    </row>
    <row r="246" spans="1:19" x14ac:dyDescent="0.15">
      <c r="A246" s="1" t="s">
        <v>711</v>
      </c>
      <c r="B246" s="340" t="s">
        <v>689</v>
      </c>
      <c r="C246" s="354" t="s">
        <v>689</v>
      </c>
      <c r="D246" s="67">
        <f t="shared" si="195"/>
        <v>0</v>
      </c>
      <c r="E246" s="67">
        <f>E159</f>
        <v>300000000</v>
      </c>
      <c r="F246" s="67">
        <f t="shared" ref="F246:N246" si="197">F159</f>
        <v>313500000.00000006</v>
      </c>
      <c r="G246" s="67">
        <f t="shared" si="197"/>
        <v>327607500.00000006</v>
      </c>
      <c r="H246" s="67">
        <f t="shared" si="197"/>
        <v>342349837.50000012</v>
      </c>
      <c r="I246" s="67">
        <f t="shared" si="197"/>
        <v>357755580.18750012</v>
      </c>
      <c r="J246" s="67">
        <f t="shared" si="197"/>
        <v>0</v>
      </c>
      <c r="K246" s="67">
        <f t="shared" si="197"/>
        <v>0</v>
      </c>
      <c r="L246" s="67">
        <f t="shared" si="197"/>
        <v>0</v>
      </c>
      <c r="M246" s="67">
        <f t="shared" si="197"/>
        <v>0</v>
      </c>
      <c r="N246" s="67">
        <f t="shared" si="197"/>
        <v>0</v>
      </c>
      <c r="O246" s="67"/>
      <c r="P246" s="326">
        <f t="shared" ref="P246:P269" si="198">SUM(E246:N246)</f>
        <v>1641212917.6875</v>
      </c>
      <c r="Q246" s="2"/>
      <c r="S246" s="2"/>
    </row>
    <row r="247" spans="1:19" x14ac:dyDescent="0.15">
      <c r="B247" s="355" t="s">
        <v>690</v>
      </c>
      <c r="C247" s="362" t="s">
        <v>690</v>
      </c>
      <c r="D247" s="331">
        <f t="shared" si="195"/>
        <v>0</v>
      </c>
      <c r="E247" s="331">
        <f>E160*1.15</f>
        <v>0</v>
      </c>
      <c r="F247" s="331">
        <f t="shared" ref="F247:N247" si="199">F160*1.15</f>
        <v>0</v>
      </c>
      <c r="G247" s="331">
        <f t="shared" si="199"/>
        <v>0</v>
      </c>
      <c r="H247" s="331">
        <f t="shared" si="199"/>
        <v>0</v>
      </c>
      <c r="I247" s="331">
        <f t="shared" si="199"/>
        <v>0</v>
      </c>
      <c r="J247" s="331">
        <f t="shared" si="199"/>
        <v>0</v>
      </c>
      <c r="K247" s="331">
        <f t="shared" si="199"/>
        <v>0</v>
      </c>
      <c r="L247" s="331">
        <f t="shared" si="199"/>
        <v>0</v>
      </c>
      <c r="M247" s="331">
        <f t="shared" si="199"/>
        <v>0</v>
      </c>
      <c r="N247" s="331">
        <f t="shared" si="199"/>
        <v>0</v>
      </c>
      <c r="O247" s="363"/>
      <c r="P247" s="356">
        <f t="shared" si="198"/>
        <v>0</v>
      </c>
      <c r="Q247" s="460"/>
      <c r="S247" s="2"/>
    </row>
    <row r="248" spans="1:19" x14ac:dyDescent="0.15">
      <c r="B248" s="340" t="s">
        <v>691</v>
      </c>
      <c r="C248" s="354" t="s">
        <v>691</v>
      </c>
      <c r="D248" s="67">
        <f t="shared" si="195"/>
        <v>0</v>
      </c>
      <c r="E248" s="67">
        <f>E161</f>
        <v>0</v>
      </c>
      <c r="F248" s="67">
        <f t="shared" ref="F248:N248" si="200">F161</f>
        <v>0</v>
      </c>
      <c r="G248" s="67">
        <f t="shared" si="200"/>
        <v>0</v>
      </c>
      <c r="H248" s="67">
        <f t="shared" si="200"/>
        <v>0</v>
      </c>
      <c r="I248" s="67">
        <f t="shared" si="200"/>
        <v>0</v>
      </c>
      <c r="J248" s="67">
        <f t="shared" si="200"/>
        <v>0</v>
      </c>
      <c r="K248" s="67">
        <f t="shared" si="200"/>
        <v>0</v>
      </c>
      <c r="L248" s="67">
        <f t="shared" si="200"/>
        <v>0</v>
      </c>
      <c r="M248" s="67">
        <f t="shared" si="200"/>
        <v>0</v>
      </c>
      <c r="N248" s="67">
        <f t="shared" si="200"/>
        <v>0</v>
      </c>
      <c r="O248" s="67"/>
      <c r="P248" s="326">
        <f t="shared" si="198"/>
        <v>0</v>
      </c>
      <c r="Q248" s="2"/>
      <c r="S248" s="2"/>
    </row>
    <row r="249" spans="1:19" x14ac:dyDescent="0.15">
      <c r="B249" s="340" t="s">
        <v>695</v>
      </c>
      <c r="C249" s="12"/>
      <c r="D249" s="67">
        <f t="shared" si="195"/>
        <v>0</v>
      </c>
      <c r="E249" s="67">
        <f>E246+E247+E248</f>
        <v>300000000</v>
      </c>
      <c r="F249" s="67">
        <f t="shared" ref="F249:N249" si="201">F246+F247+F248</f>
        <v>313500000.00000006</v>
      </c>
      <c r="G249" s="67">
        <f t="shared" si="201"/>
        <v>327607500.00000006</v>
      </c>
      <c r="H249" s="67">
        <f t="shared" si="201"/>
        <v>342349837.50000012</v>
      </c>
      <c r="I249" s="67">
        <f t="shared" si="201"/>
        <v>357755580.18750012</v>
      </c>
      <c r="J249" s="67">
        <f t="shared" si="201"/>
        <v>0</v>
      </c>
      <c r="K249" s="67">
        <f t="shared" si="201"/>
        <v>0</v>
      </c>
      <c r="L249" s="67">
        <f t="shared" si="201"/>
        <v>0</v>
      </c>
      <c r="M249" s="67">
        <f t="shared" si="201"/>
        <v>0</v>
      </c>
      <c r="N249" s="67">
        <f t="shared" si="201"/>
        <v>0</v>
      </c>
      <c r="O249" s="67"/>
      <c r="P249" s="326">
        <f t="shared" si="198"/>
        <v>1641212917.6875</v>
      </c>
      <c r="Q249" s="2"/>
      <c r="S249" s="2"/>
    </row>
    <row r="250" spans="1:19" x14ac:dyDescent="0.15">
      <c r="B250" s="340" t="s">
        <v>696</v>
      </c>
      <c r="C250" s="12" t="s">
        <v>289</v>
      </c>
      <c r="D250" s="67">
        <f t="shared" si="195"/>
        <v>0</v>
      </c>
      <c r="E250" s="67">
        <f t="shared" ref="E250:N250" si="202">E163</f>
        <v>230170000</v>
      </c>
      <c r="F250" s="67">
        <f t="shared" si="202"/>
        <v>253018375.00000003</v>
      </c>
      <c r="G250" s="67">
        <f t="shared" si="202"/>
        <v>278725718.45125008</v>
      </c>
      <c r="H250" s="67">
        <f t="shared" si="202"/>
        <v>307665975.06072807</v>
      </c>
      <c r="I250" s="67">
        <f t="shared" si="202"/>
        <v>340262566.36057305</v>
      </c>
      <c r="J250" s="67">
        <f t="shared" si="202"/>
        <v>0</v>
      </c>
      <c r="K250" s="67">
        <f t="shared" si="202"/>
        <v>0</v>
      </c>
      <c r="L250" s="67">
        <f t="shared" si="202"/>
        <v>0</v>
      </c>
      <c r="M250" s="67">
        <f t="shared" si="202"/>
        <v>0</v>
      </c>
      <c r="N250" s="67">
        <f t="shared" si="202"/>
        <v>0</v>
      </c>
      <c r="O250" s="67">
        <v>0</v>
      </c>
      <c r="P250" s="326">
        <f t="shared" si="198"/>
        <v>1409842634.8725512</v>
      </c>
      <c r="Q250" s="2"/>
      <c r="S250" s="2"/>
    </row>
    <row r="251" spans="1:19" x14ac:dyDescent="0.15">
      <c r="B251" s="340">
        <v>3</v>
      </c>
      <c r="C251" s="12" t="s">
        <v>290</v>
      </c>
      <c r="D251" s="67">
        <f t="shared" si="195"/>
        <v>0</v>
      </c>
      <c r="E251" s="67">
        <f>E249-E250</f>
        <v>69830000</v>
      </c>
      <c r="F251" s="67">
        <f t="shared" ref="F251:N251" si="203">F249-F250</f>
        <v>60481625.00000003</v>
      </c>
      <c r="G251" s="67">
        <f t="shared" si="203"/>
        <v>48881781.548749983</v>
      </c>
      <c r="H251" s="67">
        <f t="shared" si="203"/>
        <v>34683862.439272046</v>
      </c>
      <c r="I251" s="67">
        <f t="shared" si="203"/>
        <v>17493013.826927066</v>
      </c>
      <c r="J251" s="67">
        <f t="shared" si="203"/>
        <v>0</v>
      </c>
      <c r="K251" s="67">
        <f t="shared" si="203"/>
        <v>0</v>
      </c>
      <c r="L251" s="67">
        <f t="shared" si="203"/>
        <v>0</v>
      </c>
      <c r="M251" s="67">
        <f t="shared" si="203"/>
        <v>0</v>
      </c>
      <c r="N251" s="67">
        <f t="shared" si="203"/>
        <v>0</v>
      </c>
      <c r="O251" s="67">
        <v>0</v>
      </c>
      <c r="P251" s="326">
        <f t="shared" si="198"/>
        <v>231370282.81494913</v>
      </c>
      <c r="Q251" s="2"/>
      <c r="S251" s="2"/>
    </row>
    <row r="252" spans="1:19" x14ac:dyDescent="0.15">
      <c r="B252" s="340" t="s">
        <v>697</v>
      </c>
      <c r="C252" s="12" t="s">
        <v>292</v>
      </c>
      <c r="D252" s="67">
        <f t="shared" si="195"/>
        <v>0</v>
      </c>
      <c r="E252" s="67">
        <f>E165</f>
        <v>3772500</v>
      </c>
      <c r="F252" s="67">
        <f t="shared" ref="F252:N252" si="204">F165</f>
        <v>6218850</v>
      </c>
      <c r="G252" s="67">
        <f t="shared" si="204"/>
        <v>4083150</v>
      </c>
      <c r="H252" s="67">
        <f t="shared" si="204"/>
        <v>2775510</v>
      </c>
      <c r="I252" s="67">
        <f t="shared" si="204"/>
        <v>1352955</v>
      </c>
      <c r="J252" s="67">
        <f t="shared" si="204"/>
        <v>0</v>
      </c>
      <c r="K252" s="67">
        <f t="shared" si="204"/>
        <v>0</v>
      </c>
      <c r="L252" s="67">
        <f t="shared" si="204"/>
        <v>0</v>
      </c>
      <c r="M252" s="67">
        <f t="shared" si="204"/>
        <v>0</v>
      </c>
      <c r="N252" s="67">
        <f t="shared" si="204"/>
        <v>0</v>
      </c>
      <c r="O252" s="67">
        <v>0</v>
      </c>
      <c r="P252" s="326">
        <f t="shared" si="198"/>
        <v>18202965</v>
      </c>
      <c r="Q252" s="2"/>
      <c r="S252" s="2"/>
    </row>
    <row r="253" spans="1:19" x14ac:dyDescent="0.15">
      <c r="B253" s="340">
        <v>5</v>
      </c>
      <c r="C253" s="12" t="s">
        <v>293</v>
      </c>
      <c r="D253" s="67">
        <f t="shared" si="195"/>
        <v>0</v>
      </c>
      <c r="E253" s="67">
        <f>E251-E252</f>
        <v>66057500</v>
      </c>
      <c r="F253" s="67">
        <f t="shared" ref="F253:N253" si="205">F251-F252</f>
        <v>54262775.00000003</v>
      </c>
      <c r="G253" s="67">
        <f t="shared" si="205"/>
        <v>44798631.548749983</v>
      </c>
      <c r="H253" s="67">
        <f t="shared" si="205"/>
        <v>31908352.439272046</v>
      </c>
      <c r="I253" s="67">
        <f t="shared" si="205"/>
        <v>16140058.826927066</v>
      </c>
      <c r="J253" s="67">
        <f t="shared" si="205"/>
        <v>0</v>
      </c>
      <c r="K253" s="67">
        <f t="shared" si="205"/>
        <v>0</v>
      </c>
      <c r="L253" s="67">
        <f t="shared" si="205"/>
        <v>0</v>
      </c>
      <c r="M253" s="67">
        <f t="shared" si="205"/>
        <v>0</v>
      </c>
      <c r="N253" s="67">
        <f t="shared" si="205"/>
        <v>0</v>
      </c>
      <c r="O253" s="67">
        <v>0</v>
      </c>
      <c r="P253" s="326">
        <f t="shared" si="198"/>
        <v>213167317.81494913</v>
      </c>
      <c r="Q253" s="2"/>
      <c r="S253" s="2"/>
    </row>
    <row r="254" spans="1:19" x14ac:dyDescent="0.15">
      <c r="B254" s="340" t="s">
        <v>698</v>
      </c>
      <c r="C254" s="12" t="s">
        <v>295</v>
      </c>
      <c r="D254" s="67">
        <f t="shared" si="195"/>
        <v>0</v>
      </c>
      <c r="E254" s="67">
        <f>E167</f>
        <v>0</v>
      </c>
      <c r="F254" s="67">
        <f t="shared" ref="F254:N254" si="206">F167</f>
        <v>0</v>
      </c>
      <c r="G254" s="67">
        <f t="shared" si="206"/>
        <v>0</v>
      </c>
      <c r="H254" s="67">
        <f t="shared" si="206"/>
        <v>0</v>
      </c>
      <c r="I254" s="67">
        <f t="shared" si="206"/>
        <v>0</v>
      </c>
      <c r="J254" s="67">
        <f t="shared" si="206"/>
        <v>0</v>
      </c>
      <c r="K254" s="67">
        <f t="shared" si="206"/>
        <v>0</v>
      </c>
      <c r="L254" s="67">
        <f t="shared" si="206"/>
        <v>0</v>
      </c>
      <c r="M254" s="67">
        <f t="shared" si="206"/>
        <v>0</v>
      </c>
      <c r="N254" s="67">
        <f t="shared" si="206"/>
        <v>0</v>
      </c>
      <c r="O254" s="67">
        <v>0</v>
      </c>
      <c r="P254" s="326">
        <f t="shared" si="198"/>
        <v>0</v>
      </c>
      <c r="Q254" s="2"/>
      <c r="S254" s="2"/>
    </row>
    <row r="255" spans="1:19" x14ac:dyDescent="0.15">
      <c r="B255" s="340">
        <v>7</v>
      </c>
      <c r="C255" s="12" t="s">
        <v>296</v>
      </c>
      <c r="D255" s="67">
        <f t="shared" si="195"/>
        <v>0</v>
      </c>
      <c r="E255" s="67">
        <f>E253-E254</f>
        <v>66057500</v>
      </c>
      <c r="F255" s="67">
        <f t="shared" ref="F255:N255" si="207">F253-F254</f>
        <v>54262775.00000003</v>
      </c>
      <c r="G255" s="67">
        <f t="shared" si="207"/>
        <v>44798631.548749983</v>
      </c>
      <c r="H255" s="67">
        <f t="shared" si="207"/>
        <v>31908352.439272046</v>
      </c>
      <c r="I255" s="67">
        <f t="shared" si="207"/>
        <v>16140058.826927066</v>
      </c>
      <c r="J255" s="67">
        <f t="shared" si="207"/>
        <v>0</v>
      </c>
      <c r="K255" s="67">
        <f t="shared" si="207"/>
        <v>0</v>
      </c>
      <c r="L255" s="67">
        <f t="shared" si="207"/>
        <v>0</v>
      </c>
      <c r="M255" s="67">
        <f t="shared" si="207"/>
        <v>0</v>
      </c>
      <c r="N255" s="67">
        <f t="shared" si="207"/>
        <v>0</v>
      </c>
      <c r="O255" s="67">
        <v>0</v>
      </c>
      <c r="P255" s="326">
        <f t="shared" si="198"/>
        <v>213167317.81494913</v>
      </c>
      <c r="Q255" s="2"/>
      <c r="S255" s="2"/>
    </row>
    <row r="256" spans="1:19" x14ac:dyDescent="0.15">
      <c r="B256" s="340">
        <v>8</v>
      </c>
      <c r="C256" s="12" t="s">
        <v>297</v>
      </c>
      <c r="D256" s="67">
        <f t="shared" si="195"/>
        <v>0</v>
      </c>
      <c r="E256" s="67">
        <f>-E255*$D$3</f>
        <v>-19817250</v>
      </c>
      <c r="F256" s="67">
        <f t="shared" ref="F256:N256" si="208">-F255*$D$3</f>
        <v>-16278832.500000007</v>
      </c>
      <c r="G256" s="67">
        <f t="shared" si="208"/>
        <v>-13439589.464624995</v>
      </c>
      <c r="H256" s="67">
        <f t="shared" si="208"/>
        <v>-9572505.7317816131</v>
      </c>
      <c r="I256" s="67">
        <f t="shared" si="208"/>
        <v>-4842017.6480781194</v>
      </c>
      <c r="J256" s="67">
        <f t="shared" si="208"/>
        <v>0</v>
      </c>
      <c r="K256" s="67">
        <f t="shared" si="208"/>
        <v>0</v>
      </c>
      <c r="L256" s="67">
        <f t="shared" si="208"/>
        <v>0</v>
      </c>
      <c r="M256" s="67">
        <f t="shared" si="208"/>
        <v>0</v>
      </c>
      <c r="N256" s="67">
        <f t="shared" si="208"/>
        <v>0</v>
      </c>
      <c r="O256" s="67">
        <v>0</v>
      </c>
      <c r="P256" s="326">
        <f t="shared" si="198"/>
        <v>-63950195.344484739</v>
      </c>
      <c r="Q256" s="2"/>
      <c r="S256" s="2"/>
    </row>
    <row r="257" spans="1:19" x14ac:dyDescent="0.15">
      <c r="B257" s="340">
        <v>9</v>
      </c>
      <c r="C257" s="12" t="s">
        <v>298</v>
      </c>
      <c r="D257" s="67">
        <f t="shared" si="195"/>
        <v>0</v>
      </c>
      <c r="E257" s="67">
        <f>E170</f>
        <v>0</v>
      </c>
      <c r="F257" s="67">
        <f t="shared" ref="F257:N257" si="209">F170</f>
        <v>0</v>
      </c>
      <c r="G257" s="67">
        <f t="shared" si="209"/>
        <v>0</v>
      </c>
      <c r="H257" s="67">
        <f t="shared" si="209"/>
        <v>0</v>
      </c>
      <c r="I257" s="67">
        <f t="shared" si="209"/>
        <v>0</v>
      </c>
      <c r="J257" s="67">
        <f t="shared" si="209"/>
        <v>0</v>
      </c>
      <c r="K257" s="67">
        <f t="shared" si="209"/>
        <v>0</v>
      </c>
      <c r="L257" s="67">
        <f t="shared" si="209"/>
        <v>0</v>
      </c>
      <c r="M257" s="67">
        <f t="shared" si="209"/>
        <v>0</v>
      </c>
      <c r="N257" s="67">
        <f t="shared" si="209"/>
        <v>0</v>
      </c>
      <c r="O257" s="67">
        <v>0</v>
      </c>
      <c r="P257" s="326">
        <f t="shared" si="198"/>
        <v>0</v>
      </c>
      <c r="Q257" s="2"/>
      <c r="S257" s="2"/>
    </row>
    <row r="258" spans="1:19" x14ac:dyDescent="0.15">
      <c r="B258" s="340">
        <v>10</v>
      </c>
      <c r="C258" s="12" t="s">
        <v>299</v>
      </c>
      <c r="D258" s="67">
        <f t="shared" si="195"/>
        <v>0</v>
      </c>
      <c r="E258" s="67">
        <f>E255+E256+E257</f>
        <v>46240250</v>
      </c>
      <c r="F258" s="67">
        <f t="shared" ref="F258:N258" si="210">F255+F256+F257</f>
        <v>37983942.500000022</v>
      </c>
      <c r="G258" s="67">
        <f t="shared" si="210"/>
        <v>31359042.08412499</v>
      </c>
      <c r="H258" s="67">
        <f t="shared" si="210"/>
        <v>22335846.707490433</v>
      </c>
      <c r="I258" s="67">
        <f t="shared" si="210"/>
        <v>11298041.178848946</v>
      </c>
      <c r="J258" s="67">
        <f t="shared" si="210"/>
        <v>0</v>
      </c>
      <c r="K258" s="67">
        <f t="shared" si="210"/>
        <v>0</v>
      </c>
      <c r="L258" s="67">
        <f t="shared" si="210"/>
        <v>0</v>
      </c>
      <c r="M258" s="67">
        <f t="shared" si="210"/>
        <v>0</v>
      </c>
      <c r="N258" s="67">
        <f t="shared" si="210"/>
        <v>0</v>
      </c>
      <c r="O258" s="67">
        <v>0</v>
      </c>
      <c r="P258" s="326">
        <f t="shared" si="198"/>
        <v>149217122.47046441</v>
      </c>
      <c r="Q258" s="2"/>
      <c r="S258" s="2"/>
    </row>
    <row r="259" spans="1:19" x14ac:dyDescent="0.15">
      <c r="B259" s="340" t="s">
        <v>699</v>
      </c>
      <c r="C259" s="12" t="s">
        <v>292</v>
      </c>
      <c r="D259" s="67">
        <f t="shared" si="195"/>
        <v>0</v>
      </c>
      <c r="E259" s="67">
        <f>E172</f>
        <v>3772500</v>
      </c>
      <c r="F259" s="67">
        <f t="shared" ref="F259:N259" si="211">F172</f>
        <v>6218850</v>
      </c>
      <c r="G259" s="67">
        <f t="shared" si="211"/>
        <v>4083150</v>
      </c>
      <c r="H259" s="67">
        <f t="shared" si="211"/>
        <v>2775510</v>
      </c>
      <c r="I259" s="67">
        <f t="shared" si="211"/>
        <v>1352955</v>
      </c>
      <c r="J259" s="67">
        <f t="shared" si="211"/>
        <v>0</v>
      </c>
      <c r="K259" s="67">
        <f t="shared" si="211"/>
        <v>0</v>
      </c>
      <c r="L259" s="67">
        <f t="shared" si="211"/>
        <v>0</v>
      </c>
      <c r="M259" s="67">
        <f t="shared" si="211"/>
        <v>0</v>
      </c>
      <c r="N259" s="67">
        <f t="shared" si="211"/>
        <v>0</v>
      </c>
      <c r="O259" s="67">
        <v>0</v>
      </c>
      <c r="P259" s="326">
        <f t="shared" si="198"/>
        <v>18202965</v>
      </c>
      <c r="Q259" s="2"/>
      <c r="S259" s="2"/>
    </row>
    <row r="260" spans="1:19" x14ac:dyDescent="0.15">
      <c r="B260" s="340">
        <v>12</v>
      </c>
      <c r="C260" s="12" t="s">
        <v>301</v>
      </c>
      <c r="D260" s="67">
        <f t="shared" si="195"/>
        <v>0</v>
      </c>
      <c r="E260" s="67">
        <f>E258+E259</f>
        <v>50012750</v>
      </c>
      <c r="F260" s="67">
        <f t="shared" ref="F260:N260" si="212">F258+F259</f>
        <v>44202792.500000022</v>
      </c>
      <c r="G260" s="67">
        <f t="shared" si="212"/>
        <v>35442192.08412499</v>
      </c>
      <c r="H260" s="67">
        <f t="shared" si="212"/>
        <v>25111356.707490433</v>
      </c>
      <c r="I260" s="67">
        <f t="shared" si="212"/>
        <v>12650996.178848946</v>
      </c>
      <c r="J260" s="67">
        <f t="shared" si="212"/>
        <v>0</v>
      </c>
      <c r="K260" s="67">
        <f t="shared" si="212"/>
        <v>0</v>
      </c>
      <c r="L260" s="67">
        <f t="shared" si="212"/>
        <v>0</v>
      </c>
      <c r="M260" s="67">
        <f t="shared" si="212"/>
        <v>0</v>
      </c>
      <c r="N260" s="67">
        <f t="shared" si="212"/>
        <v>0</v>
      </c>
      <c r="O260" s="67">
        <v>0</v>
      </c>
      <c r="P260" s="326">
        <f t="shared" si="198"/>
        <v>167420087.47046441</v>
      </c>
      <c r="Q260" s="2"/>
      <c r="S260" s="2"/>
    </row>
    <row r="261" spans="1:19" x14ac:dyDescent="0.15">
      <c r="B261" s="340" t="s">
        <v>700</v>
      </c>
      <c r="C261" s="12" t="s">
        <v>303</v>
      </c>
      <c r="D261" s="67">
        <v>0</v>
      </c>
      <c r="E261" s="67">
        <f t="shared" ref="E261:N261" si="213">E174</f>
        <v>0</v>
      </c>
      <c r="F261" s="67">
        <f t="shared" si="213"/>
        <v>0</v>
      </c>
      <c r="G261" s="67">
        <f t="shared" si="213"/>
        <v>0</v>
      </c>
      <c r="H261" s="67">
        <f t="shared" si="213"/>
        <v>0</v>
      </c>
      <c r="I261" s="67">
        <f t="shared" si="213"/>
        <v>0</v>
      </c>
      <c r="J261" s="67">
        <f t="shared" si="213"/>
        <v>0</v>
      </c>
      <c r="K261" s="67">
        <f t="shared" si="213"/>
        <v>0</v>
      </c>
      <c r="L261" s="67">
        <f t="shared" si="213"/>
        <v>0</v>
      </c>
      <c r="M261" s="67">
        <f t="shared" si="213"/>
        <v>0</v>
      </c>
      <c r="N261" s="67">
        <f t="shared" si="213"/>
        <v>0</v>
      </c>
      <c r="O261" s="67">
        <v>0</v>
      </c>
      <c r="P261" s="326">
        <f t="shared" si="198"/>
        <v>0</v>
      </c>
      <c r="Q261" s="2"/>
      <c r="S261" s="2"/>
    </row>
    <row r="262" spans="1:19" x14ac:dyDescent="0.15">
      <c r="B262" s="340">
        <v>14</v>
      </c>
      <c r="C262" s="12" t="s">
        <v>304</v>
      </c>
      <c r="D262" s="67">
        <f>D263+D264+D265</f>
        <v>-32550000</v>
      </c>
      <c r="E262" s="67">
        <f t="shared" ref="E262:N262" si="214">E263+E264+E265</f>
        <v>0</v>
      </c>
      <c r="F262" s="67">
        <f t="shared" si="214"/>
        <v>0</v>
      </c>
      <c r="G262" s="67">
        <f t="shared" si="214"/>
        <v>0</v>
      </c>
      <c r="H262" s="67">
        <f t="shared" si="214"/>
        <v>0</v>
      </c>
      <c r="I262" s="67">
        <f t="shared" si="214"/>
        <v>14347035</v>
      </c>
      <c r="J262" s="67">
        <f t="shared" si="214"/>
        <v>0</v>
      </c>
      <c r="K262" s="67">
        <f t="shared" si="214"/>
        <v>0</v>
      </c>
      <c r="L262" s="67">
        <f t="shared" si="214"/>
        <v>0</v>
      </c>
      <c r="M262" s="67">
        <f t="shared" si="214"/>
        <v>0</v>
      </c>
      <c r="N262" s="67">
        <f t="shared" si="214"/>
        <v>0</v>
      </c>
      <c r="O262" s="67">
        <v>0</v>
      </c>
      <c r="P262" s="326">
        <f t="shared" si="198"/>
        <v>14347035</v>
      </c>
      <c r="Q262" s="2"/>
      <c r="S262" s="2"/>
    </row>
    <row r="263" spans="1:19" x14ac:dyDescent="0.15">
      <c r="B263" s="340" t="s">
        <v>701</v>
      </c>
      <c r="C263" s="12" t="s">
        <v>207</v>
      </c>
      <c r="D263" s="67">
        <f t="shared" ref="D263:N267" si="215">D176</f>
        <v>-31050000</v>
      </c>
      <c r="E263" s="67">
        <f t="shared" si="215"/>
        <v>0</v>
      </c>
      <c r="F263" s="67">
        <f t="shared" si="215"/>
        <v>0</v>
      </c>
      <c r="G263" s="67">
        <f t="shared" si="215"/>
        <v>0</v>
      </c>
      <c r="H263" s="67">
        <f t="shared" si="215"/>
        <v>0</v>
      </c>
      <c r="I263" s="67">
        <f t="shared" si="215"/>
        <v>12847035</v>
      </c>
      <c r="J263" s="67">
        <f t="shared" si="215"/>
        <v>0</v>
      </c>
      <c r="K263" s="67">
        <f t="shared" si="215"/>
        <v>0</v>
      </c>
      <c r="L263" s="67">
        <f t="shared" si="215"/>
        <v>0</v>
      </c>
      <c r="M263" s="67">
        <f t="shared" si="215"/>
        <v>0</v>
      </c>
      <c r="N263" s="67">
        <f t="shared" si="215"/>
        <v>0</v>
      </c>
      <c r="O263" s="67">
        <v>0</v>
      </c>
      <c r="P263" s="326">
        <f t="shared" si="198"/>
        <v>12847035</v>
      </c>
      <c r="Q263" s="2"/>
      <c r="S263" s="2"/>
    </row>
    <row r="264" spans="1:19" x14ac:dyDescent="0.15">
      <c r="B264" s="340" t="s">
        <v>702</v>
      </c>
      <c r="C264" s="12" t="s">
        <v>307</v>
      </c>
      <c r="D264" s="67">
        <f t="shared" si="215"/>
        <v>-1500000</v>
      </c>
      <c r="E264" s="67">
        <f t="shared" si="215"/>
        <v>0</v>
      </c>
      <c r="F264" s="67">
        <f t="shared" si="215"/>
        <v>0</v>
      </c>
      <c r="G264" s="67">
        <f t="shared" si="215"/>
        <v>0</v>
      </c>
      <c r="H264" s="67">
        <f t="shared" si="215"/>
        <v>0</v>
      </c>
      <c r="I264" s="67">
        <f t="shared" si="215"/>
        <v>1500000</v>
      </c>
      <c r="J264" s="67">
        <f t="shared" si="215"/>
        <v>0</v>
      </c>
      <c r="K264" s="67">
        <f t="shared" si="215"/>
        <v>0</v>
      </c>
      <c r="L264" s="67">
        <f t="shared" si="215"/>
        <v>0</v>
      </c>
      <c r="M264" s="67">
        <f t="shared" si="215"/>
        <v>0</v>
      </c>
      <c r="N264" s="67">
        <f t="shared" si="215"/>
        <v>0</v>
      </c>
      <c r="O264" s="67">
        <v>0</v>
      </c>
      <c r="P264" s="326">
        <f t="shared" si="198"/>
        <v>1500000</v>
      </c>
      <c r="Q264" s="2"/>
      <c r="S264" s="2"/>
    </row>
    <row r="265" spans="1:19" x14ac:dyDescent="0.15">
      <c r="B265" s="340" t="s">
        <v>703</v>
      </c>
      <c r="C265" s="12" t="s">
        <v>309</v>
      </c>
      <c r="D265" s="67">
        <f t="shared" si="215"/>
        <v>0</v>
      </c>
      <c r="E265" s="67">
        <f t="shared" si="215"/>
        <v>0</v>
      </c>
      <c r="F265" s="67">
        <f t="shared" si="215"/>
        <v>0</v>
      </c>
      <c r="G265" s="67">
        <f t="shared" si="215"/>
        <v>0</v>
      </c>
      <c r="H265" s="67">
        <f t="shared" si="215"/>
        <v>0</v>
      </c>
      <c r="I265" s="67">
        <f t="shared" si="215"/>
        <v>0</v>
      </c>
      <c r="J265" s="67">
        <f t="shared" si="215"/>
        <v>0</v>
      </c>
      <c r="K265" s="67">
        <f t="shared" si="215"/>
        <v>0</v>
      </c>
      <c r="L265" s="67">
        <f t="shared" si="215"/>
        <v>0</v>
      </c>
      <c r="M265" s="67">
        <f t="shared" si="215"/>
        <v>0</v>
      </c>
      <c r="N265" s="67">
        <f t="shared" si="215"/>
        <v>0</v>
      </c>
      <c r="O265" s="67">
        <v>0</v>
      </c>
      <c r="P265" s="326">
        <f t="shared" si="198"/>
        <v>0</v>
      </c>
      <c r="Q265" s="2"/>
      <c r="S265" s="2"/>
    </row>
    <row r="266" spans="1:19" x14ac:dyDescent="0.15">
      <c r="B266" s="340" t="s">
        <v>704</v>
      </c>
      <c r="C266" s="12" t="s">
        <v>311</v>
      </c>
      <c r="D266" s="67">
        <f t="shared" si="215"/>
        <v>0</v>
      </c>
      <c r="E266" s="67">
        <f t="shared" si="215"/>
        <v>0</v>
      </c>
      <c r="F266" s="67">
        <f t="shared" si="215"/>
        <v>0</v>
      </c>
      <c r="G266" s="67">
        <f t="shared" si="215"/>
        <v>0</v>
      </c>
      <c r="H266" s="67">
        <f t="shared" si="215"/>
        <v>0</v>
      </c>
      <c r="I266" s="67">
        <f t="shared" si="215"/>
        <v>-2596968.7000000002</v>
      </c>
      <c r="J266" s="67">
        <f t="shared" si="215"/>
        <v>0</v>
      </c>
      <c r="K266" s="67">
        <f t="shared" si="215"/>
        <v>0</v>
      </c>
      <c r="L266" s="67">
        <f t="shared" si="215"/>
        <v>0</v>
      </c>
      <c r="M266" s="67">
        <f t="shared" si="215"/>
        <v>0</v>
      </c>
      <c r="N266" s="67">
        <f t="shared" si="215"/>
        <v>0</v>
      </c>
      <c r="O266" s="67">
        <v>0</v>
      </c>
      <c r="P266" s="326">
        <f t="shared" si="198"/>
        <v>-2596968.7000000002</v>
      </c>
      <c r="Q266" s="2"/>
      <c r="S266" s="2"/>
    </row>
    <row r="267" spans="1:19" ht="14" thickBot="1" x14ac:dyDescent="0.2">
      <c r="B267" s="340" t="s">
        <v>705</v>
      </c>
      <c r="C267" s="12" t="s">
        <v>115</v>
      </c>
      <c r="D267" s="67">
        <f t="shared" si="215"/>
        <v>-60000000</v>
      </c>
      <c r="E267" s="67">
        <f t="shared" si="215"/>
        <v>0</v>
      </c>
      <c r="F267" s="67">
        <f t="shared" si="215"/>
        <v>0</v>
      </c>
      <c r="G267" s="67">
        <f t="shared" si="215"/>
        <v>0</v>
      </c>
      <c r="H267" s="67">
        <f t="shared" si="215"/>
        <v>0</v>
      </c>
      <c r="I267" s="67">
        <f t="shared" si="215"/>
        <v>60000000</v>
      </c>
      <c r="J267" s="67">
        <f t="shared" si="215"/>
        <v>0</v>
      </c>
      <c r="K267" s="67">
        <f t="shared" si="215"/>
        <v>0</v>
      </c>
      <c r="L267" s="67">
        <f t="shared" si="215"/>
        <v>0</v>
      </c>
      <c r="M267" s="67">
        <f t="shared" si="215"/>
        <v>0</v>
      </c>
      <c r="N267" s="67">
        <f t="shared" si="215"/>
        <v>0</v>
      </c>
      <c r="O267" s="67">
        <v>0</v>
      </c>
      <c r="P267" s="326">
        <f t="shared" si="198"/>
        <v>60000000</v>
      </c>
      <c r="Q267" s="2"/>
      <c r="S267" s="2"/>
    </row>
    <row r="268" spans="1:19" x14ac:dyDescent="0.15">
      <c r="B268" s="340">
        <v>17</v>
      </c>
      <c r="C268" s="12" t="s">
        <v>313</v>
      </c>
      <c r="D268" s="67">
        <f>D261+D262+D266+D267</f>
        <v>-92550000</v>
      </c>
      <c r="E268" s="67">
        <f t="shared" ref="E268:N268" si="216">E261+E262+E266+E267</f>
        <v>0</v>
      </c>
      <c r="F268" s="67">
        <f t="shared" si="216"/>
        <v>0</v>
      </c>
      <c r="G268" s="67">
        <f t="shared" si="216"/>
        <v>0</v>
      </c>
      <c r="H268" s="67">
        <f t="shared" si="216"/>
        <v>0</v>
      </c>
      <c r="I268" s="67">
        <f t="shared" si="216"/>
        <v>71750066.299999997</v>
      </c>
      <c r="J268" s="67">
        <f t="shared" si="216"/>
        <v>0</v>
      </c>
      <c r="K268" s="67">
        <f t="shared" si="216"/>
        <v>0</v>
      </c>
      <c r="L268" s="67">
        <f t="shared" si="216"/>
        <v>0</v>
      </c>
      <c r="M268" s="67">
        <f t="shared" si="216"/>
        <v>0</v>
      </c>
      <c r="N268" s="67">
        <f t="shared" si="216"/>
        <v>0</v>
      </c>
      <c r="O268" s="67">
        <v>0</v>
      </c>
      <c r="P268" s="326">
        <f t="shared" si="198"/>
        <v>71750066.299999997</v>
      </c>
      <c r="Q268" s="461"/>
      <c r="R268" s="357" t="s">
        <v>693</v>
      </c>
      <c r="S268" s="2"/>
    </row>
    <row r="269" spans="1:19" ht="14" thickBot="1" x14ac:dyDescent="0.2">
      <c r="A269" s="1" t="s">
        <v>711</v>
      </c>
      <c r="B269" s="355">
        <v>18</v>
      </c>
      <c r="C269" s="335" t="s">
        <v>314</v>
      </c>
      <c r="D269" s="331">
        <f>D268+D260</f>
        <v>-92550000</v>
      </c>
      <c r="E269" s="331">
        <f t="shared" ref="E269:N269" si="217">E268+E260</f>
        <v>50012750</v>
      </c>
      <c r="F269" s="331">
        <f t="shared" si="217"/>
        <v>44202792.500000022</v>
      </c>
      <c r="G269" s="331">
        <f t="shared" si="217"/>
        <v>35442192.08412499</v>
      </c>
      <c r="H269" s="331">
        <f t="shared" si="217"/>
        <v>25111356.707490433</v>
      </c>
      <c r="I269" s="331">
        <f t="shared" si="217"/>
        <v>84401062.478848949</v>
      </c>
      <c r="J269" s="331">
        <f t="shared" si="217"/>
        <v>0</v>
      </c>
      <c r="K269" s="331">
        <f t="shared" si="217"/>
        <v>0</v>
      </c>
      <c r="L269" s="331">
        <f t="shared" si="217"/>
        <v>0</v>
      </c>
      <c r="M269" s="331">
        <f t="shared" si="217"/>
        <v>0</v>
      </c>
      <c r="N269" s="331">
        <f t="shared" si="217"/>
        <v>0</v>
      </c>
      <c r="O269" s="331">
        <v>0</v>
      </c>
      <c r="P269" s="356">
        <f t="shared" si="198"/>
        <v>239170153.77046442</v>
      </c>
      <c r="Q269" s="463"/>
      <c r="R269" s="358">
        <f>IF(ISNUMBER(IRR(D269:N269)),IRR(D269:N269),"NMF")</f>
        <v>0.40549033935008683</v>
      </c>
      <c r="S269" s="1" t="s">
        <v>711</v>
      </c>
    </row>
    <row r="270" spans="1:19" x14ac:dyDescent="0.15">
      <c r="S270" s="2"/>
    </row>
    <row r="271" spans="1:19" ht="14" thickBot="1" x14ac:dyDescent="0.2">
      <c r="S271" s="2"/>
    </row>
    <row r="272" spans="1:19" ht="14" thickBot="1" x14ac:dyDescent="0.2">
      <c r="B272" s="359" t="s">
        <v>282</v>
      </c>
      <c r="C272" s="360" t="s">
        <v>283</v>
      </c>
      <c r="D272" s="360"/>
      <c r="E272" s="360">
        <v>1</v>
      </c>
      <c r="F272" s="360">
        <v>2</v>
      </c>
      <c r="G272" s="360">
        <v>3</v>
      </c>
      <c r="H272" s="360">
        <v>4</v>
      </c>
      <c r="I272" s="360">
        <v>5</v>
      </c>
      <c r="J272" s="360">
        <v>6</v>
      </c>
      <c r="K272" s="360">
        <v>7</v>
      </c>
      <c r="L272" s="360">
        <v>8</v>
      </c>
      <c r="M272" s="360">
        <v>9</v>
      </c>
      <c r="N272" s="360">
        <v>10</v>
      </c>
      <c r="O272" s="360" t="s">
        <v>284</v>
      </c>
      <c r="P272" s="361" t="s">
        <v>285</v>
      </c>
      <c r="S272" s="2"/>
    </row>
    <row r="273" spans="1:19" x14ac:dyDescent="0.15">
      <c r="B273" s="339" t="s">
        <v>687</v>
      </c>
      <c r="C273" s="302" t="s">
        <v>287</v>
      </c>
      <c r="D273" s="322">
        <f t="shared" ref="D273:D288" si="218">D158</f>
        <v>0</v>
      </c>
      <c r="E273" s="322">
        <f t="shared" ref="E273:N273" si="219">E158</f>
        <v>300000000</v>
      </c>
      <c r="F273" s="322">
        <f t="shared" si="219"/>
        <v>313500000.00000006</v>
      </c>
      <c r="G273" s="322">
        <f t="shared" si="219"/>
        <v>327607500.00000006</v>
      </c>
      <c r="H273" s="322">
        <f t="shared" si="219"/>
        <v>342349837.50000012</v>
      </c>
      <c r="I273" s="322">
        <f t="shared" si="219"/>
        <v>357755580.18750012</v>
      </c>
      <c r="J273" s="322">
        <f t="shared" si="219"/>
        <v>0</v>
      </c>
      <c r="K273" s="322">
        <f t="shared" si="219"/>
        <v>0</v>
      </c>
      <c r="L273" s="322">
        <f t="shared" si="219"/>
        <v>0</v>
      </c>
      <c r="M273" s="322">
        <f t="shared" si="219"/>
        <v>0</v>
      </c>
      <c r="N273" s="322">
        <f t="shared" si="219"/>
        <v>0</v>
      </c>
      <c r="O273" s="322">
        <v>0</v>
      </c>
      <c r="P273" s="325">
        <f>SUM(E273:N273)</f>
        <v>1641212917.6875</v>
      </c>
      <c r="Q273" s="2"/>
      <c r="S273" s="2"/>
    </row>
    <row r="274" spans="1:19" x14ac:dyDescent="0.15">
      <c r="A274" s="1" t="s">
        <v>712</v>
      </c>
      <c r="B274" s="340" t="s">
        <v>689</v>
      </c>
      <c r="C274" s="354" t="s">
        <v>689</v>
      </c>
      <c r="D274" s="67">
        <f t="shared" si="218"/>
        <v>0</v>
      </c>
      <c r="E274" s="67">
        <f>E159</f>
        <v>300000000</v>
      </c>
      <c r="F274" s="67">
        <f t="shared" ref="F274:N274" si="220">F159</f>
        <v>313500000.00000006</v>
      </c>
      <c r="G274" s="67">
        <f t="shared" si="220"/>
        <v>327607500.00000006</v>
      </c>
      <c r="H274" s="67">
        <f t="shared" si="220"/>
        <v>342349837.50000012</v>
      </c>
      <c r="I274" s="67">
        <f t="shared" si="220"/>
        <v>357755580.18750012</v>
      </c>
      <c r="J274" s="67">
        <f t="shared" si="220"/>
        <v>0</v>
      </c>
      <c r="K274" s="67">
        <f t="shared" si="220"/>
        <v>0</v>
      </c>
      <c r="L274" s="67">
        <f t="shared" si="220"/>
        <v>0</v>
      </c>
      <c r="M274" s="67">
        <f t="shared" si="220"/>
        <v>0</v>
      </c>
      <c r="N274" s="67">
        <f t="shared" si="220"/>
        <v>0</v>
      </c>
      <c r="O274" s="67"/>
      <c r="P274" s="326">
        <f t="shared" ref="P274:P297" si="221">SUM(E274:N274)</f>
        <v>1641212917.6875</v>
      </c>
      <c r="Q274" s="2"/>
      <c r="S274" s="2"/>
    </row>
    <row r="275" spans="1:19" x14ac:dyDescent="0.15">
      <c r="B275" s="355" t="s">
        <v>690</v>
      </c>
      <c r="C275" s="362" t="s">
        <v>690</v>
      </c>
      <c r="D275" s="331">
        <f t="shared" si="218"/>
        <v>0</v>
      </c>
      <c r="E275" s="331">
        <f>E160*1.2</f>
        <v>0</v>
      </c>
      <c r="F275" s="331">
        <f t="shared" ref="F275:N275" si="222">F160*1.2</f>
        <v>0</v>
      </c>
      <c r="G275" s="331">
        <f t="shared" si="222"/>
        <v>0</v>
      </c>
      <c r="H275" s="331">
        <f t="shared" si="222"/>
        <v>0</v>
      </c>
      <c r="I275" s="331">
        <f t="shared" si="222"/>
        <v>0</v>
      </c>
      <c r="J275" s="331">
        <f t="shared" si="222"/>
        <v>0</v>
      </c>
      <c r="K275" s="331">
        <f t="shared" si="222"/>
        <v>0</v>
      </c>
      <c r="L275" s="331">
        <f t="shared" si="222"/>
        <v>0</v>
      </c>
      <c r="M275" s="331">
        <f t="shared" si="222"/>
        <v>0</v>
      </c>
      <c r="N275" s="331">
        <f t="shared" si="222"/>
        <v>0</v>
      </c>
      <c r="O275" s="363"/>
      <c r="P275" s="356">
        <f t="shared" si="221"/>
        <v>0</v>
      </c>
      <c r="Q275" s="460"/>
      <c r="S275" s="2"/>
    </row>
    <row r="276" spans="1:19" x14ac:dyDescent="0.15">
      <c r="B276" s="340" t="s">
        <v>691</v>
      </c>
      <c r="C276" s="354" t="s">
        <v>691</v>
      </c>
      <c r="D276" s="67">
        <f t="shared" si="218"/>
        <v>0</v>
      </c>
      <c r="E276" s="67">
        <f>E161</f>
        <v>0</v>
      </c>
      <c r="F276" s="67">
        <f t="shared" ref="F276:N276" si="223">F161</f>
        <v>0</v>
      </c>
      <c r="G276" s="67">
        <f t="shared" si="223"/>
        <v>0</v>
      </c>
      <c r="H276" s="67">
        <f t="shared" si="223"/>
        <v>0</v>
      </c>
      <c r="I276" s="67">
        <f t="shared" si="223"/>
        <v>0</v>
      </c>
      <c r="J276" s="67">
        <f t="shared" si="223"/>
        <v>0</v>
      </c>
      <c r="K276" s="67">
        <f t="shared" si="223"/>
        <v>0</v>
      </c>
      <c r="L276" s="67">
        <f t="shared" si="223"/>
        <v>0</v>
      </c>
      <c r="M276" s="67">
        <f t="shared" si="223"/>
        <v>0</v>
      </c>
      <c r="N276" s="67">
        <f t="shared" si="223"/>
        <v>0</v>
      </c>
      <c r="O276" s="67"/>
      <c r="P276" s="326">
        <f t="shared" si="221"/>
        <v>0</v>
      </c>
      <c r="Q276" s="2"/>
      <c r="S276" s="2"/>
    </row>
    <row r="277" spans="1:19" x14ac:dyDescent="0.15">
      <c r="B277" s="340" t="s">
        <v>695</v>
      </c>
      <c r="C277" s="12"/>
      <c r="D277" s="67">
        <f t="shared" si="218"/>
        <v>0</v>
      </c>
      <c r="E277" s="67">
        <f>E276+E275+E274</f>
        <v>300000000</v>
      </c>
      <c r="F277" s="67">
        <f t="shared" ref="F277:N277" si="224">F276+F275+F274</f>
        <v>313500000.00000006</v>
      </c>
      <c r="G277" s="67">
        <f t="shared" si="224"/>
        <v>327607500.00000006</v>
      </c>
      <c r="H277" s="67">
        <f t="shared" si="224"/>
        <v>342349837.50000012</v>
      </c>
      <c r="I277" s="67">
        <f t="shared" si="224"/>
        <v>357755580.18750012</v>
      </c>
      <c r="J277" s="67">
        <f t="shared" si="224"/>
        <v>0</v>
      </c>
      <c r="K277" s="67">
        <f t="shared" si="224"/>
        <v>0</v>
      </c>
      <c r="L277" s="67">
        <f t="shared" si="224"/>
        <v>0</v>
      </c>
      <c r="M277" s="67">
        <f t="shared" si="224"/>
        <v>0</v>
      </c>
      <c r="N277" s="67">
        <f t="shared" si="224"/>
        <v>0</v>
      </c>
      <c r="O277" s="67"/>
      <c r="P277" s="326">
        <f t="shared" si="221"/>
        <v>1641212917.6875</v>
      </c>
      <c r="Q277" s="2"/>
      <c r="S277" s="2"/>
    </row>
    <row r="278" spans="1:19" x14ac:dyDescent="0.15">
      <c r="B278" s="340" t="s">
        <v>696</v>
      </c>
      <c r="C278" s="12" t="s">
        <v>289</v>
      </c>
      <c r="D278" s="67">
        <f t="shared" si="218"/>
        <v>0</v>
      </c>
      <c r="E278" s="67">
        <f t="shared" ref="E278:N278" si="225">E163</f>
        <v>230170000</v>
      </c>
      <c r="F278" s="67">
        <f t="shared" si="225"/>
        <v>253018375.00000003</v>
      </c>
      <c r="G278" s="67">
        <f t="shared" si="225"/>
        <v>278725718.45125008</v>
      </c>
      <c r="H278" s="67">
        <f t="shared" si="225"/>
        <v>307665975.06072807</v>
      </c>
      <c r="I278" s="67">
        <f t="shared" si="225"/>
        <v>340262566.36057305</v>
      </c>
      <c r="J278" s="67">
        <f t="shared" si="225"/>
        <v>0</v>
      </c>
      <c r="K278" s="67">
        <f t="shared" si="225"/>
        <v>0</v>
      </c>
      <c r="L278" s="67">
        <f t="shared" si="225"/>
        <v>0</v>
      </c>
      <c r="M278" s="67">
        <f t="shared" si="225"/>
        <v>0</v>
      </c>
      <c r="N278" s="67">
        <f t="shared" si="225"/>
        <v>0</v>
      </c>
      <c r="O278" s="67">
        <v>0</v>
      </c>
      <c r="P278" s="326">
        <f t="shared" si="221"/>
        <v>1409842634.8725512</v>
      </c>
      <c r="Q278" s="2"/>
      <c r="S278" s="2"/>
    </row>
    <row r="279" spans="1:19" x14ac:dyDescent="0.15">
      <c r="B279" s="340">
        <v>3</v>
      </c>
      <c r="C279" s="12" t="s">
        <v>290</v>
      </c>
      <c r="D279" s="67">
        <f t="shared" si="218"/>
        <v>0</v>
      </c>
      <c r="E279" s="67">
        <f>E277-E278</f>
        <v>69830000</v>
      </c>
      <c r="F279" s="67">
        <f t="shared" ref="F279:N279" si="226">F277-F278</f>
        <v>60481625.00000003</v>
      </c>
      <c r="G279" s="67">
        <f t="shared" si="226"/>
        <v>48881781.548749983</v>
      </c>
      <c r="H279" s="67">
        <f t="shared" si="226"/>
        <v>34683862.439272046</v>
      </c>
      <c r="I279" s="67">
        <f t="shared" si="226"/>
        <v>17493013.826927066</v>
      </c>
      <c r="J279" s="67">
        <f t="shared" si="226"/>
        <v>0</v>
      </c>
      <c r="K279" s="67">
        <f t="shared" si="226"/>
        <v>0</v>
      </c>
      <c r="L279" s="67">
        <f t="shared" si="226"/>
        <v>0</v>
      </c>
      <c r="M279" s="67">
        <f t="shared" si="226"/>
        <v>0</v>
      </c>
      <c r="N279" s="67">
        <f t="shared" si="226"/>
        <v>0</v>
      </c>
      <c r="O279" s="67">
        <v>0</v>
      </c>
      <c r="P279" s="326">
        <f t="shared" si="221"/>
        <v>231370282.81494913</v>
      </c>
      <c r="Q279" s="2"/>
      <c r="S279" s="2"/>
    </row>
    <row r="280" spans="1:19" x14ac:dyDescent="0.15">
      <c r="B280" s="340" t="s">
        <v>697</v>
      </c>
      <c r="C280" s="12" t="s">
        <v>292</v>
      </c>
      <c r="D280" s="67">
        <f t="shared" si="218"/>
        <v>0</v>
      </c>
      <c r="E280" s="67">
        <f>E165</f>
        <v>3772500</v>
      </c>
      <c r="F280" s="67">
        <f t="shared" ref="F280:N280" si="227">F165</f>
        <v>6218850</v>
      </c>
      <c r="G280" s="67">
        <f t="shared" si="227"/>
        <v>4083150</v>
      </c>
      <c r="H280" s="67">
        <f t="shared" si="227"/>
        <v>2775510</v>
      </c>
      <c r="I280" s="67">
        <f t="shared" si="227"/>
        <v>1352955</v>
      </c>
      <c r="J280" s="67">
        <f t="shared" si="227"/>
        <v>0</v>
      </c>
      <c r="K280" s="67">
        <f t="shared" si="227"/>
        <v>0</v>
      </c>
      <c r="L280" s="67">
        <f t="shared" si="227"/>
        <v>0</v>
      </c>
      <c r="M280" s="67">
        <f t="shared" si="227"/>
        <v>0</v>
      </c>
      <c r="N280" s="67">
        <f t="shared" si="227"/>
        <v>0</v>
      </c>
      <c r="O280" s="67">
        <v>0</v>
      </c>
      <c r="P280" s="326">
        <f t="shared" si="221"/>
        <v>18202965</v>
      </c>
      <c r="Q280" s="2"/>
      <c r="S280" s="2"/>
    </row>
    <row r="281" spans="1:19" x14ac:dyDescent="0.15">
      <c r="B281" s="340">
        <v>5</v>
      </c>
      <c r="C281" s="12" t="s">
        <v>293</v>
      </c>
      <c r="D281" s="67">
        <f t="shared" si="218"/>
        <v>0</v>
      </c>
      <c r="E281" s="67">
        <f>E279-E280</f>
        <v>66057500</v>
      </c>
      <c r="F281" s="67">
        <f t="shared" ref="F281:N281" si="228">F279-F280</f>
        <v>54262775.00000003</v>
      </c>
      <c r="G281" s="67">
        <f t="shared" si="228"/>
        <v>44798631.548749983</v>
      </c>
      <c r="H281" s="67">
        <f t="shared" si="228"/>
        <v>31908352.439272046</v>
      </c>
      <c r="I281" s="67">
        <f t="shared" si="228"/>
        <v>16140058.826927066</v>
      </c>
      <c r="J281" s="67">
        <f t="shared" si="228"/>
        <v>0</v>
      </c>
      <c r="K281" s="67">
        <f t="shared" si="228"/>
        <v>0</v>
      </c>
      <c r="L281" s="67">
        <f t="shared" si="228"/>
        <v>0</v>
      </c>
      <c r="M281" s="67">
        <f t="shared" si="228"/>
        <v>0</v>
      </c>
      <c r="N281" s="67">
        <f t="shared" si="228"/>
        <v>0</v>
      </c>
      <c r="O281" s="67">
        <v>0</v>
      </c>
      <c r="P281" s="326">
        <f t="shared" si="221"/>
        <v>213167317.81494913</v>
      </c>
      <c r="Q281" s="2"/>
      <c r="S281" s="2"/>
    </row>
    <row r="282" spans="1:19" x14ac:dyDescent="0.15">
      <c r="B282" s="340" t="s">
        <v>698</v>
      </c>
      <c r="C282" s="12" t="s">
        <v>295</v>
      </c>
      <c r="D282" s="67">
        <f t="shared" si="218"/>
        <v>0</v>
      </c>
      <c r="E282" s="67">
        <f>E167</f>
        <v>0</v>
      </c>
      <c r="F282" s="67">
        <f t="shared" ref="F282:N282" si="229">F167</f>
        <v>0</v>
      </c>
      <c r="G282" s="67">
        <f t="shared" si="229"/>
        <v>0</v>
      </c>
      <c r="H282" s="67">
        <f t="shared" si="229"/>
        <v>0</v>
      </c>
      <c r="I282" s="67">
        <f t="shared" si="229"/>
        <v>0</v>
      </c>
      <c r="J282" s="67">
        <f t="shared" si="229"/>
        <v>0</v>
      </c>
      <c r="K282" s="67">
        <f t="shared" si="229"/>
        <v>0</v>
      </c>
      <c r="L282" s="67">
        <f t="shared" si="229"/>
        <v>0</v>
      </c>
      <c r="M282" s="67">
        <f t="shared" si="229"/>
        <v>0</v>
      </c>
      <c r="N282" s="67">
        <f t="shared" si="229"/>
        <v>0</v>
      </c>
      <c r="O282" s="67">
        <v>0</v>
      </c>
      <c r="P282" s="326">
        <f t="shared" si="221"/>
        <v>0</v>
      </c>
      <c r="Q282" s="2"/>
      <c r="S282" s="2"/>
    </row>
    <row r="283" spans="1:19" x14ac:dyDescent="0.15">
      <c r="B283" s="340">
        <v>7</v>
      </c>
      <c r="C283" s="12" t="s">
        <v>296</v>
      </c>
      <c r="D283" s="67">
        <f t="shared" si="218"/>
        <v>0</v>
      </c>
      <c r="E283" s="67">
        <f>E281-E282</f>
        <v>66057500</v>
      </c>
      <c r="F283" s="67">
        <f t="shared" ref="F283:N283" si="230">F281-F282</f>
        <v>54262775.00000003</v>
      </c>
      <c r="G283" s="67">
        <f t="shared" si="230"/>
        <v>44798631.548749983</v>
      </c>
      <c r="H283" s="67">
        <f t="shared" si="230"/>
        <v>31908352.439272046</v>
      </c>
      <c r="I283" s="67">
        <f t="shared" si="230"/>
        <v>16140058.826927066</v>
      </c>
      <c r="J283" s="67">
        <f t="shared" si="230"/>
        <v>0</v>
      </c>
      <c r="K283" s="67">
        <f t="shared" si="230"/>
        <v>0</v>
      </c>
      <c r="L283" s="67">
        <f t="shared" si="230"/>
        <v>0</v>
      </c>
      <c r="M283" s="67">
        <f t="shared" si="230"/>
        <v>0</v>
      </c>
      <c r="N283" s="67">
        <f t="shared" si="230"/>
        <v>0</v>
      </c>
      <c r="O283" s="67">
        <v>0</v>
      </c>
      <c r="P283" s="326">
        <f t="shared" si="221"/>
        <v>213167317.81494913</v>
      </c>
      <c r="Q283" s="2"/>
      <c r="S283" s="2"/>
    </row>
    <row r="284" spans="1:19" x14ac:dyDescent="0.15">
      <c r="B284" s="340">
        <v>8</v>
      </c>
      <c r="C284" s="12" t="s">
        <v>297</v>
      </c>
      <c r="D284" s="67">
        <f t="shared" si="218"/>
        <v>0</v>
      </c>
      <c r="E284" s="67">
        <f>-E283*$D$3</f>
        <v>-19817250</v>
      </c>
      <c r="F284" s="67">
        <f t="shared" ref="F284:N284" si="231">-F283*$D$3</f>
        <v>-16278832.500000007</v>
      </c>
      <c r="G284" s="67">
        <f t="shared" si="231"/>
        <v>-13439589.464624995</v>
      </c>
      <c r="H284" s="67">
        <f t="shared" si="231"/>
        <v>-9572505.7317816131</v>
      </c>
      <c r="I284" s="67">
        <f t="shared" si="231"/>
        <v>-4842017.6480781194</v>
      </c>
      <c r="J284" s="67">
        <f t="shared" si="231"/>
        <v>0</v>
      </c>
      <c r="K284" s="67">
        <f t="shared" si="231"/>
        <v>0</v>
      </c>
      <c r="L284" s="67">
        <f t="shared" si="231"/>
        <v>0</v>
      </c>
      <c r="M284" s="67">
        <f t="shared" si="231"/>
        <v>0</v>
      </c>
      <c r="N284" s="67">
        <f t="shared" si="231"/>
        <v>0</v>
      </c>
      <c r="O284" s="67">
        <v>0</v>
      </c>
      <c r="P284" s="326">
        <f t="shared" si="221"/>
        <v>-63950195.344484739</v>
      </c>
      <c r="Q284" s="2"/>
      <c r="S284" s="2"/>
    </row>
    <row r="285" spans="1:19" x14ac:dyDescent="0.15">
      <c r="B285" s="340">
        <v>9</v>
      </c>
      <c r="C285" s="12" t="s">
        <v>298</v>
      </c>
      <c r="D285" s="67">
        <f t="shared" si="218"/>
        <v>0</v>
      </c>
      <c r="E285" s="67">
        <f>E170</f>
        <v>0</v>
      </c>
      <c r="F285" s="67">
        <f t="shared" ref="F285:N285" si="232">F170</f>
        <v>0</v>
      </c>
      <c r="G285" s="67">
        <f t="shared" si="232"/>
        <v>0</v>
      </c>
      <c r="H285" s="67">
        <f t="shared" si="232"/>
        <v>0</v>
      </c>
      <c r="I285" s="67">
        <f t="shared" si="232"/>
        <v>0</v>
      </c>
      <c r="J285" s="67">
        <f t="shared" si="232"/>
        <v>0</v>
      </c>
      <c r="K285" s="67">
        <f t="shared" si="232"/>
        <v>0</v>
      </c>
      <c r="L285" s="67">
        <f t="shared" si="232"/>
        <v>0</v>
      </c>
      <c r="M285" s="67">
        <f t="shared" si="232"/>
        <v>0</v>
      </c>
      <c r="N285" s="67">
        <f t="shared" si="232"/>
        <v>0</v>
      </c>
      <c r="O285" s="67">
        <v>0</v>
      </c>
      <c r="P285" s="326">
        <f t="shared" si="221"/>
        <v>0</v>
      </c>
      <c r="Q285" s="2"/>
      <c r="S285" s="2"/>
    </row>
    <row r="286" spans="1:19" x14ac:dyDescent="0.15">
      <c r="B286" s="340">
        <v>10</v>
      </c>
      <c r="C286" s="12" t="s">
        <v>299</v>
      </c>
      <c r="D286" s="67">
        <f t="shared" si="218"/>
        <v>0</v>
      </c>
      <c r="E286" s="67">
        <f>E283+E284+E285</f>
        <v>46240250</v>
      </c>
      <c r="F286" s="67">
        <f t="shared" ref="F286:N286" si="233">F283+F284+F285</f>
        <v>37983942.500000022</v>
      </c>
      <c r="G286" s="67">
        <f t="shared" si="233"/>
        <v>31359042.08412499</v>
      </c>
      <c r="H286" s="67">
        <f t="shared" si="233"/>
        <v>22335846.707490433</v>
      </c>
      <c r="I286" s="67">
        <f t="shared" si="233"/>
        <v>11298041.178848946</v>
      </c>
      <c r="J286" s="67">
        <f t="shared" si="233"/>
        <v>0</v>
      </c>
      <c r="K286" s="67">
        <f t="shared" si="233"/>
        <v>0</v>
      </c>
      <c r="L286" s="67">
        <f t="shared" si="233"/>
        <v>0</v>
      </c>
      <c r="M286" s="67">
        <f t="shared" si="233"/>
        <v>0</v>
      </c>
      <c r="N286" s="67">
        <f t="shared" si="233"/>
        <v>0</v>
      </c>
      <c r="O286" s="67">
        <v>0</v>
      </c>
      <c r="P286" s="326">
        <f t="shared" si="221"/>
        <v>149217122.47046441</v>
      </c>
      <c r="Q286" s="2"/>
      <c r="S286" s="2"/>
    </row>
    <row r="287" spans="1:19" x14ac:dyDescent="0.15">
      <c r="B287" s="340" t="s">
        <v>699</v>
      </c>
      <c r="C287" s="12" t="s">
        <v>292</v>
      </c>
      <c r="D287" s="67">
        <f t="shared" si="218"/>
        <v>0</v>
      </c>
      <c r="E287" s="67">
        <f>E172</f>
        <v>3772500</v>
      </c>
      <c r="F287" s="67">
        <f t="shared" ref="F287:N287" si="234">F172</f>
        <v>6218850</v>
      </c>
      <c r="G287" s="67">
        <f t="shared" si="234"/>
        <v>4083150</v>
      </c>
      <c r="H287" s="67">
        <f t="shared" si="234"/>
        <v>2775510</v>
      </c>
      <c r="I287" s="67">
        <f t="shared" si="234"/>
        <v>1352955</v>
      </c>
      <c r="J287" s="67">
        <f t="shared" si="234"/>
        <v>0</v>
      </c>
      <c r="K287" s="67">
        <f t="shared" si="234"/>
        <v>0</v>
      </c>
      <c r="L287" s="67">
        <f t="shared" si="234"/>
        <v>0</v>
      </c>
      <c r="M287" s="67">
        <f t="shared" si="234"/>
        <v>0</v>
      </c>
      <c r="N287" s="67">
        <f t="shared" si="234"/>
        <v>0</v>
      </c>
      <c r="O287" s="67">
        <v>0</v>
      </c>
      <c r="P287" s="326">
        <f t="shared" si="221"/>
        <v>18202965</v>
      </c>
      <c r="Q287" s="2"/>
      <c r="S287" s="2"/>
    </row>
    <row r="288" spans="1:19" x14ac:dyDescent="0.15">
      <c r="B288" s="340">
        <v>12</v>
      </c>
      <c r="C288" s="12" t="s">
        <v>301</v>
      </c>
      <c r="D288" s="67">
        <f t="shared" si="218"/>
        <v>0</v>
      </c>
      <c r="E288" s="67">
        <f>E286+E287</f>
        <v>50012750</v>
      </c>
      <c r="F288" s="67">
        <f t="shared" ref="F288:N288" si="235">F286+F287</f>
        <v>44202792.500000022</v>
      </c>
      <c r="G288" s="67">
        <f t="shared" si="235"/>
        <v>35442192.08412499</v>
      </c>
      <c r="H288" s="67">
        <f t="shared" si="235"/>
        <v>25111356.707490433</v>
      </c>
      <c r="I288" s="67">
        <f t="shared" si="235"/>
        <v>12650996.178848946</v>
      </c>
      <c r="J288" s="67">
        <f t="shared" si="235"/>
        <v>0</v>
      </c>
      <c r="K288" s="67">
        <f t="shared" si="235"/>
        <v>0</v>
      </c>
      <c r="L288" s="67">
        <f t="shared" si="235"/>
        <v>0</v>
      </c>
      <c r="M288" s="67">
        <f t="shared" si="235"/>
        <v>0</v>
      </c>
      <c r="N288" s="67">
        <f t="shared" si="235"/>
        <v>0</v>
      </c>
      <c r="O288" s="67">
        <v>0</v>
      </c>
      <c r="P288" s="326">
        <f t="shared" si="221"/>
        <v>167420087.47046441</v>
      </c>
      <c r="Q288" s="2"/>
      <c r="S288" s="2"/>
    </row>
    <row r="289" spans="1:19" x14ac:dyDescent="0.15">
      <c r="B289" s="340" t="s">
        <v>700</v>
      </c>
      <c r="C289" s="12" t="s">
        <v>303</v>
      </c>
      <c r="D289" s="67">
        <v>0</v>
      </c>
      <c r="E289" s="67">
        <f t="shared" ref="E289:N289" si="236">E174</f>
        <v>0</v>
      </c>
      <c r="F289" s="67">
        <f t="shared" si="236"/>
        <v>0</v>
      </c>
      <c r="G289" s="67">
        <f t="shared" si="236"/>
        <v>0</v>
      </c>
      <c r="H289" s="67">
        <f t="shared" si="236"/>
        <v>0</v>
      </c>
      <c r="I289" s="67">
        <f t="shared" si="236"/>
        <v>0</v>
      </c>
      <c r="J289" s="67">
        <f t="shared" si="236"/>
        <v>0</v>
      </c>
      <c r="K289" s="67">
        <f t="shared" si="236"/>
        <v>0</v>
      </c>
      <c r="L289" s="67">
        <f t="shared" si="236"/>
        <v>0</v>
      </c>
      <c r="M289" s="67">
        <f t="shared" si="236"/>
        <v>0</v>
      </c>
      <c r="N289" s="67">
        <f t="shared" si="236"/>
        <v>0</v>
      </c>
      <c r="O289" s="67">
        <v>0</v>
      </c>
      <c r="P289" s="326">
        <f t="shared" si="221"/>
        <v>0</v>
      </c>
      <c r="Q289" s="2"/>
      <c r="S289" s="2"/>
    </row>
    <row r="290" spans="1:19" x14ac:dyDescent="0.15">
      <c r="B290" s="340">
        <v>14</v>
      </c>
      <c r="C290" s="12" t="s">
        <v>304</v>
      </c>
      <c r="D290" s="67">
        <f>D291+D292+D293</f>
        <v>-32550000</v>
      </c>
      <c r="E290" s="67">
        <f t="shared" ref="E290:N290" si="237">E291+E292+E293</f>
        <v>0</v>
      </c>
      <c r="F290" s="67">
        <f t="shared" si="237"/>
        <v>0</v>
      </c>
      <c r="G290" s="67">
        <f t="shared" si="237"/>
        <v>0</v>
      </c>
      <c r="H290" s="67">
        <f t="shared" si="237"/>
        <v>0</v>
      </c>
      <c r="I290" s="67">
        <f t="shared" si="237"/>
        <v>14347035</v>
      </c>
      <c r="J290" s="67">
        <f t="shared" si="237"/>
        <v>0</v>
      </c>
      <c r="K290" s="67">
        <f t="shared" si="237"/>
        <v>0</v>
      </c>
      <c r="L290" s="67">
        <f t="shared" si="237"/>
        <v>0</v>
      </c>
      <c r="M290" s="67">
        <f t="shared" si="237"/>
        <v>0</v>
      </c>
      <c r="N290" s="67">
        <f t="shared" si="237"/>
        <v>0</v>
      </c>
      <c r="O290" s="67">
        <v>0</v>
      </c>
      <c r="P290" s="326">
        <f t="shared" si="221"/>
        <v>14347035</v>
      </c>
      <c r="Q290" s="2"/>
      <c r="S290" s="2"/>
    </row>
    <row r="291" spans="1:19" x14ac:dyDescent="0.15">
      <c r="B291" s="340" t="s">
        <v>701</v>
      </c>
      <c r="C291" s="12" t="s">
        <v>207</v>
      </c>
      <c r="D291" s="67">
        <f t="shared" ref="D291:N295" si="238">D176</f>
        <v>-31050000</v>
      </c>
      <c r="E291" s="67">
        <f t="shared" si="238"/>
        <v>0</v>
      </c>
      <c r="F291" s="67">
        <f t="shared" si="238"/>
        <v>0</v>
      </c>
      <c r="G291" s="67">
        <f t="shared" si="238"/>
        <v>0</v>
      </c>
      <c r="H291" s="67">
        <f t="shared" si="238"/>
        <v>0</v>
      </c>
      <c r="I291" s="67">
        <f t="shared" si="238"/>
        <v>12847035</v>
      </c>
      <c r="J291" s="67">
        <f t="shared" si="238"/>
        <v>0</v>
      </c>
      <c r="K291" s="67">
        <f t="shared" si="238"/>
        <v>0</v>
      </c>
      <c r="L291" s="67">
        <f t="shared" si="238"/>
        <v>0</v>
      </c>
      <c r="M291" s="67">
        <f t="shared" si="238"/>
        <v>0</v>
      </c>
      <c r="N291" s="67">
        <f t="shared" si="238"/>
        <v>0</v>
      </c>
      <c r="O291" s="67">
        <v>0</v>
      </c>
      <c r="P291" s="326">
        <f t="shared" si="221"/>
        <v>12847035</v>
      </c>
      <c r="Q291" s="2"/>
      <c r="S291" s="2"/>
    </row>
    <row r="292" spans="1:19" x14ac:dyDescent="0.15">
      <c r="B292" s="340" t="s">
        <v>702</v>
      </c>
      <c r="C292" s="12" t="s">
        <v>307</v>
      </c>
      <c r="D292" s="67">
        <f t="shared" si="238"/>
        <v>-1500000</v>
      </c>
      <c r="E292" s="67">
        <f t="shared" si="238"/>
        <v>0</v>
      </c>
      <c r="F292" s="67">
        <f t="shared" si="238"/>
        <v>0</v>
      </c>
      <c r="G292" s="67">
        <f t="shared" si="238"/>
        <v>0</v>
      </c>
      <c r="H292" s="67">
        <f t="shared" si="238"/>
        <v>0</v>
      </c>
      <c r="I292" s="67">
        <f t="shared" si="238"/>
        <v>1500000</v>
      </c>
      <c r="J292" s="67">
        <f t="shared" si="238"/>
        <v>0</v>
      </c>
      <c r="K292" s="67">
        <f t="shared" si="238"/>
        <v>0</v>
      </c>
      <c r="L292" s="67">
        <f t="shared" si="238"/>
        <v>0</v>
      </c>
      <c r="M292" s="67">
        <f t="shared" si="238"/>
        <v>0</v>
      </c>
      <c r="N292" s="67">
        <f t="shared" si="238"/>
        <v>0</v>
      </c>
      <c r="O292" s="67">
        <v>0</v>
      </c>
      <c r="P292" s="326">
        <f t="shared" si="221"/>
        <v>1500000</v>
      </c>
      <c r="Q292" s="2"/>
      <c r="S292" s="2"/>
    </row>
    <row r="293" spans="1:19" x14ac:dyDescent="0.15">
      <c r="B293" s="340" t="s">
        <v>703</v>
      </c>
      <c r="C293" s="12" t="s">
        <v>309</v>
      </c>
      <c r="D293" s="67">
        <f t="shared" si="238"/>
        <v>0</v>
      </c>
      <c r="E293" s="67">
        <f t="shared" si="238"/>
        <v>0</v>
      </c>
      <c r="F293" s="67">
        <f t="shared" si="238"/>
        <v>0</v>
      </c>
      <c r="G293" s="67">
        <f t="shared" si="238"/>
        <v>0</v>
      </c>
      <c r="H293" s="67">
        <f t="shared" si="238"/>
        <v>0</v>
      </c>
      <c r="I293" s="67">
        <f t="shared" si="238"/>
        <v>0</v>
      </c>
      <c r="J293" s="67">
        <f t="shared" si="238"/>
        <v>0</v>
      </c>
      <c r="K293" s="67">
        <f t="shared" si="238"/>
        <v>0</v>
      </c>
      <c r="L293" s="67">
        <f t="shared" si="238"/>
        <v>0</v>
      </c>
      <c r="M293" s="67">
        <f t="shared" si="238"/>
        <v>0</v>
      </c>
      <c r="N293" s="67">
        <f t="shared" si="238"/>
        <v>0</v>
      </c>
      <c r="O293" s="67">
        <v>0</v>
      </c>
      <c r="P293" s="326">
        <f t="shared" si="221"/>
        <v>0</v>
      </c>
      <c r="Q293" s="2"/>
      <c r="S293" s="2"/>
    </row>
    <row r="294" spans="1:19" x14ac:dyDescent="0.15">
      <c r="B294" s="340" t="s">
        <v>704</v>
      </c>
      <c r="C294" s="12" t="s">
        <v>311</v>
      </c>
      <c r="D294" s="67">
        <f t="shared" si="238"/>
        <v>0</v>
      </c>
      <c r="E294" s="67">
        <f t="shared" si="238"/>
        <v>0</v>
      </c>
      <c r="F294" s="67">
        <f t="shared" si="238"/>
        <v>0</v>
      </c>
      <c r="G294" s="67">
        <f t="shared" si="238"/>
        <v>0</v>
      </c>
      <c r="H294" s="67">
        <f t="shared" si="238"/>
        <v>0</v>
      </c>
      <c r="I294" s="67">
        <f t="shared" si="238"/>
        <v>-2596968.7000000002</v>
      </c>
      <c r="J294" s="67">
        <f t="shared" si="238"/>
        <v>0</v>
      </c>
      <c r="K294" s="67">
        <f t="shared" si="238"/>
        <v>0</v>
      </c>
      <c r="L294" s="67">
        <f t="shared" si="238"/>
        <v>0</v>
      </c>
      <c r="M294" s="67">
        <f t="shared" si="238"/>
        <v>0</v>
      </c>
      <c r="N294" s="67">
        <f t="shared" si="238"/>
        <v>0</v>
      </c>
      <c r="O294" s="67">
        <v>0</v>
      </c>
      <c r="P294" s="326">
        <f t="shared" si="221"/>
        <v>-2596968.7000000002</v>
      </c>
      <c r="Q294" s="2"/>
      <c r="S294" s="2"/>
    </row>
    <row r="295" spans="1:19" ht="14" thickBot="1" x14ac:dyDescent="0.2">
      <c r="B295" s="340" t="s">
        <v>705</v>
      </c>
      <c r="C295" s="12" t="s">
        <v>115</v>
      </c>
      <c r="D295" s="67">
        <f t="shared" si="238"/>
        <v>-60000000</v>
      </c>
      <c r="E295" s="67">
        <f t="shared" si="238"/>
        <v>0</v>
      </c>
      <c r="F295" s="67">
        <f t="shared" si="238"/>
        <v>0</v>
      </c>
      <c r="G295" s="67">
        <f t="shared" si="238"/>
        <v>0</v>
      </c>
      <c r="H295" s="67">
        <f t="shared" si="238"/>
        <v>0</v>
      </c>
      <c r="I295" s="67">
        <f t="shared" si="238"/>
        <v>60000000</v>
      </c>
      <c r="J295" s="67">
        <f t="shared" si="238"/>
        <v>0</v>
      </c>
      <c r="K295" s="67">
        <f t="shared" si="238"/>
        <v>0</v>
      </c>
      <c r="L295" s="67">
        <f t="shared" si="238"/>
        <v>0</v>
      </c>
      <c r="M295" s="67">
        <f t="shared" si="238"/>
        <v>0</v>
      </c>
      <c r="N295" s="67">
        <f t="shared" si="238"/>
        <v>0</v>
      </c>
      <c r="O295" s="67">
        <v>0</v>
      </c>
      <c r="P295" s="326">
        <f t="shared" si="221"/>
        <v>60000000</v>
      </c>
      <c r="Q295" s="2"/>
      <c r="S295" s="2"/>
    </row>
    <row r="296" spans="1:19" x14ac:dyDescent="0.15">
      <c r="B296" s="340">
        <v>17</v>
      </c>
      <c r="C296" s="12" t="s">
        <v>313</v>
      </c>
      <c r="D296" s="67">
        <f>D289+D290+D294+D295</f>
        <v>-92550000</v>
      </c>
      <c r="E296" s="67">
        <f t="shared" ref="E296:N296" si="239">E289+E290+E294+E295</f>
        <v>0</v>
      </c>
      <c r="F296" s="67">
        <f t="shared" si="239"/>
        <v>0</v>
      </c>
      <c r="G296" s="67">
        <f t="shared" si="239"/>
        <v>0</v>
      </c>
      <c r="H296" s="67">
        <f t="shared" si="239"/>
        <v>0</v>
      </c>
      <c r="I296" s="67">
        <f t="shared" si="239"/>
        <v>71750066.299999997</v>
      </c>
      <c r="J296" s="67">
        <f t="shared" si="239"/>
        <v>0</v>
      </c>
      <c r="K296" s="67">
        <f t="shared" si="239"/>
        <v>0</v>
      </c>
      <c r="L296" s="67">
        <f t="shared" si="239"/>
        <v>0</v>
      </c>
      <c r="M296" s="67">
        <f t="shared" si="239"/>
        <v>0</v>
      </c>
      <c r="N296" s="67">
        <f t="shared" si="239"/>
        <v>0</v>
      </c>
      <c r="O296" s="67">
        <v>0</v>
      </c>
      <c r="P296" s="326">
        <f t="shared" si="221"/>
        <v>71750066.299999997</v>
      </c>
      <c r="Q296" s="461"/>
      <c r="R296" s="357" t="s">
        <v>693</v>
      </c>
      <c r="S296" s="2"/>
    </row>
    <row r="297" spans="1:19" ht="14" thickBot="1" x14ac:dyDescent="0.2">
      <c r="A297" s="1" t="s">
        <v>712</v>
      </c>
      <c r="B297" s="355">
        <v>18</v>
      </c>
      <c r="C297" s="335" t="s">
        <v>314</v>
      </c>
      <c r="D297" s="331">
        <f>D296+D288</f>
        <v>-92550000</v>
      </c>
      <c r="E297" s="331">
        <f t="shared" ref="E297:N297" si="240">E296+E288</f>
        <v>50012750</v>
      </c>
      <c r="F297" s="331">
        <f t="shared" si="240"/>
        <v>44202792.500000022</v>
      </c>
      <c r="G297" s="331">
        <f t="shared" si="240"/>
        <v>35442192.08412499</v>
      </c>
      <c r="H297" s="331">
        <f t="shared" si="240"/>
        <v>25111356.707490433</v>
      </c>
      <c r="I297" s="331">
        <f t="shared" si="240"/>
        <v>84401062.478848949</v>
      </c>
      <c r="J297" s="331">
        <f t="shared" si="240"/>
        <v>0</v>
      </c>
      <c r="K297" s="331">
        <f t="shared" si="240"/>
        <v>0</v>
      </c>
      <c r="L297" s="331">
        <f t="shared" si="240"/>
        <v>0</v>
      </c>
      <c r="M297" s="331">
        <f t="shared" si="240"/>
        <v>0</v>
      </c>
      <c r="N297" s="331">
        <f t="shared" si="240"/>
        <v>0</v>
      </c>
      <c r="O297" s="331">
        <v>0</v>
      </c>
      <c r="P297" s="356">
        <f t="shared" si="221"/>
        <v>239170153.77046442</v>
      </c>
      <c r="Q297" s="463"/>
      <c r="R297" s="358">
        <f>IF(ISNUMBER(IRR(D297:N297)),IRR(D297:N297),"NMF")</f>
        <v>0.40549033935008683</v>
      </c>
      <c r="S297" s="1" t="s">
        <v>712</v>
      </c>
    </row>
    <row r="298" spans="1:19" x14ac:dyDescent="0.15">
      <c r="S298" s="2"/>
    </row>
    <row r="299" spans="1:19" ht="14" thickBot="1" x14ac:dyDescent="0.2">
      <c r="S299" s="2"/>
    </row>
    <row r="300" spans="1:19" ht="14" thickBot="1" x14ac:dyDescent="0.2">
      <c r="B300" s="359" t="s">
        <v>282</v>
      </c>
      <c r="C300" s="360" t="s">
        <v>283</v>
      </c>
      <c r="D300" s="360"/>
      <c r="E300" s="360">
        <v>1</v>
      </c>
      <c r="F300" s="360">
        <v>2</v>
      </c>
      <c r="G300" s="360">
        <v>3</v>
      </c>
      <c r="H300" s="360">
        <v>4</v>
      </c>
      <c r="I300" s="360">
        <v>5</v>
      </c>
      <c r="J300" s="360">
        <v>6</v>
      </c>
      <c r="K300" s="360">
        <v>7</v>
      </c>
      <c r="L300" s="360">
        <v>8</v>
      </c>
      <c r="M300" s="360">
        <v>9</v>
      </c>
      <c r="N300" s="360">
        <v>10</v>
      </c>
      <c r="O300" s="360" t="s">
        <v>284</v>
      </c>
      <c r="P300" s="361" t="s">
        <v>285</v>
      </c>
    </row>
    <row r="301" spans="1:19" x14ac:dyDescent="0.15">
      <c r="B301" s="339" t="s">
        <v>687</v>
      </c>
      <c r="C301" s="302" t="s">
        <v>287</v>
      </c>
      <c r="D301" s="322">
        <f t="shared" ref="D301:D316" si="241">D158</f>
        <v>0</v>
      </c>
      <c r="E301" s="322">
        <f t="shared" ref="E301:N301" si="242">E158</f>
        <v>300000000</v>
      </c>
      <c r="F301" s="322">
        <f t="shared" si="242"/>
        <v>313500000.00000006</v>
      </c>
      <c r="G301" s="322">
        <f t="shared" si="242"/>
        <v>327607500.00000006</v>
      </c>
      <c r="H301" s="322">
        <f t="shared" si="242"/>
        <v>342349837.50000012</v>
      </c>
      <c r="I301" s="322">
        <f t="shared" si="242"/>
        <v>357755580.18750012</v>
      </c>
      <c r="J301" s="322">
        <f t="shared" si="242"/>
        <v>0</v>
      </c>
      <c r="K301" s="322">
        <f t="shared" si="242"/>
        <v>0</v>
      </c>
      <c r="L301" s="322">
        <f t="shared" si="242"/>
        <v>0</v>
      </c>
      <c r="M301" s="322">
        <f t="shared" si="242"/>
        <v>0</v>
      </c>
      <c r="N301" s="322">
        <f t="shared" si="242"/>
        <v>0</v>
      </c>
      <c r="O301" s="322">
        <v>0</v>
      </c>
      <c r="P301" s="325">
        <f>SUM(E301:N301)</f>
        <v>1641212917.6875</v>
      </c>
      <c r="Q301" s="2"/>
    </row>
    <row r="302" spans="1:19" x14ac:dyDescent="0.15">
      <c r="A302" s="1" t="s">
        <v>714</v>
      </c>
      <c r="B302" s="340" t="s">
        <v>689</v>
      </c>
      <c r="C302" s="354" t="s">
        <v>689</v>
      </c>
      <c r="D302" s="67">
        <f t="shared" si="241"/>
        <v>0</v>
      </c>
      <c r="E302" s="67">
        <f>E159</f>
        <v>300000000</v>
      </c>
      <c r="F302" s="67">
        <f t="shared" ref="F302:N302" si="243">F159</f>
        <v>313500000.00000006</v>
      </c>
      <c r="G302" s="67">
        <f t="shared" si="243"/>
        <v>327607500.00000006</v>
      </c>
      <c r="H302" s="67">
        <f t="shared" si="243"/>
        <v>342349837.50000012</v>
      </c>
      <c r="I302" s="67">
        <f t="shared" si="243"/>
        <v>357755580.18750012</v>
      </c>
      <c r="J302" s="67">
        <f t="shared" si="243"/>
        <v>0</v>
      </c>
      <c r="K302" s="67">
        <f t="shared" si="243"/>
        <v>0</v>
      </c>
      <c r="L302" s="67">
        <f t="shared" si="243"/>
        <v>0</v>
      </c>
      <c r="M302" s="67">
        <f t="shared" si="243"/>
        <v>0</v>
      </c>
      <c r="N302" s="67">
        <f t="shared" si="243"/>
        <v>0</v>
      </c>
      <c r="O302" s="67"/>
      <c r="P302" s="326">
        <f t="shared" ref="P302:P325" si="244">SUM(E302:N302)</f>
        <v>1641212917.6875</v>
      </c>
      <c r="Q302" s="2"/>
    </row>
    <row r="303" spans="1:19" x14ac:dyDescent="0.15">
      <c r="B303" s="355" t="s">
        <v>690</v>
      </c>
      <c r="C303" s="362" t="s">
        <v>690</v>
      </c>
      <c r="D303" s="331">
        <f t="shared" si="241"/>
        <v>0</v>
      </c>
      <c r="E303" s="331">
        <f>E160*1.25</f>
        <v>0</v>
      </c>
      <c r="F303" s="331">
        <f t="shared" ref="F303:N303" si="245">F160*1.25</f>
        <v>0</v>
      </c>
      <c r="G303" s="331">
        <f t="shared" si="245"/>
        <v>0</v>
      </c>
      <c r="H303" s="331">
        <f t="shared" si="245"/>
        <v>0</v>
      </c>
      <c r="I303" s="331">
        <f t="shared" si="245"/>
        <v>0</v>
      </c>
      <c r="J303" s="331">
        <f t="shared" si="245"/>
        <v>0</v>
      </c>
      <c r="K303" s="331">
        <f t="shared" si="245"/>
        <v>0</v>
      </c>
      <c r="L303" s="331">
        <f t="shared" si="245"/>
        <v>0</v>
      </c>
      <c r="M303" s="331">
        <f t="shared" si="245"/>
        <v>0</v>
      </c>
      <c r="N303" s="331">
        <f t="shared" si="245"/>
        <v>0</v>
      </c>
      <c r="O303" s="363"/>
      <c r="P303" s="356">
        <f t="shared" si="244"/>
        <v>0</v>
      </c>
      <c r="Q303" s="460"/>
    </row>
    <row r="304" spans="1:19" x14ac:dyDescent="0.15">
      <c r="B304" s="340" t="s">
        <v>691</v>
      </c>
      <c r="C304" s="354" t="s">
        <v>691</v>
      </c>
      <c r="D304" s="67">
        <f t="shared" si="241"/>
        <v>0</v>
      </c>
      <c r="E304" s="67">
        <f>E161</f>
        <v>0</v>
      </c>
      <c r="F304" s="67">
        <f t="shared" ref="F304:N304" si="246">F161</f>
        <v>0</v>
      </c>
      <c r="G304" s="67">
        <f t="shared" si="246"/>
        <v>0</v>
      </c>
      <c r="H304" s="67">
        <f t="shared" si="246"/>
        <v>0</v>
      </c>
      <c r="I304" s="67">
        <f t="shared" si="246"/>
        <v>0</v>
      </c>
      <c r="J304" s="67">
        <f t="shared" si="246"/>
        <v>0</v>
      </c>
      <c r="K304" s="67">
        <f t="shared" si="246"/>
        <v>0</v>
      </c>
      <c r="L304" s="67">
        <f t="shared" si="246"/>
        <v>0</v>
      </c>
      <c r="M304" s="67">
        <f t="shared" si="246"/>
        <v>0</v>
      </c>
      <c r="N304" s="67">
        <f t="shared" si="246"/>
        <v>0</v>
      </c>
      <c r="O304" s="67"/>
      <c r="P304" s="326">
        <f t="shared" si="244"/>
        <v>0</v>
      </c>
      <c r="Q304" s="2"/>
    </row>
    <row r="305" spans="2:17" x14ac:dyDescent="0.15">
      <c r="B305" s="340" t="s">
        <v>695</v>
      </c>
      <c r="C305" s="12"/>
      <c r="D305" s="67">
        <f t="shared" si="241"/>
        <v>0</v>
      </c>
      <c r="E305" s="67">
        <f>E304+E303+E302</f>
        <v>300000000</v>
      </c>
      <c r="F305" s="67">
        <f t="shared" ref="F305:N305" si="247">F304+F303+F302</f>
        <v>313500000.00000006</v>
      </c>
      <c r="G305" s="67">
        <f t="shared" si="247"/>
        <v>327607500.00000006</v>
      </c>
      <c r="H305" s="67">
        <f t="shared" si="247"/>
        <v>342349837.50000012</v>
      </c>
      <c r="I305" s="67">
        <f t="shared" si="247"/>
        <v>357755580.18750012</v>
      </c>
      <c r="J305" s="67">
        <f t="shared" si="247"/>
        <v>0</v>
      </c>
      <c r="K305" s="67">
        <f t="shared" si="247"/>
        <v>0</v>
      </c>
      <c r="L305" s="67">
        <f t="shared" si="247"/>
        <v>0</v>
      </c>
      <c r="M305" s="67">
        <f t="shared" si="247"/>
        <v>0</v>
      </c>
      <c r="N305" s="67">
        <f t="shared" si="247"/>
        <v>0</v>
      </c>
      <c r="O305" s="67"/>
      <c r="P305" s="326">
        <f t="shared" si="244"/>
        <v>1641212917.6875</v>
      </c>
      <c r="Q305" s="2"/>
    </row>
    <row r="306" spans="2:17" x14ac:dyDescent="0.15">
      <c r="B306" s="340" t="s">
        <v>696</v>
      </c>
      <c r="C306" s="12" t="s">
        <v>289</v>
      </c>
      <c r="D306" s="67">
        <f t="shared" si="241"/>
        <v>0</v>
      </c>
      <c r="E306" s="67">
        <f t="shared" ref="E306:N306" si="248">E163</f>
        <v>230170000</v>
      </c>
      <c r="F306" s="67">
        <f t="shared" si="248"/>
        <v>253018375.00000003</v>
      </c>
      <c r="G306" s="67">
        <f t="shared" si="248"/>
        <v>278725718.45125008</v>
      </c>
      <c r="H306" s="67">
        <f t="shared" si="248"/>
        <v>307665975.06072807</v>
      </c>
      <c r="I306" s="67">
        <f t="shared" si="248"/>
        <v>340262566.36057305</v>
      </c>
      <c r="J306" s="67">
        <f t="shared" si="248"/>
        <v>0</v>
      </c>
      <c r="K306" s="67">
        <f t="shared" si="248"/>
        <v>0</v>
      </c>
      <c r="L306" s="67">
        <f t="shared" si="248"/>
        <v>0</v>
      </c>
      <c r="M306" s="67">
        <f t="shared" si="248"/>
        <v>0</v>
      </c>
      <c r="N306" s="67">
        <f t="shared" si="248"/>
        <v>0</v>
      </c>
      <c r="O306" s="67">
        <v>0</v>
      </c>
      <c r="P306" s="326">
        <f t="shared" si="244"/>
        <v>1409842634.8725512</v>
      </c>
      <c r="Q306" s="2"/>
    </row>
    <row r="307" spans="2:17" x14ac:dyDescent="0.15">
      <c r="B307" s="340">
        <v>3</v>
      </c>
      <c r="C307" s="12" t="s">
        <v>290</v>
      </c>
      <c r="D307" s="67">
        <f t="shared" si="241"/>
        <v>0</v>
      </c>
      <c r="E307" s="67">
        <f>E305-E306</f>
        <v>69830000</v>
      </c>
      <c r="F307" s="67">
        <f t="shared" ref="F307:N307" si="249">F305-F306</f>
        <v>60481625.00000003</v>
      </c>
      <c r="G307" s="67">
        <f t="shared" si="249"/>
        <v>48881781.548749983</v>
      </c>
      <c r="H307" s="67">
        <f t="shared" si="249"/>
        <v>34683862.439272046</v>
      </c>
      <c r="I307" s="67">
        <f t="shared" si="249"/>
        <v>17493013.826927066</v>
      </c>
      <c r="J307" s="67">
        <f t="shared" si="249"/>
        <v>0</v>
      </c>
      <c r="K307" s="67">
        <f t="shared" si="249"/>
        <v>0</v>
      </c>
      <c r="L307" s="67">
        <f t="shared" si="249"/>
        <v>0</v>
      </c>
      <c r="M307" s="67">
        <f t="shared" si="249"/>
        <v>0</v>
      </c>
      <c r="N307" s="67">
        <f t="shared" si="249"/>
        <v>0</v>
      </c>
      <c r="O307" s="67">
        <v>0</v>
      </c>
      <c r="P307" s="326">
        <f t="shared" si="244"/>
        <v>231370282.81494913</v>
      </c>
      <c r="Q307" s="2"/>
    </row>
    <row r="308" spans="2:17" x14ac:dyDescent="0.15">
      <c r="B308" s="340" t="s">
        <v>697</v>
      </c>
      <c r="C308" s="12" t="s">
        <v>292</v>
      </c>
      <c r="D308" s="67">
        <f t="shared" si="241"/>
        <v>0</v>
      </c>
      <c r="E308" s="67">
        <f>E165</f>
        <v>3772500</v>
      </c>
      <c r="F308" s="67">
        <f t="shared" ref="F308:N308" si="250">F165</f>
        <v>6218850</v>
      </c>
      <c r="G308" s="67">
        <f t="shared" si="250"/>
        <v>4083150</v>
      </c>
      <c r="H308" s="67">
        <f t="shared" si="250"/>
        <v>2775510</v>
      </c>
      <c r="I308" s="67">
        <f t="shared" si="250"/>
        <v>1352955</v>
      </c>
      <c r="J308" s="67">
        <f t="shared" si="250"/>
        <v>0</v>
      </c>
      <c r="K308" s="67">
        <f t="shared" si="250"/>
        <v>0</v>
      </c>
      <c r="L308" s="67">
        <f t="shared" si="250"/>
        <v>0</v>
      </c>
      <c r="M308" s="67">
        <f t="shared" si="250"/>
        <v>0</v>
      </c>
      <c r="N308" s="67">
        <f t="shared" si="250"/>
        <v>0</v>
      </c>
      <c r="O308" s="67">
        <v>0</v>
      </c>
      <c r="P308" s="326">
        <f t="shared" si="244"/>
        <v>18202965</v>
      </c>
      <c r="Q308" s="2"/>
    </row>
    <row r="309" spans="2:17" x14ac:dyDescent="0.15">
      <c r="B309" s="340">
        <v>5</v>
      </c>
      <c r="C309" s="12" t="s">
        <v>293</v>
      </c>
      <c r="D309" s="67">
        <f t="shared" si="241"/>
        <v>0</v>
      </c>
      <c r="E309" s="67">
        <f>E307-E308</f>
        <v>66057500</v>
      </c>
      <c r="F309" s="67">
        <f t="shared" ref="F309:N309" si="251">F307-F308</f>
        <v>54262775.00000003</v>
      </c>
      <c r="G309" s="67">
        <f t="shared" si="251"/>
        <v>44798631.548749983</v>
      </c>
      <c r="H309" s="67">
        <f t="shared" si="251"/>
        <v>31908352.439272046</v>
      </c>
      <c r="I309" s="67">
        <f t="shared" si="251"/>
        <v>16140058.826927066</v>
      </c>
      <c r="J309" s="67">
        <f t="shared" si="251"/>
        <v>0</v>
      </c>
      <c r="K309" s="67">
        <f t="shared" si="251"/>
        <v>0</v>
      </c>
      <c r="L309" s="67">
        <f t="shared" si="251"/>
        <v>0</v>
      </c>
      <c r="M309" s="67">
        <f t="shared" si="251"/>
        <v>0</v>
      </c>
      <c r="N309" s="67">
        <f t="shared" si="251"/>
        <v>0</v>
      </c>
      <c r="O309" s="67">
        <v>0</v>
      </c>
      <c r="P309" s="326">
        <f t="shared" si="244"/>
        <v>213167317.81494913</v>
      </c>
      <c r="Q309" s="2"/>
    </row>
    <row r="310" spans="2:17" x14ac:dyDescent="0.15">
      <c r="B310" s="340" t="s">
        <v>698</v>
      </c>
      <c r="C310" s="12" t="s">
        <v>295</v>
      </c>
      <c r="D310" s="67">
        <f t="shared" si="241"/>
        <v>0</v>
      </c>
      <c r="E310" s="67">
        <f>E167</f>
        <v>0</v>
      </c>
      <c r="F310" s="67">
        <f t="shared" ref="F310:N310" si="252">F167</f>
        <v>0</v>
      </c>
      <c r="G310" s="67">
        <f t="shared" si="252"/>
        <v>0</v>
      </c>
      <c r="H310" s="67">
        <f t="shared" si="252"/>
        <v>0</v>
      </c>
      <c r="I310" s="67">
        <f t="shared" si="252"/>
        <v>0</v>
      </c>
      <c r="J310" s="67">
        <f t="shared" si="252"/>
        <v>0</v>
      </c>
      <c r="K310" s="67">
        <f t="shared" si="252"/>
        <v>0</v>
      </c>
      <c r="L310" s="67">
        <f t="shared" si="252"/>
        <v>0</v>
      </c>
      <c r="M310" s="67">
        <f t="shared" si="252"/>
        <v>0</v>
      </c>
      <c r="N310" s="67">
        <f t="shared" si="252"/>
        <v>0</v>
      </c>
      <c r="O310" s="67">
        <v>0</v>
      </c>
      <c r="P310" s="326">
        <f t="shared" si="244"/>
        <v>0</v>
      </c>
      <c r="Q310" s="2"/>
    </row>
    <row r="311" spans="2:17" x14ac:dyDescent="0.15">
      <c r="B311" s="340">
        <v>7</v>
      </c>
      <c r="C311" s="12" t="s">
        <v>296</v>
      </c>
      <c r="D311" s="67">
        <f t="shared" si="241"/>
        <v>0</v>
      </c>
      <c r="E311" s="67">
        <f>E309-E310</f>
        <v>66057500</v>
      </c>
      <c r="F311" s="67">
        <f t="shared" ref="F311:N311" si="253">F309-F310</f>
        <v>54262775.00000003</v>
      </c>
      <c r="G311" s="67">
        <f t="shared" si="253"/>
        <v>44798631.548749983</v>
      </c>
      <c r="H311" s="67">
        <f t="shared" si="253"/>
        <v>31908352.439272046</v>
      </c>
      <c r="I311" s="67">
        <f t="shared" si="253"/>
        <v>16140058.826927066</v>
      </c>
      <c r="J311" s="67">
        <f t="shared" si="253"/>
        <v>0</v>
      </c>
      <c r="K311" s="67">
        <f t="shared" si="253"/>
        <v>0</v>
      </c>
      <c r="L311" s="67">
        <f t="shared" si="253"/>
        <v>0</v>
      </c>
      <c r="M311" s="67">
        <f t="shared" si="253"/>
        <v>0</v>
      </c>
      <c r="N311" s="67">
        <f t="shared" si="253"/>
        <v>0</v>
      </c>
      <c r="O311" s="67">
        <v>0</v>
      </c>
      <c r="P311" s="326">
        <f t="shared" si="244"/>
        <v>213167317.81494913</v>
      </c>
      <c r="Q311" s="2"/>
    </row>
    <row r="312" spans="2:17" x14ac:dyDescent="0.15">
      <c r="B312" s="340">
        <v>8</v>
      </c>
      <c r="C312" s="12" t="s">
        <v>297</v>
      </c>
      <c r="D312" s="67">
        <f t="shared" si="241"/>
        <v>0</v>
      </c>
      <c r="E312" s="67">
        <f>-E311*$D$3</f>
        <v>-19817250</v>
      </c>
      <c r="F312" s="67">
        <f t="shared" ref="F312:N312" si="254">-F311*$D$3</f>
        <v>-16278832.500000007</v>
      </c>
      <c r="G312" s="67">
        <f t="shared" si="254"/>
        <v>-13439589.464624995</v>
      </c>
      <c r="H312" s="67">
        <f t="shared" si="254"/>
        <v>-9572505.7317816131</v>
      </c>
      <c r="I312" s="67">
        <f t="shared" si="254"/>
        <v>-4842017.6480781194</v>
      </c>
      <c r="J312" s="67">
        <f t="shared" si="254"/>
        <v>0</v>
      </c>
      <c r="K312" s="67">
        <f t="shared" si="254"/>
        <v>0</v>
      </c>
      <c r="L312" s="67">
        <f t="shared" si="254"/>
        <v>0</v>
      </c>
      <c r="M312" s="67">
        <f t="shared" si="254"/>
        <v>0</v>
      </c>
      <c r="N312" s="67">
        <f t="shared" si="254"/>
        <v>0</v>
      </c>
      <c r="O312" s="67">
        <v>0</v>
      </c>
      <c r="P312" s="326">
        <f t="shared" si="244"/>
        <v>-63950195.344484739</v>
      </c>
      <c r="Q312" s="2"/>
    </row>
    <row r="313" spans="2:17" x14ac:dyDescent="0.15">
      <c r="B313" s="340">
        <v>9</v>
      </c>
      <c r="C313" s="12" t="s">
        <v>298</v>
      </c>
      <c r="D313" s="67">
        <f t="shared" si="241"/>
        <v>0</v>
      </c>
      <c r="E313" s="67">
        <f>E170</f>
        <v>0</v>
      </c>
      <c r="F313" s="67">
        <f t="shared" ref="F313:N313" si="255">F170</f>
        <v>0</v>
      </c>
      <c r="G313" s="67">
        <f t="shared" si="255"/>
        <v>0</v>
      </c>
      <c r="H313" s="67">
        <f t="shared" si="255"/>
        <v>0</v>
      </c>
      <c r="I313" s="67">
        <f t="shared" si="255"/>
        <v>0</v>
      </c>
      <c r="J313" s="67">
        <f t="shared" si="255"/>
        <v>0</v>
      </c>
      <c r="K313" s="67">
        <f t="shared" si="255"/>
        <v>0</v>
      </c>
      <c r="L313" s="67">
        <f t="shared" si="255"/>
        <v>0</v>
      </c>
      <c r="M313" s="67">
        <f t="shared" si="255"/>
        <v>0</v>
      </c>
      <c r="N313" s="67">
        <f t="shared" si="255"/>
        <v>0</v>
      </c>
      <c r="O313" s="67">
        <v>0</v>
      </c>
      <c r="P313" s="326">
        <f t="shared" si="244"/>
        <v>0</v>
      </c>
      <c r="Q313" s="2"/>
    </row>
    <row r="314" spans="2:17" x14ac:dyDescent="0.15">
      <c r="B314" s="340">
        <v>10</v>
      </c>
      <c r="C314" s="12" t="s">
        <v>299</v>
      </c>
      <c r="D314" s="67">
        <f t="shared" si="241"/>
        <v>0</v>
      </c>
      <c r="E314" s="67">
        <f>E311+E312+E313</f>
        <v>46240250</v>
      </c>
      <c r="F314" s="67">
        <f t="shared" ref="F314:N314" si="256">F311+F312+F313</f>
        <v>37983942.500000022</v>
      </c>
      <c r="G314" s="67">
        <f t="shared" si="256"/>
        <v>31359042.08412499</v>
      </c>
      <c r="H314" s="67">
        <f t="shared" si="256"/>
        <v>22335846.707490433</v>
      </c>
      <c r="I314" s="67">
        <f t="shared" si="256"/>
        <v>11298041.178848946</v>
      </c>
      <c r="J314" s="67">
        <f t="shared" si="256"/>
        <v>0</v>
      </c>
      <c r="K314" s="67">
        <f t="shared" si="256"/>
        <v>0</v>
      </c>
      <c r="L314" s="67">
        <f t="shared" si="256"/>
        <v>0</v>
      </c>
      <c r="M314" s="67">
        <f t="shared" si="256"/>
        <v>0</v>
      </c>
      <c r="N314" s="67">
        <f t="shared" si="256"/>
        <v>0</v>
      </c>
      <c r="O314" s="67">
        <v>0</v>
      </c>
      <c r="P314" s="326">
        <f t="shared" si="244"/>
        <v>149217122.47046441</v>
      </c>
      <c r="Q314" s="2"/>
    </row>
    <row r="315" spans="2:17" x14ac:dyDescent="0.15">
      <c r="B315" s="340" t="s">
        <v>699</v>
      </c>
      <c r="C315" s="12" t="s">
        <v>292</v>
      </c>
      <c r="D315" s="67">
        <f t="shared" si="241"/>
        <v>0</v>
      </c>
      <c r="E315" s="67">
        <f>E172</f>
        <v>3772500</v>
      </c>
      <c r="F315" s="67">
        <f t="shared" ref="F315:N315" si="257">F172</f>
        <v>6218850</v>
      </c>
      <c r="G315" s="67">
        <f t="shared" si="257"/>
        <v>4083150</v>
      </c>
      <c r="H315" s="67">
        <f t="shared" si="257"/>
        <v>2775510</v>
      </c>
      <c r="I315" s="67">
        <f t="shared" si="257"/>
        <v>1352955</v>
      </c>
      <c r="J315" s="67">
        <f t="shared" si="257"/>
        <v>0</v>
      </c>
      <c r="K315" s="67">
        <f t="shared" si="257"/>
        <v>0</v>
      </c>
      <c r="L315" s="67">
        <f t="shared" si="257"/>
        <v>0</v>
      </c>
      <c r="M315" s="67">
        <f t="shared" si="257"/>
        <v>0</v>
      </c>
      <c r="N315" s="67">
        <f t="shared" si="257"/>
        <v>0</v>
      </c>
      <c r="O315" s="67">
        <v>0</v>
      </c>
      <c r="P315" s="326">
        <f t="shared" si="244"/>
        <v>18202965</v>
      </c>
      <c r="Q315" s="2"/>
    </row>
    <row r="316" spans="2:17" x14ac:dyDescent="0.15">
      <c r="B316" s="340">
        <v>12</v>
      </c>
      <c r="C316" s="12" t="s">
        <v>301</v>
      </c>
      <c r="D316" s="67">
        <f t="shared" si="241"/>
        <v>0</v>
      </c>
      <c r="E316" s="67">
        <f>E314+E315</f>
        <v>50012750</v>
      </c>
      <c r="F316" s="67">
        <f t="shared" ref="F316:N316" si="258">F314+F315</f>
        <v>44202792.500000022</v>
      </c>
      <c r="G316" s="67">
        <f t="shared" si="258"/>
        <v>35442192.08412499</v>
      </c>
      <c r="H316" s="67">
        <f t="shared" si="258"/>
        <v>25111356.707490433</v>
      </c>
      <c r="I316" s="67">
        <f t="shared" si="258"/>
        <v>12650996.178848946</v>
      </c>
      <c r="J316" s="67">
        <f t="shared" si="258"/>
        <v>0</v>
      </c>
      <c r="K316" s="67">
        <f t="shared" si="258"/>
        <v>0</v>
      </c>
      <c r="L316" s="67">
        <f t="shared" si="258"/>
        <v>0</v>
      </c>
      <c r="M316" s="67">
        <f t="shared" si="258"/>
        <v>0</v>
      </c>
      <c r="N316" s="67">
        <f t="shared" si="258"/>
        <v>0</v>
      </c>
      <c r="O316" s="67">
        <v>0</v>
      </c>
      <c r="P316" s="326">
        <f t="shared" si="244"/>
        <v>167420087.47046441</v>
      </c>
      <c r="Q316" s="2"/>
    </row>
    <row r="317" spans="2:17" x14ac:dyDescent="0.15">
      <c r="B317" s="340" t="s">
        <v>700</v>
      </c>
      <c r="C317" s="12" t="s">
        <v>303</v>
      </c>
      <c r="D317" s="67">
        <v>0</v>
      </c>
      <c r="E317" s="67">
        <f t="shared" ref="E317:N317" si="259">E174</f>
        <v>0</v>
      </c>
      <c r="F317" s="67">
        <f t="shared" si="259"/>
        <v>0</v>
      </c>
      <c r="G317" s="67">
        <f t="shared" si="259"/>
        <v>0</v>
      </c>
      <c r="H317" s="67">
        <f t="shared" si="259"/>
        <v>0</v>
      </c>
      <c r="I317" s="67">
        <f t="shared" si="259"/>
        <v>0</v>
      </c>
      <c r="J317" s="67">
        <f t="shared" si="259"/>
        <v>0</v>
      </c>
      <c r="K317" s="67">
        <f t="shared" si="259"/>
        <v>0</v>
      </c>
      <c r="L317" s="67">
        <f t="shared" si="259"/>
        <v>0</v>
      </c>
      <c r="M317" s="67">
        <f t="shared" si="259"/>
        <v>0</v>
      </c>
      <c r="N317" s="67">
        <f t="shared" si="259"/>
        <v>0</v>
      </c>
      <c r="O317" s="67">
        <v>0</v>
      </c>
      <c r="P317" s="326">
        <f t="shared" si="244"/>
        <v>0</v>
      </c>
      <c r="Q317" s="2"/>
    </row>
    <row r="318" spans="2:17" x14ac:dyDescent="0.15">
      <c r="B318" s="340">
        <v>14</v>
      </c>
      <c r="C318" s="12" t="s">
        <v>304</v>
      </c>
      <c r="D318" s="67">
        <f>D319+D320+D321</f>
        <v>-32550000</v>
      </c>
      <c r="E318" s="67">
        <f t="shared" ref="E318:N318" si="260">E319+E320+E321</f>
        <v>0</v>
      </c>
      <c r="F318" s="67">
        <f t="shared" si="260"/>
        <v>0</v>
      </c>
      <c r="G318" s="67">
        <f t="shared" si="260"/>
        <v>0</v>
      </c>
      <c r="H318" s="67">
        <f t="shared" si="260"/>
        <v>0</v>
      </c>
      <c r="I318" s="67">
        <f t="shared" si="260"/>
        <v>14347035</v>
      </c>
      <c r="J318" s="67">
        <f t="shared" si="260"/>
        <v>0</v>
      </c>
      <c r="K318" s="67">
        <f t="shared" si="260"/>
        <v>0</v>
      </c>
      <c r="L318" s="67">
        <f t="shared" si="260"/>
        <v>0</v>
      </c>
      <c r="M318" s="67">
        <f t="shared" si="260"/>
        <v>0</v>
      </c>
      <c r="N318" s="67">
        <f t="shared" si="260"/>
        <v>0</v>
      </c>
      <c r="O318" s="67">
        <v>0</v>
      </c>
      <c r="P318" s="326">
        <f t="shared" si="244"/>
        <v>14347035</v>
      </c>
      <c r="Q318" s="2"/>
    </row>
    <row r="319" spans="2:17" x14ac:dyDescent="0.15">
      <c r="B319" s="340" t="s">
        <v>701</v>
      </c>
      <c r="C319" s="12" t="s">
        <v>207</v>
      </c>
      <c r="D319" s="67">
        <f t="shared" ref="D319:N323" si="261">D176</f>
        <v>-31050000</v>
      </c>
      <c r="E319" s="67">
        <f t="shared" si="261"/>
        <v>0</v>
      </c>
      <c r="F319" s="67">
        <f t="shared" si="261"/>
        <v>0</v>
      </c>
      <c r="G319" s="67">
        <f t="shared" si="261"/>
        <v>0</v>
      </c>
      <c r="H319" s="67">
        <f t="shared" si="261"/>
        <v>0</v>
      </c>
      <c r="I319" s="67">
        <f t="shared" si="261"/>
        <v>12847035</v>
      </c>
      <c r="J319" s="67">
        <f t="shared" si="261"/>
        <v>0</v>
      </c>
      <c r="K319" s="67">
        <f t="shared" si="261"/>
        <v>0</v>
      </c>
      <c r="L319" s="67">
        <f t="shared" si="261"/>
        <v>0</v>
      </c>
      <c r="M319" s="67">
        <f t="shared" si="261"/>
        <v>0</v>
      </c>
      <c r="N319" s="67">
        <f t="shared" si="261"/>
        <v>0</v>
      </c>
      <c r="O319" s="67">
        <v>0</v>
      </c>
      <c r="P319" s="326">
        <f t="shared" si="244"/>
        <v>12847035</v>
      </c>
      <c r="Q319" s="2"/>
    </row>
    <row r="320" spans="2:17" x14ac:dyDescent="0.15">
      <c r="B320" s="340" t="s">
        <v>702</v>
      </c>
      <c r="C320" s="12" t="s">
        <v>307</v>
      </c>
      <c r="D320" s="67">
        <f t="shared" si="261"/>
        <v>-1500000</v>
      </c>
      <c r="E320" s="67">
        <f t="shared" si="261"/>
        <v>0</v>
      </c>
      <c r="F320" s="67">
        <f t="shared" si="261"/>
        <v>0</v>
      </c>
      <c r="G320" s="67">
        <f t="shared" si="261"/>
        <v>0</v>
      </c>
      <c r="H320" s="67">
        <f t="shared" si="261"/>
        <v>0</v>
      </c>
      <c r="I320" s="67">
        <f t="shared" si="261"/>
        <v>1500000</v>
      </c>
      <c r="J320" s="67">
        <f t="shared" si="261"/>
        <v>0</v>
      </c>
      <c r="K320" s="67">
        <f t="shared" si="261"/>
        <v>0</v>
      </c>
      <c r="L320" s="67">
        <f t="shared" si="261"/>
        <v>0</v>
      </c>
      <c r="M320" s="67">
        <f t="shared" si="261"/>
        <v>0</v>
      </c>
      <c r="N320" s="67">
        <f t="shared" si="261"/>
        <v>0</v>
      </c>
      <c r="O320" s="67">
        <v>0</v>
      </c>
      <c r="P320" s="326">
        <f t="shared" si="244"/>
        <v>1500000</v>
      </c>
      <c r="Q320" s="2"/>
    </row>
    <row r="321" spans="1:19" x14ac:dyDescent="0.15">
      <c r="B321" s="340" t="s">
        <v>703</v>
      </c>
      <c r="C321" s="12" t="s">
        <v>309</v>
      </c>
      <c r="D321" s="67">
        <f t="shared" si="261"/>
        <v>0</v>
      </c>
      <c r="E321" s="67">
        <f t="shared" si="261"/>
        <v>0</v>
      </c>
      <c r="F321" s="67">
        <f t="shared" si="261"/>
        <v>0</v>
      </c>
      <c r="G321" s="67">
        <f t="shared" si="261"/>
        <v>0</v>
      </c>
      <c r="H321" s="67">
        <f t="shared" si="261"/>
        <v>0</v>
      </c>
      <c r="I321" s="67">
        <f t="shared" si="261"/>
        <v>0</v>
      </c>
      <c r="J321" s="67">
        <f t="shared" si="261"/>
        <v>0</v>
      </c>
      <c r="K321" s="67">
        <f t="shared" si="261"/>
        <v>0</v>
      </c>
      <c r="L321" s="67">
        <f t="shared" si="261"/>
        <v>0</v>
      </c>
      <c r="M321" s="67">
        <f t="shared" si="261"/>
        <v>0</v>
      </c>
      <c r="N321" s="67">
        <f t="shared" si="261"/>
        <v>0</v>
      </c>
      <c r="O321" s="67">
        <v>0</v>
      </c>
      <c r="P321" s="326">
        <f t="shared" si="244"/>
        <v>0</v>
      </c>
      <c r="Q321" s="2"/>
    </row>
    <row r="322" spans="1:19" x14ac:dyDescent="0.15">
      <c r="B322" s="340" t="s">
        <v>704</v>
      </c>
      <c r="C322" s="12" t="s">
        <v>311</v>
      </c>
      <c r="D322" s="67">
        <f t="shared" si="261"/>
        <v>0</v>
      </c>
      <c r="E322" s="67">
        <f t="shared" si="261"/>
        <v>0</v>
      </c>
      <c r="F322" s="67">
        <f t="shared" si="261"/>
        <v>0</v>
      </c>
      <c r="G322" s="67">
        <f t="shared" si="261"/>
        <v>0</v>
      </c>
      <c r="H322" s="67">
        <f t="shared" si="261"/>
        <v>0</v>
      </c>
      <c r="I322" s="67">
        <f t="shared" si="261"/>
        <v>-2596968.7000000002</v>
      </c>
      <c r="J322" s="67">
        <f t="shared" si="261"/>
        <v>0</v>
      </c>
      <c r="K322" s="67">
        <f t="shared" si="261"/>
        <v>0</v>
      </c>
      <c r="L322" s="67">
        <f t="shared" si="261"/>
        <v>0</v>
      </c>
      <c r="M322" s="67">
        <f t="shared" si="261"/>
        <v>0</v>
      </c>
      <c r="N322" s="67">
        <f t="shared" si="261"/>
        <v>0</v>
      </c>
      <c r="O322" s="67">
        <v>0</v>
      </c>
      <c r="P322" s="326">
        <f t="shared" si="244"/>
        <v>-2596968.7000000002</v>
      </c>
      <c r="Q322" s="2"/>
    </row>
    <row r="323" spans="1:19" ht="14" thickBot="1" x14ac:dyDescent="0.2">
      <c r="B323" s="340" t="s">
        <v>705</v>
      </c>
      <c r="C323" s="12" t="s">
        <v>115</v>
      </c>
      <c r="D323" s="67">
        <f t="shared" si="261"/>
        <v>-60000000</v>
      </c>
      <c r="E323" s="67">
        <f t="shared" si="261"/>
        <v>0</v>
      </c>
      <c r="F323" s="67">
        <f t="shared" si="261"/>
        <v>0</v>
      </c>
      <c r="G323" s="67">
        <f t="shared" si="261"/>
        <v>0</v>
      </c>
      <c r="H323" s="67">
        <f t="shared" si="261"/>
        <v>0</v>
      </c>
      <c r="I323" s="67">
        <f t="shared" si="261"/>
        <v>60000000</v>
      </c>
      <c r="J323" s="67">
        <f t="shared" si="261"/>
        <v>0</v>
      </c>
      <c r="K323" s="67">
        <f t="shared" si="261"/>
        <v>0</v>
      </c>
      <c r="L323" s="67">
        <f t="shared" si="261"/>
        <v>0</v>
      </c>
      <c r="M323" s="67">
        <f t="shared" si="261"/>
        <v>0</v>
      </c>
      <c r="N323" s="67">
        <f t="shared" si="261"/>
        <v>0</v>
      </c>
      <c r="O323" s="67">
        <v>0</v>
      </c>
      <c r="P323" s="326">
        <f t="shared" si="244"/>
        <v>60000000</v>
      </c>
      <c r="Q323" s="2"/>
    </row>
    <row r="324" spans="1:19" x14ac:dyDescent="0.15">
      <c r="B324" s="340">
        <v>17</v>
      </c>
      <c r="C324" s="12" t="s">
        <v>313</v>
      </c>
      <c r="D324" s="67">
        <f>D317+D318+D322+D323</f>
        <v>-92550000</v>
      </c>
      <c r="E324" s="67">
        <f t="shared" ref="E324:N324" si="262">E317+E318+E322+E323</f>
        <v>0</v>
      </c>
      <c r="F324" s="67">
        <f t="shared" si="262"/>
        <v>0</v>
      </c>
      <c r="G324" s="67">
        <f t="shared" si="262"/>
        <v>0</v>
      </c>
      <c r="H324" s="67">
        <f t="shared" si="262"/>
        <v>0</v>
      </c>
      <c r="I324" s="67">
        <f t="shared" si="262"/>
        <v>71750066.299999997</v>
      </c>
      <c r="J324" s="67">
        <f t="shared" si="262"/>
        <v>0</v>
      </c>
      <c r="K324" s="67">
        <f t="shared" si="262"/>
        <v>0</v>
      </c>
      <c r="L324" s="67">
        <f t="shared" si="262"/>
        <v>0</v>
      </c>
      <c r="M324" s="67">
        <f t="shared" si="262"/>
        <v>0</v>
      </c>
      <c r="N324" s="67">
        <f t="shared" si="262"/>
        <v>0</v>
      </c>
      <c r="O324" s="67">
        <v>0</v>
      </c>
      <c r="P324" s="326">
        <f t="shared" si="244"/>
        <v>71750066.299999997</v>
      </c>
      <c r="Q324" s="461"/>
      <c r="R324" s="357" t="s">
        <v>693</v>
      </c>
    </row>
    <row r="325" spans="1:19" ht="14" thickBot="1" x14ac:dyDescent="0.2">
      <c r="A325" s="1" t="s">
        <v>714</v>
      </c>
      <c r="B325" s="355">
        <v>18</v>
      </c>
      <c r="C325" s="335" t="s">
        <v>314</v>
      </c>
      <c r="D325" s="331">
        <f>D324+D316</f>
        <v>-92550000</v>
      </c>
      <c r="E325" s="331">
        <f t="shared" ref="E325:N325" si="263">E324+E316</f>
        <v>50012750</v>
      </c>
      <c r="F325" s="331">
        <f t="shared" si="263"/>
        <v>44202792.500000022</v>
      </c>
      <c r="G325" s="331">
        <f t="shared" si="263"/>
        <v>35442192.08412499</v>
      </c>
      <c r="H325" s="331">
        <f t="shared" si="263"/>
        <v>25111356.707490433</v>
      </c>
      <c r="I325" s="331">
        <f t="shared" si="263"/>
        <v>84401062.478848949</v>
      </c>
      <c r="J325" s="331">
        <f t="shared" si="263"/>
        <v>0</v>
      </c>
      <c r="K325" s="331">
        <f t="shared" si="263"/>
        <v>0</v>
      </c>
      <c r="L325" s="331">
        <f t="shared" si="263"/>
        <v>0</v>
      </c>
      <c r="M325" s="331">
        <f t="shared" si="263"/>
        <v>0</v>
      </c>
      <c r="N325" s="331">
        <f t="shared" si="263"/>
        <v>0</v>
      </c>
      <c r="O325" s="331">
        <v>0</v>
      </c>
      <c r="P325" s="356">
        <f t="shared" si="244"/>
        <v>239170153.77046442</v>
      </c>
      <c r="Q325" s="463"/>
      <c r="R325" s="358">
        <f>IF(ISNUMBER(IRR(D325:N325)),IRR(D325:N325),"NMF")</f>
        <v>0.40549033935008683</v>
      </c>
      <c r="S325" s="1" t="s">
        <v>714</v>
      </c>
    </row>
  </sheetData>
  <sheetProtection password="AA36" sheet="1" objects="1" scenarios="1"/>
  <phoneticPr fontId="0" type="noConversion"/>
  <pageMargins left="0.75" right="0.75" top="1" bottom="1" header="0.5" footer="0.5"/>
  <pageSetup orientation="portrait" horizontalDpi="0" verticalDpi="0"/>
  <headerFooter alignWithMargins="0"/>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T325"/>
  <sheetViews>
    <sheetView zoomScale="75" workbookViewId="0"/>
  </sheetViews>
  <sheetFormatPr baseColWidth="10" defaultColWidth="8.83203125" defaultRowHeight="13" x14ac:dyDescent="0.15"/>
  <cols>
    <col min="1" max="1" width="13.1640625" customWidth="1"/>
    <col min="2" max="2" width="26.5" customWidth="1"/>
    <col min="3" max="3" width="40.5" customWidth="1"/>
    <col min="4" max="4" width="13.5" bestFit="1" customWidth="1"/>
    <col min="5" max="8" width="14.5" bestFit="1" customWidth="1"/>
    <col min="9" max="9" width="16.83203125" customWidth="1"/>
    <col min="10" max="10" width="12.6640625" bestFit="1" customWidth="1"/>
    <col min="11" max="11" width="17" customWidth="1"/>
    <col min="12" max="14" width="11.6640625" bestFit="1" customWidth="1"/>
    <col min="15" max="15" width="4" customWidth="1"/>
    <col min="16" max="16" width="14.5" bestFit="1" customWidth="1"/>
    <col min="17" max="17" width="14.5" customWidth="1"/>
    <col min="18" max="18" width="8.33203125" customWidth="1"/>
    <col min="19" max="19" width="12.33203125" bestFit="1" customWidth="1"/>
  </cols>
  <sheetData>
    <row r="1" spans="1:11" ht="19" thickBot="1" x14ac:dyDescent="0.25">
      <c r="A1" s="549" t="s">
        <v>718</v>
      </c>
    </row>
    <row r="2" spans="1:11" ht="14" thickBot="1" x14ac:dyDescent="0.2">
      <c r="F2" t="s">
        <v>684</v>
      </c>
      <c r="H2" s="323" t="s">
        <v>436</v>
      </c>
      <c r="I2" s="365" t="s">
        <v>685</v>
      </c>
      <c r="J2" s="320" t="s">
        <v>341</v>
      </c>
      <c r="K2" s="365" t="s">
        <v>685</v>
      </c>
    </row>
    <row r="3" spans="1:11" ht="18" thickBot="1" x14ac:dyDescent="0.25">
      <c r="C3" s="343" t="s">
        <v>279</v>
      </c>
      <c r="D3" s="344">
        <f>'Initial Inputs'!C43</f>
        <v>0.3</v>
      </c>
      <c r="G3" s="378" t="s">
        <v>412</v>
      </c>
      <c r="H3" s="379">
        <f>R42</f>
        <v>0.40549033935008683</v>
      </c>
      <c r="I3" s="372">
        <f>IF(H3="NMF","NMF",(H3-$H$8)/$H$8)</f>
        <v>0</v>
      </c>
      <c r="J3" s="375">
        <f>NPV($D$7,E42:N42)+D42</f>
        <v>60173850.627423048</v>
      </c>
      <c r="K3" s="372">
        <f>IF(J3="NMF","NMF",IF(ISNUMBER((J3-$J$8)/$J$8),(J3-$J$8)/$J$8,0))</f>
        <v>0</v>
      </c>
    </row>
    <row r="4" spans="1:11" ht="18" thickBot="1" x14ac:dyDescent="0.25">
      <c r="C4" s="345" t="s">
        <v>280</v>
      </c>
      <c r="D4" s="346">
        <f>'Initial Inputs'!C45</f>
        <v>0.18</v>
      </c>
      <c r="G4" s="381" t="s">
        <v>413</v>
      </c>
      <c r="H4" s="382">
        <f>R70</f>
        <v>0.40549033935008683</v>
      </c>
      <c r="I4" s="373">
        <f t="shared" ref="I4:I13" si="0">IF(H4="NMF","NMF",(H4-$H$8)/$H$8)</f>
        <v>0</v>
      </c>
      <c r="J4" s="376">
        <f>NPV($D$7,E70:N70)+D70</f>
        <v>60173850.627423048</v>
      </c>
      <c r="K4" s="372">
        <f t="shared" ref="K4:K13" si="1">IF(J4="NMF","NMF",IF(ISNUMBER((J4-$J$8)/$J$8),(J4-$J$8)/$J$8,0))</f>
        <v>0</v>
      </c>
    </row>
    <row r="5" spans="1:11" ht="18" thickBot="1" x14ac:dyDescent="0.25">
      <c r="C5" s="347" t="s">
        <v>281</v>
      </c>
      <c r="D5" s="350">
        <f>'Initial Inputs'!A47</f>
        <v>0</v>
      </c>
      <c r="G5" s="381" t="s">
        <v>414</v>
      </c>
      <c r="H5" s="382">
        <f>R98</f>
        <v>0.40549033935008683</v>
      </c>
      <c r="I5" s="373">
        <f t="shared" si="0"/>
        <v>0</v>
      </c>
      <c r="J5" s="376">
        <f>NPV($D$7,E98:N98)+D98</f>
        <v>60173850.627423048</v>
      </c>
      <c r="K5" s="372">
        <f t="shared" si="1"/>
        <v>0</v>
      </c>
    </row>
    <row r="6" spans="1:11" ht="17" thickBot="1" x14ac:dyDescent="0.25">
      <c r="C6" s="336"/>
      <c r="D6" s="349"/>
      <c r="G6" s="381" t="s">
        <v>415</v>
      </c>
      <c r="H6" s="382">
        <f>R126</f>
        <v>0.40549033935008683</v>
      </c>
      <c r="I6" s="373">
        <f t="shared" si="0"/>
        <v>0</v>
      </c>
      <c r="J6" s="376">
        <f>NPV($D$7,E126:N126)+D126</f>
        <v>60173850.627423048</v>
      </c>
      <c r="K6" s="372">
        <f t="shared" si="1"/>
        <v>0</v>
      </c>
    </row>
    <row r="7" spans="1:11" ht="18" thickBot="1" x14ac:dyDescent="0.25">
      <c r="C7" s="351" t="s">
        <v>686</v>
      </c>
      <c r="D7" s="352">
        <f>'Initial Inputs'!C5</f>
        <v>0.16</v>
      </c>
      <c r="G7" s="381" t="s">
        <v>416</v>
      </c>
      <c r="H7" s="382">
        <f>R154</f>
        <v>0.40549033935008683</v>
      </c>
      <c r="I7" s="373">
        <f t="shared" si="0"/>
        <v>0</v>
      </c>
      <c r="J7" s="376">
        <f>NPV($D$7,E154:N154)+D154</f>
        <v>60173850.627423048</v>
      </c>
      <c r="K7" s="372">
        <f t="shared" si="1"/>
        <v>0</v>
      </c>
    </row>
    <row r="8" spans="1:11" ht="17" thickBot="1" x14ac:dyDescent="0.25">
      <c r="C8" s="336"/>
      <c r="D8" s="349"/>
      <c r="G8" s="381" t="s">
        <v>653</v>
      </c>
      <c r="H8" s="382">
        <f>R182</f>
        <v>0.40549033935008683</v>
      </c>
      <c r="I8" s="373">
        <f t="shared" si="0"/>
        <v>0</v>
      </c>
      <c r="J8" s="376">
        <f>NPV($D$7,E182:N182)+D182</f>
        <v>60173850.627423048</v>
      </c>
      <c r="K8" s="372">
        <f t="shared" si="1"/>
        <v>0</v>
      </c>
    </row>
    <row r="9" spans="1:11" ht="17" thickBot="1" x14ac:dyDescent="0.25">
      <c r="C9" s="336"/>
      <c r="D9" s="349"/>
      <c r="G9" s="381" t="s">
        <v>418</v>
      </c>
      <c r="H9" s="382">
        <f>R213</f>
        <v>0.40549033935008683</v>
      </c>
      <c r="I9" s="373">
        <f t="shared" si="0"/>
        <v>0</v>
      </c>
      <c r="J9" s="376">
        <f>NPV($D$7,E213:N213)+D213</f>
        <v>60173850.627423048</v>
      </c>
      <c r="K9" s="372">
        <f t="shared" si="1"/>
        <v>0</v>
      </c>
    </row>
    <row r="10" spans="1:11" ht="17" thickBot="1" x14ac:dyDescent="0.25">
      <c r="C10" s="336"/>
      <c r="D10" s="349"/>
      <c r="G10" s="381" t="s">
        <v>419</v>
      </c>
      <c r="H10" s="382">
        <f>R241</f>
        <v>0.40549033935008683</v>
      </c>
      <c r="I10" s="373">
        <f t="shared" si="0"/>
        <v>0</v>
      </c>
      <c r="J10" s="376">
        <f>NPV($D$7,E241:N241)+D241</f>
        <v>60173850.627423048</v>
      </c>
      <c r="K10" s="372">
        <f t="shared" si="1"/>
        <v>0</v>
      </c>
    </row>
    <row r="11" spans="1:11" ht="17" thickBot="1" x14ac:dyDescent="0.25">
      <c r="C11" s="336"/>
      <c r="D11" s="349"/>
      <c r="G11" s="381" t="s">
        <v>420</v>
      </c>
      <c r="H11" s="382">
        <f>R269</f>
        <v>0.40549033935008683</v>
      </c>
      <c r="I11" s="373">
        <f t="shared" si="0"/>
        <v>0</v>
      </c>
      <c r="J11" s="376">
        <f>NPV($D$7,E269:N269)+D269</f>
        <v>60173850.627423048</v>
      </c>
      <c r="K11" s="372">
        <f t="shared" si="1"/>
        <v>0</v>
      </c>
    </row>
    <row r="12" spans="1:11" ht="17" thickBot="1" x14ac:dyDescent="0.25">
      <c r="C12" s="336"/>
      <c r="D12" s="342"/>
      <c r="G12" s="381" t="s">
        <v>421</v>
      </c>
      <c r="H12" s="382">
        <f>R297</f>
        <v>0.40549033935008683</v>
      </c>
      <c r="I12" s="373">
        <f t="shared" si="0"/>
        <v>0</v>
      </c>
      <c r="J12" s="376">
        <f>NPV($D$7,E297:N297)+D297</f>
        <v>60173850.627423048</v>
      </c>
      <c r="K12" s="372">
        <f t="shared" si="1"/>
        <v>0</v>
      </c>
    </row>
    <row r="13" spans="1:11" ht="17" thickBot="1" x14ac:dyDescent="0.25">
      <c r="C13" s="336"/>
      <c r="D13" s="342"/>
      <c r="G13" s="384" t="s">
        <v>422</v>
      </c>
      <c r="H13" s="385">
        <f>R325</f>
        <v>0.40549033935008683</v>
      </c>
      <c r="I13" s="374">
        <f t="shared" si="0"/>
        <v>0</v>
      </c>
      <c r="J13" s="377">
        <f>NPV($D$7,E325:N325)+D325</f>
        <v>60173850.627423048</v>
      </c>
      <c r="K13" s="372">
        <f t="shared" si="1"/>
        <v>0</v>
      </c>
    </row>
    <row r="14" spans="1:11" ht="16" x14ac:dyDescent="0.2">
      <c r="C14" s="336"/>
      <c r="D14" s="342"/>
      <c r="G14" t="s">
        <v>424</v>
      </c>
    </row>
    <row r="15" spans="1:11" ht="16" x14ac:dyDescent="0.2">
      <c r="B15" s="48" t="s">
        <v>718</v>
      </c>
      <c r="G15" s="90"/>
    </row>
    <row r="16" spans="1:11" ht="14" thickBot="1" x14ac:dyDescent="0.2"/>
    <row r="17" spans="1:17" ht="14" thickBot="1" x14ac:dyDescent="0.2">
      <c r="B17" s="323" t="str">
        <f>'After Tax Analysis'!B7</f>
        <v>Line/Source</v>
      </c>
      <c r="C17" s="324" t="str">
        <f>'After Tax Analysis'!C7</f>
        <v>Description</v>
      </c>
      <c r="D17" s="324"/>
      <c r="E17" s="324">
        <f>'After Tax Analysis'!E7</f>
        <v>1</v>
      </c>
      <c r="F17" s="324">
        <f>'After Tax Analysis'!F7</f>
        <v>2</v>
      </c>
      <c r="G17" s="324">
        <f>'After Tax Analysis'!G7</f>
        <v>3</v>
      </c>
      <c r="H17" s="324">
        <f>'After Tax Analysis'!H7</f>
        <v>4</v>
      </c>
      <c r="I17" s="324">
        <f>'After Tax Analysis'!I7</f>
        <v>5</v>
      </c>
      <c r="J17" s="324">
        <f>'After Tax Analysis'!J7</f>
        <v>6</v>
      </c>
      <c r="K17" s="324">
        <f>'After Tax Analysis'!K7</f>
        <v>7</v>
      </c>
      <c r="L17" s="324">
        <f>'After Tax Analysis'!L7</f>
        <v>8</v>
      </c>
      <c r="M17" s="324">
        <f>'After Tax Analysis'!M7</f>
        <v>9</v>
      </c>
      <c r="N17" s="324">
        <f>'After Tax Analysis'!N7</f>
        <v>10</v>
      </c>
      <c r="O17" s="324" t="str">
        <f>'After Tax Analysis'!O7</f>
        <v>10A</v>
      </c>
      <c r="P17" s="320" t="str">
        <f>'After Tax Analysis'!P7</f>
        <v>TOTAL</v>
      </c>
      <c r="Q17" s="22"/>
    </row>
    <row r="18" spans="1:17" x14ac:dyDescent="0.15">
      <c r="B18" s="339" t="s">
        <v>687</v>
      </c>
      <c r="C18" s="302" t="str">
        <f>'After Tax Analysis'!C8</f>
        <v>Operating Revenue</v>
      </c>
      <c r="D18" s="322">
        <f>D158</f>
        <v>0</v>
      </c>
      <c r="E18" s="322">
        <f>E158</f>
        <v>300000000</v>
      </c>
      <c r="F18" s="322">
        <f t="shared" ref="F18:N18" si="2">F158</f>
        <v>313500000.00000006</v>
      </c>
      <c r="G18" s="322">
        <f t="shared" si="2"/>
        <v>327607500.00000006</v>
      </c>
      <c r="H18" s="322">
        <f t="shared" si="2"/>
        <v>342349837.50000012</v>
      </c>
      <c r="I18" s="322">
        <f t="shared" si="2"/>
        <v>357755580.18750012</v>
      </c>
      <c r="J18" s="322">
        <f t="shared" si="2"/>
        <v>0</v>
      </c>
      <c r="K18" s="322">
        <f t="shared" si="2"/>
        <v>0</v>
      </c>
      <c r="L18" s="322">
        <f t="shared" si="2"/>
        <v>0</v>
      </c>
      <c r="M18" s="322">
        <f t="shared" si="2"/>
        <v>0</v>
      </c>
      <c r="N18" s="322">
        <f t="shared" si="2"/>
        <v>0</v>
      </c>
      <c r="O18" s="322">
        <f>'After Tax Analysis'!O8</f>
        <v>0</v>
      </c>
      <c r="P18" s="325">
        <f>SUM(E18:N18)</f>
        <v>1641212917.6875</v>
      </c>
      <c r="Q18" s="2"/>
    </row>
    <row r="19" spans="1:17" x14ac:dyDescent="0.15">
      <c r="A19" s="1" t="s">
        <v>688</v>
      </c>
      <c r="B19" s="340" t="s">
        <v>689</v>
      </c>
      <c r="C19" s="354" t="s">
        <v>689</v>
      </c>
      <c r="D19" s="67">
        <f>D159</f>
        <v>0</v>
      </c>
      <c r="E19" s="67">
        <f>E159</f>
        <v>300000000</v>
      </c>
      <c r="F19" s="67">
        <f t="shared" ref="F19:N19" si="3">F159</f>
        <v>313500000.00000006</v>
      </c>
      <c r="G19" s="67">
        <f t="shared" si="3"/>
        <v>327607500.00000006</v>
      </c>
      <c r="H19" s="67">
        <f t="shared" si="3"/>
        <v>342349837.50000012</v>
      </c>
      <c r="I19" s="67">
        <f t="shared" si="3"/>
        <v>357755580.18750012</v>
      </c>
      <c r="J19" s="67">
        <f t="shared" si="3"/>
        <v>0</v>
      </c>
      <c r="K19" s="67">
        <f t="shared" si="3"/>
        <v>0</v>
      </c>
      <c r="L19" s="67">
        <f t="shared" si="3"/>
        <v>0</v>
      </c>
      <c r="M19" s="67">
        <f t="shared" si="3"/>
        <v>0</v>
      </c>
      <c r="N19" s="67">
        <f t="shared" si="3"/>
        <v>0</v>
      </c>
      <c r="O19" s="67"/>
      <c r="P19" s="326">
        <f>SUM(E19:N19)</f>
        <v>1641212917.6875</v>
      </c>
      <c r="Q19" s="2"/>
    </row>
    <row r="20" spans="1:17" x14ac:dyDescent="0.15">
      <c r="B20" s="355" t="s">
        <v>690</v>
      </c>
      <c r="C20" s="362" t="s">
        <v>690</v>
      </c>
      <c r="D20" s="331">
        <f t="shared" ref="D20:D33" si="4">D160</f>
        <v>0</v>
      </c>
      <c r="E20" s="331">
        <f>Revenues!D14*Revenues!D15*0.75</f>
        <v>0</v>
      </c>
      <c r="F20" s="331">
        <f>Revenues!E14*Revenues!E15*0.75</f>
        <v>0</v>
      </c>
      <c r="G20" s="331">
        <f>Revenues!F14*Revenues!F15*0.75</f>
        <v>0</v>
      </c>
      <c r="H20" s="331">
        <f>Revenues!G14*Revenues!G15*0.75</f>
        <v>0</v>
      </c>
      <c r="I20" s="331">
        <f>Revenues!H14*Revenues!H15*0.75</f>
        <v>0</v>
      </c>
      <c r="J20" s="331">
        <f>Revenues!I14*Revenues!I15*0.75</f>
        <v>0</v>
      </c>
      <c r="K20" s="331">
        <f>Revenues!J14*Revenues!J15*0.75</f>
        <v>0</v>
      </c>
      <c r="L20" s="331">
        <f>Revenues!K14*Revenues!K15*0.75</f>
        <v>0</v>
      </c>
      <c r="M20" s="331">
        <f>Revenues!L14*Revenues!L15*0.75</f>
        <v>0</v>
      </c>
      <c r="N20" s="331">
        <f>Revenues!M14*Revenues!M15*0.75</f>
        <v>0</v>
      </c>
      <c r="O20" s="331"/>
      <c r="P20" s="356">
        <f>SUM(E20:N20)</f>
        <v>0</v>
      </c>
      <c r="Q20" s="460"/>
    </row>
    <row r="21" spans="1:17" x14ac:dyDescent="0.15">
      <c r="B21" s="340" t="s">
        <v>691</v>
      </c>
      <c r="C21" s="354" t="s">
        <v>691</v>
      </c>
      <c r="D21" s="67">
        <f t="shared" si="4"/>
        <v>0</v>
      </c>
      <c r="E21" s="67">
        <f>E161</f>
        <v>0</v>
      </c>
      <c r="F21" s="67">
        <f t="shared" ref="F21:N21" si="5">F161</f>
        <v>0</v>
      </c>
      <c r="G21" s="67">
        <f t="shared" si="5"/>
        <v>0</v>
      </c>
      <c r="H21" s="67">
        <f t="shared" si="5"/>
        <v>0</v>
      </c>
      <c r="I21" s="67">
        <f t="shared" si="5"/>
        <v>0</v>
      </c>
      <c r="J21" s="67">
        <f t="shared" si="5"/>
        <v>0</v>
      </c>
      <c r="K21" s="67">
        <f t="shared" si="5"/>
        <v>0</v>
      </c>
      <c r="L21" s="67">
        <f t="shared" si="5"/>
        <v>0</v>
      </c>
      <c r="M21" s="67">
        <f t="shared" si="5"/>
        <v>0</v>
      </c>
      <c r="N21" s="67">
        <f t="shared" si="5"/>
        <v>0</v>
      </c>
      <c r="O21" s="67"/>
      <c r="P21" s="326">
        <f>SUM(E21:N21)</f>
        <v>0</v>
      </c>
      <c r="Q21" s="2"/>
    </row>
    <row r="22" spans="1:17" x14ac:dyDescent="0.15">
      <c r="B22" s="340" t="s">
        <v>692</v>
      </c>
      <c r="C22" s="354" t="s">
        <v>692</v>
      </c>
      <c r="D22" s="67">
        <f t="shared" si="4"/>
        <v>0</v>
      </c>
      <c r="E22" s="67">
        <f>E21+E20+E19</f>
        <v>300000000</v>
      </c>
      <c r="F22" s="67">
        <f t="shared" ref="F22:N22" si="6">F21+F20+F19</f>
        <v>313500000.00000006</v>
      </c>
      <c r="G22" s="67">
        <f t="shared" si="6"/>
        <v>327607500.00000006</v>
      </c>
      <c r="H22" s="67">
        <f t="shared" si="6"/>
        <v>342349837.50000012</v>
      </c>
      <c r="I22" s="67">
        <f t="shared" si="6"/>
        <v>357755580.18750012</v>
      </c>
      <c r="J22" s="67">
        <f t="shared" si="6"/>
        <v>0</v>
      </c>
      <c r="K22" s="67">
        <f t="shared" si="6"/>
        <v>0</v>
      </c>
      <c r="L22" s="67">
        <f t="shared" si="6"/>
        <v>0</v>
      </c>
      <c r="M22" s="67">
        <f t="shared" si="6"/>
        <v>0</v>
      </c>
      <c r="N22" s="67">
        <f t="shared" si="6"/>
        <v>0</v>
      </c>
      <c r="O22" s="67"/>
      <c r="P22" s="326">
        <f t="shared" ref="P22:P42" si="7">SUM(E22:N22)</f>
        <v>1641212917.6875</v>
      </c>
      <c r="Q22" s="2"/>
    </row>
    <row r="23" spans="1:17" x14ac:dyDescent="0.15">
      <c r="B23" s="340" t="str">
        <f>'After Tax Analysis'!B9</f>
        <v>2 / "Expenses"</v>
      </c>
      <c r="C23" s="12" t="str">
        <f>'After Tax Analysis'!C9</f>
        <v>Cash Expenses (Not including depreciation)</v>
      </c>
      <c r="D23" s="67">
        <f t="shared" si="4"/>
        <v>0</v>
      </c>
      <c r="E23" s="67">
        <f>Expenses!D18+(Expenses!D25*0.75)+Expenses!D32+Expenses!D39+(Expenses!D44*0.75)+Expenses!D49+Expenses!D56+Expenses!D95-Expenses!D77</f>
        <v>230170000</v>
      </c>
      <c r="F23" s="67">
        <f>Expenses!E18+(Expenses!E25*0.75)+Expenses!E32+Expenses!E39+(Expenses!E44*0.75)+Expenses!E49+Expenses!E56+Expenses!E95-Expenses!E77</f>
        <v>253018375.00000003</v>
      </c>
      <c r="G23" s="67">
        <f>Expenses!F18+(Expenses!F25*0.75)+Expenses!F32+Expenses!F39+(Expenses!F44*0.75)+Expenses!F49+Expenses!F56+Expenses!F95-Expenses!F77</f>
        <v>278725718.45125008</v>
      </c>
      <c r="H23" s="67">
        <f>Expenses!G18+(Expenses!G25*0.75)+Expenses!G32+Expenses!G39+(Expenses!G44*0.75)+Expenses!G49+Expenses!G56+Expenses!G95-Expenses!G77</f>
        <v>307665975.06072807</v>
      </c>
      <c r="I23" s="67">
        <f>Expenses!H18+(Expenses!H25*0.75)+Expenses!H32+Expenses!H39+(Expenses!H44*0.75)+Expenses!H49+Expenses!H56+Expenses!H95-Expenses!H77</f>
        <v>340262566.36057305</v>
      </c>
      <c r="J23" s="67">
        <f>Expenses!I18+(Expenses!I25*0.75)+Expenses!I32+Expenses!I39+(Expenses!I44*0.75)+Expenses!I49+Expenses!I56+Expenses!I95-Expenses!I77</f>
        <v>0</v>
      </c>
      <c r="K23" s="67">
        <f>Expenses!J18+(Expenses!J25*0.75)+Expenses!J32+Expenses!J39+(Expenses!J44*0.75)+Expenses!J49+Expenses!J56+Expenses!J95-Expenses!J77</f>
        <v>0</v>
      </c>
      <c r="L23" s="67">
        <f>Expenses!K18+(Expenses!K25*0.75)+Expenses!K32+Expenses!K39+(Expenses!K44*0.75)+Expenses!K49+Expenses!K56+Expenses!K95-Expenses!K77</f>
        <v>0</v>
      </c>
      <c r="M23" s="67">
        <f>Expenses!L18+(Expenses!L25*0.75)+Expenses!L32+Expenses!L39+(Expenses!L44*0.75)+Expenses!L49+Expenses!L56+Expenses!L95-Expenses!L77</f>
        <v>0</v>
      </c>
      <c r="N23" s="67">
        <f>Expenses!M18+(Expenses!M25*0.75)+Expenses!M32+Expenses!M39+(Expenses!M44*0.75)+Expenses!M49+Expenses!M56+Expenses!M95-Expenses!M77</f>
        <v>0</v>
      </c>
      <c r="O23" s="67">
        <f>'After Tax Analysis'!O9</f>
        <v>0</v>
      </c>
      <c r="P23" s="326">
        <f t="shared" si="7"/>
        <v>1409842634.8725512</v>
      </c>
      <c r="Q23" s="2"/>
    </row>
    <row r="24" spans="1:17" x14ac:dyDescent="0.15">
      <c r="B24" s="340">
        <f>'After Tax Analysis'!B10</f>
        <v>3</v>
      </c>
      <c r="C24" s="12" t="str">
        <f>'After Tax Analysis'!C10</f>
        <v>Oper. Income (1-2)</v>
      </c>
      <c r="D24" s="67">
        <f t="shared" si="4"/>
        <v>0</v>
      </c>
      <c r="E24" s="67">
        <f>E22-E23</f>
        <v>69830000</v>
      </c>
      <c r="F24" s="67">
        <f t="shared" ref="F24:N24" si="8">F22-F23</f>
        <v>60481625.00000003</v>
      </c>
      <c r="G24" s="67">
        <f t="shared" si="8"/>
        <v>48881781.548749983</v>
      </c>
      <c r="H24" s="67">
        <f t="shared" si="8"/>
        <v>34683862.439272046</v>
      </c>
      <c r="I24" s="67">
        <f t="shared" si="8"/>
        <v>17493013.826927066</v>
      </c>
      <c r="J24" s="67">
        <f t="shared" si="8"/>
        <v>0</v>
      </c>
      <c r="K24" s="67">
        <f t="shared" si="8"/>
        <v>0</v>
      </c>
      <c r="L24" s="67">
        <f t="shared" si="8"/>
        <v>0</v>
      </c>
      <c r="M24" s="67">
        <f t="shared" si="8"/>
        <v>0</v>
      </c>
      <c r="N24" s="67">
        <f t="shared" si="8"/>
        <v>0</v>
      </c>
      <c r="O24" s="67">
        <f>'After Tax Analysis'!O10</f>
        <v>0</v>
      </c>
      <c r="P24" s="326">
        <f t="shared" si="7"/>
        <v>231370282.81494913</v>
      </c>
      <c r="Q24" s="2"/>
    </row>
    <row r="25" spans="1:17" x14ac:dyDescent="0.15">
      <c r="B25" s="340" t="str">
        <f>'After Tax Analysis'!B11</f>
        <v>4 / "Expenses"</v>
      </c>
      <c r="C25" s="12" t="str">
        <f>'After Tax Analysis'!C11</f>
        <v>Depreciation</v>
      </c>
      <c r="D25" s="67">
        <f t="shared" si="4"/>
        <v>0</v>
      </c>
      <c r="E25" s="67">
        <f>E165</f>
        <v>3772500</v>
      </c>
      <c r="F25" s="67">
        <f t="shared" ref="F25:N25" si="9">F165</f>
        <v>6218850</v>
      </c>
      <c r="G25" s="67">
        <f t="shared" si="9"/>
        <v>4083150</v>
      </c>
      <c r="H25" s="67">
        <f t="shared" si="9"/>
        <v>2775510</v>
      </c>
      <c r="I25" s="67">
        <f t="shared" si="9"/>
        <v>1352955</v>
      </c>
      <c r="J25" s="67">
        <f t="shared" si="9"/>
        <v>0</v>
      </c>
      <c r="K25" s="67">
        <f t="shared" si="9"/>
        <v>0</v>
      </c>
      <c r="L25" s="67">
        <f t="shared" si="9"/>
        <v>0</v>
      </c>
      <c r="M25" s="67">
        <f t="shared" si="9"/>
        <v>0</v>
      </c>
      <c r="N25" s="67">
        <f t="shared" si="9"/>
        <v>0</v>
      </c>
      <c r="O25" s="67">
        <f>'After Tax Analysis'!O11</f>
        <v>0</v>
      </c>
      <c r="P25" s="326">
        <f t="shared" si="7"/>
        <v>18202965</v>
      </c>
      <c r="Q25" s="2"/>
    </row>
    <row r="26" spans="1:17" x14ac:dyDescent="0.15">
      <c r="B26" s="340">
        <f>'After Tax Analysis'!B12</f>
        <v>5</v>
      </c>
      <c r="C26" s="12" t="str">
        <f>'After Tax Analysis'!C12</f>
        <v>Oper. Income (3-4)</v>
      </c>
      <c r="D26" s="67">
        <f t="shared" si="4"/>
        <v>0</v>
      </c>
      <c r="E26" s="67">
        <f>E24-E25</f>
        <v>66057500</v>
      </c>
      <c r="F26" s="67">
        <f t="shared" ref="F26:N26" si="10">F24-F25</f>
        <v>54262775.00000003</v>
      </c>
      <c r="G26" s="67">
        <f t="shared" si="10"/>
        <v>44798631.548749983</v>
      </c>
      <c r="H26" s="67">
        <f t="shared" si="10"/>
        <v>31908352.439272046</v>
      </c>
      <c r="I26" s="67">
        <f t="shared" si="10"/>
        <v>16140058.826927066</v>
      </c>
      <c r="J26" s="67">
        <f t="shared" si="10"/>
        <v>0</v>
      </c>
      <c r="K26" s="67">
        <f t="shared" si="10"/>
        <v>0</v>
      </c>
      <c r="L26" s="67">
        <f t="shared" si="10"/>
        <v>0</v>
      </c>
      <c r="M26" s="67">
        <f t="shared" si="10"/>
        <v>0</v>
      </c>
      <c r="N26" s="67">
        <f t="shared" si="10"/>
        <v>0</v>
      </c>
      <c r="O26" s="67">
        <f>'After Tax Analysis'!O12</f>
        <v>0</v>
      </c>
      <c r="P26" s="326">
        <f t="shared" si="7"/>
        <v>213167317.81494913</v>
      </c>
      <c r="Q26" s="2"/>
    </row>
    <row r="27" spans="1:17" x14ac:dyDescent="0.15">
      <c r="B27" s="340" t="str">
        <f>'After Tax Analysis'!B13</f>
        <v>6 / "Loan Amortization"</v>
      </c>
      <c r="C27" s="12" t="str">
        <f>'After Tax Analysis'!C13</f>
        <v>Interest expense</v>
      </c>
      <c r="D27" s="67">
        <f t="shared" si="4"/>
        <v>0</v>
      </c>
      <c r="E27" s="67">
        <f>E167</f>
        <v>0</v>
      </c>
      <c r="F27" s="67">
        <f t="shared" ref="F27:N27" si="11">F167</f>
        <v>0</v>
      </c>
      <c r="G27" s="67">
        <f t="shared" si="11"/>
        <v>0</v>
      </c>
      <c r="H27" s="67">
        <f t="shared" si="11"/>
        <v>0</v>
      </c>
      <c r="I27" s="67">
        <f t="shared" si="11"/>
        <v>0</v>
      </c>
      <c r="J27" s="67">
        <f t="shared" si="11"/>
        <v>0</v>
      </c>
      <c r="K27" s="67">
        <f t="shared" si="11"/>
        <v>0</v>
      </c>
      <c r="L27" s="67">
        <f t="shared" si="11"/>
        <v>0</v>
      </c>
      <c r="M27" s="67">
        <f t="shared" si="11"/>
        <v>0</v>
      </c>
      <c r="N27" s="67">
        <f t="shared" si="11"/>
        <v>0</v>
      </c>
      <c r="O27" s="67">
        <f>'After Tax Analysis'!O13</f>
        <v>0</v>
      </c>
      <c r="P27" s="326">
        <f t="shared" si="7"/>
        <v>0</v>
      </c>
      <c r="Q27" s="2"/>
    </row>
    <row r="28" spans="1:17" x14ac:dyDescent="0.15">
      <c r="B28" s="340">
        <f>'After Tax Analysis'!B14</f>
        <v>7</v>
      </c>
      <c r="C28" s="12" t="str">
        <f>'After Tax Analysis'!C14</f>
        <v>Pretax Net Income (5-6)</v>
      </c>
      <c r="D28" s="67">
        <f t="shared" si="4"/>
        <v>0</v>
      </c>
      <c r="E28" s="67">
        <f>E26-E27</f>
        <v>66057500</v>
      </c>
      <c r="F28" s="67">
        <f t="shared" ref="F28:N28" si="12">F26-F27</f>
        <v>54262775.00000003</v>
      </c>
      <c r="G28" s="67">
        <f t="shared" si="12"/>
        <v>44798631.548749983</v>
      </c>
      <c r="H28" s="67">
        <f t="shared" si="12"/>
        <v>31908352.439272046</v>
      </c>
      <c r="I28" s="67">
        <f t="shared" si="12"/>
        <v>16140058.826927066</v>
      </c>
      <c r="J28" s="67">
        <f t="shared" si="12"/>
        <v>0</v>
      </c>
      <c r="K28" s="67">
        <f t="shared" si="12"/>
        <v>0</v>
      </c>
      <c r="L28" s="67">
        <f t="shared" si="12"/>
        <v>0</v>
      </c>
      <c r="M28" s="67">
        <f t="shared" si="12"/>
        <v>0</v>
      </c>
      <c r="N28" s="67">
        <f t="shared" si="12"/>
        <v>0</v>
      </c>
      <c r="O28" s="67">
        <f>'After Tax Analysis'!O14</f>
        <v>0</v>
      </c>
      <c r="P28" s="326">
        <f t="shared" si="7"/>
        <v>213167317.81494913</v>
      </c>
      <c r="Q28" s="2"/>
    </row>
    <row r="29" spans="1:17" x14ac:dyDescent="0.15">
      <c r="B29" s="340">
        <f>'After Tax Analysis'!B15</f>
        <v>8</v>
      </c>
      <c r="C29" s="12" t="str">
        <f>'After Tax Analysis'!C15</f>
        <v>Income taxes (at rate above)</v>
      </c>
      <c r="D29" s="67">
        <f t="shared" si="4"/>
        <v>0</v>
      </c>
      <c r="E29" s="67">
        <f>-E28*$D$3</f>
        <v>-19817250</v>
      </c>
      <c r="F29" s="67">
        <f t="shared" ref="F29:N29" si="13">-F28*$D$3</f>
        <v>-16278832.500000007</v>
      </c>
      <c r="G29" s="67">
        <f t="shared" si="13"/>
        <v>-13439589.464624995</v>
      </c>
      <c r="H29" s="67">
        <f t="shared" si="13"/>
        <v>-9572505.7317816131</v>
      </c>
      <c r="I29" s="67">
        <f t="shared" si="13"/>
        <v>-4842017.6480781194</v>
      </c>
      <c r="J29" s="67">
        <f t="shared" si="13"/>
        <v>0</v>
      </c>
      <c r="K29" s="67">
        <f t="shared" si="13"/>
        <v>0</v>
      </c>
      <c r="L29" s="67">
        <f t="shared" si="13"/>
        <v>0</v>
      </c>
      <c r="M29" s="67">
        <f t="shared" si="13"/>
        <v>0</v>
      </c>
      <c r="N29" s="67">
        <f t="shared" si="13"/>
        <v>0</v>
      </c>
      <c r="O29" s="67">
        <f>'After Tax Analysis'!O15</f>
        <v>0</v>
      </c>
      <c r="P29" s="326">
        <f t="shared" si="7"/>
        <v>-63950195.344484739</v>
      </c>
      <c r="Q29" s="2"/>
    </row>
    <row r="30" spans="1:17" x14ac:dyDescent="0.15">
      <c r="B30" s="340">
        <f>'After Tax Analysis'!B16</f>
        <v>9</v>
      </c>
      <c r="C30" s="12" t="str">
        <f>'After Tax Analysis'!C16</f>
        <v>Investment Tax Credit For Year 1 (at rate above)</v>
      </c>
      <c r="D30" s="67">
        <f t="shared" si="4"/>
        <v>0</v>
      </c>
      <c r="E30" s="67">
        <f>E170</f>
        <v>0</v>
      </c>
      <c r="F30" s="67">
        <f t="shared" ref="F30:N30" si="14">F170</f>
        <v>0</v>
      </c>
      <c r="G30" s="67">
        <f t="shared" si="14"/>
        <v>0</v>
      </c>
      <c r="H30" s="67">
        <f t="shared" si="14"/>
        <v>0</v>
      </c>
      <c r="I30" s="67">
        <f t="shared" si="14"/>
        <v>0</v>
      </c>
      <c r="J30" s="67">
        <f t="shared" si="14"/>
        <v>0</v>
      </c>
      <c r="K30" s="67">
        <f t="shared" si="14"/>
        <v>0</v>
      </c>
      <c r="L30" s="67">
        <f t="shared" si="14"/>
        <v>0</v>
      </c>
      <c r="M30" s="67">
        <f t="shared" si="14"/>
        <v>0</v>
      </c>
      <c r="N30" s="67">
        <f t="shared" si="14"/>
        <v>0</v>
      </c>
      <c r="O30" s="67">
        <f>'After Tax Analysis'!O16</f>
        <v>0</v>
      </c>
      <c r="P30" s="326">
        <f t="shared" si="7"/>
        <v>0</v>
      </c>
      <c r="Q30" s="2"/>
    </row>
    <row r="31" spans="1:17" x14ac:dyDescent="0.15">
      <c r="B31" s="340">
        <f>'After Tax Analysis'!B17</f>
        <v>10</v>
      </c>
      <c r="C31" s="12" t="str">
        <f>'After Tax Analysis'!C17</f>
        <v>Net Income AT (7-8+9)</v>
      </c>
      <c r="D31" s="67">
        <f t="shared" si="4"/>
        <v>0</v>
      </c>
      <c r="E31" s="67">
        <f>E28+E29+E30</f>
        <v>46240250</v>
      </c>
      <c r="F31" s="67">
        <f t="shared" ref="F31:N31" si="15">F28+F29+F30</f>
        <v>37983942.500000022</v>
      </c>
      <c r="G31" s="67">
        <f t="shared" si="15"/>
        <v>31359042.08412499</v>
      </c>
      <c r="H31" s="67">
        <f t="shared" si="15"/>
        <v>22335846.707490433</v>
      </c>
      <c r="I31" s="67">
        <f t="shared" si="15"/>
        <v>11298041.178848946</v>
      </c>
      <c r="J31" s="67">
        <f t="shared" si="15"/>
        <v>0</v>
      </c>
      <c r="K31" s="67">
        <f t="shared" si="15"/>
        <v>0</v>
      </c>
      <c r="L31" s="67">
        <f t="shared" si="15"/>
        <v>0</v>
      </c>
      <c r="M31" s="67">
        <f t="shared" si="15"/>
        <v>0</v>
      </c>
      <c r="N31" s="67">
        <f t="shared" si="15"/>
        <v>0</v>
      </c>
      <c r="O31" s="67">
        <f>'After Tax Analysis'!O17</f>
        <v>0</v>
      </c>
      <c r="P31" s="326">
        <f t="shared" si="7"/>
        <v>149217122.47046441</v>
      </c>
      <c r="Q31" s="2"/>
    </row>
    <row r="32" spans="1:17" x14ac:dyDescent="0.15">
      <c r="B32" s="340" t="str">
        <f>'After Tax Analysis'!B18</f>
        <v>11 / "Expenses"</v>
      </c>
      <c r="C32" s="12" t="str">
        <f>'After Tax Analysis'!C18</f>
        <v>Depreciation</v>
      </c>
      <c r="D32" s="67">
        <f t="shared" si="4"/>
        <v>0</v>
      </c>
      <c r="E32" s="67">
        <f>E172</f>
        <v>3772500</v>
      </c>
      <c r="F32" s="67">
        <f t="shared" ref="F32:N32" si="16">F172</f>
        <v>6218850</v>
      </c>
      <c r="G32" s="67">
        <f t="shared" si="16"/>
        <v>4083150</v>
      </c>
      <c r="H32" s="67">
        <f t="shared" si="16"/>
        <v>2775510</v>
      </c>
      <c r="I32" s="67">
        <f t="shared" si="16"/>
        <v>1352955</v>
      </c>
      <c r="J32" s="67">
        <f t="shared" si="16"/>
        <v>0</v>
      </c>
      <c r="K32" s="67">
        <f t="shared" si="16"/>
        <v>0</v>
      </c>
      <c r="L32" s="67">
        <f t="shared" si="16"/>
        <v>0</v>
      </c>
      <c r="M32" s="67">
        <f t="shared" si="16"/>
        <v>0</v>
      </c>
      <c r="N32" s="67">
        <f t="shared" si="16"/>
        <v>0</v>
      </c>
      <c r="O32" s="67">
        <f>'After Tax Analysis'!O18</f>
        <v>0</v>
      </c>
      <c r="P32" s="326">
        <f t="shared" si="7"/>
        <v>18202965</v>
      </c>
      <c r="Q32" s="2"/>
    </row>
    <row r="33" spans="1:20" x14ac:dyDescent="0.15">
      <c r="B33" s="340">
        <f>'After Tax Analysis'!B19</f>
        <v>12</v>
      </c>
      <c r="C33" s="12" t="str">
        <f>'After Tax Analysis'!C19</f>
        <v>Net C.F. from Oper.(10+11)</v>
      </c>
      <c r="D33" s="67">
        <f t="shared" si="4"/>
        <v>0</v>
      </c>
      <c r="E33" s="67">
        <f>E31+E32</f>
        <v>50012750</v>
      </c>
      <c r="F33" s="67">
        <f t="shared" ref="F33:N33" si="17">F31+F32</f>
        <v>44202792.500000022</v>
      </c>
      <c r="G33" s="67">
        <f t="shared" si="17"/>
        <v>35442192.08412499</v>
      </c>
      <c r="H33" s="67">
        <f t="shared" si="17"/>
        <v>25111356.707490433</v>
      </c>
      <c r="I33" s="67">
        <f t="shared" si="17"/>
        <v>12650996.178848946</v>
      </c>
      <c r="J33" s="67">
        <f t="shared" si="17"/>
        <v>0</v>
      </c>
      <c r="K33" s="67">
        <f t="shared" si="17"/>
        <v>0</v>
      </c>
      <c r="L33" s="67">
        <f t="shared" si="17"/>
        <v>0</v>
      </c>
      <c r="M33" s="67">
        <f t="shared" si="17"/>
        <v>0</v>
      </c>
      <c r="N33" s="67">
        <f t="shared" si="17"/>
        <v>0</v>
      </c>
      <c r="O33" s="67">
        <f>'After Tax Analysis'!O19</f>
        <v>0</v>
      </c>
      <c r="P33" s="326">
        <f t="shared" si="7"/>
        <v>167420087.47046441</v>
      </c>
      <c r="Q33" s="2"/>
    </row>
    <row r="34" spans="1:20" x14ac:dyDescent="0.15">
      <c r="B34" s="340" t="str">
        <f>'After Tax Analysis'!B20</f>
        <v>13 / "Loan Amortization"</v>
      </c>
      <c r="C34" s="12" t="str">
        <f>'After Tax Analysis'!C20</f>
        <v>Principal Repayment</v>
      </c>
      <c r="D34" s="67">
        <v>0</v>
      </c>
      <c r="E34" s="67">
        <f t="shared" ref="E34:N34" si="18">E174</f>
        <v>0</v>
      </c>
      <c r="F34" s="67">
        <f t="shared" si="18"/>
        <v>0</v>
      </c>
      <c r="G34" s="67">
        <f t="shared" si="18"/>
        <v>0</v>
      </c>
      <c r="H34" s="67">
        <f t="shared" si="18"/>
        <v>0</v>
      </c>
      <c r="I34" s="67">
        <f t="shared" si="18"/>
        <v>0</v>
      </c>
      <c r="J34" s="67">
        <f t="shared" si="18"/>
        <v>0</v>
      </c>
      <c r="K34" s="67">
        <f t="shared" si="18"/>
        <v>0</v>
      </c>
      <c r="L34" s="67">
        <f t="shared" si="18"/>
        <v>0</v>
      </c>
      <c r="M34" s="67">
        <f t="shared" si="18"/>
        <v>0</v>
      </c>
      <c r="N34" s="67">
        <f t="shared" si="18"/>
        <v>0</v>
      </c>
      <c r="O34" s="67">
        <f>'After Tax Analysis'!O20</f>
        <v>0</v>
      </c>
      <c r="P34" s="326">
        <f t="shared" si="7"/>
        <v>0</v>
      </c>
      <c r="Q34" s="2"/>
    </row>
    <row r="35" spans="1:20" x14ac:dyDescent="0.15">
      <c r="B35" s="340">
        <f>'After Tax Analysis'!B21</f>
        <v>14</v>
      </c>
      <c r="C35" s="12" t="str">
        <f>'After Tax Analysis'!C21</f>
        <v>Equity Capital (14a+14b+14c)</v>
      </c>
      <c r="D35" s="67">
        <f t="shared" ref="D35:D41" si="19">D175</f>
        <v>-32550000</v>
      </c>
      <c r="E35" s="67">
        <f t="shared" ref="E35:N35" si="20">E175</f>
        <v>0</v>
      </c>
      <c r="F35" s="67">
        <f t="shared" si="20"/>
        <v>0</v>
      </c>
      <c r="G35" s="67">
        <f t="shared" si="20"/>
        <v>0</v>
      </c>
      <c r="H35" s="67">
        <f t="shared" si="20"/>
        <v>0</v>
      </c>
      <c r="I35" s="67">
        <f t="shared" si="20"/>
        <v>14347035</v>
      </c>
      <c r="J35" s="67">
        <f t="shared" si="20"/>
        <v>0</v>
      </c>
      <c r="K35" s="67">
        <f t="shared" si="20"/>
        <v>0</v>
      </c>
      <c r="L35" s="67">
        <f t="shared" si="20"/>
        <v>0</v>
      </c>
      <c r="M35" s="67">
        <f t="shared" si="20"/>
        <v>0</v>
      </c>
      <c r="N35" s="67">
        <f t="shared" si="20"/>
        <v>0</v>
      </c>
      <c r="O35" s="67">
        <f>'After Tax Analysis'!O21</f>
        <v>0</v>
      </c>
      <c r="P35" s="326">
        <f t="shared" si="7"/>
        <v>14347035</v>
      </c>
      <c r="Q35" s="2"/>
    </row>
    <row r="36" spans="1:20" x14ac:dyDescent="0.15">
      <c r="B36" s="340" t="str">
        <f>'After Tax Analysis'!B22</f>
        <v>14a / "Capital &amp; Depr"</v>
      </c>
      <c r="C36" s="12" t="str">
        <f>'After Tax Analysis'!C22</f>
        <v>Depreciable Capital</v>
      </c>
      <c r="D36" s="67">
        <f t="shared" si="19"/>
        <v>-31050000</v>
      </c>
      <c r="E36" s="67">
        <f t="shared" ref="E36:N36" si="21">E176</f>
        <v>0</v>
      </c>
      <c r="F36" s="67">
        <f t="shared" si="21"/>
        <v>0</v>
      </c>
      <c r="G36" s="67">
        <f t="shared" si="21"/>
        <v>0</v>
      </c>
      <c r="H36" s="67">
        <f t="shared" si="21"/>
        <v>0</v>
      </c>
      <c r="I36" s="67">
        <f t="shared" si="21"/>
        <v>12847035</v>
      </c>
      <c r="J36" s="67">
        <f t="shared" si="21"/>
        <v>0</v>
      </c>
      <c r="K36" s="67">
        <f t="shared" si="21"/>
        <v>0</v>
      </c>
      <c r="L36" s="67">
        <f t="shared" si="21"/>
        <v>0</v>
      </c>
      <c r="M36" s="67">
        <f t="shared" si="21"/>
        <v>0</v>
      </c>
      <c r="N36" s="67">
        <f t="shared" si="21"/>
        <v>0</v>
      </c>
      <c r="O36" s="67">
        <f>'After Tax Analysis'!O22</f>
        <v>0</v>
      </c>
      <c r="P36" s="326">
        <f t="shared" si="7"/>
        <v>12847035</v>
      </c>
      <c r="Q36" s="2"/>
    </row>
    <row r="37" spans="1:20" x14ac:dyDescent="0.15">
      <c r="B37" s="340" t="str">
        <f>'After Tax Analysis'!B23</f>
        <v>14b / "Capital &amp; Depr"</v>
      </c>
      <c r="C37" s="12" t="str">
        <f>'After Tax Analysis'!C23</f>
        <v>Non-depreciable capital</v>
      </c>
      <c r="D37" s="67">
        <f t="shared" si="19"/>
        <v>-1500000</v>
      </c>
      <c r="E37" s="67">
        <f t="shared" ref="E37:N37" si="22">E177</f>
        <v>0</v>
      </c>
      <c r="F37" s="67">
        <f t="shared" si="22"/>
        <v>0</v>
      </c>
      <c r="G37" s="67">
        <f t="shared" si="22"/>
        <v>0</v>
      </c>
      <c r="H37" s="67">
        <f t="shared" si="22"/>
        <v>0</v>
      </c>
      <c r="I37" s="67">
        <f t="shared" si="22"/>
        <v>1500000</v>
      </c>
      <c r="J37" s="67">
        <f t="shared" si="22"/>
        <v>0</v>
      </c>
      <c r="K37" s="67">
        <f t="shared" si="22"/>
        <v>0</v>
      </c>
      <c r="L37" s="67">
        <f t="shared" si="22"/>
        <v>0</v>
      </c>
      <c r="M37" s="67">
        <f t="shared" si="22"/>
        <v>0</v>
      </c>
      <c r="N37" s="67">
        <f t="shared" si="22"/>
        <v>0</v>
      </c>
      <c r="O37" s="67">
        <f>'After Tax Analysis'!O23</f>
        <v>0</v>
      </c>
      <c r="P37" s="326">
        <f t="shared" si="7"/>
        <v>1500000</v>
      </c>
      <c r="Q37" s="2"/>
    </row>
    <row r="38" spans="1:20" x14ac:dyDescent="0.15">
      <c r="B38" s="340" t="str">
        <f>'After Tax Analysis'!B24</f>
        <v>14c / "Capital &amp; Depr"</v>
      </c>
      <c r="C38" s="12" t="str">
        <f>'After Tax Analysis'!C24</f>
        <v>Loan Proceeds</v>
      </c>
      <c r="D38" s="67">
        <f t="shared" si="19"/>
        <v>0</v>
      </c>
      <c r="E38" s="67">
        <f t="shared" ref="E38:N38" si="23">E178</f>
        <v>0</v>
      </c>
      <c r="F38" s="67">
        <f t="shared" si="23"/>
        <v>0</v>
      </c>
      <c r="G38" s="67">
        <f t="shared" si="23"/>
        <v>0</v>
      </c>
      <c r="H38" s="67">
        <f t="shared" si="23"/>
        <v>0</v>
      </c>
      <c r="I38" s="67">
        <f t="shared" si="23"/>
        <v>0</v>
      </c>
      <c r="J38" s="67">
        <f t="shared" si="23"/>
        <v>0</v>
      </c>
      <c r="K38" s="67">
        <f t="shared" si="23"/>
        <v>0</v>
      </c>
      <c r="L38" s="67">
        <f t="shared" si="23"/>
        <v>0</v>
      </c>
      <c r="M38" s="67">
        <f t="shared" si="23"/>
        <v>0</v>
      </c>
      <c r="N38" s="67">
        <f t="shared" si="23"/>
        <v>0</v>
      </c>
      <c r="O38" s="67">
        <f>'After Tax Analysis'!O24</f>
        <v>0</v>
      </c>
      <c r="P38" s="326">
        <f t="shared" si="7"/>
        <v>0</v>
      </c>
      <c r="Q38" s="2"/>
    </row>
    <row r="39" spans="1:20" x14ac:dyDescent="0.15">
      <c r="B39" s="340" t="str">
        <f>'After Tax Analysis'!B25</f>
        <v>15 / "Capital Gains Wksht"</v>
      </c>
      <c r="C39" s="12" t="str">
        <f>'After Tax Analysis'!C25</f>
        <v>Capital Gains/Losses</v>
      </c>
      <c r="D39" s="67">
        <f t="shared" si="19"/>
        <v>0</v>
      </c>
      <c r="E39" s="67">
        <f t="shared" ref="E39:N39" si="24">E179</f>
        <v>0</v>
      </c>
      <c r="F39" s="67">
        <f t="shared" si="24"/>
        <v>0</v>
      </c>
      <c r="G39" s="67">
        <f t="shared" si="24"/>
        <v>0</v>
      </c>
      <c r="H39" s="67">
        <f t="shared" si="24"/>
        <v>0</v>
      </c>
      <c r="I39" s="67">
        <f t="shared" si="24"/>
        <v>-2596968.7000000002</v>
      </c>
      <c r="J39" s="67">
        <f t="shared" si="24"/>
        <v>0</v>
      </c>
      <c r="K39" s="67">
        <f t="shared" si="24"/>
        <v>0</v>
      </c>
      <c r="L39" s="67">
        <f t="shared" si="24"/>
        <v>0</v>
      </c>
      <c r="M39" s="67">
        <f t="shared" si="24"/>
        <v>0</v>
      </c>
      <c r="N39" s="67">
        <f t="shared" si="24"/>
        <v>0</v>
      </c>
      <c r="O39" s="67">
        <f>'After Tax Analysis'!O25</f>
        <v>0</v>
      </c>
      <c r="P39" s="326">
        <f t="shared" si="7"/>
        <v>-2596968.7000000002</v>
      </c>
      <c r="Q39" s="2"/>
    </row>
    <row r="40" spans="1:20" ht="14" thickBot="1" x14ac:dyDescent="0.2">
      <c r="B40" s="340" t="str">
        <f>'After Tax Analysis'!B26</f>
        <v>16 / "Initial Inputs"</v>
      </c>
      <c r="C40" s="12" t="str">
        <f>'After Tax Analysis'!C26</f>
        <v>Working Capital</v>
      </c>
      <c r="D40" s="67">
        <f t="shared" si="19"/>
        <v>-60000000</v>
      </c>
      <c r="E40" s="67">
        <f t="shared" ref="E40:N40" si="25">E180</f>
        <v>0</v>
      </c>
      <c r="F40" s="67">
        <f t="shared" si="25"/>
        <v>0</v>
      </c>
      <c r="G40" s="67">
        <f t="shared" si="25"/>
        <v>0</v>
      </c>
      <c r="H40" s="67">
        <f t="shared" si="25"/>
        <v>0</v>
      </c>
      <c r="I40" s="67">
        <f t="shared" si="25"/>
        <v>60000000</v>
      </c>
      <c r="J40" s="67">
        <f t="shared" si="25"/>
        <v>0</v>
      </c>
      <c r="K40" s="67">
        <f t="shared" si="25"/>
        <v>0</v>
      </c>
      <c r="L40" s="67">
        <f t="shared" si="25"/>
        <v>0</v>
      </c>
      <c r="M40" s="67">
        <f t="shared" si="25"/>
        <v>0</v>
      </c>
      <c r="N40" s="67">
        <f t="shared" si="25"/>
        <v>0</v>
      </c>
      <c r="O40" s="67">
        <f>'After Tax Analysis'!O26</f>
        <v>0</v>
      </c>
      <c r="P40" s="326">
        <f t="shared" si="7"/>
        <v>60000000</v>
      </c>
      <c r="Q40" s="2"/>
    </row>
    <row r="41" spans="1:20" ht="14" thickBot="1" x14ac:dyDescent="0.2">
      <c r="B41" s="340">
        <f>'After Tax Analysis'!B27</f>
        <v>17</v>
      </c>
      <c r="C41" s="12" t="str">
        <f>'After Tax Analysis'!C27</f>
        <v>Net Capital Cash Flow (13+14a+14b+14c+15+16)</v>
      </c>
      <c r="D41" s="67">
        <f t="shared" si="19"/>
        <v>-92550000</v>
      </c>
      <c r="E41" s="67">
        <f t="shared" ref="E41:N41" si="26">E181</f>
        <v>0</v>
      </c>
      <c r="F41" s="67">
        <f t="shared" si="26"/>
        <v>0</v>
      </c>
      <c r="G41" s="67">
        <f t="shared" si="26"/>
        <v>0</v>
      </c>
      <c r="H41" s="67">
        <f t="shared" si="26"/>
        <v>0</v>
      </c>
      <c r="I41" s="67">
        <f t="shared" si="26"/>
        <v>71750066.299999997</v>
      </c>
      <c r="J41" s="67">
        <f t="shared" si="26"/>
        <v>0</v>
      </c>
      <c r="K41" s="67">
        <f t="shared" si="26"/>
        <v>0</v>
      </c>
      <c r="L41" s="67">
        <f t="shared" si="26"/>
        <v>0</v>
      </c>
      <c r="M41" s="67">
        <f t="shared" si="26"/>
        <v>0</v>
      </c>
      <c r="N41" s="67">
        <f t="shared" si="26"/>
        <v>0</v>
      </c>
      <c r="O41" s="67">
        <f>'After Tax Analysis'!O27</f>
        <v>0</v>
      </c>
      <c r="P41" s="326">
        <f t="shared" si="7"/>
        <v>71750066.299999997</v>
      </c>
      <c r="Q41" s="461"/>
      <c r="R41" s="357" t="s">
        <v>693</v>
      </c>
      <c r="T41" s="334"/>
    </row>
    <row r="42" spans="1:20" ht="14" thickBot="1" x14ac:dyDescent="0.2">
      <c r="A42" s="1" t="s">
        <v>688</v>
      </c>
      <c r="B42" s="355">
        <f>'After Tax Analysis'!B28</f>
        <v>18</v>
      </c>
      <c r="C42" s="335" t="str">
        <f>'After Tax Analysis'!C28</f>
        <v>Total Cash Flow (12+17)</v>
      </c>
      <c r="D42" s="331">
        <f>D41+D33</f>
        <v>-92550000</v>
      </c>
      <c r="E42" s="331">
        <f t="shared" ref="E42:N42" si="27">E41+E33</f>
        <v>50012750</v>
      </c>
      <c r="F42" s="331">
        <f t="shared" si="27"/>
        <v>44202792.500000022</v>
      </c>
      <c r="G42" s="331">
        <f t="shared" si="27"/>
        <v>35442192.08412499</v>
      </c>
      <c r="H42" s="331">
        <f t="shared" si="27"/>
        <v>25111356.707490433</v>
      </c>
      <c r="I42" s="331">
        <f t="shared" si="27"/>
        <v>84401062.478848949</v>
      </c>
      <c r="J42" s="331">
        <f t="shared" si="27"/>
        <v>0</v>
      </c>
      <c r="K42" s="331">
        <f t="shared" si="27"/>
        <v>0</v>
      </c>
      <c r="L42" s="331">
        <f t="shared" si="27"/>
        <v>0</v>
      </c>
      <c r="M42" s="331">
        <f t="shared" si="27"/>
        <v>0</v>
      </c>
      <c r="N42" s="331">
        <f t="shared" si="27"/>
        <v>0</v>
      </c>
      <c r="O42" s="331">
        <f>'After Tax Analysis'!O28</f>
        <v>0</v>
      </c>
      <c r="P42" s="356">
        <f t="shared" si="7"/>
        <v>239170153.77046442</v>
      </c>
      <c r="Q42" s="463"/>
      <c r="R42" s="358">
        <f>IF(ISNUMBER(IRR(D42:N42)),IRR(D42:N42),"NMF")</f>
        <v>0.40549033935008683</v>
      </c>
      <c r="S42" s="1" t="s">
        <v>688</v>
      </c>
    </row>
    <row r="43" spans="1:20" x14ac:dyDescent="0.15">
      <c r="S43" s="2"/>
    </row>
    <row r="44" spans="1:20" ht="14" thickBot="1" x14ac:dyDescent="0.2">
      <c r="S44" s="2"/>
    </row>
    <row r="45" spans="1:20" ht="14" thickBot="1" x14ac:dyDescent="0.2">
      <c r="B45" s="359" t="s">
        <v>282</v>
      </c>
      <c r="C45" s="360" t="s">
        <v>283</v>
      </c>
      <c r="D45" s="360"/>
      <c r="E45" s="360">
        <v>1</v>
      </c>
      <c r="F45" s="360">
        <v>2</v>
      </c>
      <c r="G45" s="360">
        <v>3</v>
      </c>
      <c r="H45" s="360">
        <v>4</v>
      </c>
      <c r="I45" s="360">
        <v>5</v>
      </c>
      <c r="J45" s="360">
        <v>6</v>
      </c>
      <c r="K45" s="360">
        <v>7</v>
      </c>
      <c r="L45" s="360">
        <v>8</v>
      </c>
      <c r="M45" s="360">
        <v>9</v>
      </c>
      <c r="N45" s="360">
        <v>10</v>
      </c>
      <c r="O45" s="360" t="s">
        <v>284</v>
      </c>
      <c r="P45" s="361" t="s">
        <v>285</v>
      </c>
      <c r="S45" s="2"/>
    </row>
    <row r="46" spans="1:20" x14ac:dyDescent="0.15">
      <c r="B46" s="339" t="s">
        <v>687</v>
      </c>
      <c r="C46" s="302" t="s">
        <v>287</v>
      </c>
      <c r="D46" s="322">
        <f t="shared" ref="D46:D61" si="28">D158</f>
        <v>0</v>
      </c>
      <c r="E46" s="322">
        <f t="shared" ref="E46:N46" si="29">E158</f>
        <v>300000000</v>
      </c>
      <c r="F46" s="322">
        <f t="shared" si="29"/>
        <v>313500000.00000006</v>
      </c>
      <c r="G46" s="322">
        <f t="shared" si="29"/>
        <v>327607500.00000006</v>
      </c>
      <c r="H46" s="322">
        <f t="shared" si="29"/>
        <v>342349837.50000012</v>
      </c>
      <c r="I46" s="322">
        <f t="shared" si="29"/>
        <v>357755580.18750012</v>
      </c>
      <c r="J46" s="322">
        <f t="shared" si="29"/>
        <v>0</v>
      </c>
      <c r="K46" s="322">
        <f t="shared" si="29"/>
        <v>0</v>
      </c>
      <c r="L46" s="322">
        <f t="shared" si="29"/>
        <v>0</v>
      </c>
      <c r="M46" s="322">
        <f t="shared" si="29"/>
        <v>0</v>
      </c>
      <c r="N46" s="322">
        <f t="shared" si="29"/>
        <v>0</v>
      </c>
      <c r="O46" s="322">
        <v>0</v>
      </c>
      <c r="P46" s="325">
        <f>SUM(E46:N46)</f>
        <v>1641212917.6875</v>
      </c>
      <c r="Q46" s="2"/>
      <c r="S46" s="2"/>
    </row>
    <row r="47" spans="1:20" x14ac:dyDescent="0.15">
      <c r="A47" s="1" t="s">
        <v>694</v>
      </c>
      <c r="B47" s="340" t="s">
        <v>689</v>
      </c>
      <c r="C47" s="354" t="s">
        <v>689</v>
      </c>
      <c r="D47" s="67">
        <f t="shared" si="28"/>
        <v>0</v>
      </c>
      <c r="E47" s="67">
        <f>E159</f>
        <v>300000000</v>
      </c>
      <c r="F47" s="67">
        <f t="shared" ref="F47:N47" si="30">F159</f>
        <v>313500000.00000006</v>
      </c>
      <c r="G47" s="67">
        <f t="shared" si="30"/>
        <v>327607500.00000006</v>
      </c>
      <c r="H47" s="67">
        <f t="shared" si="30"/>
        <v>342349837.50000012</v>
      </c>
      <c r="I47" s="67">
        <f t="shared" si="30"/>
        <v>357755580.18750012</v>
      </c>
      <c r="J47" s="67">
        <f t="shared" si="30"/>
        <v>0</v>
      </c>
      <c r="K47" s="67">
        <f t="shared" si="30"/>
        <v>0</v>
      </c>
      <c r="L47" s="67">
        <f t="shared" si="30"/>
        <v>0</v>
      </c>
      <c r="M47" s="67">
        <f t="shared" si="30"/>
        <v>0</v>
      </c>
      <c r="N47" s="67">
        <f t="shared" si="30"/>
        <v>0</v>
      </c>
      <c r="O47" s="67"/>
      <c r="P47" s="326">
        <f t="shared" ref="P47:P70" si="31">SUM(E47:N47)</f>
        <v>1641212917.6875</v>
      </c>
      <c r="Q47" s="2"/>
      <c r="S47" s="2"/>
    </row>
    <row r="48" spans="1:20" x14ac:dyDescent="0.15">
      <c r="B48" s="355" t="s">
        <v>690</v>
      </c>
      <c r="C48" s="362" t="s">
        <v>690</v>
      </c>
      <c r="D48" s="331">
        <f t="shared" si="28"/>
        <v>0</v>
      </c>
      <c r="E48" s="331">
        <f>E160*0.8</f>
        <v>0</v>
      </c>
      <c r="F48" s="331">
        <f t="shared" ref="F48:N48" si="32">F160*0.8</f>
        <v>0</v>
      </c>
      <c r="G48" s="331">
        <f t="shared" si="32"/>
        <v>0</v>
      </c>
      <c r="H48" s="331">
        <f t="shared" si="32"/>
        <v>0</v>
      </c>
      <c r="I48" s="331">
        <f t="shared" si="32"/>
        <v>0</v>
      </c>
      <c r="J48" s="331">
        <f t="shared" si="32"/>
        <v>0</v>
      </c>
      <c r="K48" s="331">
        <f t="shared" si="32"/>
        <v>0</v>
      </c>
      <c r="L48" s="331">
        <f t="shared" si="32"/>
        <v>0</v>
      </c>
      <c r="M48" s="331">
        <f t="shared" si="32"/>
        <v>0</v>
      </c>
      <c r="N48" s="331">
        <f t="shared" si="32"/>
        <v>0</v>
      </c>
      <c r="O48" s="363"/>
      <c r="P48" s="356">
        <f t="shared" si="31"/>
        <v>0</v>
      </c>
      <c r="Q48" s="460"/>
      <c r="S48" s="2"/>
    </row>
    <row r="49" spans="2:19" x14ac:dyDescent="0.15">
      <c r="B49" s="340" t="s">
        <v>691</v>
      </c>
      <c r="C49" s="354" t="s">
        <v>691</v>
      </c>
      <c r="D49" s="67">
        <f t="shared" si="28"/>
        <v>0</v>
      </c>
      <c r="E49" s="67">
        <f>E161</f>
        <v>0</v>
      </c>
      <c r="F49" s="67">
        <f t="shared" ref="F49:N49" si="33">F161</f>
        <v>0</v>
      </c>
      <c r="G49" s="67">
        <f t="shared" si="33"/>
        <v>0</v>
      </c>
      <c r="H49" s="67">
        <f t="shared" si="33"/>
        <v>0</v>
      </c>
      <c r="I49" s="67">
        <f t="shared" si="33"/>
        <v>0</v>
      </c>
      <c r="J49" s="67">
        <f t="shared" si="33"/>
        <v>0</v>
      </c>
      <c r="K49" s="67">
        <f t="shared" si="33"/>
        <v>0</v>
      </c>
      <c r="L49" s="67">
        <f t="shared" si="33"/>
        <v>0</v>
      </c>
      <c r="M49" s="67">
        <f t="shared" si="33"/>
        <v>0</v>
      </c>
      <c r="N49" s="67">
        <f t="shared" si="33"/>
        <v>0</v>
      </c>
      <c r="O49" s="67"/>
      <c r="P49" s="326">
        <f t="shared" si="31"/>
        <v>0</v>
      </c>
      <c r="Q49" s="2"/>
      <c r="S49" s="2"/>
    </row>
    <row r="50" spans="2:19" x14ac:dyDescent="0.15">
      <c r="B50" s="340" t="s">
        <v>695</v>
      </c>
      <c r="C50" s="12"/>
      <c r="D50" s="67">
        <f t="shared" si="28"/>
        <v>0</v>
      </c>
      <c r="E50" s="67">
        <f>E47+E48+E49</f>
        <v>300000000</v>
      </c>
      <c r="F50" s="67">
        <f t="shared" ref="F50:N50" si="34">F47+F48+F49</f>
        <v>313500000.00000006</v>
      </c>
      <c r="G50" s="67">
        <f t="shared" si="34"/>
        <v>327607500.00000006</v>
      </c>
      <c r="H50" s="67">
        <f t="shared" si="34"/>
        <v>342349837.50000012</v>
      </c>
      <c r="I50" s="67">
        <f t="shared" si="34"/>
        <v>357755580.18750012</v>
      </c>
      <c r="J50" s="67">
        <f t="shared" si="34"/>
        <v>0</v>
      </c>
      <c r="K50" s="67">
        <f t="shared" si="34"/>
        <v>0</v>
      </c>
      <c r="L50" s="67">
        <f t="shared" si="34"/>
        <v>0</v>
      </c>
      <c r="M50" s="67">
        <f t="shared" si="34"/>
        <v>0</v>
      </c>
      <c r="N50" s="67">
        <f t="shared" si="34"/>
        <v>0</v>
      </c>
      <c r="O50" s="67"/>
      <c r="P50" s="326">
        <f t="shared" si="31"/>
        <v>1641212917.6875</v>
      </c>
      <c r="Q50" s="2"/>
      <c r="S50" s="2"/>
    </row>
    <row r="51" spans="2:19" x14ac:dyDescent="0.15">
      <c r="B51" s="340" t="s">
        <v>696</v>
      </c>
      <c r="C51" s="12" t="s">
        <v>289</v>
      </c>
      <c r="D51" s="67">
        <f t="shared" si="28"/>
        <v>0</v>
      </c>
      <c r="E51" s="67">
        <f>Expenses!D18+(Expenses!D25*0.8)+Expenses!D32+Expenses!D39+(Expenses!D44*0.8)+Expenses!D49+Expenses!D56+Expenses!D95-Expenses!D77</f>
        <v>230170000</v>
      </c>
      <c r="F51" s="67">
        <f>Expenses!E18+(Expenses!E25*0.8)+Expenses!E32+Expenses!E39+(Expenses!E44*0.8)+Expenses!E49+Expenses!E56+Expenses!E95-Expenses!E77</f>
        <v>253018375.00000003</v>
      </c>
      <c r="G51" s="67">
        <f>Expenses!F18+(Expenses!F25*0.8)+Expenses!F32+Expenses!F39+(Expenses!F44*0.8)+Expenses!F49+Expenses!F56+Expenses!F95-Expenses!F77</f>
        <v>278725718.45125008</v>
      </c>
      <c r="H51" s="67">
        <f>Expenses!G18+(Expenses!G25*0.8)+Expenses!G32+Expenses!G39+(Expenses!G44*0.8)+Expenses!G49+Expenses!G56+Expenses!G95-Expenses!G77</f>
        <v>307665975.06072807</v>
      </c>
      <c r="I51" s="67">
        <f>Expenses!H18+(Expenses!H25*0.8)+Expenses!H32+Expenses!H39+(Expenses!H44*0.8)+Expenses!H49+Expenses!H56+Expenses!H95-Expenses!H77</f>
        <v>340262566.36057305</v>
      </c>
      <c r="J51" s="67">
        <f>Expenses!I18+(Expenses!I25*0.8)+Expenses!I32+Expenses!I39+(Expenses!I44*0.8)+Expenses!I49+Expenses!I56+Expenses!I95-Expenses!I77</f>
        <v>0</v>
      </c>
      <c r="K51" s="67">
        <f>Expenses!J18+(Expenses!J25*0.8)+Expenses!J32+Expenses!J39+(Expenses!J44*0.8)+Expenses!J49+Expenses!J56+Expenses!J95-Expenses!J77</f>
        <v>0</v>
      </c>
      <c r="L51" s="67">
        <f>Expenses!K18+(Expenses!K25*0.8)+Expenses!K32+Expenses!K39+(Expenses!K44*0.8)+Expenses!K49+Expenses!K56+Expenses!K95-Expenses!K77</f>
        <v>0</v>
      </c>
      <c r="M51" s="67">
        <f>Expenses!L18+(Expenses!L25*0.8)+Expenses!L32+Expenses!L39+(Expenses!L44*0.8)+Expenses!L49+Expenses!L56+Expenses!L95-Expenses!L77</f>
        <v>0</v>
      </c>
      <c r="N51" s="67">
        <f>Expenses!M18+(Expenses!M25*0.8)+Expenses!M32+Expenses!M39+(Expenses!M44*0.8)+Expenses!M49+Expenses!M56+Expenses!M95-Expenses!M77</f>
        <v>0</v>
      </c>
      <c r="O51" s="67">
        <v>0</v>
      </c>
      <c r="P51" s="326">
        <f t="shared" si="31"/>
        <v>1409842634.8725512</v>
      </c>
      <c r="Q51" s="2"/>
      <c r="S51" s="2"/>
    </row>
    <row r="52" spans="2:19" x14ac:dyDescent="0.15">
      <c r="B52" s="340">
        <v>3</v>
      </c>
      <c r="C52" s="12" t="s">
        <v>290</v>
      </c>
      <c r="D52" s="67">
        <f t="shared" si="28"/>
        <v>0</v>
      </c>
      <c r="E52" s="67">
        <f>E50-E51</f>
        <v>69830000</v>
      </c>
      <c r="F52" s="67">
        <f t="shared" ref="F52:N52" si="35">F50-F51</f>
        <v>60481625.00000003</v>
      </c>
      <c r="G52" s="67">
        <f t="shared" si="35"/>
        <v>48881781.548749983</v>
      </c>
      <c r="H52" s="67">
        <f t="shared" si="35"/>
        <v>34683862.439272046</v>
      </c>
      <c r="I52" s="67">
        <f t="shared" si="35"/>
        <v>17493013.826927066</v>
      </c>
      <c r="J52" s="67">
        <f t="shared" si="35"/>
        <v>0</v>
      </c>
      <c r="K52" s="67">
        <f t="shared" si="35"/>
        <v>0</v>
      </c>
      <c r="L52" s="67">
        <f t="shared" si="35"/>
        <v>0</v>
      </c>
      <c r="M52" s="67">
        <f t="shared" si="35"/>
        <v>0</v>
      </c>
      <c r="N52" s="67">
        <f t="shared" si="35"/>
        <v>0</v>
      </c>
      <c r="O52" s="67">
        <v>0</v>
      </c>
      <c r="P52" s="326">
        <f t="shared" si="31"/>
        <v>231370282.81494913</v>
      </c>
      <c r="Q52" s="2"/>
      <c r="S52" s="2"/>
    </row>
    <row r="53" spans="2:19" x14ac:dyDescent="0.15">
      <c r="B53" s="340" t="s">
        <v>697</v>
      </c>
      <c r="C53" s="12" t="s">
        <v>292</v>
      </c>
      <c r="D53" s="67">
        <f t="shared" si="28"/>
        <v>0</v>
      </c>
      <c r="E53" s="67">
        <f>E165</f>
        <v>3772500</v>
      </c>
      <c r="F53" s="67">
        <f t="shared" ref="F53:N53" si="36">F165</f>
        <v>6218850</v>
      </c>
      <c r="G53" s="67">
        <f t="shared" si="36"/>
        <v>4083150</v>
      </c>
      <c r="H53" s="67">
        <f t="shared" si="36"/>
        <v>2775510</v>
      </c>
      <c r="I53" s="67">
        <f t="shared" si="36"/>
        <v>1352955</v>
      </c>
      <c r="J53" s="67">
        <f t="shared" si="36"/>
        <v>0</v>
      </c>
      <c r="K53" s="67">
        <f t="shared" si="36"/>
        <v>0</v>
      </c>
      <c r="L53" s="67">
        <f t="shared" si="36"/>
        <v>0</v>
      </c>
      <c r="M53" s="67">
        <f t="shared" si="36"/>
        <v>0</v>
      </c>
      <c r="N53" s="67">
        <f t="shared" si="36"/>
        <v>0</v>
      </c>
      <c r="O53" s="67">
        <v>0</v>
      </c>
      <c r="P53" s="326">
        <f t="shared" si="31"/>
        <v>18202965</v>
      </c>
      <c r="Q53" s="2"/>
      <c r="S53" s="2"/>
    </row>
    <row r="54" spans="2:19" x14ac:dyDescent="0.15">
      <c r="B54" s="340">
        <v>5</v>
      </c>
      <c r="C54" s="12" t="s">
        <v>293</v>
      </c>
      <c r="D54" s="67">
        <f t="shared" si="28"/>
        <v>0</v>
      </c>
      <c r="E54" s="67">
        <f>E52-E53</f>
        <v>66057500</v>
      </c>
      <c r="F54" s="67">
        <f t="shared" ref="F54:N54" si="37">F52-F53</f>
        <v>54262775.00000003</v>
      </c>
      <c r="G54" s="67">
        <f t="shared" si="37"/>
        <v>44798631.548749983</v>
      </c>
      <c r="H54" s="67">
        <f t="shared" si="37"/>
        <v>31908352.439272046</v>
      </c>
      <c r="I54" s="67">
        <f t="shared" si="37"/>
        <v>16140058.826927066</v>
      </c>
      <c r="J54" s="67">
        <f t="shared" si="37"/>
        <v>0</v>
      </c>
      <c r="K54" s="67">
        <f t="shared" si="37"/>
        <v>0</v>
      </c>
      <c r="L54" s="67">
        <f t="shared" si="37"/>
        <v>0</v>
      </c>
      <c r="M54" s="67">
        <f t="shared" si="37"/>
        <v>0</v>
      </c>
      <c r="N54" s="67">
        <f t="shared" si="37"/>
        <v>0</v>
      </c>
      <c r="O54" s="67">
        <v>0</v>
      </c>
      <c r="P54" s="326">
        <f t="shared" si="31"/>
        <v>213167317.81494913</v>
      </c>
      <c r="Q54" s="2"/>
      <c r="S54" s="2"/>
    </row>
    <row r="55" spans="2:19" x14ac:dyDescent="0.15">
      <c r="B55" s="340" t="s">
        <v>698</v>
      </c>
      <c r="C55" s="12" t="s">
        <v>295</v>
      </c>
      <c r="D55" s="67">
        <f t="shared" si="28"/>
        <v>0</v>
      </c>
      <c r="E55" s="67">
        <f>E167</f>
        <v>0</v>
      </c>
      <c r="F55" s="67">
        <f t="shared" ref="F55:N55" si="38">F167</f>
        <v>0</v>
      </c>
      <c r="G55" s="67">
        <f t="shared" si="38"/>
        <v>0</v>
      </c>
      <c r="H55" s="67">
        <f t="shared" si="38"/>
        <v>0</v>
      </c>
      <c r="I55" s="67">
        <f t="shared" si="38"/>
        <v>0</v>
      </c>
      <c r="J55" s="67">
        <f t="shared" si="38"/>
        <v>0</v>
      </c>
      <c r="K55" s="67">
        <f t="shared" si="38"/>
        <v>0</v>
      </c>
      <c r="L55" s="67">
        <f t="shared" si="38"/>
        <v>0</v>
      </c>
      <c r="M55" s="67">
        <f t="shared" si="38"/>
        <v>0</v>
      </c>
      <c r="N55" s="67">
        <f t="shared" si="38"/>
        <v>0</v>
      </c>
      <c r="O55" s="67">
        <v>0</v>
      </c>
      <c r="P55" s="326">
        <f t="shared" si="31"/>
        <v>0</v>
      </c>
      <c r="Q55" s="2"/>
      <c r="S55" s="2"/>
    </row>
    <row r="56" spans="2:19" x14ac:dyDescent="0.15">
      <c r="B56" s="340">
        <v>7</v>
      </c>
      <c r="C56" s="12" t="s">
        <v>296</v>
      </c>
      <c r="D56" s="67">
        <f t="shared" si="28"/>
        <v>0</v>
      </c>
      <c r="E56" s="67">
        <f>E54-E55</f>
        <v>66057500</v>
      </c>
      <c r="F56" s="67">
        <f t="shared" ref="F56:N56" si="39">F54-F55</f>
        <v>54262775.00000003</v>
      </c>
      <c r="G56" s="67">
        <f t="shared" si="39"/>
        <v>44798631.548749983</v>
      </c>
      <c r="H56" s="67">
        <f t="shared" si="39"/>
        <v>31908352.439272046</v>
      </c>
      <c r="I56" s="67">
        <f t="shared" si="39"/>
        <v>16140058.826927066</v>
      </c>
      <c r="J56" s="67">
        <f t="shared" si="39"/>
        <v>0</v>
      </c>
      <c r="K56" s="67">
        <f t="shared" si="39"/>
        <v>0</v>
      </c>
      <c r="L56" s="67">
        <f t="shared" si="39"/>
        <v>0</v>
      </c>
      <c r="M56" s="67">
        <f t="shared" si="39"/>
        <v>0</v>
      </c>
      <c r="N56" s="67">
        <f t="shared" si="39"/>
        <v>0</v>
      </c>
      <c r="O56" s="67">
        <v>0</v>
      </c>
      <c r="P56" s="326">
        <f t="shared" si="31"/>
        <v>213167317.81494913</v>
      </c>
      <c r="Q56" s="2"/>
      <c r="S56" s="2"/>
    </row>
    <row r="57" spans="2:19" x14ac:dyDescent="0.15">
      <c r="B57" s="340">
        <v>8</v>
      </c>
      <c r="C57" s="12" t="s">
        <v>297</v>
      </c>
      <c r="D57" s="67">
        <f t="shared" si="28"/>
        <v>0</v>
      </c>
      <c r="E57" s="67">
        <f>-E56*$D$3</f>
        <v>-19817250</v>
      </c>
      <c r="F57" s="67">
        <f t="shared" ref="F57:N57" si="40">-F56*$D$3</f>
        <v>-16278832.500000007</v>
      </c>
      <c r="G57" s="67">
        <f t="shared" si="40"/>
        <v>-13439589.464624995</v>
      </c>
      <c r="H57" s="67">
        <f t="shared" si="40"/>
        <v>-9572505.7317816131</v>
      </c>
      <c r="I57" s="67">
        <f t="shared" si="40"/>
        <v>-4842017.6480781194</v>
      </c>
      <c r="J57" s="67">
        <f t="shared" si="40"/>
        <v>0</v>
      </c>
      <c r="K57" s="67">
        <f t="shared" si="40"/>
        <v>0</v>
      </c>
      <c r="L57" s="67">
        <f t="shared" si="40"/>
        <v>0</v>
      </c>
      <c r="M57" s="67">
        <f t="shared" si="40"/>
        <v>0</v>
      </c>
      <c r="N57" s="67">
        <f t="shared" si="40"/>
        <v>0</v>
      </c>
      <c r="O57" s="67">
        <v>0</v>
      </c>
      <c r="P57" s="326">
        <f t="shared" si="31"/>
        <v>-63950195.344484739</v>
      </c>
      <c r="Q57" s="2"/>
      <c r="S57" s="2"/>
    </row>
    <row r="58" spans="2:19" x14ac:dyDescent="0.15">
      <c r="B58" s="340">
        <v>9</v>
      </c>
      <c r="C58" s="12" t="s">
        <v>298</v>
      </c>
      <c r="D58" s="67">
        <f t="shared" si="28"/>
        <v>0</v>
      </c>
      <c r="E58" s="67">
        <f>E170</f>
        <v>0</v>
      </c>
      <c r="F58" s="67">
        <f t="shared" ref="F58:N58" si="41">F170</f>
        <v>0</v>
      </c>
      <c r="G58" s="67">
        <f t="shared" si="41"/>
        <v>0</v>
      </c>
      <c r="H58" s="67">
        <f t="shared" si="41"/>
        <v>0</v>
      </c>
      <c r="I58" s="67">
        <f t="shared" si="41"/>
        <v>0</v>
      </c>
      <c r="J58" s="67">
        <f t="shared" si="41"/>
        <v>0</v>
      </c>
      <c r="K58" s="67">
        <f t="shared" si="41"/>
        <v>0</v>
      </c>
      <c r="L58" s="67">
        <f t="shared" si="41"/>
        <v>0</v>
      </c>
      <c r="M58" s="67">
        <f t="shared" si="41"/>
        <v>0</v>
      </c>
      <c r="N58" s="67">
        <f t="shared" si="41"/>
        <v>0</v>
      </c>
      <c r="O58" s="67">
        <v>0</v>
      </c>
      <c r="P58" s="326">
        <f t="shared" si="31"/>
        <v>0</v>
      </c>
      <c r="Q58" s="2"/>
      <c r="S58" s="2"/>
    </row>
    <row r="59" spans="2:19" x14ac:dyDescent="0.15">
      <c r="B59" s="340">
        <v>10</v>
      </c>
      <c r="C59" s="12" t="s">
        <v>299</v>
      </c>
      <c r="D59" s="67">
        <f t="shared" si="28"/>
        <v>0</v>
      </c>
      <c r="E59" s="67">
        <f>E56+E57+E58</f>
        <v>46240250</v>
      </c>
      <c r="F59" s="67">
        <f t="shared" ref="F59:N59" si="42">F56+F57+F58</f>
        <v>37983942.500000022</v>
      </c>
      <c r="G59" s="67">
        <f t="shared" si="42"/>
        <v>31359042.08412499</v>
      </c>
      <c r="H59" s="67">
        <f t="shared" si="42"/>
        <v>22335846.707490433</v>
      </c>
      <c r="I59" s="67">
        <f t="shared" si="42"/>
        <v>11298041.178848946</v>
      </c>
      <c r="J59" s="67">
        <f t="shared" si="42"/>
        <v>0</v>
      </c>
      <c r="K59" s="67">
        <f t="shared" si="42"/>
        <v>0</v>
      </c>
      <c r="L59" s="67">
        <f t="shared" si="42"/>
        <v>0</v>
      </c>
      <c r="M59" s="67">
        <f t="shared" si="42"/>
        <v>0</v>
      </c>
      <c r="N59" s="67">
        <f t="shared" si="42"/>
        <v>0</v>
      </c>
      <c r="O59" s="67">
        <v>0</v>
      </c>
      <c r="P59" s="326">
        <f t="shared" si="31"/>
        <v>149217122.47046441</v>
      </c>
      <c r="Q59" s="2"/>
      <c r="S59" s="2"/>
    </row>
    <row r="60" spans="2:19" x14ac:dyDescent="0.15">
      <c r="B60" s="340" t="s">
        <v>699</v>
      </c>
      <c r="C60" s="12" t="s">
        <v>292</v>
      </c>
      <c r="D60" s="67">
        <f t="shared" si="28"/>
        <v>0</v>
      </c>
      <c r="E60" s="67">
        <f>E172</f>
        <v>3772500</v>
      </c>
      <c r="F60" s="67">
        <f t="shared" ref="F60:N60" si="43">F172</f>
        <v>6218850</v>
      </c>
      <c r="G60" s="67">
        <f t="shared" si="43"/>
        <v>4083150</v>
      </c>
      <c r="H60" s="67">
        <f t="shared" si="43"/>
        <v>2775510</v>
      </c>
      <c r="I60" s="67">
        <f t="shared" si="43"/>
        <v>1352955</v>
      </c>
      <c r="J60" s="67">
        <f t="shared" si="43"/>
        <v>0</v>
      </c>
      <c r="K60" s="67">
        <f t="shared" si="43"/>
        <v>0</v>
      </c>
      <c r="L60" s="67">
        <f t="shared" si="43"/>
        <v>0</v>
      </c>
      <c r="M60" s="67">
        <f t="shared" si="43"/>
        <v>0</v>
      </c>
      <c r="N60" s="67">
        <f t="shared" si="43"/>
        <v>0</v>
      </c>
      <c r="O60" s="67">
        <v>0</v>
      </c>
      <c r="P60" s="326">
        <f t="shared" si="31"/>
        <v>18202965</v>
      </c>
      <c r="Q60" s="2"/>
      <c r="S60" s="2"/>
    </row>
    <row r="61" spans="2:19" x14ac:dyDescent="0.15">
      <c r="B61" s="340">
        <v>12</v>
      </c>
      <c r="C61" s="12" t="s">
        <v>301</v>
      </c>
      <c r="D61" s="67">
        <f t="shared" si="28"/>
        <v>0</v>
      </c>
      <c r="E61" s="67">
        <f>E59+E60</f>
        <v>50012750</v>
      </c>
      <c r="F61" s="67">
        <f t="shared" ref="F61:N61" si="44">F59+F60</f>
        <v>44202792.500000022</v>
      </c>
      <c r="G61" s="67">
        <f t="shared" si="44"/>
        <v>35442192.08412499</v>
      </c>
      <c r="H61" s="67">
        <f t="shared" si="44"/>
        <v>25111356.707490433</v>
      </c>
      <c r="I61" s="67">
        <f t="shared" si="44"/>
        <v>12650996.178848946</v>
      </c>
      <c r="J61" s="67">
        <f t="shared" si="44"/>
        <v>0</v>
      </c>
      <c r="K61" s="67">
        <f t="shared" si="44"/>
        <v>0</v>
      </c>
      <c r="L61" s="67">
        <f t="shared" si="44"/>
        <v>0</v>
      </c>
      <c r="M61" s="67">
        <f t="shared" si="44"/>
        <v>0</v>
      </c>
      <c r="N61" s="67">
        <f t="shared" si="44"/>
        <v>0</v>
      </c>
      <c r="O61" s="67">
        <v>0</v>
      </c>
      <c r="P61" s="326">
        <f t="shared" si="31"/>
        <v>167420087.47046441</v>
      </c>
      <c r="Q61" s="2"/>
      <c r="S61" s="2"/>
    </row>
    <row r="62" spans="2:19" x14ac:dyDescent="0.15">
      <c r="B62" s="340" t="s">
        <v>700</v>
      </c>
      <c r="C62" s="12" t="s">
        <v>303</v>
      </c>
      <c r="D62" s="67">
        <v>0</v>
      </c>
      <c r="E62" s="67">
        <f t="shared" ref="E62:N62" si="45">E174</f>
        <v>0</v>
      </c>
      <c r="F62" s="67">
        <f t="shared" si="45"/>
        <v>0</v>
      </c>
      <c r="G62" s="67">
        <f t="shared" si="45"/>
        <v>0</v>
      </c>
      <c r="H62" s="67">
        <f t="shared" si="45"/>
        <v>0</v>
      </c>
      <c r="I62" s="67">
        <f t="shared" si="45"/>
        <v>0</v>
      </c>
      <c r="J62" s="67">
        <f t="shared" si="45"/>
        <v>0</v>
      </c>
      <c r="K62" s="67">
        <f t="shared" si="45"/>
        <v>0</v>
      </c>
      <c r="L62" s="67">
        <f t="shared" si="45"/>
        <v>0</v>
      </c>
      <c r="M62" s="67">
        <f t="shared" si="45"/>
        <v>0</v>
      </c>
      <c r="N62" s="67">
        <f t="shared" si="45"/>
        <v>0</v>
      </c>
      <c r="O62" s="67">
        <v>0</v>
      </c>
      <c r="P62" s="326">
        <f t="shared" si="31"/>
        <v>0</v>
      </c>
      <c r="Q62" s="2"/>
      <c r="S62" s="2"/>
    </row>
    <row r="63" spans="2:19" x14ac:dyDescent="0.15">
      <c r="B63" s="340">
        <v>14</v>
      </c>
      <c r="C63" s="12" t="s">
        <v>304</v>
      </c>
      <c r="D63" s="67">
        <f t="shared" ref="D63:D69" si="46">D175</f>
        <v>-32550000</v>
      </c>
      <c r="E63" s="67">
        <f t="shared" ref="E63:N63" si="47">E175</f>
        <v>0</v>
      </c>
      <c r="F63" s="67">
        <f t="shared" si="47"/>
        <v>0</v>
      </c>
      <c r="G63" s="67">
        <f t="shared" si="47"/>
        <v>0</v>
      </c>
      <c r="H63" s="67">
        <f t="shared" si="47"/>
        <v>0</v>
      </c>
      <c r="I63" s="67">
        <f t="shared" si="47"/>
        <v>14347035</v>
      </c>
      <c r="J63" s="67">
        <f t="shared" si="47"/>
        <v>0</v>
      </c>
      <c r="K63" s="67">
        <f t="shared" si="47"/>
        <v>0</v>
      </c>
      <c r="L63" s="67">
        <f t="shared" si="47"/>
        <v>0</v>
      </c>
      <c r="M63" s="67">
        <f t="shared" si="47"/>
        <v>0</v>
      </c>
      <c r="N63" s="67">
        <f t="shared" si="47"/>
        <v>0</v>
      </c>
      <c r="O63" s="67">
        <v>0</v>
      </c>
      <c r="P63" s="326">
        <f t="shared" si="31"/>
        <v>14347035</v>
      </c>
      <c r="Q63" s="2"/>
      <c r="S63" s="2"/>
    </row>
    <row r="64" spans="2:19" x14ac:dyDescent="0.15">
      <c r="B64" s="340" t="s">
        <v>701</v>
      </c>
      <c r="C64" s="12" t="s">
        <v>207</v>
      </c>
      <c r="D64" s="67">
        <f t="shared" si="46"/>
        <v>-31050000</v>
      </c>
      <c r="E64" s="67">
        <f t="shared" ref="E64:N64" si="48">E176</f>
        <v>0</v>
      </c>
      <c r="F64" s="67">
        <f t="shared" si="48"/>
        <v>0</v>
      </c>
      <c r="G64" s="67">
        <f t="shared" si="48"/>
        <v>0</v>
      </c>
      <c r="H64" s="67">
        <f t="shared" si="48"/>
        <v>0</v>
      </c>
      <c r="I64" s="67">
        <f t="shared" si="48"/>
        <v>12847035</v>
      </c>
      <c r="J64" s="67">
        <f t="shared" si="48"/>
        <v>0</v>
      </c>
      <c r="K64" s="67">
        <f t="shared" si="48"/>
        <v>0</v>
      </c>
      <c r="L64" s="67">
        <f t="shared" si="48"/>
        <v>0</v>
      </c>
      <c r="M64" s="67">
        <f t="shared" si="48"/>
        <v>0</v>
      </c>
      <c r="N64" s="67">
        <f t="shared" si="48"/>
        <v>0</v>
      </c>
      <c r="O64" s="67">
        <v>0</v>
      </c>
      <c r="P64" s="326">
        <f t="shared" si="31"/>
        <v>12847035</v>
      </c>
      <c r="Q64" s="2"/>
      <c r="S64" s="2"/>
    </row>
    <row r="65" spans="1:19" x14ac:dyDescent="0.15">
      <c r="B65" s="340" t="s">
        <v>702</v>
      </c>
      <c r="C65" s="12" t="s">
        <v>307</v>
      </c>
      <c r="D65" s="67">
        <f t="shared" si="46"/>
        <v>-1500000</v>
      </c>
      <c r="E65" s="67">
        <f t="shared" ref="E65:N65" si="49">E177</f>
        <v>0</v>
      </c>
      <c r="F65" s="67">
        <f t="shared" si="49"/>
        <v>0</v>
      </c>
      <c r="G65" s="67">
        <f t="shared" si="49"/>
        <v>0</v>
      </c>
      <c r="H65" s="67">
        <f t="shared" si="49"/>
        <v>0</v>
      </c>
      <c r="I65" s="67">
        <f t="shared" si="49"/>
        <v>1500000</v>
      </c>
      <c r="J65" s="67">
        <f t="shared" si="49"/>
        <v>0</v>
      </c>
      <c r="K65" s="67">
        <f t="shared" si="49"/>
        <v>0</v>
      </c>
      <c r="L65" s="67">
        <f t="shared" si="49"/>
        <v>0</v>
      </c>
      <c r="M65" s="67">
        <f t="shared" si="49"/>
        <v>0</v>
      </c>
      <c r="N65" s="67">
        <f t="shared" si="49"/>
        <v>0</v>
      </c>
      <c r="O65" s="67">
        <v>0</v>
      </c>
      <c r="P65" s="326">
        <f t="shared" si="31"/>
        <v>1500000</v>
      </c>
      <c r="Q65" s="2"/>
      <c r="S65" s="2"/>
    </row>
    <row r="66" spans="1:19" x14ac:dyDescent="0.15">
      <c r="B66" s="340" t="s">
        <v>703</v>
      </c>
      <c r="C66" s="12" t="s">
        <v>309</v>
      </c>
      <c r="D66" s="67">
        <f t="shared" si="46"/>
        <v>0</v>
      </c>
      <c r="E66" s="67">
        <f t="shared" ref="E66:N66" si="50">E178</f>
        <v>0</v>
      </c>
      <c r="F66" s="67">
        <f t="shared" si="50"/>
        <v>0</v>
      </c>
      <c r="G66" s="67">
        <f t="shared" si="50"/>
        <v>0</v>
      </c>
      <c r="H66" s="67">
        <f t="shared" si="50"/>
        <v>0</v>
      </c>
      <c r="I66" s="67">
        <f t="shared" si="50"/>
        <v>0</v>
      </c>
      <c r="J66" s="67">
        <f t="shared" si="50"/>
        <v>0</v>
      </c>
      <c r="K66" s="67">
        <f t="shared" si="50"/>
        <v>0</v>
      </c>
      <c r="L66" s="67">
        <f t="shared" si="50"/>
        <v>0</v>
      </c>
      <c r="M66" s="67">
        <f t="shared" si="50"/>
        <v>0</v>
      </c>
      <c r="N66" s="67">
        <f t="shared" si="50"/>
        <v>0</v>
      </c>
      <c r="O66" s="67">
        <v>0</v>
      </c>
      <c r="P66" s="326">
        <f t="shared" si="31"/>
        <v>0</v>
      </c>
      <c r="Q66" s="2"/>
      <c r="S66" s="2"/>
    </row>
    <row r="67" spans="1:19" x14ac:dyDescent="0.15">
      <c r="B67" s="340" t="s">
        <v>704</v>
      </c>
      <c r="C67" s="12" t="s">
        <v>311</v>
      </c>
      <c r="D67" s="67">
        <f t="shared" si="46"/>
        <v>0</v>
      </c>
      <c r="E67" s="67">
        <f t="shared" ref="E67:N67" si="51">E179</f>
        <v>0</v>
      </c>
      <c r="F67" s="67">
        <f t="shared" si="51"/>
        <v>0</v>
      </c>
      <c r="G67" s="67">
        <f t="shared" si="51"/>
        <v>0</v>
      </c>
      <c r="H67" s="67">
        <f t="shared" si="51"/>
        <v>0</v>
      </c>
      <c r="I67" s="67">
        <f t="shared" si="51"/>
        <v>-2596968.7000000002</v>
      </c>
      <c r="J67" s="67">
        <f t="shared" si="51"/>
        <v>0</v>
      </c>
      <c r="K67" s="67">
        <f t="shared" si="51"/>
        <v>0</v>
      </c>
      <c r="L67" s="67">
        <f t="shared" si="51"/>
        <v>0</v>
      </c>
      <c r="M67" s="67">
        <f t="shared" si="51"/>
        <v>0</v>
      </c>
      <c r="N67" s="67">
        <f t="shared" si="51"/>
        <v>0</v>
      </c>
      <c r="O67" s="67">
        <v>0</v>
      </c>
      <c r="P67" s="326">
        <f t="shared" si="31"/>
        <v>-2596968.7000000002</v>
      </c>
      <c r="Q67" s="2"/>
      <c r="S67" s="2"/>
    </row>
    <row r="68" spans="1:19" ht="14" thickBot="1" x14ac:dyDescent="0.2">
      <c r="B68" s="340" t="s">
        <v>705</v>
      </c>
      <c r="C68" s="12" t="s">
        <v>115</v>
      </c>
      <c r="D68" s="67">
        <f t="shared" si="46"/>
        <v>-60000000</v>
      </c>
      <c r="E68" s="67">
        <f t="shared" ref="E68:N68" si="52">E180</f>
        <v>0</v>
      </c>
      <c r="F68" s="67">
        <f t="shared" si="52"/>
        <v>0</v>
      </c>
      <c r="G68" s="67">
        <f t="shared" si="52"/>
        <v>0</v>
      </c>
      <c r="H68" s="67">
        <f t="shared" si="52"/>
        <v>0</v>
      </c>
      <c r="I68" s="67">
        <f t="shared" si="52"/>
        <v>60000000</v>
      </c>
      <c r="J68" s="67">
        <f t="shared" si="52"/>
        <v>0</v>
      </c>
      <c r="K68" s="67">
        <f t="shared" si="52"/>
        <v>0</v>
      </c>
      <c r="L68" s="67">
        <f t="shared" si="52"/>
        <v>0</v>
      </c>
      <c r="M68" s="67">
        <f t="shared" si="52"/>
        <v>0</v>
      </c>
      <c r="N68" s="67">
        <f t="shared" si="52"/>
        <v>0</v>
      </c>
      <c r="O68" s="67">
        <v>0</v>
      </c>
      <c r="P68" s="326">
        <f t="shared" si="31"/>
        <v>60000000</v>
      </c>
      <c r="Q68" s="2"/>
      <c r="S68" s="2"/>
    </row>
    <row r="69" spans="1:19" x14ac:dyDescent="0.15">
      <c r="B69" s="340">
        <v>17</v>
      </c>
      <c r="C69" s="12" t="s">
        <v>313</v>
      </c>
      <c r="D69" s="67">
        <f t="shared" si="46"/>
        <v>-92550000</v>
      </c>
      <c r="E69" s="67">
        <f t="shared" ref="E69:N69" si="53">E181</f>
        <v>0</v>
      </c>
      <c r="F69" s="67">
        <f t="shared" si="53"/>
        <v>0</v>
      </c>
      <c r="G69" s="67">
        <f t="shared" si="53"/>
        <v>0</v>
      </c>
      <c r="H69" s="67">
        <f t="shared" si="53"/>
        <v>0</v>
      </c>
      <c r="I69" s="67">
        <f t="shared" si="53"/>
        <v>71750066.299999997</v>
      </c>
      <c r="J69" s="67">
        <f t="shared" si="53"/>
        <v>0</v>
      </c>
      <c r="K69" s="67">
        <f t="shared" si="53"/>
        <v>0</v>
      </c>
      <c r="L69" s="67">
        <f t="shared" si="53"/>
        <v>0</v>
      </c>
      <c r="M69" s="67">
        <f t="shared" si="53"/>
        <v>0</v>
      </c>
      <c r="N69" s="67">
        <f t="shared" si="53"/>
        <v>0</v>
      </c>
      <c r="O69" s="67">
        <v>0</v>
      </c>
      <c r="P69" s="326">
        <f t="shared" si="31"/>
        <v>71750066.299999997</v>
      </c>
      <c r="Q69" s="461"/>
      <c r="R69" s="357" t="s">
        <v>693</v>
      </c>
      <c r="S69" s="2"/>
    </row>
    <row r="70" spans="1:19" ht="14" thickBot="1" x14ac:dyDescent="0.2">
      <c r="A70" s="1" t="s">
        <v>694</v>
      </c>
      <c r="B70" s="355">
        <v>18</v>
      </c>
      <c r="C70" s="335" t="s">
        <v>314</v>
      </c>
      <c r="D70" s="331">
        <f>D69+D61</f>
        <v>-92550000</v>
      </c>
      <c r="E70" s="331">
        <f t="shared" ref="E70:N70" si="54">E69+E61</f>
        <v>50012750</v>
      </c>
      <c r="F70" s="331">
        <f t="shared" si="54"/>
        <v>44202792.500000022</v>
      </c>
      <c r="G70" s="331">
        <f t="shared" si="54"/>
        <v>35442192.08412499</v>
      </c>
      <c r="H70" s="331">
        <f t="shared" si="54"/>
        <v>25111356.707490433</v>
      </c>
      <c r="I70" s="331">
        <f t="shared" si="54"/>
        <v>84401062.478848949</v>
      </c>
      <c r="J70" s="331">
        <f t="shared" si="54"/>
        <v>0</v>
      </c>
      <c r="K70" s="331">
        <f t="shared" si="54"/>
        <v>0</v>
      </c>
      <c r="L70" s="331">
        <f t="shared" si="54"/>
        <v>0</v>
      </c>
      <c r="M70" s="331">
        <f t="shared" si="54"/>
        <v>0</v>
      </c>
      <c r="N70" s="331">
        <f t="shared" si="54"/>
        <v>0</v>
      </c>
      <c r="O70" s="331">
        <v>0</v>
      </c>
      <c r="P70" s="356">
        <f t="shared" si="31"/>
        <v>239170153.77046442</v>
      </c>
      <c r="Q70" s="463"/>
      <c r="R70" s="358">
        <f>IF(ISNUMBER(IRR(D70:N70)),IRR(D70:N70),"NMF")</f>
        <v>0.40549033935008683</v>
      </c>
      <c r="S70" s="1" t="s">
        <v>694</v>
      </c>
    </row>
    <row r="71" spans="1:19" x14ac:dyDescent="0.15">
      <c r="B71" s="145"/>
      <c r="S71" s="2"/>
    </row>
    <row r="72" spans="1:19" ht="14" thickBot="1" x14ac:dyDescent="0.2">
      <c r="B72" s="145"/>
      <c r="S72" s="2"/>
    </row>
    <row r="73" spans="1:19" ht="14" thickBot="1" x14ac:dyDescent="0.2">
      <c r="B73" s="359" t="s">
        <v>282</v>
      </c>
      <c r="C73" s="360" t="s">
        <v>283</v>
      </c>
      <c r="D73" s="360"/>
      <c r="E73" s="360">
        <v>1</v>
      </c>
      <c r="F73" s="360">
        <v>2</v>
      </c>
      <c r="G73" s="360">
        <v>3</v>
      </c>
      <c r="H73" s="360">
        <v>4</v>
      </c>
      <c r="I73" s="360">
        <v>5</v>
      </c>
      <c r="J73" s="360">
        <v>6</v>
      </c>
      <c r="K73" s="360">
        <v>7</v>
      </c>
      <c r="L73" s="360">
        <v>8</v>
      </c>
      <c r="M73" s="360">
        <v>9</v>
      </c>
      <c r="N73" s="360">
        <v>10</v>
      </c>
      <c r="O73" s="360" t="s">
        <v>284</v>
      </c>
      <c r="P73" s="361" t="s">
        <v>285</v>
      </c>
      <c r="S73" s="2"/>
    </row>
    <row r="74" spans="1:19" x14ac:dyDescent="0.15">
      <c r="B74" s="339" t="s">
        <v>687</v>
      </c>
      <c r="C74" s="302" t="s">
        <v>287</v>
      </c>
      <c r="D74" s="322">
        <f t="shared" ref="D74:D89" si="55">D158</f>
        <v>0</v>
      </c>
      <c r="E74" s="322">
        <f t="shared" ref="E74:N74" si="56">E158</f>
        <v>300000000</v>
      </c>
      <c r="F74" s="322">
        <f t="shared" si="56"/>
        <v>313500000.00000006</v>
      </c>
      <c r="G74" s="322">
        <f t="shared" si="56"/>
        <v>327607500.00000006</v>
      </c>
      <c r="H74" s="322">
        <f t="shared" si="56"/>
        <v>342349837.50000012</v>
      </c>
      <c r="I74" s="322">
        <f t="shared" si="56"/>
        <v>357755580.18750012</v>
      </c>
      <c r="J74" s="322">
        <f t="shared" si="56"/>
        <v>0</v>
      </c>
      <c r="K74" s="322">
        <f t="shared" si="56"/>
        <v>0</v>
      </c>
      <c r="L74" s="322">
        <f t="shared" si="56"/>
        <v>0</v>
      </c>
      <c r="M74" s="322">
        <f t="shared" si="56"/>
        <v>0</v>
      </c>
      <c r="N74" s="322">
        <f t="shared" si="56"/>
        <v>0</v>
      </c>
      <c r="O74" s="322">
        <v>0</v>
      </c>
      <c r="P74" s="325">
        <f>SUM(E74:N74)</f>
        <v>1641212917.6875</v>
      </c>
      <c r="Q74" s="2"/>
      <c r="S74" s="2"/>
    </row>
    <row r="75" spans="1:19" x14ac:dyDescent="0.15">
      <c r="A75" s="1" t="s">
        <v>706</v>
      </c>
      <c r="B75" s="340" t="s">
        <v>689</v>
      </c>
      <c r="C75" s="354" t="s">
        <v>689</v>
      </c>
      <c r="D75" s="67">
        <f t="shared" si="55"/>
        <v>0</v>
      </c>
      <c r="E75" s="67">
        <f>E159</f>
        <v>300000000</v>
      </c>
      <c r="F75" s="67">
        <f t="shared" ref="F75:N75" si="57">F159</f>
        <v>313500000.00000006</v>
      </c>
      <c r="G75" s="67">
        <f t="shared" si="57"/>
        <v>327607500.00000006</v>
      </c>
      <c r="H75" s="67">
        <f t="shared" si="57"/>
        <v>342349837.50000012</v>
      </c>
      <c r="I75" s="67">
        <f t="shared" si="57"/>
        <v>357755580.18750012</v>
      </c>
      <c r="J75" s="67">
        <f t="shared" si="57"/>
        <v>0</v>
      </c>
      <c r="K75" s="67">
        <f t="shared" si="57"/>
        <v>0</v>
      </c>
      <c r="L75" s="67">
        <f t="shared" si="57"/>
        <v>0</v>
      </c>
      <c r="M75" s="67">
        <f t="shared" si="57"/>
        <v>0</v>
      </c>
      <c r="N75" s="67">
        <f t="shared" si="57"/>
        <v>0</v>
      </c>
      <c r="O75" s="67"/>
      <c r="P75" s="326">
        <f t="shared" ref="P75:P98" si="58">SUM(E75:N75)</f>
        <v>1641212917.6875</v>
      </c>
      <c r="Q75" s="2"/>
      <c r="S75" s="2"/>
    </row>
    <row r="76" spans="1:19" x14ac:dyDescent="0.15">
      <c r="B76" s="355" t="s">
        <v>690</v>
      </c>
      <c r="C76" s="362" t="s">
        <v>690</v>
      </c>
      <c r="D76" s="331">
        <f t="shared" si="55"/>
        <v>0</v>
      </c>
      <c r="E76" s="331">
        <f>E160*0.85</f>
        <v>0</v>
      </c>
      <c r="F76" s="331">
        <f t="shared" ref="F76:N76" si="59">F160*0.85</f>
        <v>0</v>
      </c>
      <c r="G76" s="331">
        <f t="shared" si="59"/>
        <v>0</v>
      </c>
      <c r="H76" s="331">
        <f t="shared" si="59"/>
        <v>0</v>
      </c>
      <c r="I76" s="331">
        <f t="shared" si="59"/>
        <v>0</v>
      </c>
      <c r="J76" s="331">
        <f t="shared" si="59"/>
        <v>0</v>
      </c>
      <c r="K76" s="331">
        <f t="shared" si="59"/>
        <v>0</v>
      </c>
      <c r="L76" s="331">
        <f t="shared" si="59"/>
        <v>0</v>
      </c>
      <c r="M76" s="331">
        <f t="shared" si="59"/>
        <v>0</v>
      </c>
      <c r="N76" s="331">
        <f t="shared" si="59"/>
        <v>0</v>
      </c>
      <c r="O76" s="363"/>
      <c r="P76" s="356">
        <f t="shared" si="58"/>
        <v>0</v>
      </c>
      <c r="Q76" s="460"/>
      <c r="S76" s="2"/>
    </row>
    <row r="77" spans="1:19" x14ac:dyDescent="0.15">
      <c r="B77" s="340" t="s">
        <v>691</v>
      </c>
      <c r="C77" s="354" t="s">
        <v>691</v>
      </c>
      <c r="D77" s="67">
        <f t="shared" si="55"/>
        <v>0</v>
      </c>
      <c r="E77" s="67">
        <f>E161</f>
        <v>0</v>
      </c>
      <c r="F77" s="67">
        <f t="shared" ref="F77:N77" si="60">F161</f>
        <v>0</v>
      </c>
      <c r="G77" s="67">
        <f t="shared" si="60"/>
        <v>0</v>
      </c>
      <c r="H77" s="67">
        <f t="shared" si="60"/>
        <v>0</v>
      </c>
      <c r="I77" s="67">
        <f t="shared" si="60"/>
        <v>0</v>
      </c>
      <c r="J77" s="67">
        <f t="shared" si="60"/>
        <v>0</v>
      </c>
      <c r="K77" s="67">
        <f t="shared" si="60"/>
        <v>0</v>
      </c>
      <c r="L77" s="67">
        <f t="shared" si="60"/>
        <v>0</v>
      </c>
      <c r="M77" s="67">
        <f t="shared" si="60"/>
        <v>0</v>
      </c>
      <c r="N77" s="67">
        <f t="shared" si="60"/>
        <v>0</v>
      </c>
      <c r="O77" s="67"/>
      <c r="P77" s="326">
        <f t="shared" si="58"/>
        <v>0</v>
      </c>
      <c r="Q77" s="2"/>
      <c r="S77" s="2"/>
    </row>
    <row r="78" spans="1:19" x14ac:dyDescent="0.15">
      <c r="B78" s="340" t="s">
        <v>695</v>
      </c>
      <c r="C78" s="12"/>
      <c r="D78" s="67">
        <f t="shared" si="55"/>
        <v>0</v>
      </c>
      <c r="E78" s="67">
        <f>E77+E76+E75</f>
        <v>300000000</v>
      </c>
      <c r="F78" s="67">
        <f t="shared" ref="F78:N78" si="61">F77+F76+F75</f>
        <v>313500000.00000006</v>
      </c>
      <c r="G78" s="67">
        <f t="shared" si="61"/>
        <v>327607500.00000006</v>
      </c>
      <c r="H78" s="67">
        <f t="shared" si="61"/>
        <v>342349837.50000012</v>
      </c>
      <c r="I78" s="67">
        <f t="shared" si="61"/>
        <v>357755580.18750012</v>
      </c>
      <c r="J78" s="67">
        <f t="shared" si="61"/>
        <v>0</v>
      </c>
      <c r="K78" s="67">
        <f t="shared" si="61"/>
        <v>0</v>
      </c>
      <c r="L78" s="67">
        <f t="shared" si="61"/>
        <v>0</v>
      </c>
      <c r="M78" s="67">
        <f t="shared" si="61"/>
        <v>0</v>
      </c>
      <c r="N78" s="67">
        <f t="shared" si="61"/>
        <v>0</v>
      </c>
      <c r="O78" s="67"/>
      <c r="P78" s="326">
        <f t="shared" si="58"/>
        <v>1641212917.6875</v>
      </c>
      <c r="Q78" s="2"/>
      <c r="S78" s="2"/>
    </row>
    <row r="79" spans="1:19" x14ac:dyDescent="0.15">
      <c r="B79" s="340" t="s">
        <v>696</v>
      </c>
      <c r="C79" s="12" t="s">
        <v>289</v>
      </c>
      <c r="D79" s="67">
        <f t="shared" si="55"/>
        <v>0</v>
      </c>
      <c r="E79" s="67">
        <f>Expenses!D18+(Expenses!D25*0.85)+Expenses!D32+Expenses!D39+(Expenses!D44*0.85)+Expenses!D49+Expenses!D56+Expenses!D95-Expenses!D77</f>
        <v>230170000</v>
      </c>
      <c r="F79" s="67">
        <f>Expenses!E18+(Expenses!E25*0.85)+Expenses!E32+Expenses!E39+(Expenses!E44*0.85)+Expenses!E49+Expenses!E56+Expenses!E95-Expenses!E77</f>
        <v>253018375.00000003</v>
      </c>
      <c r="G79" s="67">
        <f>Expenses!F18+(Expenses!F25*0.85)+Expenses!F32+Expenses!F39+(Expenses!F44*0.85)+Expenses!F49+Expenses!F56+Expenses!F95-Expenses!F77</f>
        <v>278725718.45125008</v>
      </c>
      <c r="H79" s="67">
        <f>Expenses!G18+(Expenses!G25*0.85)+Expenses!G32+Expenses!G39+(Expenses!G44*0.85)+Expenses!G49+Expenses!G56+Expenses!G95-Expenses!G77</f>
        <v>307665975.06072807</v>
      </c>
      <c r="I79" s="67">
        <f>Expenses!H18+(Expenses!H25*0.85)+Expenses!H32+Expenses!H39+(Expenses!H44*0.85)+Expenses!H49+Expenses!H56+Expenses!H95-Expenses!H77</f>
        <v>340262566.36057305</v>
      </c>
      <c r="J79" s="67">
        <f>Expenses!I18+(Expenses!I25*0.85)+Expenses!I32+Expenses!I39+(Expenses!I44*0.85)+Expenses!I49+Expenses!I56+Expenses!I95-Expenses!I77</f>
        <v>0</v>
      </c>
      <c r="K79" s="67">
        <f>Expenses!J18+(Expenses!J25*0.85)+Expenses!J32+Expenses!J39+(Expenses!J44*0.85)+Expenses!J49+Expenses!J56+Expenses!J95-Expenses!J77</f>
        <v>0</v>
      </c>
      <c r="L79" s="67">
        <f>Expenses!K18+(Expenses!K25*0.85)+Expenses!K32+Expenses!K39+(Expenses!K44*0.85)+Expenses!K49+Expenses!K56+Expenses!K95-Expenses!K77</f>
        <v>0</v>
      </c>
      <c r="M79" s="67">
        <f>Expenses!L18+(Expenses!L25*0.85)+Expenses!L32+Expenses!L39+(Expenses!L44*0.85)+Expenses!L49+Expenses!L56+Expenses!L95-Expenses!L77</f>
        <v>0</v>
      </c>
      <c r="N79" s="67">
        <f>Expenses!M18+(Expenses!M25*0.85)+Expenses!M32+Expenses!M39+(Expenses!M44*0.85)+Expenses!M49+Expenses!M56+Expenses!M95-Expenses!M77</f>
        <v>0</v>
      </c>
      <c r="O79" s="67">
        <v>0</v>
      </c>
      <c r="P79" s="326">
        <f t="shared" si="58"/>
        <v>1409842634.8725512</v>
      </c>
      <c r="Q79" s="2"/>
      <c r="S79" s="2"/>
    </row>
    <row r="80" spans="1:19" x14ac:dyDescent="0.15">
      <c r="B80" s="340">
        <v>3</v>
      </c>
      <c r="C80" s="12" t="s">
        <v>290</v>
      </c>
      <c r="D80" s="67">
        <f t="shared" si="55"/>
        <v>0</v>
      </c>
      <c r="E80" s="67">
        <f>E78-E79</f>
        <v>69830000</v>
      </c>
      <c r="F80" s="67">
        <f t="shared" ref="F80:N80" si="62">F78-F79</f>
        <v>60481625.00000003</v>
      </c>
      <c r="G80" s="67">
        <f t="shared" si="62"/>
        <v>48881781.548749983</v>
      </c>
      <c r="H80" s="67">
        <f t="shared" si="62"/>
        <v>34683862.439272046</v>
      </c>
      <c r="I80" s="67">
        <f t="shared" si="62"/>
        <v>17493013.826927066</v>
      </c>
      <c r="J80" s="67">
        <f t="shared" si="62"/>
        <v>0</v>
      </c>
      <c r="K80" s="67">
        <f t="shared" si="62"/>
        <v>0</v>
      </c>
      <c r="L80" s="67">
        <f t="shared" si="62"/>
        <v>0</v>
      </c>
      <c r="M80" s="67">
        <f t="shared" si="62"/>
        <v>0</v>
      </c>
      <c r="N80" s="67">
        <f t="shared" si="62"/>
        <v>0</v>
      </c>
      <c r="O80" s="67">
        <v>0</v>
      </c>
      <c r="P80" s="326">
        <f t="shared" si="58"/>
        <v>231370282.81494913</v>
      </c>
      <c r="Q80" s="2"/>
      <c r="S80" s="2"/>
    </row>
    <row r="81" spans="2:19" x14ac:dyDescent="0.15">
      <c r="B81" s="340" t="s">
        <v>697</v>
      </c>
      <c r="C81" s="12" t="s">
        <v>292</v>
      </c>
      <c r="D81" s="67">
        <f t="shared" si="55"/>
        <v>0</v>
      </c>
      <c r="E81" s="67">
        <f>E165</f>
        <v>3772500</v>
      </c>
      <c r="F81" s="67">
        <f t="shared" ref="F81:N81" si="63">F165</f>
        <v>6218850</v>
      </c>
      <c r="G81" s="67">
        <f t="shared" si="63"/>
        <v>4083150</v>
      </c>
      <c r="H81" s="67">
        <f t="shared" si="63"/>
        <v>2775510</v>
      </c>
      <c r="I81" s="67">
        <f t="shared" si="63"/>
        <v>1352955</v>
      </c>
      <c r="J81" s="67">
        <f t="shared" si="63"/>
        <v>0</v>
      </c>
      <c r="K81" s="67">
        <f t="shared" si="63"/>
        <v>0</v>
      </c>
      <c r="L81" s="67">
        <f t="shared" si="63"/>
        <v>0</v>
      </c>
      <c r="M81" s="67">
        <f t="shared" si="63"/>
        <v>0</v>
      </c>
      <c r="N81" s="67">
        <f t="shared" si="63"/>
        <v>0</v>
      </c>
      <c r="O81" s="67">
        <v>0</v>
      </c>
      <c r="P81" s="326">
        <f t="shared" si="58"/>
        <v>18202965</v>
      </c>
      <c r="Q81" s="2"/>
      <c r="S81" s="2"/>
    </row>
    <row r="82" spans="2:19" x14ac:dyDescent="0.15">
      <c r="B82" s="340">
        <v>5</v>
      </c>
      <c r="C82" s="12" t="s">
        <v>293</v>
      </c>
      <c r="D82" s="67">
        <f t="shared" si="55"/>
        <v>0</v>
      </c>
      <c r="E82" s="67">
        <f>E80-E81</f>
        <v>66057500</v>
      </c>
      <c r="F82" s="67">
        <f t="shared" ref="F82:N82" si="64">F80-F81</f>
        <v>54262775.00000003</v>
      </c>
      <c r="G82" s="67">
        <f t="shared" si="64"/>
        <v>44798631.548749983</v>
      </c>
      <c r="H82" s="67">
        <f t="shared" si="64"/>
        <v>31908352.439272046</v>
      </c>
      <c r="I82" s="67">
        <f t="shared" si="64"/>
        <v>16140058.826927066</v>
      </c>
      <c r="J82" s="67">
        <f t="shared" si="64"/>
        <v>0</v>
      </c>
      <c r="K82" s="67">
        <f t="shared" si="64"/>
        <v>0</v>
      </c>
      <c r="L82" s="67">
        <f t="shared" si="64"/>
        <v>0</v>
      </c>
      <c r="M82" s="67">
        <f t="shared" si="64"/>
        <v>0</v>
      </c>
      <c r="N82" s="67">
        <f t="shared" si="64"/>
        <v>0</v>
      </c>
      <c r="O82" s="67">
        <v>0</v>
      </c>
      <c r="P82" s="326">
        <f t="shared" si="58"/>
        <v>213167317.81494913</v>
      </c>
      <c r="Q82" s="2"/>
      <c r="S82" s="2"/>
    </row>
    <row r="83" spans="2:19" x14ac:dyDescent="0.15">
      <c r="B83" s="340" t="s">
        <v>698</v>
      </c>
      <c r="C83" s="12" t="s">
        <v>295</v>
      </c>
      <c r="D83" s="67">
        <f t="shared" si="55"/>
        <v>0</v>
      </c>
      <c r="E83" s="67">
        <f>E167</f>
        <v>0</v>
      </c>
      <c r="F83" s="67">
        <f t="shared" ref="F83:N83" si="65">F167</f>
        <v>0</v>
      </c>
      <c r="G83" s="67">
        <f t="shared" si="65"/>
        <v>0</v>
      </c>
      <c r="H83" s="67">
        <f t="shared" si="65"/>
        <v>0</v>
      </c>
      <c r="I83" s="67">
        <f t="shared" si="65"/>
        <v>0</v>
      </c>
      <c r="J83" s="67">
        <f t="shared" si="65"/>
        <v>0</v>
      </c>
      <c r="K83" s="67">
        <f t="shared" si="65"/>
        <v>0</v>
      </c>
      <c r="L83" s="67">
        <f t="shared" si="65"/>
        <v>0</v>
      </c>
      <c r="M83" s="67">
        <f t="shared" si="65"/>
        <v>0</v>
      </c>
      <c r="N83" s="67">
        <f t="shared" si="65"/>
        <v>0</v>
      </c>
      <c r="O83" s="67">
        <v>0</v>
      </c>
      <c r="P83" s="326">
        <f t="shared" si="58"/>
        <v>0</v>
      </c>
      <c r="Q83" s="2"/>
      <c r="S83" s="2"/>
    </row>
    <row r="84" spans="2:19" x14ac:dyDescent="0.15">
      <c r="B84" s="340">
        <v>7</v>
      </c>
      <c r="C84" s="12" t="s">
        <v>296</v>
      </c>
      <c r="D84" s="67">
        <f t="shared" si="55"/>
        <v>0</v>
      </c>
      <c r="E84" s="67">
        <f>E82-E83</f>
        <v>66057500</v>
      </c>
      <c r="F84" s="67">
        <f t="shared" ref="F84:N84" si="66">F82-F83</f>
        <v>54262775.00000003</v>
      </c>
      <c r="G84" s="67">
        <f t="shared" si="66"/>
        <v>44798631.548749983</v>
      </c>
      <c r="H84" s="67">
        <f t="shared" si="66"/>
        <v>31908352.439272046</v>
      </c>
      <c r="I84" s="67">
        <f t="shared" si="66"/>
        <v>16140058.826927066</v>
      </c>
      <c r="J84" s="67">
        <f t="shared" si="66"/>
        <v>0</v>
      </c>
      <c r="K84" s="67">
        <f t="shared" si="66"/>
        <v>0</v>
      </c>
      <c r="L84" s="67">
        <f t="shared" si="66"/>
        <v>0</v>
      </c>
      <c r="M84" s="67">
        <f t="shared" si="66"/>
        <v>0</v>
      </c>
      <c r="N84" s="67">
        <f t="shared" si="66"/>
        <v>0</v>
      </c>
      <c r="O84" s="67">
        <v>0</v>
      </c>
      <c r="P84" s="326">
        <f t="shared" si="58"/>
        <v>213167317.81494913</v>
      </c>
      <c r="Q84" s="2"/>
      <c r="S84" s="2"/>
    </row>
    <row r="85" spans="2:19" x14ac:dyDescent="0.15">
      <c r="B85" s="340">
        <v>8</v>
      </c>
      <c r="C85" s="12" t="s">
        <v>297</v>
      </c>
      <c r="D85" s="67">
        <f t="shared" si="55"/>
        <v>0</v>
      </c>
      <c r="E85" s="67">
        <f>-E84*$D$3</f>
        <v>-19817250</v>
      </c>
      <c r="F85" s="67">
        <f t="shared" ref="F85:N85" si="67">-F84*$D$3</f>
        <v>-16278832.500000007</v>
      </c>
      <c r="G85" s="67">
        <f t="shared" si="67"/>
        <v>-13439589.464624995</v>
      </c>
      <c r="H85" s="67">
        <f t="shared" si="67"/>
        <v>-9572505.7317816131</v>
      </c>
      <c r="I85" s="67">
        <f t="shared" si="67"/>
        <v>-4842017.6480781194</v>
      </c>
      <c r="J85" s="67">
        <f t="shared" si="67"/>
        <v>0</v>
      </c>
      <c r="K85" s="67">
        <f t="shared" si="67"/>
        <v>0</v>
      </c>
      <c r="L85" s="67">
        <f t="shared" si="67"/>
        <v>0</v>
      </c>
      <c r="M85" s="67">
        <f t="shared" si="67"/>
        <v>0</v>
      </c>
      <c r="N85" s="67">
        <f t="shared" si="67"/>
        <v>0</v>
      </c>
      <c r="O85" s="67">
        <v>0</v>
      </c>
      <c r="P85" s="326">
        <f t="shared" si="58"/>
        <v>-63950195.344484739</v>
      </c>
      <c r="Q85" s="2"/>
      <c r="S85" s="2"/>
    </row>
    <row r="86" spans="2:19" x14ac:dyDescent="0.15">
      <c r="B86" s="340">
        <v>9</v>
      </c>
      <c r="C86" s="12" t="s">
        <v>298</v>
      </c>
      <c r="D86" s="67">
        <f t="shared" si="55"/>
        <v>0</v>
      </c>
      <c r="E86" s="67">
        <f>E170</f>
        <v>0</v>
      </c>
      <c r="F86" s="67">
        <f t="shared" ref="F86:N86" si="68">F170</f>
        <v>0</v>
      </c>
      <c r="G86" s="67">
        <f t="shared" si="68"/>
        <v>0</v>
      </c>
      <c r="H86" s="67">
        <f t="shared" si="68"/>
        <v>0</v>
      </c>
      <c r="I86" s="67">
        <f t="shared" si="68"/>
        <v>0</v>
      </c>
      <c r="J86" s="67">
        <f t="shared" si="68"/>
        <v>0</v>
      </c>
      <c r="K86" s="67">
        <f t="shared" si="68"/>
        <v>0</v>
      </c>
      <c r="L86" s="67">
        <f t="shared" si="68"/>
        <v>0</v>
      </c>
      <c r="M86" s="67">
        <f t="shared" si="68"/>
        <v>0</v>
      </c>
      <c r="N86" s="67">
        <f t="shared" si="68"/>
        <v>0</v>
      </c>
      <c r="O86" s="67">
        <v>0</v>
      </c>
      <c r="P86" s="326">
        <f t="shared" si="58"/>
        <v>0</v>
      </c>
      <c r="Q86" s="2"/>
      <c r="S86" s="2"/>
    </row>
    <row r="87" spans="2:19" x14ac:dyDescent="0.15">
      <c r="B87" s="340">
        <v>10</v>
      </c>
      <c r="C87" s="12" t="s">
        <v>299</v>
      </c>
      <c r="D87" s="67">
        <f t="shared" si="55"/>
        <v>0</v>
      </c>
      <c r="E87" s="67">
        <f>E84+E85+E86</f>
        <v>46240250</v>
      </c>
      <c r="F87" s="67">
        <f t="shared" ref="F87:N87" si="69">F84+F85+F86</f>
        <v>37983942.500000022</v>
      </c>
      <c r="G87" s="67">
        <f t="shared" si="69"/>
        <v>31359042.08412499</v>
      </c>
      <c r="H87" s="67">
        <f t="shared" si="69"/>
        <v>22335846.707490433</v>
      </c>
      <c r="I87" s="67">
        <f t="shared" si="69"/>
        <v>11298041.178848946</v>
      </c>
      <c r="J87" s="67">
        <f t="shared" si="69"/>
        <v>0</v>
      </c>
      <c r="K87" s="67">
        <f t="shared" si="69"/>
        <v>0</v>
      </c>
      <c r="L87" s="67">
        <f t="shared" si="69"/>
        <v>0</v>
      </c>
      <c r="M87" s="67">
        <f t="shared" si="69"/>
        <v>0</v>
      </c>
      <c r="N87" s="67">
        <f t="shared" si="69"/>
        <v>0</v>
      </c>
      <c r="O87" s="67">
        <v>0</v>
      </c>
      <c r="P87" s="326">
        <f t="shared" si="58"/>
        <v>149217122.47046441</v>
      </c>
      <c r="Q87" s="2"/>
      <c r="S87" s="2"/>
    </row>
    <row r="88" spans="2:19" x14ac:dyDescent="0.15">
      <c r="B88" s="340" t="s">
        <v>699</v>
      </c>
      <c r="C88" s="12" t="s">
        <v>292</v>
      </c>
      <c r="D88" s="67">
        <f t="shared" si="55"/>
        <v>0</v>
      </c>
      <c r="E88" s="67">
        <f>E172</f>
        <v>3772500</v>
      </c>
      <c r="F88" s="67">
        <f t="shared" ref="F88:N88" si="70">F172</f>
        <v>6218850</v>
      </c>
      <c r="G88" s="67">
        <f t="shared" si="70"/>
        <v>4083150</v>
      </c>
      <c r="H88" s="67">
        <f t="shared" si="70"/>
        <v>2775510</v>
      </c>
      <c r="I88" s="67">
        <f t="shared" si="70"/>
        <v>1352955</v>
      </c>
      <c r="J88" s="67">
        <f t="shared" si="70"/>
        <v>0</v>
      </c>
      <c r="K88" s="67">
        <f t="shared" si="70"/>
        <v>0</v>
      </c>
      <c r="L88" s="67">
        <f t="shared" si="70"/>
        <v>0</v>
      </c>
      <c r="M88" s="67">
        <f t="shared" si="70"/>
        <v>0</v>
      </c>
      <c r="N88" s="67">
        <f t="shared" si="70"/>
        <v>0</v>
      </c>
      <c r="O88" s="67">
        <v>0</v>
      </c>
      <c r="P88" s="326">
        <f t="shared" si="58"/>
        <v>18202965</v>
      </c>
      <c r="Q88" s="2"/>
      <c r="S88" s="2"/>
    </row>
    <row r="89" spans="2:19" x14ac:dyDescent="0.15">
      <c r="B89" s="340">
        <v>12</v>
      </c>
      <c r="C89" s="12" t="s">
        <v>301</v>
      </c>
      <c r="D89" s="67">
        <f t="shared" si="55"/>
        <v>0</v>
      </c>
      <c r="E89" s="67">
        <f>E87+E88</f>
        <v>50012750</v>
      </c>
      <c r="F89" s="67">
        <f t="shared" ref="F89:N89" si="71">F87+F88</f>
        <v>44202792.500000022</v>
      </c>
      <c r="G89" s="67">
        <f t="shared" si="71"/>
        <v>35442192.08412499</v>
      </c>
      <c r="H89" s="67">
        <f t="shared" si="71"/>
        <v>25111356.707490433</v>
      </c>
      <c r="I89" s="67">
        <f t="shared" si="71"/>
        <v>12650996.178848946</v>
      </c>
      <c r="J89" s="67">
        <f t="shared" si="71"/>
        <v>0</v>
      </c>
      <c r="K89" s="67">
        <f t="shared" si="71"/>
        <v>0</v>
      </c>
      <c r="L89" s="67">
        <f t="shared" si="71"/>
        <v>0</v>
      </c>
      <c r="M89" s="67">
        <f t="shared" si="71"/>
        <v>0</v>
      </c>
      <c r="N89" s="67">
        <f t="shared" si="71"/>
        <v>0</v>
      </c>
      <c r="O89" s="67">
        <v>0</v>
      </c>
      <c r="P89" s="326">
        <f t="shared" si="58"/>
        <v>167420087.47046441</v>
      </c>
      <c r="Q89" s="2"/>
      <c r="S89" s="2"/>
    </row>
    <row r="90" spans="2:19" x14ac:dyDescent="0.15">
      <c r="B90" s="340" t="s">
        <v>700</v>
      </c>
      <c r="C90" s="12" t="s">
        <v>303</v>
      </c>
      <c r="D90" s="67">
        <v>0</v>
      </c>
      <c r="E90" s="67">
        <f t="shared" ref="E90:N90" si="72">E174</f>
        <v>0</v>
      </c>
      <c r="F90" s="67">
        <f t="shared" si="72"/>
        <v>0</v>
      </c>
      <c r="G90" s="67">
        <f t="shared" si="72"/>
        <v>0</v>
      </c>
      <c r="H90" s="67">
        <f t="shared" si="72"/>
        <v>0</v>
      </c>
      <c r="I90" s="67">
        <f t="shared" si="72"/>
        <v>0</v>
      </c>
      <c r="J90" s="67">
        <f t="shared" si="72"/>
        <v>0</v>
      </c>
      <c r="K90" s="67">
        <f t="shared" si="72"/>
        <v>0</v>
      </c>
      <c r="L90" s="67">
        <f t="shared" si="72"/>
        <v>0</v>
      </c>
      <c r="M90" s="67">
        <f t="shared" si="72"/>
        <v>0</v>
      </c>
      <c r="N90" s="67">
        <f t="shared" si="72"/>
        <v>0</v>
      </c>
      <c r="O90" s="67">
        <v>0</v>
      </c>
      <c r="P90" s="326">
        <f t="shared" si="58"/>
        <v>0</v>
      </c>
      <c r="Q90" s="2"/>
      <c r="S90" s="2"/>
    </row>
    <row r="91" spans="2:19" x14ac:dyDescent="0.15">
      <c r="B91" s="340">
        <v>14</v>
      </c>
      <c r="C91" s="12" t="s">
        <v>304</v>
      </c>
      <c r="D91" s="67">
        <f t="shared" ref="D91:D97" si="73">D175</f>
        <v>-32550000</v>
      </c>
      <c r="E91" s="67">
        <f t="shared" ref="E91:N91" si="74">E175</f>
        <v>0</v>
      </c>
      <c r="F91" s="67">
        <f t="shared" si="74"/>
        <v>0</v>
      </c>
      <c r="G91" s="67">
        <f t="shared" si="74"/>
        <v>0</v>
      </c>
      <c r="H91" s="67">
        <f t="shared" si="74"/>
        <v>0</v>
      </c>
      <c r="I91" s="67">
        <f t="shared" si="74"/>
        <v>14347035</v>
      </c>
      <c r="J91" s="67">
        <f t="shared" si="74"/>
        <v>0</v>
      </c>
      <c r="K91" s="67">
        <f t="shared" si="74"/>
        <v>0</v>
      </c>
      <c r="L91" s="67">
        <f t="shared" si="74"/>
        <v>0</v>
      </c>
      <c r="M91" s="67">
        <f t="shared" si="74"/>
        <v>0</v>
      </c>
      <c r="N91" s="67">
        <f t="shared" si="74"/>
        <v>0</v>
      </c>
      <c r="O91" s="67">
        <v>0</v>
      </c>
      <c r="P91" s="326">
        <f t="shared" si="58"/>
        <v>14347035</v>
      </c>
      <c r="Q91" s="2"/>
      <c r="S91" s="2"/>
    </row>
    <row r="92" spans="2:19" x14ac:dyDescent="0.15">
      <c r="B92" s="340" t="s">
        <v>701</v>
      </c>
      <c r="C92" s="12" t="s">
        <v>207</v>
      </c>
      <c r="D92" s="67">
        <f t="shared" si="73"/>
        <v>-31050000</v>
      </c>
      <c r="E92" s="67">
        <f t="shared" ref="E92:N92" si="75">E176</f>
        <v>0</v>
      </c>
      <c r="F92" s="67">
        <f t="shared" si="75"/>
        <v>0</v>
      </c>
      <c r="G92" s="67">
        <f t="shared" si="75"/>
        <v>0</v>
      </c>
      <c r="H92" s="67">
        <f t="shared" si="75"/>
        <v>0</v>
      </c>
      <c r="I92" s="67">
        <f t="shared" si="75"/>
        <v>12847035</v>
      </c>
      <c r="J92" s="67">
        <f t="shared" si="75"/>
        <v>0</v>
      </c>
      <c r="K92" s="67">
        <f t="shared" si="75"/>
        <v>0</v>
      </c>
      <c r="L92" s="67">
        <f t="shared" si="75"/>
        <v>0</v>
      </c>
      <c r="M92" s="67">
        <f t="shared" si="75"/>
        <v>0</v>
      </c>
      <c r="N92" s="67">
        <f t="shared" si="75"/>
        <v>0</v>
      </c>
      <c r="O92" s="67">
        <v>0</v>
      </c>
      <c r="P92" s="326">
        <f t="shared" si="58"/>
        <v>12847035</v>
      </c>
      <c r="Q92" s="2"/>
      <c r="S92" s="2"/>
    </row>
    <row r="93" spans="2:19" x14ac:dyDescent="0.15">
      <c r="B93" s="340" t="s">
        <v>702</v>
      </c>
      <c r="C93" s="12" t="s">
        <v>307</v>
      </c>
      <c r="D93" s="67">
        <f t="shared" si="73"/>
        <v>-1500000</v>
      </c>
      <c r="E93" s="67">
        <f t="shared" ref="E93:N93" si="76">E177</f>
        <v>0</v>
      </c>
      <c r="F93" s="67">
        <f t="shared" si="76"/>
        <v>0</v>
      </c>
      <c r="G93" s="67">
        <f t="shared" si="76"/>
        <v>0</v>
      </c>
      <c r="H93" s="67">
        <f t="shared" si="76"/>
        <v>0</v>
      </c>
      <c r="I93" s="67">
        <f t="shared" si="76"/>
        <v>1500000</v>
      </c>
      <c r="J93" s="67">
        <f t="shared" si="76"/>
        <v>0</v>
      </c>
      <c r="K93" s="67">
        <f t="shared" si="76"/>
        <v>0</v>
      </c>
      <c r="L93" s="67">
        <f t="shared" si="76"/>
        <v>0</v>
      </c>
      <c r="M93" s="67">
        <f t="shared" si="76"/>
        <v>0</v>
      </c>
      <c r="N93" s="67">
        <f t="shared" si="76"/>
        <v>0</v>
      </c>
      <c r="O93" s="67">
        <v>0</v>
      </c>
      <c r="P93" s="326">
        <f t="shared" si="58"/>
        <v>1500000</v>
      </c>
      <c r="Q93" s="2"/>
      <c r="S93" s="2"/>
    </row>
    <row r="94" spans="2:19" x14ac:dyDescent="0.15">
      <c r="B94" s="340" t="s">
        <v>703</v>
      </c>
      <c r="C94" s="12" t="s">
        <v>309</v>
      </c>
      <c r="D94" s="67">
        <f t="shared" si="73"/>
        <v>0</v>
      </c>
      <c r="E94" s="67">
        <f t="shared" ref="E94:N94" si="77">E178</f>
        <v>0</v>
      </c>
      <c r="F94" s="67">
        <f t="shared" si="77"/>
        <v>0</v>
      </c>
      <c r="G94" s="67">
        <f t="shared" si="77"/>
        <v>0</v>
      </c>
      <c r="H94" s="67">
        <f t="shared" si="77"/>
        <v>0</v>
      </c>
      <c r="I94" s="67">
        <f t="shared" si="77"/>
        <v>0</v>
      </c>
      <c r="J94" s="67">
        <f t="shared" si="77"/>
        <v>0</v>
      </c>
      <c r="K94" s="67">
        <f t="shared" si="77"/>
        <v>0</v>
      </c>
      <c r="L94" s="67">
        <f t="shared" si="77"/>
        <v>0</v>
      </c>
      <c r="M94" s="67">
        <f t="shared" si="77"/>
        <v>0</v>
      </c>
      <c r="N94" s="67">
        <f t="shared" si="77"/>
        <v>0</v>
      </c>
      <c r="O94" s="67">
        <v>0</v>
      </c>
      <c r="P94" s="326">
        <f t="shared" si="58"/>
        <v>0</v>
      </c>
      <c r="Q94" s="2"/>
      <c r="S94" s="2"/>
    </row>
    <row r="95" spans="2:19" x14ac:dyDescent="0.15">
      <c r="B95" s="340" t="s">
        <v>704</v>
      </c>
      <c r="C95" s="12" t="s">
        <v>311</v>
      </c>
      <c r="D95" s="67">
        <f t="shared" si="73"/>
        <v>0</v>
      </c>
      <c r="E95" s="67">
        <f t="shared" ref="E95:N95" si="78">E179</f>
        <v>0</v>
      </c>
      <c r="F95" s="67">
        <f t="shared" si="78"/>
        <v>0</v>
      </c>
      <c r="G95" s="67">
        <f t="shared" si="78"/>
        <v>0</v>
      </c>
      <c r="H95" s="67">
        <f t="shared" si="78"/>
        <v>0</v>
      </c>
      <c r="I95" s="67">
        <f t="shared" si="78"/>
        <v>-2596968.7000000002</v>
      </c>
      <c r="J95" s="67">
        <f t="shared" si="78"/>
        <v>0</v>
      </c>
      <c r="K95" s="67">
        <f t="shared" si="78"/>
        <v>0</v>
      </c>
      <c r="L95" s="67">
        <f t="shared" si="78"/>
        <v>0</v>
      </c>
      <c r="M95" s="67">
        <f t="shared" si="78"/>
        <v>0</v>
      </c>
      <c r="N95" s="67">
        <f t="shared" si="78"/>
        <v>0</v>
      </c>
      <c r="O95" s="67">
        <v>0</v>
      </c>
      <c r="P95" s="326">
        <f t="shared" si="58"/>
        <v>-2596968.7000000002</v>
      </c>
      <c r="Q95" s="2"/>
      <c r="S95" s="2"/>
    </row>
    <row r="96" spans="2:19" ht="14" thickBot="1" x14ac:dyDescent="0.2">
      <c r="B96" s="340" t="s">
        <v>705</v>
      </c>
      <c r="C96" s="12" t="s">
        <v>115</v>
      </c>
      <c r="D96" s="67">
        <f t="shared" si="73"/>
        <v>-60000000</v>
      </c>
      <c r="E96" s="67">
        <f t="shared" ref="E96:N96" si="79">E180</f>
        <v>0</v>
      </c>
      <c r="F96" s="67">
        <f t="shared" si="79"/>
        <v>0</v>
      </c>
      <c r="G96" s="67">
        <f t="shared" si="79"/>
        <v>0</v>
      </c>
      <c r="H96" s="67">
        <f t="shared" si="79"/>
        <v>0</v>
      </c>
      <c r="I96" s="67">
        <f t="shared" si="79"/>
        <v>60000000</v>
      </c>
      <c r="J96" s="67">
        <f t="shared" si="79"/>
        <v>0</v>
      </c>
      <c r="K96" s="67">
        <f t="shared" si="79"/>
        <v>0</v>
      </c>
      <c r="L96" s="67">
        <f t="shared" si="79"/>
        <v>0</v>
      </c>
      <c r="M96" s="67">
        <f t="shared" si="79"/>
        <v>0</v>
      </c>
      <c r="N96" s="67">
        <f t="shared" si="79"/>
        <v>0</v>
      </c>
      <c r="O96" s="67">
        <v>0</v>
      </c>
      <c r="P96" s="326">
        <f t="shared" si="58"/>
        <v>60000000</v>
      </c>
      <c r="Q96" s="2"/>
      <c r="S96" s="2"/>
    </row>
    <row r="97" spans="1:19" x14ac:dyDescent="0.15">
      <c r="B97" s="340">
        <v>17</v>
      </c>
      <c r="C97" s="12" t="s">
        <v>313</v>
      </c>
      <c r="D97" s="67">
        <f t="shared" si="73"/>
        <v>-92550000</v>
      </c>
      <c r="E97" s="67">
        <f t="shared" ref="E97:N97" si="80">E181</f>
        <v>0</v>
      </c>
      <c r="F97" s="67">
        <f t="shared" si="80"/>
        <v>0</v>
      </c>
      <c r="G97" s="67">
        <f t="shared" si="80"/>
        <v>0</v>
      </c>
      <c r="H97" s="67">
        <f t="shared" si="80"/>
        <v>0</v>
      </c>
      <c r="I97" s="67">
        <f t="shared" si="80"/>
        <v>71750066.299999997</v>
      </c>
      <c r="J97" s="67">
        <f t="shared" si="80"/>
        <v>0</v>
      </c>
      <c r="K97" s="67">
        <f t="shared" si="80"/>
        <v>0</v>
      </c>
      <c r="L97" s="67">
        <f t="shared" si="80"/>
        <v>0</v>
      </c>
      <c r="M97" s="67">
        <f t="shared" si="80"/>
        <v>0</v>
      </c>
      <c r="N97" s="67">
        <f t="shared" si="80"/>
        <v>0</v>
      </c>
      <c r="O97" s="67">
        <v>0</v>
      </c>
      <c r="P97" s="326">
        <f t="shared" si="58"/>
        <v>71750066.299999997</v>
      </c>
      <c r="Q97" s="461"/>
      <c r="R97" s="357" t="s">
        <v>693</v>
      </c>
      <c r="S97" s="2"/>
    </row>
    <row r="98" spans="1:19" ht="14" thickBot="1" x14ac:dyDescent="0.2">
      <c r="A98" s="1" t="s">
        <v>706</v>
      </c>
      <c r="B98" s="355">
        <v>18</v>
      </c>
      <c r="C98" s="335" t="s">
        <v>314</v>
      </c>
      <c r="D98" s="331">
        <f>D97+D89</f>
        <v>-92550000</v>
      </c>
      <c r="E98" s="331">
        <f t="shared" ref="E98:N98" si="81">E97+E89</f>
        <v>50012750</v>
      </c>
      <c r="F98" s="331">
        <f t="shared" si="81"/>
        <v>44202792.500000022</v>
      </c>
      <c r="G98" s="331">
        <f t="shared" si="81"/>
        <v>35442192.08412499</v>
      </c>
      <c r="H98" s="331">
        <f t="shared" si="81"/>
        <v>25111356.707490433</v>
      </c>
      <c r="I98" s="331">
        <f t="shared" si="81"/>
        <v>84401062.478848949</v>
      </c>
      <c r="J98" s="331">
        <f t="shared" si="81"/>
        <v>0</v>
      </c>
      <c r="K98" s="331">
        <f t="shared" si="81"/>
        <v>0</v>
      </c>
      <c r="L98" s="331">
        <f t="shared" si="81"/>
        <v>0</v>
      </c>
      <c r="M98" s="331">
        <f t="shared" si="81"/>
        <v>0</v>
      </c>
      <c r="N98" s="331">
        <f t="shared" si="81"/>
        <v>0</v>
      </c>
      <c r="O98" s="331">
        <v>0</v>
      </c>
      <c r="P98" s="356">
        <f t="shared" si="58"/>
        <v>239170153.77046442</v>
      </c>
      <c r="Q98" s="463"/>
      <c r="R98" s="358">
        <f>IF(ISNUMBER(IRR(D98:N98)),IRR(D98:N98),"NMF")</f>
        <v>0.40549033935008683</v>
      </c>
      <c r="S98" s="1" t="s">
        <v>706</v>
      </c>
    </row>
    <row r="99" spans="1:19" x14ac:dyDescent="0.15">
      <c r="B99" s="145"/>
      <c r="S99" s="2"/>
    </row>
    <row r="100" spans="1:19" ht="14" thickBot="1" x14ac:dyDescent="0.2">
      <c r="B100" s="145"/>
      <c r="S100" s="2"/>
    </row>
    <row r="101" spans="1:19" ht="14" thickBot="1" x14ac:dyDescent="0.2">
      <c r="B101" s="359" t="s">
        <v>282</v>
      </c>
      <c r="C101" s="360" t="s">
        <v>283</v>
      </c>
      <c r="D101" s="360"/>
      <c r="E101" s="360">
        <v>1</v>
      </c>
      <c r="F101" s="360">
        <v>2</v>
      </c>
      <c r="G101" s="360">
        <v>3</v>
      </c>
      <c r="H101" s="360">
        <v>4</v>
      </c>
      <c r="I101" s="360">
        <v>5</v>
      </c>
      <c r="J101" s="360">
        <v>6</v>
      </c>
      <c r="K101" s="360">
        <v>7</v>
      </c>
      <c r="L101" s="360">
        <v>8</v>
      </c>
      <c r="M101" s="360">
        <v>9</v>
      </c>
      <c r="N101" s="360">
        <v>10</v>
      </c>
      <c r="O101" s="360" t="s">
        <v>284</v>
      </c>
      <c r="P101" s="361" t="s">
        <v>285</v>
      </c>
      <c r="S101" s="2"/>
    </row>
    <row r="102" spans="1:19" x14ac:dyDescent="0.15">
      <c r="B102" s="339" t="s">
        <v>687</v>
      </c>
      <c r="C102" s="302" t="s">
        <v>287</v>
      </c>
      <c r="D102" s="322">
        <f t="shared" ref="D102:D117" si="82">D158</f>
        <v>0</v>
      </c>
      <c r="E102" s="322">
        <f t="shared" ref="E102:N102" si="83">E158</f>
        <v>300000000</v>
      </c>
      <c r="F102" s="322">
        <f t="shared" si="83"/>
        <v>313500000.00000006</v>
      </c>
      <c r="G102" s="322">
        <f t="shared" si="83"/>
        <v>327607500.00000006</v>
      </c>
      <c r="H102" s="322">
        <f t="shared" si="83"/>
        <v>342349837.50000012</v>
      </c>
      <c r="I102" s="322">
        <f t="shared" si="83"/>
        <v>357755580.18750012</v>
      </c>
      <c r="J102" s="322">
        <f t="shared" si="83"/>
        <v>0</v>
      </c>
      <c r="K102" s="322">
        <f t="shared" si="83"/>
        <v>0</v>
      </c>
      <c r="L102" s="322">
        <f t="shared" si="83"/>
        <v>0</v>
      </c>
      <c r="M102" s="322">
        <f t="shared" si="83"/>
        <v>0</v>
      </c>
      <c r="N102" s="322">
        <f t="shared" si="83"/>
        <v>0</v>
      </c>
      <c r="O102" s="322">
        <v>0</v>
      </c>
      <c r="P102" s="325">
        <f>SUM(E102:N102)</f>
        <v>1641212917.6875</v>
      </c>
      <c r="Q102" s="2"/>
      <c r="S102" s="2"/>
    </row>
    <row r="103" spans="1:19" x14ac:dyDescent="0.15">
      <c r="A103" s="1" t="s">
        <v>707</v>
      </c>
      <c r="B103" s="340" t="s">
        <v>689</v>
      </c>
      <c r="C103" s="354" t="s">
        <v>689</v>
      </c>
      <c r="D103" s="67">
        <f t="shared" si="82"/>
        <v>0</v>
      </c>
      <c r="E103" s="67">
        <f>E159</f>
        <v>300000000</v>
      </c>
      <c r="F103" s="67">
        <f t="shared" ref="F103:N103" si="84">F159</f>
        <v>313500000.00000006</v>
      </c>
      <c r="G103" s="67">
        <f t="shared" si="84"/>
        <v>327607500.00000006</v>
      </c>
      <c r="H103" s="67">
        <f t="shared" si="84"/>
        <v>342349837.50000012</v>
      </c>
      <c r="I103" s="67">
        <f t="shared" si="84"/>
        <v>357755580.18750012</v>
      </c>
      <c r="J103" s="67">
        <f t="shared" si="84"/>
        <v>0</v>
      </c>
      <c r="K103" s="67">
        <f t="shared" si="84"/>
        <v>0</v>
      </c>
      <c r="L103" s="67">
        <f t="shared" si="84"/>
        <v>0</v>
      </c>
      <c r="M103" s="67">
        <f t="shared" si="84"/>
        <v>0</v>
      </c>
      <c r="N103" s="67">
        <f t="shared" si="84"/>
        <v>0</v>
      </c>
      <c r="O103" s="67"/>
      <c r="P103" s="326">
        <f t="shared" ref="P103:P126" si="85">SUM(E103:N103)</f>
        <v>1641212917.6875</v>
      </c>
      <c r="Q103" s="2"/>
      <c r="S103" s="2"/>
    </row>
    <row r="104" spans="1:19" x14ac:dyDescent="0.15">
      <c r="B104" s="355" t="s">
        <v>690</v>
      </c>
      <c r="C104" s="362" t="s">
        <v>690</v>
      </c>
      <c r="D104" s="331">
        <f t="shared" si="82"/>
        <v>0</v>
      </c>
      <c r="E104" s="331">
        <f>E160*0.9</f>
        <v>0</v>
      </c>
      <c r="F104" s="331">
        <f t="shared" ref="F104:N104" si="86">F160*0.9</f>
        <v>0</v>
      </c>
      <c r="G104" s="331">
        <f t="shared" si="86"/>
        <v>0</v>
      </c>
      <c r="H104" s="331">
        <f t="shared" si="86"/>
        <v>0</v>
      </c>
      <c r="I104" s="331">
        <f t="shared" si="86"/>
        <v>0</v>
      </c>
      <c r="J104" s="331">
        <f t="shared" si="86"/>
        <v>0</v>
      </c>
      <c r="K104" s="331">
        <f t="shared" si="86"/>
        <v>0</v>
      </c>
      <c r="L104" s="331">
        <f t="shared" si="86"/>
        <v>0</v>
      </c>
      <c r="M104" s="331">
        <f t="shared" si="86"/>
        <v>0</v>
      </c>
      <c r="N104" s="331">
        <f t="shared" si="86"/>
        <v>0</v>
      </c>
      <c r="O104" s="363"/>
      <c r="P104" s="356">
        <f t="shared" si="85"/>
        <v>0</v>
      </c>
      <c r="Q104" s="460"/>
      <c r="S104" s="2"/>
    </row>
    <row r="105" spans="1:19" x14ac:dyDescent="0.15">
      <c r="B105" s="340" t="s">
        <v>691</v>
      </c>
      <c r="C105" s="354" t="s">
        <v>691</v>
      </c>
      <c r="D105" s="67">
        <f t="shared" si="82"/>
        <v>0</v>
      </c>
      <c r="E105" s="67">
        <f>E161</f>
        <v>0</v>
      </c>
      <c r="F105" s="67">
        <f t="shared" ref="F105:N105" si="87">F161</f>
        <v>0</v>
      </c>
      <c r="G105" s="67">
        <f t="shared" si="87"/>
        <v>0</v>
      </c>
      <c r="H105" s="67">
        <f t="shared" si="87"/>
        <v>0</v>
      </c>
      <c r="I105" s="67">
        <f t="shared" si="87"/>
        <v>0</v>
      </c>
      <c r="J105" s="67">
        <f t="shared" si="87"/>
        <v>0</v>
      </c>
      <c r="K105" s="67">
        <f t="shared" si="87"/>
        <v>0</v>
      </c>
      <c r="L105" s="67">
        <f t="shared" si="87"/>
        <v>0</v>
      </c>
      <c r="M105" s="67">
        <f t="shared" si="87"/>
        <v>0</v>
      </c>
      <c r="N105" s="67">
        <f t="shared" si="87"/>
        <v>0</v>
      </c>
      <c r="O105" s="67"/>
      <c r="P105" s="326">
        <f t="shared" si="85"/>
        <v>0</v>
      </c>
      <c r="Q105" s="2"/>
      <c r="S105" s="2"/>
    </row>
    <row r="106" spans="1:19" x14ac:dyDescent="0.15">
      <c r="B106" s="340" t="s">
        <v>695</v>
      </c>
      <c r="C106" s="12"/>
      <c r="D106" s="67">
        <f t="shared" si="82"/>
        <v>0</v>
      </c>
      <c r="E106" s="67">
        <f>E105+E104+E103</f>
        <v>300000000</v>
      </c>
      <c r="F106" s="67">
        <f t="shared" ref="F106:N106" si="88">F105+F104+F103</f>
        <v>313500000.00000006</v>
      </c>
      <c r="G106" s="67">
        <f t="shared" si="88"/>
        <v>327607500.00000006</v>
      </c>
      <c r="H106" s="67">
        <f t="shared" si="88"/>
        <v>342349837.50000012</v>
      </c>
      <c r="I106" s="67">
        <f t="shared" si="88"/>
        <v>357755580.18750012</v>
      </c>
      <c r="J106" s="67">
        <f t="shared" si="88"/>
        <v>0</v>
      </c>
      <c r="K106" s="67">
        <f t="shared" si="88"/>
        <v>0</v>
      </c>
      <c r="L106" s="67">
        <f t="shared" si="88"/>
        <v>0</v>
      </c>
      <c r="M106" s="67">
        <f t="shared" si="88"/>
        <v>0</v>
      </c>
      <c r="N106" s="67">
        <f t="shared" si="88"/>
        <v>0</v>
      </c>
      <c r="O106" s="67"/>
      <c r="P106" s="326">
        <f t="shared" si="85"/>
        <v>1641212917.6875</v>
      </c>
      <c r="Q106" s="2"/>
      <c r="S106" s="2"/>
    </row>
    <row r="107" spans="1:19" x14ac:dyDescent="0.15">
      <c r="B107" s="340" t="s">
        <v>696</v>
      </c>
      <c r="C107" s="12" t="s">
        <v>289</v>
      </c>
      <c r="D107" s="67">
        <f t="shared" si="82"/>
        <v>0</v>
      </c>
      <c r="E107" s="67">
        <f>Expenses!D18+(Expenses!D25*0.9)+Expenses!D32+Expenses!D39+(Expenses!D44*0.9)+Expenses!D49+Expenses!D56+Expenses!D95-Expenses!D77</f>
        <v>230170000</v>
      </c>
      <c r="F107" s="67">
        <f>Expenses!E18+(Expenses!E25*0.9)+Expenses!E32+Expenses!E39+(Expenses!E44*0.9)+Expenses!E49+Expenses!E56+Expenses!E95-Expenses!E77</f>
        <v>253018375.00000003</v>
      </c>
      <c r="G107" s="67">
        <f>Expenses!F18+(Expenses!F25*0.9)+Expenses!F32+Expenses!F39+(Expenses!F44*0.9)+Expenses!F49+Expenses!F56+Expenses!F95-Expenses!F77</f>
        <v>278725718.45125008</v>
      </c>
      <c r="H107" s="67">
        <f>Expenses!G18+(Expenses!G25*0.9)+Expenses!G32+Expenses!G39+(Expenses!G44*0.9)+Expenses!G49+Expenses!G56+Expenses!G95-Expenses!G77</f>
        <v>307665975.06072807</v>
      </c>
      <c r="I107" s="67">
        <f>Expenses!H18+(Expenses!H25*0.9)+Expenses!H32+Expenses!H39+(Expenses!H44*0.9)+Expenses!H49+Expenses!H56+Expenses!H95-Expenses!H77</f>
        <v>340262566.36057305</v>
      </c>
      <c r="J107" s="67">
        <f>Expenses!I18+(Expenses!I25*0.9)+Expenses!I32+Expenses!I39+(Expenses!I44*0.9)+Expenses!I49+Expenses!I56+Expenses!I95-Expenses!I77</f>
        <v>0</v>
      </c>
      <c r="K107" s="67">
        <f>Expenses!J18+(Expenses!J25*0.9)+Expenses!J32+Expenses!J39+(Expenses!J44*0.9)+Expenses!J49+Expenses!J56+Expenses!J95-Expenses!J77</f>
        <v>0</v>
      </c>
      <c r="L107" s="67">
        <f>Expenses!K18+(Expenses!K25*0.9)+Expenses!K32+Expenses!K39+(Expenses!K44*0.9)+Expenses!K49+Expenses!K56+Expenses!K95-Expenses!K77</f>
        <v>0</v>
      </c>
      <c r="M107" s="67">
        <f>Expenses!L18+(Expenses!L25*0.9)+Expenses!L32+Expenses!L39+(Expenses!L44*0.9)+Expenses!L49+Expenses!L56+Expenses!L95-Expenses!L77</f>
        <v>0</v>
      </c>
      <c r="N107" s="67">
        <f>Expenses!M18+(Expenses!M25*0.9)+Expenses!M32+Expenses!M39+(Expenses!M44*0.9)+Expenses!M49+Expenses!M56+Expenses!M95-Expenses!M77</f>
        <v>0</v>
      </c>
      <c r="O107" s="67">
        <v>0</v>
      </c>
      <c r="P107" s="326">
        <f t="shared" si="85"/>
        <v>1409842634.8725512</v>
      </c>
      <c r="Q107" s="2"/>
      <c r="S107" s="2"/>
    </row>
    <row r="108" spans="1:19" x14ac:dyDescent="0.15">
      <c r="B108" s="340">
        <v>3</v>
      </c>
      <c r="C108" s="12" t="s">
        <v>290</v>
      </c>
      <c r="D108" s="67">
        <f t="shared" si="82"/>
        <v>0</v>
      </c>
      <c r="E108" s="67">
        <f>E106-E107</f>
        <v>69830000</v>
      </c>
      <c r="F108" s="67">
        <f t="shared" ref="F108:N108" si="89">F106-F107</f>
        <v>60481625.00000003</v>
      </c>
      <c r="G108" s="67">
        <f t="shared" si="89"/>
        <v>48881781.548749983</v>
      </c>
      <c r="H108" s="67">
        <f t="shared" si="89"/>
        <v>34683862.439272046</v>
      </c>
      <c r="I108" s="67">
        <f t="shared" si="89"/>
        <v>17493013.826927066</v>
      </c>
      <c r="J108" s="67">
        <f t="shared" si="89"/>
        <v>0</v>
      </c>
      <c r="K108" s="67">
        <f t="shared" si="89"/>
        <v>0</v>
      </c>
      <c r="L108" s="67">
        <f t="shared" si="89"/>
        <v>0</v>
      </c>
      <c r="M108" s="67">
        <f t="shared" si="89"/>
        <v>0</v>
      </c>
      <c r="N108" s="67">
        <f t="shared" si="89"/>
        <v>0</v>
      </c>
      <c r="O108" s="67">
        <v>0</v>
      </c>
      <c r="P108" s="326">
        <f t="shared" si="85"/>
        <v>231370282.81494913</v>
      </c>
      <c r="Q108" s="2"/>
      <c r="S108" s="2"/>
    </row>
    <row r="109" spans="1:19" x14ac:dyDescent="0.15">
      <c r="B109" s="340" t="s">
        <v>697</v>
      </c>
      <c r="C109" s="12" t="s">
        <v>292</v>
      </c>
      <c r="D109" s="67">
        <f t="shared" si="82"/>
        <v>0</v>
      </c>
      <c r="E109" s="67">
        <f>E165</f>
        <v>3772500</v>
      </c>
      <c r="F109" s="67">
        <f t="shared" ref="F109:N109" si="90">F165</f>
        <v>6218850</v>
      </c>
      <c r="G109" s="67">
        <f t="shared" si="90"/>
        <v>4083150</v>
      </c>
      <c r="H109" s="67">
        <f t="shared" si="90"/>
        <v>2775510</v>
      </c>
      <c r="I109" s="67">
        <f t="shared" si="90"/>
        <v>1352955</v>
      </c>
      <c r="J109" s="67">
        <f t="shared" si="90"/>
        <v>0</v>
      </c>
      <c r="K109" s="67">
        <f t="shared" si="90"/>
        <v>0</v>
      </c>
      <c r="L109" s="67">
        <f t="shared" si="90"/>
        <v>0</v>
      </c>
      <c r="M109" s="67">
        <f t="shared" si="90"/>
        <v>0</v>
      </c>
      <c r="N109" s="67">
        <f t="shared" si="90"/>
        <v>0</v>
      </c>
      <c r="O109" s="67">
        <v>0</v>
      </c>
      <c r="P109" s="326">
        <f t="shared" si="85"/>
        <v>18202965</v>
      </c>
      <c r="Q109" s="2"/>
      <c r="S109" s="2"/>
    </row>
    <row r="110" spans="1:19" x14ac:dyDescent="0.15">
      <c r="B110" s="340">
        <v>5</v>
      </c>
      <c r="C110" s="12" t="s">
        <v>293</v>
      </c>
      <c r="D110" s="67">
        <f t="shared" si="82"/>
        <v>0</v>
      </c>
      <c r="E110" s="67">
        <f>E108-E109</f>
        <v>66057500</v>
      </c>
      <c r="F110" s="67">
        <f t="shared" ref="F110:N110" si="91">F108-F109</f>
        <v>54262775.00000003</v>
      </c>
      <c r="G110" s="67">
        <f t="shared" si="91"/>
        <v>44798631.548749983</v>
      </c>
      <c r="H110" s="67">
        <f t="shared" si="91"/>
        <v>31908352.439272046</v>
      </c>
      <c r="I110" s="67">
        <f t="shared" si="91"/>
        <v>16140058.826927066</v>
      </c>
      <c r="J110" s="67">
        <f t="shared" si="91"/>
        <v>0</v>
      </c>
      <c r="K110" s="67">
        <f t="shared" si="91"/>
        <v>0</v>
      </c>
      <c r="L110" s="67">
        <f t="shared" si="91"/>
        <v>0</v>
      </c>
      <c r="M110" s="67">
        <f t="shared" si="91"/>
        <v>0</v>
      </c>
      <c r="N110" s="67">
        <f t="shared" si="91"/>
        <v>0</v>
      </c>
      <c r="O110" s="67">
        <v>0</v>
      </c>
      <c r="P110" s="326">
        <f t="shared" si="85"/>
        <v>213167317.81494913</v>
      </c>
      <c r="Q110" s="2"/>
      <c r="S110" s="2"/>
    </row>
    <row r="111" spans="1:19" x14ac:dyDescent="0.15">
      <c r="B111" s="340" t="s">
        <v>698</v>
      </c>
      <c r="C111" s="12" t="s">
        <v>295</v>
      </c>
      <c r="D111" s="67">
        <f t="shared" si="82"/>
        <v>0</v>
      </c>
      <c r="E111" s="67">
        <f>E167</f>
        <v>0</v>
      </c>
      <c r="F111" s="67">
        <f t="shared" ref="F111:N111" si="92">F167</f>
        <v>0</v>
      </c>
      <c r="G111" s="67">
        <f t="shared" si="92"/>
        <v>0</v>
      </c>
      <c r="H111" s="67">
        <f t="shared" si="92"/>
        <v>0</v>
      </c>
      <c r="I111" s="67">
        <f t="shared" si="92"/>
        <v>0</v>
      </c>
      <c r="J111" s="67">
        <f t="shared" si="92"/>
        <v>0</v>
      </c>
      <c r="K111" s="67">
        <f t="shared" si="92"/>
        <v>0</v>
      </c>
      <c r="L111" s="67">
        <f t="shared" si="92"/>
        <v>0</v>
      </c>
      <c r="M111" s="67">
        <f t="shared" si="92"/>
        <v>0</v>
      </c>
      <c r="N111" s="67">
        <f t="shared" si="92"/>
        <v>0</v>
      </c>
      <c r="O111" s="67">
        <v>0</v>
      </c>
      <c r="P111" s="326">
        <f t="shared" si="85"/>
        <v>0</v>
      </c>
      <c r="Q111" s="2"/>
      <c r="S111" s="2"/>
    </row>
    <row r="112" spans="1:19" x14ac:dyDescent="0.15">
      <c r="B112" s="340">
        <v>7</v>
      </c>
      <c r="C112" s="12" t="s">
        <v>296</v>
      </c>
      <c r="D112" s="67">
        <f t="shared" si="82"/>
        <v>0</v>
      </c>
      <c r="E112" s="67">
        <f>E110-E111</f>
        <v>66057500</v>
      </c>
      <c r="F112" s="67">
        <f t="shared" ref="F112:N112" si="93">F110-F111</f>
        <v>54262775.00000003</v>
      </c>
      <c r="G112" s="67">
        <f t="shared" si="93"/>
        <v>44798631.548749983</v>
      </c>
      <c r="H112" s="67">
        <f t="shared" si="93"/>
        <v>31908352.439272046</v>
      </c>
      <c r="I112" s="67">
        <f t="shared" si="93"/>
        <v>16140058.826927066</v>
      </c>
      <c r="J112" s="67">
        <f t="shared" si="93"/>
        <v>0</v>
      </c>
      <c r="K112" s="67">
        <f t="shared" si="93"/>
        <v>0</v>
      </c>
      <c r="L112" s="67">
        <f t="shared" si="93"/>
        <v>0</v>
      </c>
      <c r="M112" s="67">
        <f t="shared" si="93"/>
        <v>0</v>
      </c>
      <c r="N112" s="67">
        <f t="shared" si="93"/>
        <v>0</v>
      </c>
      <c r="O112" s="67">
        <v>0</v>
      </c>
      <c r="P112" s="326">
        <f t="shared" si="85"/>
        <v>213167317.81494913</v>
      </c>
      <c r="Q112" s="2"/>
      <c r="S112" s="2"/>
    </row>
    <row r="113" spans="1:19" x14ac:dyDescent="0.15">
      <c r="B113" s="340">
        <v>8</v>
      </c>
      <c r="C113" s="12" t="s">
        <v>297</v>
      </c>
      <c r="D113" s="67">
        <f t="shared" si="82"/>
        <v>0</v>
      </c>
      <c r="E113" s="67">
        <f>-E112*$D$3</f>
        <v>-19817250</v>
      </c>
      <c r="F113" s="67">
        <f t="shared" ref="F113:N113" si="94">-F112*$D$3</f>
        <v>-16278832.500000007</v>
      </c>
      <c r="G113" s="67">
        <f t="shared" si="94"/>
        <v>-13439589.464624995</v>
      </c>
      <c r="H113" s="67">
        <f t="shared" si="94"/>
        <v>-9572505.7317816131</v>
      </c>
      <c r="I113" s="67">
        <f t="shared" si="94"/>
        <v>-4842017.6480781194</v>
      </c>
      <c r="J113" s="67">
        <f t="shared" si="94"/>
        <v>0</v>
      </c>
      <c r="K113" s="67">
        <f t="shared" si="94"/>
        <v>0</v>
      </c>
      <c r="L113" s="67">
        <f t="shared" si="94"/>
        <v>0</v>
      </c>
      <c r="M113" s="67">
        <f t="shared" si="94"/>
        <v>0</v>
      </c>
      <c r="N113" s="67">
        <f t="shared" si="94"/>
        <v>0</v>
      </c>
      <c r="O113" s="67">
        <v>0</v>
      </c>
      <c r="P113" s="326">
        <f t="shared" si="85"/>
        <v>-63950195.344484739</v>
      </c>
      <c r="Q113" s="2"/>
      <c r="S113" s="2"/>
    </row>
    <row r="114" spans="1:19" x14ac:dyDescent="0.15">
      <c r="B114" s="340">
        <v>9</v>
      </c>
      <c r="C114" s="12" t="s">
        <v>298</v>
      </c>
      <c r="D114" s="67">
        <f t="shared" si="82"/>
        <v>0</v>
      </c>
      <c r="E114" s="67">
        <f>E170</f>
        <v>0</v>
      </c>
      <c r="F114" s="67">
        <f t="shared" ref="F114:N114" si="95">F170</f>
        <v>0</v>
      </c>
      <c r="G114" s="67">
        <f t="shared" si="95"/>
        <v>0</v>
      </c>
      <c r="H114" s="67">
        <f t="shared" si="95"/>
        <v>0</v>
      </c>
      <c r="I114" s="67">
        <f t="shared" si="95"/>
        <v>0</v>
      </c>
      <c r="J114" s="67">
        <f t="shared" si="95"/>
        <v>0</v>
      </c>
      <c r="K114" s="67">
        <f t="shared" si="95"/>
        <v>0</v>
      </c>
      <c r="L114" s="67">
        <f t="shared" si="95"/>
        <v>0</v>
      </c>
      <c r="M114" s="67">
        <f t="shared" si="95"/>
        <v>0</v>
      </c>
      <c r="N114" s="67">
        <f t="shared" si="95"/>
        <v>0</v>
      </c>
      <c r="O114" s="67">
        <v>0</v>
      </c>
      <c r="P114" s="326">
        <f t="shared" si="85"/>
        <v>0</v>
      </c>
      <c r="Q114" s="2"/>
      <c r="S114" s="2"/>
    </row>
    <row r="115" spans="1:19" x14ac:dyDescent="0.15">
      <c r="B115" s="340">
        <v>10</v>
      </c>
      <c r="C115" s="12" t="s">
        <v>299</v>
      </c>
      <c r="D115" s="67">
        <f t="shared" si="82"/>
        <v>0</v>
      </c>
      <c r="E115" s="67">
        <f>E112+E113+E114</f>
        <v>46240250</v>
      </c>
      <c r="F115" s="67">
        <f t="shared" ref="F115:N115" si="96">F112+F113+F114</f>
        <v>37983942.500000022</v>
      </c>
      <c r="G115" s="67">
        <f t="shared" si="96"/>
        <v>31359042.08412499</v>
      </c>
      <c r="H115" s="67">
        <f t="shared" si="96"/>
        <v>22335846.707490433</v>
      </c>
      <c r="I115" s="67">
        <f t="shared" si="96"/>
        <v>11298041.178848946</v>
      </c>
      <c r="J115" s="67">
        <f t="shared" si="96"/>
        <v>0</v>
      </c>
      <c r="K115" s="67">
        <f t="shared" si="96"/>
        <v>0</v>
      </c>
      <c r="L115" s="67">
        <f t="shared" si="96"/>
        <v>0</v>
      </c>
      <c r="M115" s="67">
        <f t="shared" si="96"/>
        <v>0</v>
      </c>
      <c r="N115" s="67">
        <f t="shared" si="96"/>
        <v>0</v>
      </c>
      <c r="O115" s="67">
        <v>0</v>
      </c>
      <c r="P115" s="326">
        <f t="shared" si="85"/>
        <v>149217122.47046441</v>
      </c>
      <c r="Q115" s="2"/>
      <c r="S115" s="2"/>
    </row>
    <row r="116" spans="1:19" x14ac:dyDescent="0.15">
      <c r="B116" s="340" t="s">
        <v>699</v>
      </c>
      <c r="C116" s="12" t="s">
        <v>292</v>
      </c>
      <c r="D116" s="67">
        <f t="shared" si="82"/>
        <v>0</v>
      </c>
      <c r="E116" s="67">
        <f>E172</f>
        <v>3772500</v>
      </c>
      <c r="F116" s="67">
        <f t="shared" ref="F116:N116" si="97">F172</f>
        <v>6218850</v>
      </c>
      <c r="G116" s="67">
        <f t="shared" si="97"/>
        <v>4083150</v>
      </c>
      <c r="H116" s="67">
        <f t="shared" si="97"/>
        <v>2775510</v>
      </c>
      <c r="I116" s="67">
        <f t="shared" si="97"/>
        <v>1352955</v>
      </c>
      <c r="J116" s="67">
        <f t="shared" si="97"/>
        <v>0</v>
      </c>
      <c r="K116" s="67">
        <f t="shared" si="97"/>
        <v>0</v>
      </c>
      <c r="L116" s="67">
        <f t="shared" si="97"/>
        <v>0</v>
      </c>
      <c r="M116" s="67">
        <f t="shared" si="97"/>
        <v>0</v>
      </c>
      <c r="N116" s="67">
        <f t="shared" si="97"/>
        <v>0</v>
      </c>
      <c r="O116" s="67">
        <v>0</v>
      </c>
      <c r="P116" s="326">
        <f t="shared" si="85"/>
        <v>18202965</v>
      </c>
      <c r="Q116" s="2"/>
      <c r="S116" s="2"/>
    </row>
    <row r="117" spans="1:19" x14ac:dyDescent="0.15">
      <c r="B117" s="340">
        <v>12</v>
      </c>
      <c r="C117" s="12" t="s">
        <v>301</v>
      </c>
      <c r="D117" s="67">
        <f t="shared" si="82"/>
        <v>0</v>
      </c>
      <c r="E117" s="67">
        <f>E115+E116</f>
        <v>50012750</v>
      </c>
      <c r="F117" s="67">
        <f t="shared" ref="F117:N117" si="98">F115+F116</f>
        <v>44202792.500000022</v>
      </c>
      <c r="G117" s="67">
        <f t="shared" si="98"/>
        <v>35442192.08412499</v>
      </c>
      <c r="H117" s="67">
        <f t="shared" si="98"/>
        <v>25111356.707490433</v>
      </c>
      <c r="I117" s="67">
        <f t="shared" si="98"/>
        <v>12650996.178848946</v>
      </c>
      <c r="J117" s="67">
        <f t="shared" si="98"/>
        <v>0</v>
      </c>
      <c r="K117" s="67">
        <f t="shared" si="98"/>
        <v>0</v>
      </c>
      <c r="L117" s="67">
        <f t="shared" si="98"/>
        <v>0</v>
      </c>
      <c r="M117" s="67">
        <f t="shared" si="98"/>
        <v>0</v>
      </c>
      <c r="N117" s="67">
        <f t="shared" si="98"/>
        <v>0</v>
      </c>
      <c r="O117" s="67">
        <v>0</v>
      </c>
      <c r="P117" s="326">
        <f t="shared" si="85"/>
        <v>167420087.47046441</v>
      </c>
      <c r="Q117" s="2"/>
      <c r="S117" s="2"/>
    </row>
    <row r="118" spans="1:19" x14ac:dyDescent="0.15">
      <c r="B118" s="340" t="s">
        <v>700</v>
      </c>
      <c r="C118" s="12" t="s">
        <v>303</v>
      </c>
      <c r="D118" s="67">
        <v>0</v>
      </c>
      <c r="E118" s="67">
        <f t="shared" ref="E118:N118" si="99">E174</f>
        <v>0</v>
      </c>
      <c r="F118" s="67">
        <f t="shared" si="99"/>
        <v>0</v>
      </c>
      <c r="G118" s="67">
        <f t="shared" si="99"/>
        <v>0</v>
      </c>
      <c r="H118" s="67">
        <f t="shared" si="99"/>
        <v>0</v>
      </c>
      <c r="I118" s="67">
        <f t="shared" si="99"/>
        <v>0</v>
      </c>
      <c r="J118" s="67">
        <f t="shared" si="99"/>
        <v>0</v>
      </c>
      <c r="K118" s="67">
        <f t="shared" si="99"/>
        <v>0</v>
      </c>
      <c r="L118" s="67">
        <f t="shared" si="99"/>
        <v>0</v>
      </c>
      <c r="M118" s="67">
        <f t="shared" si="99"/>
        <v>0</v>
      </c>
      <c r="N118" s="67">
        <f t="shared" si="99"/>
        <v>0</v>
      </c>
      <c r="O118" s="67">
        <v>0</v>
      </c>
      <c r="P118" s="326">
        <f t="shared" si="85"/>
        <v>0</v>
      </c>
      <c r="Q118" s="2"/>
      <c r="S118" s="2"/>
    </row>
    <row r="119" spans="1:19" x14ac:dyDescent="0.15">
      <c r="B119" s="340">
        <v>14</v>
      </c>
      <c r="C119" s="12" t="s">
        <v>304</v>
      </c>
      <c r="D119" s="67">
        <f t="shared" ref="D119:D125" si="100">D175</f>
        <v>-32550000</v>
      </c>
      <c r="E119" s="67">
        <f t="shared" ref="E119:N119" si="101">E175</f>
        <v>0</v>
      </c>
      <c r="F119" s="67">
        <f t="shared" si="101"/>
        <v>0</v>
      </c>
      <c r="G119" s="67">
        <f t="shared" si="101"/>
        <v>0</v>
      </c>
      <c r="H119" s="67">
        <f t="shared" si="101"/>
        <v>0</v>
      </c>
      <c r="I119" s="67">
        <f t="shared" si="101"/>
        <v>14347035</v>
      </c>
      <c r="J119" s="67">
        <f t="shared" si="101"/>
        <v>0</v>
      </c>
      <c r="K119" s="67">
        <f t="shared" si="101"/>
        <v>0</v>
      </c>
      <c r="L119" s="67">
        <f t="shared" si="101"/>
        <v>0</v>
      </c>
      <c r="M119" s="67">
        <f t="shared" si="101"/>
        <v>0</v>
      </c>
      <c r="N119" s="67">
        <f t="shared" si="101"/>
        <v>0</v>
      </c>
      <c r="O119" s="67">
        <v>0</v>
      </c>
      <c r="P119" s="326">
        <f t="shared" si="85"/>
        <v>14347035</v>
      </c>
      <c r="Q119" s="2"/>
      <c r="S119" s="2"/>
    </row>
    <row r="120" spans="1:19" x14ac:dyDescent="0.15">
      <c r="B120" s="340" t="s">
        <v>701</v>
      </c>
      <c r="C120" s="12" t="s">
        <v>207</v>
      </c>
      <c r="D120" s="67">
        <f t="shared" si="100"/>
        <v>-31050000</v>
      </c>
      <c r="E120" s="67">
        <f t="shared" ref="E120:N120" si="102">E176</f>
        <v>0</v>
      </c>
      <c r="F120" s="67">
        <f t="shared" si="102"/>
        <v>0</v>
      </c>
      <c r="G120" s="67">
        <f t="shared" si="102"/>
        <v>0</v>
      </c>
      <c r="H120" s="67">
        <f t="shared" si="102"/>
        <v>0</v>
      </c>
      <c r="I120" s="67">
        <f t="shared" si="102"/>
        <v>12847035</v>
      </c>
      <c r="J120" s="67">
        <f t="shared" si="102"/>
        <v>0</v>
      </c>
      <c r="K120" s="67">
        <f t="shared" si="102"/>
        <v>0</v>
      </c>
      <c r="L120" s="67">
        <f t="shared" si="102"/>
        <v>0</v>
      </c>
      <c r="M120" s="67">
        <f t="shared" si="102"/>
        <v>0</v>
      </c>
      <c r="N120" s="67">
        <f t="shared" si="102"/>
        <v>0</v>
      </c>
      <c r="O120" s="67">
        <v>0</v>
      </c>
      <c r="P120" s="326">
        <f t="shared" si="85"/>
        <v>12847035</v>
      </c>
      <c r="Q120" s="2"/>
      <c r="S120" s="2"/>
    </row>
    <row r="121" spans="1:19" x14ac:dyDescent="0.15">
      <c r="B121" s="340" t="s">
        <v>702</v>
      </c>
      <c r="C121" s="12" t="s">
        <v>307</v>
      </c>
      <c r="D121" s="67">
        <f t="shared" si="100"/>
        <v>-1500000</v>
      </c>
      <c r="E121" s="67">
        <f t="shared" ref="E121:N121" si="103">E177</f>
        <v>0</v>
      </c>
      <c r="F121" s="67">
        <f t="shared" si="103"/>
        <v>0</v>
      </c>
      <c r="G121" s="67">
        <f t="shared" si="103"/>
        <v>0</v>
      </c>
      <c r="H121" s="67">
        <f t="shared" si="103"/>
        <v>0</v>
      </c>
      <c r="I121" s="67">
        <f t="shared" si="103"/>
        <v>1500000</v>
      </c>
      <c r="J121" s="67">
        <f t="shared" si="103"/>
        <v>0</v>
      </c>
      <c r="K121" s="67">
        <f t="shared" si="103"/>
        <v>0</v>
      </c>
      <c r="L121" s="67">
        <f t="shared" si="103"/>
        <v>0</v>
      </c>
      <c r="M121" s="67">
        <f t="shared" si="103"/>
        <v>0</v>
      </c>
      <c r="N121" s="67">
        <f t="shared" si="103"/>
        <v>0</v>
      </c>
      <c r="O121" s="67">
        <v>0</v>
      </c>
      <c r="P121" s="326">
        <f t="shared" si="85"/>
        <v>1500000</v>
      </c>
      <c r="Q121" s="2"/>
      <c r="S121" s="2"/>
    </row>
    <row r="122" spans="1:19" x14ac:dyDescent="0.15">
      <c r="B122" s="340" t="s">
        <v>703</v>
      </c>
      <c r="C122" s="12" t="s">
        <v>309</v>
      </c>
      <c r="D122" s="67">
        <f t="shared" si="100"/>
        <v>0</v>
      </c>
      <c r="E122" s="67">
        <f t="shared" ref="E122:N122" si="104">E178</f>
        <v>0</v>
      </c>
      <c r="F122" s="67">
        <f t="shared" si="104"/>
        <v>0</v>
      </c>
      <c r="G122" s="67">
        <f t="shared" si="104"/>
        <v>0</v>
      </c>
      <c r="H122" s="67">
        <f t="shared" si="104"/>
        <v>0</v>
      </c>
      <c r="I122" s="67">
        <f t="shared" si="104"/>
        <v>0</v>
      </c>
      <c r="J122" s="67">
        <f t="shared" si="104"/>
        <v>0</v>
      </c>
      <c r="K122" s="67">
        <f t="shared" si="104"/>
        <v>0</v>
      </c>
      <c r="L122" s="67">
        <f t="shared" si="104"/>
        <v>0</v>
      </c>
      <c r="M122" s="67">
        <f t="shared" si="104"/>
        <v>0</v>
      </c>
      <c r="N122" s="67">
        <f t="shared" si="104"/>
        <v>0</v>
      </c>
      <c r="O122" s="67">
        <v>0</v>
      </c>
      <c r="P122" s="326">
        <f t="shared" si="85"/>
        <v>0</v>
      </c>
      <c r="Q122" s="2"/>
      <c r="S122" s="2"/>
    </row>
    <row r="123" spans="1:19" x14ac:dyDescent="0.15">
      <c r="B123" s="340" t="s">
        <v>704</v>
      </c>
      <c r="C123" s="12" t="s">
        <v>311</v>
      </c>
      <c r="D123" s="67">
        <f t="shared" si="100"/>
        <v>0</v>
      </c>
      <c r="E123" s="67">
        <f t="shared" ref="E123:N123" si="105">E179</f>
        <v>0</v>
      </c>
      <c r="F123" s="67">
        <f t="shared" si="105"/>
        <v>0</v>
      </c>
      <c r="G123" s="67">
        <f t="shared" si="105"/>
        <v>0</v>
      </c>
      <c r="H123" s="67">
        <f t="shared" si="105"/>
        <v>0</v>
      </c>
      <c r="I123" s="67">
        <f t="shared" si="105"/>
        <v>-2596968.7000000002</v>
      </c>
      <c r="J123" s="67">
        <f t="shared" si="105"/>
        <v>0</v>
      </c>
      <c r="K123" s="67">
        <f t="shared" si="105"/>
        <v>0</v>
      </c>
      <c r="L123" s="67">
        <f t="shared" si="105"/>
        <v>0</v>
      </c>
      <c r="M123" s="67">
        <f t="shared" si="105"/>
        <v>0</v>
      </c>
      <c r="N123" s="67">
        <f t="shared" si="105"/>
        <v>0</v>
      </c>
      <c r="O123" s="67">
        <v>0</v>
      </c>
      <c r="P123" s="326">
        <f t="shared" si="85"/>
        <v>-2596968.7000000002</v>
      </c>
      <c r="Q123" s="2"/>
      <c r="S123" s="2"/>
    </row>
    <row r="124" spans="1:19" ht="14" thickBot="1" x14ac:dyDescent="0.2">
      <c r="B124" s="340" t="s">
        <v>705</v>
      </c>
      <c r="C124" s="12" t="s">
        <v>115</v>
      </c>
      <c r="D124" s="67">
        <f t="shared" si="100"/>
        <v>-60000000</v>
      </c>
      <c r="E124" s="67">
        <f t="shared" ref="E124:N124" si="106">E180</f>
        <v>0</v>
      </c>
      <c r="F124" s="67">
        <f t="shared" si="106"/>
        <v>0</v>
      </c>
      <c r="G124" s="67">
        <f t="shared" si="106"/>
        <v>0</v>
      </c>
      <c r="H124" s="67">
        <f t="shared" si="106"/>
        <v>0</v>
      </c>
      <c r="I124" s="67">
        <f t="shared" si="106"/>
        <v>60000000</v>
      </c>
      <c r="J124" s="67">
        <f t="shared" si="106"/>
        <v>0</v>
      </c>
      <c r="K124" s="67">
        <f t="shared" si="106"/>
        <v>0</v>
      </c>
      <c r="L124" s="67">
        <f t="shared" si="106"/>
        <v>0</v>
      </c>
      <c r="M124" s="67">
        <f t="shared" si="106"/>
        <v>0</v>
      </c>
      <c r="N124" s="67">
        <f t="shared" si="106"/>
        <v>0</v>
      </c>
      <c r="O124" s="67">
        <v>0</v>
      </c>
      <c r="P124" s="326">
        <f t="shared" si="85"/>
        <v>60000000</v>
      </c>
      <c r="Q124" s="2"/>
      <c r="S124" s="2"/>
    </row>
    <row r="125" spans="1:19" x14ac:dyDescent="0.15">
      <c r="B125" s="340">
        <v>17</v>
      </c>
      <c r="C125" s="12" t="s">
        <v>313</v>
      </c>
      <c r="D125" s="67">
        <f t="shared" si="100"/>
        <v>-92550000</v>
      </c>
      <c r="E125" s="67">
        <f t="shared" ref="E125:N125" si="107">E181</f>
        <v>0</v>
      </c>
      <c r="F125" s="67">
        <f t="shared" si="107"/>
        <v>0</v>
      </c>
      <c r="G125" s="67">
        <f t="shared" si="107"/>
        <v>0</v>
      </c>
      <c r="H125" s="67">
        <f t="shared" si="107"/>
        <v>0</v>
      </c>
      <c r="I125" s="67">
        <f t="shared" si="107"/>
        <v>71750066.299999997</v>
      </c>
      <c r="J125" s="67">
        <f t="shared" si="107"/>
        <v>0</v>
      </c>
      <c r="K125" s="67">
        <f t="shared" si="107"/>
        <v>0</v>
      </c>
      <c r="L125" s="67">
        <f t="shared" si="107"/>
        <v>0</v>
      </c>
      <c r="M125" s="67">
        <f t="shared" si="107"/>
        <v>0</v>
      </c>
      <c r="N125" s="67">
        <f t="shared" si="107"/>
        <v>0</v>
      </c>
      <c r="O125" s="67">
        <v>0</v>
      </c>
      <c r="P125" s="326">
        <f t="shared" si="85"/>
        <v>71750066.299999997</v>
      </c>
      <c r="Q125" s="461"/>
      <c r="R125" s="357" t="s">
        <v>693</v>
      </c>
      <c r="S125" s="2"/>
    </row>
    <row r="126" spans="1:19" ht="14" thickBot="1" x14ac:dyDescent="0.2">
      <c r="A126" s="1" t="s">
        <v>707</v>
      </c>
      <c r="B126" s="355">
        <v>18</v>
      </c>
      <c r="C126" s="335" t="s">
        <v>314</v>
      </c>
      <c r="D126" s="331">
        <f>D125+D117</f>
        <v>-92550000</v>
      </c>
      <c r="E126" s="331">
        <f t="shared" ref="E126:N126" si="108">E125+E117</f>
        <v>50012750</v>
      </c>
      <c r="F126" s="331">
        <f t="shared" si="108"/>
        <v>44202792.500000022</v>
      </c>
      <c r="G126" s="331">
        <f t="shared" si="108"/>
        <v>35442192.08412499</v>
      </c>
      <c r="H126" s="331">
        <f t="shared" si="108"/>
        <v>25111356.707490433</v>
      </c>
      <c r="I126" s="331">
        <f t="shared" si="108"/>
        <v>84401062.478848949</v>
      </c>
      <c r="J126" s="331">
        <f t="shared" si="108"/>
        <v>0</v>
      </c>
      <c r="K126" s="331">
        <f t="shared" si="108"/>
        <v>0</v>
      </c>
      <c r="L126" s="331">
        <f t="shared" si="108"/>
        <v>0</v>
      </c>
      <c r="M126" s="331">
        <f t="shared" si="108"/>
        <v>0</v>
      </c>
      <c r="N126" s="331">
        <f t="shared" si="108"/>
        <v>0</v>
      </c>
      <c r="O126" s="331">
        <v>0</v>
      </c>
      <c r="P126" s="356">
        <f t="shared" si="85"/>
        <v>239170153.77046442</v>
      </c>
      <c r="Q126" s="463"/>
      <c r="R126" s="358">
        <f>IF(ISNUMBER(IRR(D126:N126)),IRR(D126:N126),"NMF")</f>
        <v>0.40549033935008683</v>
      </c>
      <c r="S126" s="1" t="s">
        <v>707</v>
      </c>
    </row>
    <row r="127" spans="1:19" x14ac:dyDescent="0.15">
      <c r="S127" s="2"/>
    </row>
    <row r="128" spans="1:19" ht="14" thickBot="1" x14ac:dyDescent="0.2">
      <c r="S128" s="2"/>
    </row>
    <row r="129" spans="1:19" ht="14" thickBot="1" x14ac:dyDescent="0.2">
      <c r="B129" s="359" t="s">
        <v>282</v>
      </c>
      <c r="C129" s="360" t="s">
        <v>283</v>
      </c>
      <c r="D129" s="360"/>
      <c r="E129" s="360">
        <v>1</v>
      </c>
      <c r="F129" s="360">
        <v>2</v>
      </c>
      <c r="G129" s="360">
        <v>3</v>
      </c>
      <c r="H129" s="360">
        <v>4</v>
      </c>
      <c r="I129" s="360">
        <v>5</v>
      </c>
      <c r="J129" s="360">
        <v>6</v>
      </c>
      <c r="K129" s="360">
        <v>7</v>
      </c>
      <c r="L129" s="360">
        <v>8</v>
      </c>
      <c r="M129" s="360">
        <v>9</v>
      </c>
      <c r="N129" s="360">
        <v>10</v>
      </c>
      <c r="O129" s="360" t="s">
        <v>284</v>
      </c>
      <c r="P129" s="361" t="s">
        <v>285</v>
      </c>
      <c r="S129" s="2"/>
    </row>
    <row r="130" spans="1:19" x14ac:dyDescent="0.15">
      <c r="B130" s="339" t="s">
        <v>687</v>
      </c>
      <c r="C130" s="302" t="s">
        <v>287</v>
      </c>
      <c r="D130" s="322">
        <f t="shared" ref="D130:D145" si="109">D158</f>
        <v>0</v>
      </c>
      <c r="E130" s="322">
        <f t="shared" ref="E130:N130" si="110">E158</f>
        <v>300000000</v>
      </c>
      <c r="F130" s="322">
        <f t="shared" si="110"/>
        <v>313500000.00000006</v>
      </c>
      <c r="G130" s="322">
        <f t="shared" si="110"/>
        <v>327607500.00000006</v>
      </c>
      <c r="H130" s="322">
        <f t="shared" si="110"/>
        <v>342349837.50000012</v>
      </c>
      <c r="I130" s="322">
        <f t="shared" si="110"/>
        <v>357755580.18750012</v>
      </c>
      <c r="J130" s="322">
        <f t="shared" si="110"/>
        <v>0</v>
      </c>
      <c r="K130" s="322">
        <f t="shared" si="110"/>
        <v>0</v>
      </c>
      <c r="L130" s="322">
        <f t="shared" si="110"/>
        <v>0</v>
      </c>
      <c r="M130" s="322">
        <f t="shared" si="110"/>
        <v>0</v>
      </c>
      <c r="N130" s="322">
        <f t="shared" si="110"/>
        <v>0</v>
      </c>
      <c r="O130" s="322">
        <v>0</v>
      </c>
      <c r="P130" s="325">
        <f>SUM(E130:N130)</f>
        <v>1641212917.6875</v>
      </c>
      <c r="Q130" s="2"/>
      <c r="S130" s="2"/>
    </row>
    <row r="131" spans="1:19" x14ac:dyDescent="0.15">
      <c r="A131" s="1" t="s">
        <v>708</v>
      </c>
      <c r="B131" s="340" t="s">
        <v>689</v>
      </c>
      <c r="C131" s="354" t="s">
        <v>689</v>
      </c>
      <c r="D131" s="67">
        <f t="shared" si="109"/>
        <v>0</v>
      </c>
      <c r="E131" s="67">
        <f>E159</f>
        <v>300000000</v>
      </c>
      <c r="F131" s="67">
        <f t="shared" ref="F131:N131" si="111">F159</f>
        <v>313500000.00000006</v>
      </c>
      <c r="G131" s="67">
        <f t="shared" si="111"/>
        <v>327607500.00000006</v>
      </c>
      <c r="H131" s="67">
        <f t="shared" si="111"/>
        <v>342349837.50000012</v>
      </c>
      <c r="I131" s="67">
        <f t="shared" si="111"/>
        <v>357755580.18750012</v>
      </c>
      <c r="J131" s="67">
        <f t="shared" si="111"/>
        <v>0</v>
      </c>
      <c r="K131" s="67">
        <f t="shared" si="111"/>
        <v>0</v>
      </c>
      <c r="L131" s="67">
        <f t="shared" si="111"/>
        <v>0</v>
      </c>
      <c r="M131" s="67">
        <f t="shared" si="111"/>
        <v>0</v>
      </c>
      <c r="N131" s="67">
        <f t="shared" si="111"/>
        <v>0</v>
      </c>
      <c r="O131" s="67"/>
      <c r="P131" s="326">
        <f>SUM(E131:N131)</f>
        <v>1641212917.6875</v>
      </c>
      <c r="Q131" s="2"/>
      <c r="S131" s="2"/>
    </row>
    <row r="132" spans="1:19" x14ac:dyDescent="0.15">
      <c r="B132" s="355" t="s">
        <v>690</v>
      </c>
      <c r="C132" s="362" t="s">
        <v>690</v>
      </c>
      <c r="D132" s="331">
        <f t="shared" si="109"/>
        <v>0</v>
      </c>
      <c r="E132" s="331">
        <f>E160*0.95</f>
        <v>0</v>
      </c>
      <c r="F132" s="331">
        <f t="shared" ref="F132:N132" si="112">F160*0.95</f>
        <v>0</v>
      </c>
      <c r="G132" s="331">
        <f t="shared" si="112"/>
        <v>0</v>
      </c>
      <c r="H132" s="331">
        <f t="shared" si="112"/>
        <v>0</v>
      </c>
      <c r="I132" s="331">
        <f t="shared" si="112"/>
        <v>0</v>
      </c>
      <c r="J132" s="331">
        <f t="shared" si="112"/>
        <v>0</v>
      </c>
      <c r="K132" s="331">
        <f t="shared" si="112"/>
        <v>0</v>
      </c>
      <c r="L132" s="331">
        <f t="shared" si="112"/>
        <v>0</v>
      </c>
      <c r="M132" s="331">
        <f t="shared" si="112"/>
        <v>0</v>
      </c>
      <c r="N132" s="331">
        <f t="shared" si="112"/>
        <v>0</v>
      </c>
      <c r="O132" s="363"/>
      <c r="P132" s="356">
        <f>SUM(E132:N132)</f>
        <v>0</v>
      </c>
      <c r="Q132" s="460"/>
      <c r="S132" s="2"/>
    </row>
    <row r="133" spans="1:19" x14ac:dyDescent="0.15">
      <c r="B133" s="340" t="s">
        <v>691</v>
      </c>
      <c r="C133" s="354" t="s">
        <v>691</v>
      </c>
      <c r="D133" s="67">
        <f t="shared" si="109"/>
        <v>0</v>
      </c>
      <c r="E133" s="67">
        <f>E161</f>
        <v>0</v>
      </c>
      <c r="F133" s="67">
        <f t="shared" ref="F133:N133" si="113">F161</f>
        <v>0</v>
      </c>
      <c r="G133" s="67">
        <f t="shared" si="113"/>
        <v>0</v>
      </c>
      <c r="H133" s="67">
        <f t="shared" si="113"/>
        <v>0</v>
      </c>
      <c r="I133" s="67">
        <f t="shared" si="113"/>
        <v>0</v>
      </c>
      <c r="J133" s="67">
        <f t="shared" si="113"/>
        <v>0</v>
      </c>
      <c r="K133" s="67">
        <f t="shared" si="113"/>
        <v>0</v>
      </c>
      <c r="L133" s="67">
        <f t="shared" si="113"/>
        <v>0</v>
      </c>
      <c r="M133" s="67">
        <f t="shared" si="113"/>
        <v>0</v>
      </c>
      <c r="N133" s="67">
        <f t="shared" si="113"/>
        <v>0</v>
      </c>
      <c r="O133" s="67"/>
      <c r="P133" s="326">
        <f>SUM(E133:N133)</f>
        <v>0</v>
      </c>
      <c r="Q133" s="2"/>
      <c r="S133" s="2"/>
    </row>
    <row r="134" spans="1:19" x14ac:dyDescent="0.15">
      <c r="B134" s="340" t="s">
        <v>695</v>
      </c>
      <c r="C134" s="12"/>
      <c r="D134" s="67">
        <f t="shared" si="109"/>
        <v>0</v>
      </c>
      <c r="E134" s="67">
        <f>E133+E132+E131</f>
        <v>300000000</v>
      </c>
      <c r="F134" s="67">
        <f t="shared" ref="F134:N134" si="114">F133+F132+F131</f>
        <v>313500000.00000006</v>
      </c>
      <c r="G134" s="67">
        <f t="shared" si="114"/>
        <v>327607500.00000006</v>
      </c>
      <c r="H134" s="67">
        <f t="shared" si="114"/>
        <v>342349837.50000012</v>
      </c>
      <c r="I134" s="67">
        <f t="shared" si="114"/>
        <v>357755580.18750012</v>
      </c>
      <c r="J134" s="67">
        <f t="shared" si="114"/>
        <v>0</v>
      </c>
      <c r="K134" s="67">
        <f t="shared" si="114"/>
        <v>0</v>
      </c>
      <c r="L134" s="67">
        <f t="shared" si="114"/>
        <v>0</v>
      </c>
      <c r="M134" s="67">
        <f t="shared" si="114"/>
        <v>0</v>
      </c>
      <c r="N134" s="67">
        <f t="shared" si="114"/>
        <v>0</v>
      </c>
      <c r="O134" s="67"/>
      <c r="P134" s="326">
        <f t="shared" ref="P134:P153" si="115">SUM(E134:N134)</f>
        <v>1641212917.6875</v>
      </c>
      <c r="Q134" s="2"/>
      <c r="S134" s="2"/>
    </row>
    <row r="135" spans="1:19" x14ac:dyDescent="0.15">
      <c r="B135" s="340" t="s">
        <v>696</v>
      </c>
      <c r="C135" s="12" t="s">
        <v>289</v>
      </c>
      <c r="D135" s="67">
        <f t="shared" si="109"/>
        <v>0</v>
      </c>
      <c r="E135" s="331">
        <f>Expenses!D18+(Expenses!D25*0.95)+Expenses!D32+Expenses!D39+(Expenses!D44*0.95)+Expenses!D49+Expenses!D56+Expenses!D95-Expenses!D77</f>
        <v>230170000</v>
      </c>
      <c r="F135" s="67">
        <f>Expenses!E18+(Expenses!E25*0.95)+Expenses!E32+Expenses!E39+(Expenses!E44*0.95)+Expenses!E49+Expenses!E56+Expenses!E95-Expenses!E77</f>
        <v>253018375.00000003</v>
      </c>
      <c r="G135" s="67">
        <f>Expenses!F18+(Expenses!F25*0.95)+Expenses!F32+Expenses!F39+(Expenses!F44*0.95)+Expenses!F49+Expenses!F56+Expenses!F95-Expenses!F77</f>
        <v>278725718.45125008</v>
      </c>
      <c r="H135" s="67">
        <f>Expenses!G18+(Expenses!G25*0.95)+Expenses!G32+Expenses!G39+(Expenses!G44*0.95)+Expenses!G49+Expenses!G56+Expenses!G95-Expenses!G77</f>
        <v>307665975.06072807</v>
      </c>
      <c r="I135" s="67">
        <f>Expenses!H18+(Expenses!H25*0.95)+Expenses!H32+Expenses!H39+(Expenses!H44*0.95)+Expenses!H49+Expenses!H56+Expenses!H95-Expenses!H77</f>
        <v>340262566.36057305</v>
      </c>
      <c r="J135" s="67">
        <f>Expenses!I18+(Expenses!I25*0.95)+Expenses!I32+Expenses!I39+(Expenses!I44*0.95)+Expenses!I49+Expenses!I56+Expenses!I95-Expenses!I77</f>
        <v>0</v>
      </c>
      <c r="K135" s="67">
        <f>Expenses!J18+(Expenses!J25*0.95)+Expenses!J32+Expenses!J39+(Expenses!J44*0.95)+Expenses!J49+Expenses!J56+Expenses!J95-Expenses!J77</f>
        <v>0</v>
      </c>
      <c r="L135" s="67">
        <f>Expenses!K18+(Expenses!K25*0.95)+Expenses!K32+Expenses!K39+(Expenses!K44*0.95)+Expenses!K49+Expenses!K56+Expenses!K95-Expenses!K77</f>
        <v>0</v>
      </c>
      <c r="M135" s="67">
        <f>Expenses!L18+(Expenses!L25*0.95)+Expenses!L32+Expenses!L39+(Expenses!L44*0.95)+Expenses!L49+Expenses!L56+Expenses!L95-Expenses!L77</f>
        <v>0</v>
      </c>
      <c r="N135" s="67">
        <f>Expenses!M18+(Expenses!M25*0.95)+Expenses!M32+Expenses!M39+(Expenses!M44*0.95)+Expenses!M49+Expenses!M56+Expenses!M95-Expenses!M77</f>
        <v>0</v>
      </c>
      <c r="O135" s="67">
        <v>0</v>
      </c>
      <c r="P135" s="326">
        <f t="shared" si="115"/>
        <v>1409842634.8725512</v>
      </c>
      <c r="Q135" s="2"/>
      <c r="S135" s="2"/>
    </row>
    <row r="136" spans="1:19" x14ac:dyDescent="0.15">
      <c r="B136" s="340">
        <v>3</v>
      </c>
      <c r="C136" s="12" t="s">
        <v>290</v>
      </c>
      <c r="D136" s="67">
        <f t="shared" si="109"/>
        <v>0</v>
      </c>
      <c r="E136" s="67">
        <f t="shared" ref="E136:J136" si="116">E134-E135</f>
        <v>69830000</v>
      </c>
      <c r="F136" s="67">
        <f t="shared" si="116"/>
        <v>60481625.00000003</v>
      </c>
      <c r="G136" s="67">
        <f t="shared" si="116"/>
        <v>48881781.548749983</v>
      </c>
      <c r="H136" s="67">
        <f t="shared" si="116"/>
        <v>34683862.439272046</v>
      </c>
      <c r="I136" s="67">
        <f t="shared" si="116"/>
        <v>17493013.826927066</v>
      </c>
      <c r="J136" s="67">
        <f t="shared" si="116"/>
        <v>0</v>
      </c>
      <c r="K136" s="67">
        <f>K134-K135</f>
        <v>0</v>
      </c>
      <c r="L136" s="67">
        <f>L134-L135</f>
        <v>0</v>
      </c>
      <c r="M136" s="67">
        <f>M134-M135</f>
        <v>0</v>
      </c>
      <c r="N136" s="67">
        <f>N134-N135</f>
        <v>0</v>
      </c>
      <c r="O136" s="67">
        <v>0</v>
      </c>
      <c r="P136" s="326">
        <f t="shared" si="115"/>
        <v>231370282.81494913</v>
      </c>
      <c r="Q136" s="2"/>
      <c r="S136" s="2"/>
    </row>
    <row r="137" spans="1:19" x14ac:dyDescent="0.15">
      <c r="B137" s="340" t="s">
        <v>697</v>
      </c>
      <c r="C137" s="12" t="s">
        <v>292</v>
      </c>
      <c r="D137" s="67">
        <f t="shared" si="109"/>
        <v>0</v>
      </c>
      <c r="E137" s="67">
        <f t="shared" ref="E137:J137" si="117">E165</f>
        <v>3772500</v>
      </c>
      <c r="F137" s="67">
        <f t="shared" si="117"/>
        <v>6218850</v>
      </c>
      <c r="G137" s="67">
        <f t="shared" si="117"/>
        <v>4083150</v>
      </c>
      <c r="H137" s="67">
        <f t="shared" si="117"/>
        <v>2775510</v>
      </c>
      <c r="I137" s="67">
        <f t="shared" si="117"/>
        <v>1352955</v>
      </c>
      <c r="J137" s="67">
        <f t="shared" si="117"/>
        <v>0</v>
      </c>
      <c r="K137" s="67">
        <f>K165</f>
        <v>0</v>
      </c>
      <c r="L137" s="67">
        <f>L165</f>
        <v>0</v>
      </c>
      <c r="M137" s="67">
        <f>M165</f>
        <v>0</v>
      </c>
      <c r="N137" s="67">
        <f>N165</f>
        <v>0</v>
      </c>
      <c r="O137" s="67">
        <v>0</v>
      </c>
      <c r="P137" s="326">
        <f t="shared" si="115"/>
        <v>18202965</v>
      </c>
      <c r="Q137" s="2"/>
      <c r="S137" s="2"/>
    </row>
    <row r="138" spans="1:19" x14ac:dyDescent="0.15">
      <c r="B138" s="340">
        <v>5</v>
      </c>
      <c r="C138" s="12" t="s">
        <v>293</v>
      </c>
      <c r="D138" s="67">
        <f t="shared" si="109"/>
        <v>0</v>
      </c>
      <c r="E138" s="67">
        <f t="shared" ref="E138:J138" si="118">E136-E137</f>
        <v>66057500</v>
      </c>
      <c r="F138" s="67">
        <f t="shared" si="118"/>
        <v>54262775.00000003</v>
      </c>
      <c r="G138" s="67">
        <f t="shared" si="118"/>
        <v>44798631.548749983</v>
      </c>
      <c r="H138" s="67">
        <f t="shared" si="118"/>
        <v>31908352.439272046</v>
      </c>
      <c r="I138" s="67">
        <f t="shared" si="118"/>
        <v>16140058.826927066</v>
      </c>
      <c r="J138" s="67">
        <f t="shared" si="118"/>
        <v>0</v>
      </c>
      <c r="K138" s="67">
        <f>K136-K137</f>
        <v>0</v>
      </c>
      <c r="L138" s="67">
        <f>L136-L137</f>
        <v>0</v>
      </c>
      <c r="M138" s="67">
        <f>M136-M137</f>
        <v>0</v>
      </c>
      <c r="N138" s="67">
        <f>N136-N137</f>
        <v>0</v>
      </c>
      <c r="O138" s="67">
        <v>0</v>
      </c>
      <c r="P138" s="326">
        <f t="shared" si="115"/>
        <v>213167317.81494913</v>
      </c>
      <c r="Q138" s="2"/>
      <c r="S138" s="2"/>
    </row>
    <row r="139" spans="1:19" x14ac:dyDescent="0.15">
      <c r="B139" s="340" t="s">
        <v>698</v>
      </c>
      <c r="C139" s="12" t="s">
        <v>295</v>
      </c>
      <c r="D139" s="67">
        <f t="shared" si="109"/>
        <v>0</v>
      </c>
      <c r="E139" s="67">
        <f t="shared" ref="E139:J139" si="119">E167</f>
        <v>0</v>
      </c>
      <c r="F139" s="67">
        <f t="shared" si="119"/>
        <v>0</v>
      </c>
      <c r="G139" s="67">
        <f t="shared" si="119"/>
        <v>0</v>
      </c>
      <c r="H139" s="67">
        <f t="shared" si="119"/>
        <v>0</v>
      </c>
      <c r="I139" s="67">
        <f t="shared" si="119"/>
        <v>0</v>
      </c>
      <c r="J139" s="67">
        <f t="shared" si="119"/>
        <v>0</v>
      </c>
      <c r="K139" s="67">
        <f>K167</f>
        <v>0</v>
      </c>
      <c r="L139" s="67">
        <f>L167</f>
        <v>0</v>
      </c>
      <c r="M139" s="67">
        <f>M167</f>
        <v>0</v>
      </c>
      <c r="N139" s="67">
        <f>N167</f>
        <v>0</v>
      </c>
      <c r="O139" s="67">
        <v>0</v>
      </c>
      <c r="P139" s="326">
        <f t="shared" si="115"/>
        <v>0</v>
      </c>
      <c r="Q139" s="2"/>
      <c r="S139" s="2"/>
    </row>
    <row r="140" spans="1:19" x14ac:dyDescent="0.15">
      <c r="B140" s="340">
        <v>7</v>
      </c>
      <c r="C140" s="12" t="s">
        <v>296</v>
      </c>
      <c r="D140" s="67">
        <f t="shared" si="109"/>
        <v>0</v>
      </c>
      <c r="E140" s="67">
        <f t="shared" ref="E140:J140" si="120">E138-E139</f>
        <v>66057500</v>
      </c>
      <c r="F140" s="67">
        <f t="shared" si="120"/>
        <v>54262775.00000003</v>
      </c>
      <c r="G140" s="67">
        <f t="shared" si="120"/>
        <v>44798631.548749983</v>
      </c>
      <c r="H140" s="67">
        <f t="shared" si="120"/>
        <v>31908352.439272046</v>
      </c>
      <c r="I140" s="67">
        <f t="shared" si="120"/>
        <v>16140058.826927066</v>
      </c>
      <c r="J140" s="67">
        <f t="shared" si="120"/>
        <v>0</v>
      </c>
      <c r="K140" s="67">
        <f>K138-K139</f>
        <v>0</v>
      </c>
      <c r="L140" s="67">
        <f>L138-L139</f>
        <v>0</v>
      </c>
      <c r="M140" s="67">
        <f>M138-M139</f>
        <v>0</v>
      </c>
      <c r="N140" s="67">
        <f>N138-N139</f>
        <v>0</v>
      </c>
      <c r="O140" s="67">
        <v>0</v>
      </c>
      <c r="P140" s="326">
        <f t="shared" si="115"/>
        <v>213167317.81494913</v>
      </c>
      <c r="Q140" s="2"/>
      <c r="S140" s="2"/>
    </row>
    <row r="141" spans="1:19" x14ac:dyDescent="0.15">
      <c r="B141" s="340">
        <v>8</v>
      </c>
      <c r="C141" s="12" t="s">
        <v>297</v>
      </c>
      <c r="D141" s="67">
        <f t="shared" si="109"/>
        <v>0</v>
      </c>
      <c r="E141" s="67">
        <f>-E140*$D$3</f>
        <v>-19817250</v>
      </c>
      <c r="F141" s="67">
        <f t="shared" ref="F141:N141" si="121">-F140*$D$3</f>
        <v>-16278832.500000007</v>
      </c>
      <c r="G141" s="67">
        <f t="shared" si="121"/>
        <v>-13439589.464624995</v>
      </c>
      <c r="H141" s="67">
        <f t="shared" si="121"/>
        <v>-9572505.7317816131</v>
      </c>
      <c r="I141" s="67">
        <f t="shared" si="121"/>
        <v>-4842017.6480781194</v>
      </c>
      <c r="J141" s="67">
        <f t="shared" si="121"/>
        <v>0</v>
      </c>
      <c r="K141" s="67">
        <f t="shared" si="121"/>
        <v>0</v>
      </c>
      <c r="L141" s="67">
        <f t="shared" si="121"/>
        <v>0</v>
      </c>
      <c r="M141" s="67">
        <f t="shared" si="121"/>
        <v>0</v>
      </c>
      <c r="N141" s="67">
        <f t="shared" si="121"/>
        <v>0</v>
      </c>
      <c r="O141" s="67">
        <v>0</v>
      </c>
      <c r="P141" s="326">
        <f t="shared" si="115"/>
        <v>-63950195.344484739</v>
      </c>
      <c r="Q141" s="2"/>
      <c r="S141" s="2"/>
    </row>
    <row r="142" spans="1:19" x14ac:dyDescent="0.15">
      <c r="B142" s="340">
        <v>9</v>
      </c>
      <c r="C142" s="12" t="s">
        <v>298</v>
      </c>
      <c r="D142" s="67">
        <f t="shared" si="109"/>
        <v>0</v>
      </c>
      <c r="E142" s="67">
        <f t="shared" ref="E142:J142" si="122">E170</f>
        <v>0</v>
      </c>
      <c r="F142" s="67">
        <f t="shared" si="122"/>
        <v>0</v>
      </c>
      <c r="G142" s="67">
        <f t="shared" si="122"/>
        <v>0</v>
      </c>
      <c r="H142" s="67">
        <f t="shared" si="122"/>
        <v>0</v>
      </c>
      <c r="I142" s="67">
        <f t="shared" si="122"/>
        <v>0</v>
      </c>
      <c r="J142" s="67">
        <f t="shared" si="122"/>
        <v>0</v>
      </c>
      <c r="K142" s="67">
        <f>K170</f>
        <v>0</v>
      </c>
      <c r="L142" s="67">
        <f>L170</f>
        <v>0</v>
      </c>
      <c r="M142" s="67">
        <f>M170</f>
        <v>0</v>
      </c>
      <c r="N142" s="67">
        <f>N170</f>
        <v>0</v>
      </c>
      <c r="O142" s="67">
        <v>0</v>
      </c>
      <c r="P142" s="326">
        <f t="shared" si="115"/>
        <v>0</v>
      </c>
      <c r="Q142" s="2"/>
      <c r="S142" s="2"/>
    </row>
    <row r="143" spans="1:19" x14ac:dyDescent="0.15">
      <c r="B143" s="340">
        <v>10</v>
      </c>
      <c r="C143" s="12" t="s">
        <v>299</v>
      </c>
      <c r="D143" s="67">
        <f t="shared" si="109"/>
        <v>0</v>
      </c>
      <c r="E143" s="67">
        <f t="shared" ref="E143:J143" si="123">E140+E141+E142</f>
        <v>46240250</v>
      </c>
      <c r="F143" s="67">
        <f t="shared" si="123"/>
        <v>37983942.500000022</v>
      </c>
      <c r="G143" s="67">
        <f t="shared" si="123"/>
        <v>31359042.08412499</v>
      </c>
      <c r="H143" s="67">
        <f t="shared" si="123"/>
        <v>22335846.707490433</v>
      </c>
      <c r="I143" s="67">
        <f t="shared" si="123"/>
        <v>11298041.178848946</v>
      </c>
      <c r="J143" s="67">
        <f t="shared" si="123"/>
        <v>0</v>
      </c>
      <c r="K143" s="67">
        <f>K140+K141+K142</f>
        <v>0</v>
      </c>
      <c r="L143" s="67">
        <f>L140+L141+L142</f>
        <v>0</v>
      </c>
      <c r="M143" s="67">
        <f>M140+M141+M142</f>
        <v>0</v>
      </c>
      <c r="N143" s="67">
        <f>N140+N141+N142</f>
        <v>0</v>
      </c>
      <c r="O143" s="67">
        <v>0</v>
      </c>
      <c r="P143" s="326">
        <f t="shared" si="115"/>
        <v>149217122.47046441</v>
      </c>
      <c r="Q143" s="2"/>
      <c r="S143" s="2"/>
    </row>
    <row r="144" spans="1:19" x14ac:dyDescent="0.15">
      <c r="B144" s="340" t="s">
        <v>699</v>
      </c>
      <c r="C144" s="12" t="s">
        <v>292</v>
      </c>
      <c r="D144" s="67">
        <f t="shared" si="109"/>
        <v>0</v>
      </c>
      <c r="E144" s="67">
        <f t="shared" ref="E144:J144" si="124">E172</f>
        <v>3772500</v>
      </c>
      <c r="F144" s="67">
        <f t="shared" si="124"/>
        <v>6218850</v>
      </c>
      <c r="G144" s="67">
        <f t="shared" si="124"/>
        <v>4083150</v>
      </c>
      <c r="H144" s="67">
        <f t="shared" si="124"/>
        <v>2775510</v>
      </c>
      <c r="I144" s="67">
        <f t="shared" si="124"/>
        <v>1352955</v>
      </c>
      <c r="J144" s="67">
        <f t="shared" si="124"/>
        <v>0</v>
      </c>
      <c r="K144" s="67">
        <f>K172</f>
        <v>0</v>
      </c>
      <c r="L144" s="67">
        <f>L172</f>
        <v>0</v>
      </c>
      <c r="M144" s="67">
        <f>M172</f>
        <v>0</v>
      </c>
      <c r="N144" s="67">
        <f>N172</f>
        <v>0</v>
      </c>
      <c r="O144" s="67">
        <v>0</v>
      </c>
      <c r="P144" s="326">
        <f t="shared" si="115"/>
        <v>18202965</v>
      </c>
      <c r="Q144" s="2"/>
      <c r="S144" s="2"/>
    </row>
    <row r="145" spans="1:19" x14ac:dyDescent="0.15">
      <c r="B145" s="340">
        <v>12</v>
      </c>
      <c r="C145" s="12" t="s">
        <v>301</v>
      </c>
      <c r="D145" s="67">
        <f t="shared" si="109"/>
        <v>0</v>
      </c>
      <c r="E145" s="67">
        <f t="shared" ref="E145:J145" si="125">E143+E144</f>
        <v>50012750</v>
      </c>
      <c r="F145" s="67">
        <f t="shared" si="125"/>
        <v>44202792.500000022</v>
      </c>
      <c r="G145" s="67">
        <f t="shared" si="125"/>
        <v>35442192.08412499</v>
      </c>
      <c r="H145" s="67">
        <f t="shared" si="125"/>
        <v>25111356.707490433</v>
      </c>
      <c r="I145" s="67">
        <f t="shared" si="125"/>
        <v>12650996.178848946</v>
      </c>
      <c r="J145" s="67">
        <f t="shared" si="125"/>
        <v>0</v>
      </c>
      <c r="K145" s="67">
        <f>K143+K144</f>
        <v>0</v>
      </c>
      <c r="L145" s="67">
        <f>L143+L144</f>
        <v>0</v>
      </c>
      <c r="M145" s="67">
        <f>M143+M144</f>
        <v>0</v>
      </c>
      <c r="N145" s="67">
        <f>N143+N144</f>
        <v>0</v>
      </c>
      <c r="O145" s="67">
        <v>0</v>
      </c>
      <c r="P145" s="326">
        <f t="shared" si="115"/>
        <v>167420087.47046441</v>
      </c>
      <c r="Q145" s="2"/>
      <c r="S145" s="2"/>
    </row>
    <row r="146" spans="1:19" x14ac:dyDescent="0.15">
      <c r="B146" s="340" t="s">
        <v>700</v>
      </c>
      <c r="C146" s="12" t="s">
        <v>303</v>
      </c>
      <c r="D146" s="67">
        <v>0</v>
      </c>
      <c r="E146" s="67">
        <f t="shared" ref="E146:N146" si="126">E174</f>
        <v>0</v>
      </c>
      <c r="F146" s="67">
        <f t="shared" si="126"/>
        <v>0</v>
      </c>
      <c r="G146" s="67">
        <f t="shared" si="126"/>
        <v>0</v>
      </c>
      <c r="H146" s="67">
        <f t="shared" si="126"/>
        <v>0</v>
      </c>
      <c r="I146" s="67">
        <f t="shared" si="126"/>
        <v>0</v>
      </c>
      <c r="J146" s="67">
        <f t="shared" si="126"/>
        <v>0</v>
      </c>
      <c r="K146" s="67">
        <f t="shared" si="126"/>
        <v>0</v>
      </c>
      <c r="L146" s="67">
        <f t="shared" si="126"/>
        <v>0</v>
      </c>
      <c r="M146" s="67">
        <f t="shared" si="126"/>
        <v>0</v>
      </c>
      <c r="N146" s="67">
        <f t="shared" si="126"/>
        <v>0</v>
      </c>
      <c r="O146" s="67">
        <v>0</v>
      </c>
      <c r="P146" s="326">
        <f t="shared" si="115"/>
        <v>0</v>
      </c>
      <c r="Q146" s="2"/>
      <c r="S146" s="2"/>
    </row>
    <row r="147" spans="1:19" x14ac:dyDescent="0.15">
      <c r="B147" s="340">
        <v>14</v>
      </c>
      <c r="C147" s="12" t="s">
        <v>304</v>
      </c>
      <c r="D147" s="67">
        <f t="shared" ref="D147:D153" si="127">D175</f>
        <v>-32550000</v>
      </c>
      <c r="E147" s="67">
        <f t="shared" ref="E147:N147" si="128">E175</f>
        <v>0</v>
      </c>
      <c r="F147" s="67">
        <f t="shared" si="128"/>
        <v>0</v>
      </c>
      <c r="G147" s="67">
        <f t="shared" si="128"/>
        <v>0</v>
      </c>
      <c r="H147" s="67">
        <f t="shared" si="128"/>
        <v>0</v>
      </c>
      <c r="I147" s="67">
        <f t="shared" si="128"/>
        <v>14347035</v>
      </c>
      <c r="J147" s="67">
        <f t="shared" si="128"/>
        <v>0</v>
      </c>
      <c r="K147" s="67">
        <f t="shared" si="128"/>
        <v>0</v>
      </c>
      <c r="L147" s="67">
        <f t="shared" si="128"/>
        <v>0</v>
      </c>
      <c r="M147" s="67">
        <f t="shared" si="128"/>
        <v>0</v>
      </c>
      <c r="N147" s="67">
        <f t="shared" si="128"/>
        <v>0</v>
      </c>
      <c r="O147" s="67">
        <v>0</v>
      </c>
      <c r="P147" s="326">
        <f t="shared" si="115"/>
        <v>14347035</v>
      </c>
      <c r="Q147" s="2"/>
      <c r="S147" s="2"/>
    </row>
    <row r="148" spans="1:19" x14ac:dyDescent="0.15">
      <c r="B148" s="340" t="s">
        <v>701</v>
      </c>
      <c r="C148" s="12" t="s">
        <v>207</v>
      </c>
      <c r="D148" s="67">
        <f t="shared" si="127"/>
        <v>-31050000</v>
      </c>
      <c r="E148" s="67">
        <f t="shared" ref="E148:N148" si="129">E176</f>
        <v>0</v>
      </c>
      <c r="F148" s="67">
        <f t="shared" si="129"/>
        <v>0</v>
      </c>
      <c r="G148" s="67">
        <f t="shared" si="129"/>
        <v>0</v>
      </c>
      <c r="H148" s="67">
        <f t="shared" si="129"/>
        <v>0</v>
      </c>
      <c r="I148" s="67">
        <f t="shared" si="129"/>
        <v>12847035</v>
      </c>
      <c r="J148" s="67">
        <f t="shared" si="129"/>
        <v>0</v>
      </c>
      <c r="K148" s="67">
        <f t="shared" si="129"/>
        <v>0</v>
      </c>
      <c r="L148" s="67">
        <f t="shared" si="129"/>
        <v>0</v>
      </c>
      <c r="M148" s="67">
        <f t="shared" si="129"/>
        <v>0</v>
      </c>
      <c r="N148" s="67">
        <f t="shared" si="129"/>
        <v>0</v>
      </c>
      <c r="O148" s="67">
        <v>0</v>
      </c>
      <c r="P148" s="326">
        <f t="shared" si="115"/>
        <v>12847035</v>
      </c>
      <c r="Q148" s="2"/>
      <c r="S148" s="2"/>
    </row>
    <row r="149" spans="1:19" x14ac:dyDescent="0.15">
      <c r="B149" s="340" t="s">
        <v>702</v>
      </c>
      <c r="C149" s="12" t="s">
        <v>307</v>
      </c>
      <c r="D149" s="67">
        <f t="shared" si="127"/>
        <v>-1500000</v>
      </c>
      <c r="E149" s="67">
        <f t="shared" ref="E149:N149" si="130">E177</f>
        <v>0</v>
      </c>
      <c r="F149" s="67">
        <f t="shared" si="130"/>
        <v>0</v>
      </c>
      <c r="G149" s="67">
        <f t="shared" si="130"/>
        <v>0</v>
      </c>
      <c r="H149" s="67">
        <f t="shared" si="130"/>
        <v>0</v>
      </c>
      <c r="I149" s="67">
        <f t="shared" si="130"/>
        <v>1500000</v>
      </c>
      <c r="J149" s="67">
        <f t="shared" si="130"/>
        <v>0</v>
      </c>
      <c r="K149" s="67">
        <f t="shared" si="130"/>
        <v>0</v>
      </c>
      <c r="L149" s="67">
        <f t="shared" si="130"/>
        <v>0</v>
      </c>
      <c r="M149" s="67">
        <f t="shared" si="130"/>
        <v>0</v>
      </c>
      <c r="N149" s="67">
        <f t="shared" si="130"/>
        <v>0</v>
      </c>
      <c r="O149" s="67">
        <v>0</v>
      </c>
      <c r="P149" s="326">
        <f t="shared" si="115"/>
        <v>1500000</v>
      </c>
      <c r="Q149" s="2"/>
      <c r="S149" s="2"/>
    </row>
    <row r="150" spans="1:19" x14ac:dyDescent="0.15">
      <c r="B150" s="340" t="s">
        <v>703</v>
      </c>
      <c r="C150" s="12" t="s">
        <v>309</v>
      </c>
      <c r="D150" s="67">
        <f t="shared" si="127"/>
        <v>0</v>
      </c>
      <c r="E150" s="67">
        <f t="shared" ref="E150:N150" si="131">E178</f>
        <v>0</v>
      </c>
      <c r="F150" s="67">
        <f t="shared" si="131"/>
        <v>0</v>
      </c>
      <c r="G150" s="67">
        <f t="shared" si="131"/>
        <v>0</v>
      </c>
      <c r="H150" s="67">
        <f t="shared" si="131"/>
        <v>0</v>
      </c>
      <c r="I150" s="67">
        <f t="shared" si="131"/>
        <v>0</v>
      </c>
      <c r="J150" s="67">
        <f t="shared" si="131"/>
        <v>0</v>
      </c>
      <c r="K150" s="67">
        <f t="shared" si="131"/>
        <v>0</v>
      </c>
      <c r="L150" s="67">
        <f t="shared" si="131"/>
        <v>0</v>
      </c>
      <c r="M150" s="67">
        <f t="shared" si="131"/>
        <v>0</v>
      </c>
      <c r="N150" s="67">
        <f t="shared" si="131"/>
        <v>0</v>
      </c>
      <c r="O150" s="67">
        <v>0</v>
      </c>
      <c r="P150" s="326">
        <f t="shared" si="115"/>
        <v>0</v>
      </c>
      <c r="Q150" s="2"/>
      <c r="S150" s="2"/>
    </row>
    <row r="151" spans="1:19" x14ac:dyDescent="0.15">
      <c r="B151" s="340" t="s">
        <v>704</v>
      </c>
      <c r="C151" s="12" t="s">
        <v>311</v>
      </c>
      <c r="D151" s="67">
        <f t="shared" si="127"/>
        <v>0</v>
      </c>
      <c r="E151" s="67">
        <f t="shared" ref="E151:N151" si="132">E179</f>
        <v>0</v>
      </c>
      <c r="F151" s="67">
        <f t="shared" si="132"/>
        <v>0</v>
      </c>
      <c r="G151" s="67">
        <f t="shared" si="132"/>
        <v>0</v>
      </c>
      <c r="H151" s="67">
        <f t="shared" si="132"/>
        <v>0</v>
      </c>
      <c r="I151" s="67">
        <f t="shared" si="132"/>
        <v>-2596968.7000000002</v>
      </c>
      <c r="J151" s="67">
        <f t="shared" si="132"/>
        <v>0</v>
      </c>
      <c r="K151" s="67">
        <f t="shared" si="132"/>
        <v>0</v>
      </c>
      <c r="L151" s="67">
        <f t="shared" si="132"/>
        <v>0</v>
      </c>
      <c r="M151" s="67">
        <f t="shared" si="132"/>
        <v>0</v>
      </c>
      <c r="N151" s="67">
        <f t="shared" si="132"/>
        <v>0</v>
      </c>
      <c r="O151" s="67">
        <v>0</v>
      </c>
      <c r="P151" s="326">
        <f t="shared" si="115"/>
        <v>-2596968.7000000002</v>
      </c>
      <c r="Q151" s="2"/>
      <c r="S151" s="2"/>
    </row>
    <row r="152" spans="1:19" ht="14" thickBot="1" x14ac:dyDescent="0.2">
      <c r="B152" s="340" t="s">
        <v>705</v>
      </c>
      <c r="C152" s="12" t="s">
        <v>115</v>
      </c>
      <c r="D152" s="67">
        <f t="shared" si="127"/>
        <v>-60000000</v>
      </c>
      <c r="E152" s="67">
        <f t="shared" ref="E152:N152" si="133">E180</f>
        <v>0</v>
      </c>
      <c r="F152" s="67">
        <f t="shared" si="133"/>
        <v>0</v>
      </c>
      <c r="G152" s="67">
        <f t="shared" si="133"/>
        <v>0</v>
      </c>
      <c r="H152" s="67">
        <f t="shared" si="133"/>
        <v>0</v>
      </c>
      <c r="I152" s="67">
        <f t="shared" si="133"/>
        <v>60000000</v>
      </c>
      <c r="J152" s="67">
        <f t="shared" si="133"/>
        <v>0</v>
      </c>
      <c r="K152" s="67">
        <f t="shared" si="133"/>
        <v>0</v>
      </c>
      <c r="L152" s="67">
        <f t="shared" si="133"/>
        <v>0</v>
      </c>
      <c r="M152" s="67">
        <f t="shared" si="133"/>
        <v>0</v>
      </c>
      <c r="N152" s="67">
        <f t="shared" si="133"/>
        <v>0</v>
      </c>
      <c r="O152" s="67">
        <v>0</v>
      </c>
      <c r="P152" s="326">
        <f t="shared" si="115"/>
        <v>60000000</v>
      </c>
      <c r="Q152" s="2"/>
      <c r="S152" s="2"/>
    </row>
    <row r="153" spans="1:19" x14ac:dyDescent="0.15">
      <c r="B153" s="340">
        <v>17</v>
      </c>
      <c r="C153" s="12" t="s">
        <v>313</v>
      </c>
      <c r="D153" s="67">
        <f t="shared" si="127"/>
        <v>-92550000</v>
      </c>
      <c r="E153" s="67">
        <f t="shared" ref="E153:N153" si="134">E181</f>
        <v>0</v>
      </c>
      <c r="F153" s="67">
        <f t="shared" si="134"/>
        <v>0</v>
      </c>
      <c r="G153" s="67">
        <f t="shared" si="134"/>
        <v>0</v>
      </c>
      <c r="H153" s="67">
        <f t="shared" si="134"/>
        <v>0</v>
      </c>
      <c r="I153" s="67">
        <f t="shared" si="134"/>
        <v>71750066.299999997</v>
      </c>
      <c r="J153" s="67">
        <f t="shared" si="134"/>
        <v>0</v>
      </c>
      <c r="K153" s="67">
        <f t="shared" si="134"/>
        <v>0</v>
      </c>
      <c r="L153" s="67">
        <f t="shared" si="134"/>
        <v>0</v>
      </c>
      <c r="M153" s="67">
        <f t="shared" si="134"/>
        <v>0</v>
      </c>
      <c r="N153" s="67">
        <f t="shared" si="134"/>
        <v>0</v>
      </c>
      <c r="O153" s="67">
        <v>0</v>
      </c>
      <c r="P153" s="326">
        <f t="shared" si="115"/>
        <v>71750066.299999997</v>
      </c>
      <c r="Q153" s="461"/>
      <c r="R153" s="357" t="s">
        <v>693</v>
      </c>
      <c r="S153" s="2"/>
    </row>
    <row r="154" spans="1:19" ht="14" thickBot="1" x14ac:dyDescent="0.2">
      <c r="A154" s="1" t="s">
        <v>708</v>
      </c>
      <c r="B154" s="355">
        <v>18</v>
      </c>
      <c r="C154" s="335" t="s">
        <v>314</v>
      </c>
      <c r="D154" s="331">
        <f>D153+D145</f>
        <v>-92550000</v>
      </c>
      <c r="E154" s="331">
        <f t="shared" ref="E154:P154" si="135">E153+E145</f>
        <v>50012750</v>
      </c>
      <c r="F154" s="331">
        <f t="shared" si="135"/>
        <v>44202792.500000022</v>
      </c>
      <c r="G154" s="331">
        <f t="shared" si="135"/>
        <v>35442192.08412499</v>
      </c>
      <c r="H154" s="331">
        <f t="shared" si="135"/>
        <v>25111356.707490433</v>
      </c>
      <c r="I154" s="331">
        <f t="shared" si="135"/>
        <v>84401062.478848949</v>
      </c>
      <c r="J154" s="331">
        <f t="shared" si="135"/>
        <v>0</v>
      </c>
      <c r="K154" s="331">
        <f t="shared" si="135"/>
        <v>0</v>
      </c>
      <c r="L154" s="331">
        <f t="shared" si="135"/>
        <v>0</v>
      </c>
      <c r="M154" s="331">
        <f t="shared" si="135"/>
        <v>0</v>
      </c>
      <c r="N154" s="331">
        <f t="shared" si="135"/>
        <v>0</v>
      </c>
      <c r="O154" s="331">
        <f t="shared" si="135"/>
        <v>0</v>
      </c>
      <c r="P154" s="331">
        <f t="shared" si="135"/>
        <v>239170153.77046442</v>
      </c>
      <c r="Q154" s="464"/>
      <c r="R154" s="358">
        <f>IF(ISNUMBER(IRR(D154:N154)),IRR(D154:N154),"NMF")</f>
        <v>0.40549033935008683</v>
      </c>
      <c r="S154" s="1" t="s">
        <v>708</v>
      </c>
    </row>
    <row r="155" spans="1:19" x14ac:dyDescent="0.15">
      <c r="S155" s="2"/>
    </row>
    <row r="156" spans="1:19" ht="14" thickBot="1" x14ac:dyDescent="0.2">
      <c r="S156" s="2"/>
    </row>
    <row r="157" spans="1:19" ht="14" thickBot="1" x14ac:dyDescent="0.2">
      <c r="B157" s="339" t="s">
        <v>282</v>
      </c>
      <c r="C157" s="302" t="s">
        <v>283</v>
      </c>
      <c r="D157" s="302"/>
      <c r="E157" s="302">
        <v>1</v>
      </c>
      <c r="F157" s="302">
        <v>2</v>
      </c>
      <c r="G157" s="302">
        <v>3</v>
      </c>
      <c r="H157" s="302">
        <v>4</v>
      </c>
      <c r="I157" s="302">
        <v>5</v>
      </c>
      <c r="J157" s="302">
        <v>6</v>
      </c>
      <c r="K157" s="302">
        <v>7</v>
      </c>
      <c r="L157" s="302">
        <v>8</v>
      </c>
      <c r="M157" s="302">
        <v>9</v>
      </c>
      <c r="N157" s="302">
        <v>10</v>
      </c>
      <c r="O157" s="302" t="s">
        <v>284</v>
      </c>
      <c r="P157" s="290" t="s">
        <v>285</v>
      </c>
      <c r="S157" s="2"/>
    </row>
    <row r="158" spans="1:19" x14ac:dyDescent="0.15">
      <c r="B158" s="340" t="s">
        <v>687</v>
      </c>
      <c r="C158" s="12" t="s">
        <v>287</v>
      </c>
      <c r="D158" s="321">
        <f>'After Tax Analysis'!D8</f>
        <v>0</v>
      </c>
      <c r="E158" s="321">
        <f>'After Tax Analysis'!E8</f>
        <v>300000000</v>
      </c>
      <c r="F158" s="321">
        <f>'After Tax Analysis'!F8</f>
        <v>313500000.00000006</v>
      </c>
      <c r="G158" s="321">
        <f>'After Tax Analysis'!G8</f>
        <v>327607500.00000006</v>
      </c>
      <c r="H158" s="321">
        <f>'After Tax Analysis'!H8</f>
        <v>342349837.50000012</v>
      </c>
      <c r="I158" s="321">
        <f>'After Tax Analysis'!I8</f>
        <v>357755580.18750012</v>
      </c>
      <c r="J158" s="321">
        <f>'After Tax Analysis'!J8</f>
        <v>0</v>
      </c>
      <c r="K158" s="321">
        <f>'After Tax Analysis'!K8</f>
        <v>0</v>
      </c>
      <c r="L158" s="321">
        <f>'After Tax Analysis'!L8</f>
        <v>0</v>
      </c>
      <c r="M158" s="321">
        <f>'After Tax Analysis'!M8</f>
        <v>0</v>
      </c>
      <c r="N158" s="321">
        <f>'After Tax Analysis'!N8</f>
        <v>0</v>
      </c>
      <c r="O158" s="67">
        <v>0</v>
      </c>
      <c r="P158" s="326">
        <f>SUM(D158:N158)</f>
        <v>1641212917.6875</v>
      </c>
      <c r="Q158" s="2"/>
      <c r="S158" s="2"/>
    </row>
    <row r="159" spans="1:19" x14ac:dyDescent="0.15">
      <c r="A159" s="1" t="s">
        <v>417</v>
      </c>
      <c r="B159" s="340" t="s">
        <v>689</v>
      </c>
      <c r="C159" s="340" t="s">
        <v>689</v>
      </c>
      <c r="D159" s="329"/>
      <c r="E159" s="329">
        <f>Revenues!D9</f>
        <v>300000000</v>
      </c>
      <c r="F159" s="329">
        <f>Revenues!E9</f>
        <v>313500000.00000006</v>
      </c>
      <c r="G159" s="329">
        <f>Revenues!F9</f>
        <v>327607500.00000006</v>
      </c>
      <c r="H159" s="329">
        <f>Revenues!G9</f>
        <v>342349837.50000012</v>
      </c>
      <c r="I159" s="329">
        <f>Revenues!H9</f>
        <v>357755580.18750012</v>
      </c>
      <c r="J159" s="329">
        <f>Revenues!I9</f>
        <v>0</v>
      </c>
      <c r="K159" s="329">
        <f>Revenues!J9</f>
        <v>0</v>
      </c>
      <c r="L159" s="329">
        <f>Revenues!K9</f>
        <v>0</v>
      </c>
      <c r="M159" s="329">
        <f>Revenues!L9</f>
        <v>0</v>
      </c>
      <c r="N159" s="329">
        <f>Revenues!M9</f>
        <v>0</v>
      </c>
      <c r="O159" s="67"/>
      <c r="P159" s="326">
        <f t="shared" ref="P159:P185" si="136">SUM(D159:N159)</f>
        <v>1641212917.6875</v>
      </c>
      <c r="Q159" s="2"/>
      <c r="S159" s="2"/>
    </row>
    <row r="160" spans="1:19" x14ac:dyDescent="0.15">
      <c r="B160" s="355" t="s">
        <v>690</v>
      </c>
      <c r="C160" s="355" t="s">
        <v>690</v>
      </c>
      <c r="D160" s="337"/>
      <c r="E160" s="337">
        <f>Revenues!D16</f>
        <v>0</v>
      </c>
      <c r="F160" s="337">
        <f>Revenues!E16</f>
        <v>0</v>
      </c>
      <c r="G160" s="337">
        <f>Revenues!F16</f>
        <v>0</v>
      </c>
      <c r="H160" s="337">
        <f>Revenues!G16</f>
        <v>0</v>
      </c>
      <c r="I160" s="337">
        <f>Revenues!H16</f>
        <v>0</v>
      </c>
      <c r="J160" s="337">
        <f>Revenues!I16</f>
        <v>0</v>
      </c>
      <c r="K160" s="337">
        <f>Revenues!J16</f>
        <v>0</v>
      </c>
      <c r="L160" s="337">
        <f>Revenues!K16</f>
        <v>0</v>
      </c>
      <c r="M160" s="337">
        <f>Revenues!L16</f>
        <v>0</v>
      </c>
      <c r="N160" s="337">
        <f>Revenues!M16</f>
        <v>0</v>
      </c>
      <c r="O160" s="331"/>
      <c r="P160" s="326">
        <f t="shared" si="136"/>
        <v>0</v>
      </c>
      <c r="Q160" s="460"/>
      <c r="S160" s="2"/>
    </row>
    <row r="161" spans="2:19" x14ac:dyDescent="0.15">
      <c r="B161" s="340" t="s">
        <v>691</v>
      </c>
      <c r="C161" s="340" t="s">
        <v>691</v>
      </c>
      <c r="D161" s="329"/>
      <c r="E161" s="329">
        <f>Revenues!D23</f>
        <v>0</v>
      </c>
      <c r="F161" s="329">
        <f>Revenues!E23</f>
        <v>0</v>
      </c>
      <c r="G161" s="329">
        <f>Revenues!F23</f>
        <v>0</v>
      </c>
      <c r="H161" s="329">
        <f>Revenues!G23</f>
        <v>0</v>
      </c>
      <c r="I161" s="329">
        <f>Revenues!H23</f>
        <v>0</v>
      </c>
      <c r="J161" s="329">
        <f>Revenues!I23</f>
        <v>0</v>
      </c>
      <c r="K161" s="329">
        <f>Revenues!J23</f>
        <v>0</v>
      </c>
      <c r="L161" s="329">
        <f>Revenues!K23</f>
        <v>0</v>
      </c>
      <c r="M161" s="329">
        <f>Revenues!L23</f>
        <v>0</v>
      </c>
      <c r="N161" s="329">
        <f>Revenues!M23</f>
        <v>0</v>
      </c>
      <c r="O161" s="67"/>
      <c r="P161" s="326">
        <f t="shared" si="136"/>
        <v>0</v>
      </c>
      <c r="Q161" s="2"/>
      <c r="S161" s="2"/>
    </row>
    <row r="162" spans="2:19" x14ac:dyDescent="0.15">
      <c r="B162" s="340" t="s">
        <v>695</v>
      </c>
      <c r="C162" s="12"/>
      <c r="D162" s="329"/>
      <c r="E162" s="67">
        <f>SUM(E159:E161)</f>
        <v>300000000</v>
      </c>
      <c r="F162" s="67">
        <f t="shared" ref="F162:N162" si="137">SUM(F159:F161)</f>
        <v>313500000.00000006</v>
      </c>
      <c r="G162" s="67">
        <f t="shared" si="137"/>
        <v>327607500.00000006</v>
      </c>
      <c r="H162" s="67">
        <f t="shared" si="137"/>
        <v>342349837.50000012</v>
      </c>
      <c r="I162" s="67">
        <f t="shared" si="137"/>
        <v>357755580.18750012</v>
      </c>
      <c r="J162" s="67">
        <f t="shared" si="137"/>
        <v>0</v>
      </c>
      <c r="K162" s="67">
        <f t="shared" si="137"/>
        <v>0</v>
      </c>
      <c r="L162" s="67">
        <f t="shared" si="137"/>
        <v>0</v>
      </c>
      <c r="M162" s="67">
        <f t="shared" si="137"/>
        <v>0</v>
      </c>
      <c r="N162" s="67">
        <f t="shared" si="137"/>
        <v>0</v>
      </c>
      <c r="O162" s="67"/>
      <c r="P162" s="326">
        <f t="shared" si="136"/>
        <v>1641212917.6875</v>
      </c>
      <c r="Q162" s="2">
        <f>'After Tax Analysis'!P8</f>
        <v>1641212917.6875</v>
      </c>
      <c r="S162" s="2"/>
    </row>
    <row r="163" spans="2:19" x14ac:dyDescent="0.15">
      <c r="B163" s="340" t="s">
        <v>696</v>
      </c>
      <c r="C163" s="12" t="s">
        <v>289</v>
      </c>
      <c r="D163" s="388">
        <f>'After Tax Analysis'!D9</f>
        <v>0</v>
      </c>
      <c r="E163" s="388">
        <f>'After Tax Analysis'!E9</f>
        <v>230170000</v>
      </c>
      <c r="F163" s="388">
        <f>'After Tax Analysis'!F9</f>
        <v>253018375.00000003</v>
      </c>
      <c r="G163" s="388">
        <f>'After Tax Analysis'!G9</f>
        <v>278725718.45125008</v>
      </c>
      <c r="H163" s="388">
        <f>'After Tax Analysis'!H9</f>
        <v>307665975.06072807</v>
      </c>
      <c r="I163" s="388">
        <f>'After Tax Analysis'!I9</f>
        <v>340262566.36057305</v>
      </c>
      <c r="J163" s="388">
        <f>'After Tax Analysis'!J9</f>
        <v>0</v>
      </c>
      <c r="K163" s="388">
        <f>'After Tax Analysis'!K9</f>
        <v>0</v>
      </c>
      <c r="L163" s="388">
        <f>'After Tax Analysis'!L9</f>
        <v>0</v>
      </c>
      <c r="M163" s="388">
        <f>'After Tax Analysis'!M9</f>
        <v>0</v>
      </c>
      <c r="N163" s="388">
        <f>'After Tax Analysis'!N9</f>
        <v>0</v>
      </c>
      <c r="O163" s="396">
        <v>0</v>
      </c>
      <c r="P163" s="326">
        <f t="shared" si="136"/>
        <v>1409842634.8725512</v>
      </c>
      <c r="Q163" s="2">
        <f>'After Tax Analysis'!P9</f>
        <v>1409842634.8725512</v>
      </c>
      <c r="S163" s="2"/>
    </row>
    <row r="164" spans="2:19" x14ac:dyDescent="0.15">
      <c r="B164" s="340">
        <v>3</v>
      </c>
      <c r="C164" s="12" t="s">
        <v>290</v>
      </c>
      <c r="D164" s="387">
        <v>0</v>
      </c>
      <c r="E164" s="67">
        <f t="shared" ref="E164:N164" si="138">E162-E163</f>
        <v>69830000</v>
      </c>
      <c r="F164" s="67">
        <f t="shared" si="138"/>
        <v>60481625.00000003</v>
      </c>
      <c r="G164" s="67">
        <f t="shared" si="138"/>
        <v>48881781.548749983</v>
      </c>
      <c r="H164" s="67">
        <f t="shared" si="138"/>
        <v>34683862.439272046</v>
      </c>
      <c r="I164" s="67">
        <f t="shared" si="138"/>
        <v>17493013.826927066</v>
      </c>
      <c r="J164" s="67">
        <f t="shared" si="138"/>
        <v>0</v>
      </c>
      <c r="K164" s="67">
        <f t="shared" si="138"/>
        <v>0</v>
      </c>
      <c r="L164" s="67">
        <f t="shared" si="138"/>
        <v>0</v>
      </c>
      <c r="M164" s="67">
        <f t="shared" si="138"/>
        <v>0</v>
      </c>
      <c r="N164" s="67">
        <f t="shared" si="138"/>
        <v>0</v>
      </c>
      <c r="O164" s="67">
        <v>0</v>
      </c>
      <c r="P164" s="326">
        <f t="shared" si="136"/>
        <v>231370282.81494913</v>
      </c>
      <c r="Q164" s="2">
        <f>'After Tax Analysis'!P10</f>
        <v>231370282.81494913</v>
      </c>
      <c r="S164" s="2"/>
    </row>
    <row r="165" spans="2:19" x14ac:dyDescent="0.15">
      <c r="B165" s="340" t="s">
        <v>697</v>
      </c>
      <c r="C165" s="12" t="s">
        <v>292</v>
      </c>
      <c r="D165" s="388">
        <f>'After Tax Analysis'!D11</f>
        <v>0</v>
      </c>
      <c r="E165" s="388">
        <f>'After Tax Analysis'!E11</f>
        <v>3772500</v>
      </c>
      <c r="F165" s="388">
        <f>'After Tax Analysis'!F11</f>
        <v>6218850</v>
      </c>
      <c r="G165" s="388">
        <f>'After Tax Analysis'!G11</f>
        <v>4083150</v>
      </c>
      <c r="H165" s="388">
        <f>'After Tax Analysis'!H11</f>
        <v>2775510</v>
      </c>
      <c r="I165" s="388">
        <f>'After Tax Analysis'!I11</f>
        <v>1352955</v>
      </c>
      <c r="J165" s="388">
        <f>'After Tax Analysis'!J11</f>
        <v>0</v>
      </c>
      <c r="K165" s="388">
        <f>'After Tax Analysis'!K11</f>
        <v>0</v>
      </c>
      <c r="L165" s="388">
        <f>'After Tax Analysis'!L11</f>
        <v>0</v>
      </c>
      <c r="M165" s="388">
        <f>'After Tax Analysis'!M11</f>
        <v>0</v>
      </c>
      <c r="N165" s="388">
        <f>'After Tax Analysis'!N11</f>
        <v>0</v>
      </c>
      <c r="O165" s="67">
        <v>0</v>
      </c>
      <c r="P165" s="326">
        <f t="shared" si="136"/>
        <v>18202965</v>
      </c>
      <c r="Q165" s="2">
        <f>'After Tax Analysis'!P11</f>
        <v>18202965</v>
      </c>
      <c r="S165" s="2"/>
    </row>
    <row r="166" spans="2:19" x14ac:dyDescent="0.15">
      <c r="B166" s="340">
        <v>5</v>
      </c>
      <c r="C166" s="12" t="s">
        <v>293</v>
      </c>
      <c r="D166" s="387">
        <v>0</v>
      </c>
      <c r="E166" s="67">
        <f t="shared" ref="E166:N166" si="139">E164-E165</f>
        <v>66057500</v>
      </c>
      <c r="F166" s="67">
        <f t="shared" si="139"/>
        <v>54262775.00000003</v>
      </c>
      <c r="G166" s="67">
        <f t="shared" si="139"/>
        <v>44798631.548749983</v>
      </c>
      <c r="H166" s="67">
        <f t="shared" si="139"/>
        <v>31908352.439272046</v>
      </c>
      <c r="I166" s="67">
        <f t="shared" si="139"/>
        <v>16140058.826927066</v>
      </c>
      <c r="J166" s="67">
        <f t="shared" si="139"/>
        <v>0</v>
      </c>
      <c r="K166" s="67">
        <f t="shared" si="139"/>
        <v>0</v>
      </c>
      <c r="L166" s="67">
        <f t="shared" si="139"/>
        <v>0</v>
      </c>
      <c r="M166" s="67">
        <f t="shared" si="139"/>
        <v>0</v>
      </c>
      <c r="N166" s="67">
        <f t="shared" si="139"/>
        <v>0</v>
      </c>
      <c r="O166" s="67">
        <v>0</v>
      </c>
      <c r="P166" s="326">
        <f t="shared" si="136"/>
        <v>213167317.81494913</v>
      </c>
      <c r="Q166" s="2">
        <f>'After Tax Analysis'!P12</f>
        <v>213167317.81494913</v>
      </c>
      <c r="S166" s="2"/>
    </row>
    <row r="167" spans="2:19" x14ac:dyDescent="0.15">
      <c r="B167" s="340" t="s">
        <v>698</v>
      </c>
      <c r="C167" s="12" t="s">
        <v>295</v>
      </c>
      <c r="D167" s="388">
        <f>'After Tax Analysis'!D13</f>
        <v>0</v>
      </c>
      <c r="E167" s="388">
        <f>'After Tax Analysis'!E13</f>
        <v>0</v>
      </c>
      <c r="F167" s="388">
        <f>'After Tax Analysis'!F13</f>
        <v>0</v>
      </c>
      <c r="G167" s="388">
        <f>'After Tax Analysis'!G13</f>
        <v>0</v>
      </c>
      <c r="H167" s="388">
        <f>'After Tax Analysis'!H13</f>
        <v>0</v>
      </c>
      <c r="I167" s="388">
        <f>'After Tax Analysis'!I13</f>
        <v>0</v>
      </c>
      <c r="J167" s="388">
        <f>'After Tax Analysis'!J13</f>
        <v>0</v>
      </c>
      <c r="K167" s="388">
        <f>'After Tax Analysis'!K13</f>
        <v>0</v>
      </c>
      <c r="L167" s="388">
        <f>'After Tax Analysis'!L13</f>
        <v>0</v>
      </c>
      <c r="M167" s="388">
        <f>'After Tax Analysis'!M13</f>
        <v>0</v>
      </c>
      <c r="N167" s="388">
        <f>'After Tax Analysis'!N13</f>
        <v>0</v>
      </c>
      <c r="O167" s="67">
        <v>0</v>
      </c>
      <c r="P167" s="326">
        <f t="shared" si="136"/>
        <v>0</v>
      </c>
      <c r="Q167" s="2">
        <f>'After Tax Analysis'!P13</f>
        <v>0</v>
      </c>
      <c r="S167" s="2"/>
    </row>
    <row r="168" spans="2:19" x14ac:dyDescent="0.15">
      <c r="B168" s="340">
        <v>7</v>
      </c>
      <c r="C168" s="12" t="s">
        <v>296</v>
      </c>
      <c r="D168" s="387">
        <f>D166-D167</f>
        <v>0</v>
      </c>
      <c r="E168" s="387">
        <f t="shared" ref="E168:N168" si="140">E166-E167</f>
        <v>66057500</v>
      </c>
      <c r="F168" s="387">
        <f t="shared" si="140"/>
        <v>54262775.00000003</v>
      </c>
      <c r="G168" s="387">
        <f t="shared" si="140"/>
        <v>44798631.548749983</v>
      </c>
      <c r="H168" s="387">
        <f t="shared" si="140"/>
        <v>31908352.439272046</v>
      </c>
      <c r="I168" s="387">
        <f t="shared" si="140"/>
        <v>16140058.826927066</v>
      </c>
      <c r="J168" s="387">
        <f t="shared" si="140"/>
        <v>0</v>
      </c>
      <c r="K168" s="387">
        <f t="shared" si="140"/>
        <v>0</v>
      </c>
      <c r="L168" s="387">
        <f t="shared" si="140"/>
        <v>0</v>
      </c>
      <c r="M168" s="387">
        <f t="shared" si="140"/>
        <v>0</v>
      </c>
      <c r="N168" s="387">
        <f t="shared" si="140"/>
        <v>0</v>
      </c>
      <c r="O168" s="67">
        <v>0</v>
      </c>
      <c r="P168" s="326">
        <f t="shared" si="136"/>
        <v>213167317.81494913</v>
      </c>
      <c r="Q168" s="2">
        <f>'After Tax Analysis'!P14</f>
        <v>213167317.81494913</v>
      </c>
      <c r="S168" s="2"/>
    </row>
    <row r="169" spans="2:19" x14ac:dyDescent="0.15">
      <c r="B169" s="340">
        <v>8</v>
      </c>
      <c r="C169" s="12" t="s">
        <v>297</v>
      </c>
      <c r="D169" s="67">
        <f t="shared" ref="D169:N169" si="141">D168*$D$3</f>
        <v>0</v>
      </c>
      <c r="E169" s="67">
        <f t="shared" si="141"/>
        <v>19817250</v>
      </c>
      <c r="F169" s="67">
        <f t="shared" si="141"/>
        <v>16278832.500000007</v>
      </c>
      <c r="G169" s="67">
        <f t="shared" si="141"/>
        <v>13439589.464624995</v>
      </c>
      <c r="H169" s="67">
        <f t="shared" si="141"/>
        <v>9572505.7317816131</v>
      </c>
      <c r="I169" s="67">
        <f t="shared" si="141"/>
        <v>4842017.6480781194</v>
      </c>
      <c r="J169" s="67">
        <f t="shared" si="141"/>
        <v>0</v>
      </c>
      <c r="K169" s="67">
        <f t="shared" si="141"/>
        <v>0</v>
      </c>
      <c r="L169" s="67">
        <f t="shared" si="141"/>
        <v>0</v>
      </c>
      <c r="M169" s="67">
        <f t="shared" si="141"/>
        <v>0</v>
      </c>
      <c r="N169" s="67">
        <f t="shared" si="141"/>
        <v>0</v>
      </c>
      <c r="O169" s="67">
        <v>0</v>
      </c>
      <c r="P169" s="326">
        <f t="shared" si="136"/>
        <v>63950195.344484739</v>
      </c>
      <c r="Q169" s="2">
        <f>'After Tax Analysis'!P15</f>
        <v>63950195.344484739</v>
      </c>
      <c r="S169" s="2"/>
    </row>
    <row r="170" spans="2:19" x14ac:dyDescent="0.15">
      <c r="B170" s="340">
        <v>9</v>
      </c>
      <c r="C170" s="12" t="s">
        <v>298</v>
      </c>
      <c r="D170" s="387">
        <f>'After Tax Analysis'!D16</f>
        <v>0</v>
      </c>
      <c r="E170" s="387">
        <f>'After Tax Analysis'!E16</f>
        <v>0</v>
      </c>
      <c r="F170" s="387">
        <f>'After Tax Analysis'!F16</f>
        <v>0</v>
      </c>
      <c r="G170" s="387">
        <f>'After Tax Analysis'!G16</f>
        <v>0</v>
      </c>
      <c r="H170" s="387">
        <f>'After Tax Analysis'!H16</f>
        <v>0</v>
      </c>
      <c r="I170" s="387">
        <f>'After Tax Analysis'!I16</f>
        <v>0</v>
      </c>
      <c r="J170" s="387">
        <f>'After Tax Analysis'!J16</f>
        <v>0</v>
      </c>
      <c r="K170" s="387">
        <f>'After Tax Analysis'!K16</f>
        <v>0</v>
      </c>
      <c r="L170" s="387">
        <f>'After Tax Analysis'!L16</f>
        <v>0</v>
      </c>
      <c r="M170" s="387">
        <f>'After Tax Analysis'!M16</f>
        <v>0</v>
      </c>
      <c r="N170" s="387">
        <f>'After Tax Analysis'!N16</f>
        <v>0</v>
      </c>
      <c r="O170" s="67">
        <v>0</v>
      </c>
      <c r="P170" s="326">
        <f t="shared" si="136"/>
        <v>0</v>
      </c>
      <c r="Q170" s="2">
        <f>'After Tax Analysis'!P16</f>
        <v>0</v>
      </c>
      <c r="S170" s="2"/>
    </row>
    <row r="171" spans="2:19" x14ac:dyDescent="0.15">
      <c r="B171" s="340">
        <v>10</v>
      </c>
      <c r="C171" s="12" t="s">
        <v>299</v>
      </c>
      <c r="D171" s="387">
        <f>D168-D169+D170</f>
        <v>0</v>
      </c>
      <c r="E171" s="387">
        <f t="shared" ref="E171:N171" si="142">E168-E169+E170</f>
        <v>46240250</v>
      </c>
      <c r="F171" s="387">
        <f t="shared" si="142"/>
        <v>37983942.500000022</v>
      </c>
      <c r="G171" s="387">
        <f t="shared" si="142"/>
        <v>31359042.08412499</v>
      </c>
      <c r="H171" s="387">
        <f t="shared" si="142"/>
        <v>22335846.707490433</v>
      </c>
      <c r="I171" s="387">
        <f t="shared" si="142"/>
        <v>11298041.178848946</v>
      </c>
      <c r="J171" s="387">
        <f t="shared" si="142"/>
        <v>0</v>
      </c>
      <c r="K171" s="387">
        <f t="shared" si="142"/>
        <v>0</v>
      </c>
      <c r="L171" s="387">
        <f t="shared" si="142"/>
        <v>0</v>
      </c>
      <c r="M171" s="387">
        <f t="shared" si="142"/>
        <v>0</v>
      </c>
      <c r="N171" s="387">
        <f t="shared" si="142"/>
        <v>0</v>
      </c>
      <c r="O171" s="67">
        <v>0</v>
      </c>
      <c r="P171" s="326">
        <f t="shared" si="136"/>
        <v>149217122.47046441</v>
      </c>
      <c r="Q171" s="2">
        <f>'After Tax Analysis'!P17</f>
        <v>149217122.47046441</v>
      </c>
      <c r="S171" s="2"/>
    </row>
    <row r="172" spans="2:19" x14ac:dyDescent="0.15">
      <c r="B172" s="340" t="s">
        <v>699</v>
      </c>
      <c r="C172" s="12" t="s">
        <v>292</v>
      </c>
      <c r="D172" s="388">
        <f>'After Tax Analysis'!D18</f>
        <v>0</v>
      </c>
      <c r="E172" s="388">
        <f>'After Tax Analysis'!E18</f>
        <v>3772500</v>
      </c>
      <c r="F172" s="388">
        <f>'After Tax Analysis'!F18</f>
        <v>6218850</v>
      </c>
      <c r="G172" s="388">
        <f>'After Tax Analysis'!G18</f>
        <v>4083150</v>
      </c>
      <c r="H172" s="388">
        <f>'After Tax Analysis'!H18</f>
        <v>2775510</v>
      </c>
      <c r="I172" s="388">
        <f>'After Tax Analysis'!I18</f>
        <v>1352955</v>
      </c>
      <c r="J172" s="388">
        <f>'After Tax Analysis'!J18</f>
        <v>0</v>
      </c>
      <c r="K172" s="388">
        <f>'After Tax Analysis'!K18</f>
        <v>0</v>
      </c>
      <c r="L172" s="388">
        <f>'After Tax Analysis'!L18</f>
        <v>0</v>
      </c>
      <c r="M172" s="388">
        <f>'After Tax Analysis'!M18</f>
        <v>0</v>
      </c>
      <c r="N172" s="388">
        <f>'After Tax Analysis'!N18</f>
        <v>0</v>
      </c>
      <c r="O172" s="67">
        <v>0</v>
      </c>
      <c r="P172" s="326">
        <f t="shared" si="136"/>
        <v>18202965</v>
      </c>
      <c r="Q172" s="2">
        <f>'After Tax Analysis'!P18</f>
        <v>18202965</v>
      </c>
      <c r="S172" s="2"/>
    </row>
    <row r="173" spans="2:19" x14ac:dyDescent="0.15">
      <c r="B173" s="340">
        <v>12</v>
      </c>
      <c r="C173" s="12" t="s">
        <v>301</v>
      </c>
      <c r="D173" s="387">
        <f>D172+D171</f>
        <v>0</v>
      </c>
      <c r="E173" s="387">
        <f t="shared" ref="E173:N173" si="143">E172+E171</f>
        <v>50012750</v>
      </c>
      <c r="F173" s="387">
        <f t="shared" si="143"/>
        <v>44202792.500000022</v>
      </c>
      <c r="G173" s="387">
        <f t="shared" si="143"/>
        <v>35442192.08412499</v>
      </c>
      <c r="H173" s="387">
        <f t="shared" si="143"/>
        <v>25111356.707490433</v>
      </c>
      <c r="I173" s="387">
        <f t="shared" si="143"/>
        <v>12650996.178848946</v>
      </c>
      <c r="J173" s="387">
        <f t="shared" si="143"/>
        <v>0</v>
      </c>
      <c r="K173" s="387">
        <f t="shared" si="143"/>
        <v>0</v>
      </c>
      <c r="L173" s="387">
        <f t="shared" si="143"/>
        <v>0</v>
      </c>
      <c r="M173" s="387">
        <f t="shared" si="143"/>
        <v>0</v>
      </c>
      <c r="N173" s="387">
        <f t="shared" si="143"/>
        <v>0</v>
      </c>
      <c r="O173" s="67">
        <v>0</v>
      </c>
      <c r="P173" s="326">
        <f t="shared" si="136"/>
        <v>167420087.47046441</v>
      </c>
      <c r="Q173" s="2">
        <f>'After Tax Analysis'!P19</f>
        <v>167420087.47046441</v>
      </c>
      <c r="S173" s="2"/>
    </row>
    <row r="174" spans="2:19" x14ac:dyDescent="0.15">
      <c r="B174" s="340" t="s">
        <v>700</v>
      </c>
      <c r="C174" s="12" t="s">
        <v>303</v>
      </c>
      <c r="D174" s="67">
        <f>'After Tax Analysis'!D20</f>
        <v>0</v>
      </c>
      <c r="E174" s="67">
        <f>'After Tax Analysis'!E20</f>
        <v>0</v>
      </c>
      <c r="F174" s="67">
        <f>'After Tax Analysis'!F20</f>
        <v>0</v>
      </c>
      <c r="G174" s="67">
        <f>'After Tax Analysis'!G20</f>
        <v>0</v>
      </c>
      <c r="H174" s="67">
        <f>'After Tax Analysis'!H20</f>
        <v>0</v>
      </c>
      <c r="I174" s="67">
        <f>'After Tax Analysis'!I20</f>
        <v>0</v>
      </c>
      <c r="J174" s="67">
        <f>'After Tax Analysis'!J20</f>
        <v>0</v>
      </c>
      <c r="K174" s="67">
        <f>'After Tax Analysis'!K20</f>
        <v>0</v>
      </c>
      <c r="L174" s="67">
        <f>'After Tax Analysis'!L20</f>
        <v>0</v>
      </c>
      <c r="M174" s="67">
        <f>'After Tax Analysis'!M20</f>
        <v>0</v>
      </c>
      <c r="N174" s="67">
        <f>'After Tax Analysis'!N20</f>
        <v>0</v>
      </c>
      <c r="O174" s="67">
        <v>0</v>
      </c>
      <c r="P174" s="326">
        <f t="shared" si="136"/>
        <v>0</v>
      </c>
      <c r="Q174" s="2">
        <f>'After Tax Analysis'!P20</f>
        <v>0</v>
      </c>
      <c r="S174" s="2"/>
    </row>
    <row r="175" spans="2:19" x14ac:dyDescent="0.15">
      <c r="B175" s="340">
        <v>14</v>
      </c>
      <c r="C175" s="12" t="s">
        <v>304</v>
      </c>
      <c r="D175" s="67">
        <f>D176+D177+D178</f>
        <v>-32550000</v>
      </c>
      <c r="E175" s="67">
        <f t="shared" ref="E175:N175" si="144">E176+E177+E178</f>
        <v>0</v>
      </c>
      <c r="F175" s="67">
        <f t="shared" si="144"/>
        <v>0</v>
      </c>
      <c r="G175" s="67">
        <f t="shared" si="144"/>
        <v>0</v>
      </c>
      <c r="H175" s="67">
        <f t="shared" si="144"/>
        <v>0</v>
      </c>
      <c r="I175" s="67">
        <f t="shared" si="144"/>
        <v>14347035</v>
      </c>
      <c r="J175" s="67">
        <f t="shared" si="144"/>
        <v>0</v>
      </c>
      <c r="K175" s="67">
        <f t="shared" si="144"/>
        <v>0</v>
      </c>
      <c r="L175" s="67">
        <f t="shared" si="144"/>
        <v>0</v>
      </c>
      <c r="M175" s="67">
        <f t="shared" si="144"/>
        <v>0</v>
      </c>
      <c r="N175" s="67">
        <f t="shared" si="144"/>
        <v>0</v>
      </c>
      <c r="O175" s="67">
        <v>0</v>
      </c>
      <c r="P175" s="326">
        <f t="shared" si="136"/>
        <v>-18202965</v>
      </c>
      <c r="Q175" s="2">
        <f>'After Tax Analysis'!P21</f>
        <v>-18202965</v>
      </c>
      <c r="S175" s="2"/>
    </row>
    <row r="176" spans="2:19" x14ac:dyDescent="0.15">
      <c r="B176" s="340" t="s">
        <v>701</v>
      </c>
      <c r="C176" s="12" t="s">
        <v>207</v>
      </c>
      <c r="D176" s="396">
        <f>'After Tax Analysis'!D22</f>
        <v>-31050000</v>
      </c>
      <c r="E176" s="396">
        <f>'After Tax Analysis'!E22</f>
        <v>0</v>
      </c>
      <c r="F176" s="396">
        <f>'After Tax Analysis'!F22</f>
        <v>0</v>
      </c>
      <c r="G176" s="396">
        <f>'After Tax Analysis'!G22</f>
        <v>0</v>
      </c>
      <c r="H176" s="396">
        <f>'After Tax Analysis'!H22</f>
        <v>0</v>
      </c>
      <c r="I176" s="396">
        <f>'After Tax Analysis'!I22</f>
        <v>12847035</v>
      </c>
      <c r="J176" s="396">
        <f>'After Tax Analysis'!J22</f>
        <v>0</v>
      </c>
      <c r="K176" s="396">
        <f>'After Tax Analysis'!K22</f>
        <v>0</v>
      </c>
      <c r="L176" s="396">
        <f>'After Tax Analysis'!L22</f>
        <v>0</v>
      </c>
      <c r="M176" s="396">
        <f>'After Tax Analysis'!M22</f>
        <v>0</v>
      </c>
      <c r="N176" s="396">
        <f>'After Tax Analysis'!N22</f>
        <v>0</v>
      </c>
      <c r="O176" s="67">
        <v>0</v>
      </c>
      <c r="P176" s="326">
        <f t="shared" si="136"/>
        <v>-18202965</v>
      </c>
      <c r="Q176" s="2">
        <f>'After Tax Analysis'!P22</f>
        <v>-18202965</v>
      </c>
      <c r="S176" s="2"/>
    </row>
    <row r="177" spans="1:19" x14ac:dyDescent="0.15">
      <c r="B177" s="340" t="s">
        <v>702</v>
      </c>
      <c r="C177" s="12" t="s">
        <v>307</v>
      </c>
      <c r="D177" s="396">
        <f>'After Tax Analysis'!D23</f>
        <v>-1500000</v>
      </c>
      <c r="E177" s="396">
        <f>'After Tax Analysis'!E23</f>
        <v>0</v>
      </c>
      <c r="F177" s="396">
        <f>'After Tax Analysis'!F23</f>
        <v>0</v>
      </c>
      <c r="G177" s="396">
        <f>'After Tax Analysis'!G23</f>
        <v>0</v>
      </c>
      <c r="H177" s="396">
        <f>'After Tax Analysis'!H23</f>
        <v>0</v>
      </c>
      <c r="I177" s="396">
        <f>'After Tax Analysis'!I23</f>
        <v>1500000</v>
      </c>
      <c r="J177" s="396">
        <f>'After Tax Analysis'!J23</f>
        <v>0</v>
      </c>
      <c r="K177" s="396">
        <f>'After Tax Analysis'!K23</f>
        <v>0</v>
      </c>
      <c r="L177" s="396">
        <f>'After Tax Analysis'!L23</f>
        <v>0</v>
      </c>
      <c r="M177" s="396">
        <f>'After Tax Analysis'!M23</f>
        <v>0</v>
      </c>
      <c r="N177" s="396">
        <f>'After Tax Analysis'!N23</f>
        <v>0</v>
      </c>
      <c r="O177" s="67">
        <v>0</v>
      </c>
      <c r="P177" s="326">
        <f t="shared" si="136"/>
        <v>0</v>
      </c>
      <c r="Q177" s="2">
        <f>'After Tax Analysis'!P23</f>
        <v>0</v>
      </c>
      <c r="S177" s="2"/>
    </row>
    <row r="178" spans="1:19" x14ac:dyDescent="0.15">
      <c r="B178" s="340" t="s">
        <v>703</v>
      </c>
      <c r="C178" s="12" t="s">
        <v>309</v>
      </c>
      <c r="D178" s="396">
        <f>'After Tax Analysis'!D24</f>
        <v>0</v>
      </c>
      <c r="E178" s="396">
        <f>'After Tax Analysis'!E24</f>
        <v>0</v>
      </c>
      <c r="F178" s="396">
        <f>'After Tax Analysis'!F24</f>
        <v>0</v>
      </c>
      <c r="G178" s="396">
        <f>'After Tax Analysis'!G24</f>
        <v>0</v>
      </c>
      <c r="H178" s="396">
        <f>'After Tax Analysis'!H24</f>
        <v>0</v>
      </c>
      <c r="I178" s="396">
        <f>'After Tax Analysis'!I24</f>
        <v>0</v>
      </c>
      <c r="J178" s="396">
        <f>'After Tax Analysis'!J24</f>
        <v>0</v>
      </c>
      <c r="K178" s="396">
        <f>'After Tax Analysis'!K24</f>
        <v>0</v>
      </c>
      <c r="L178" s="396">
        <f>'After Tax Analysis'!L24</f>
        <v>0</v>
      </c>
      <c r="M178" s="396">
        <f>'After Tax Analysis'!M24</f>
        <v>0</v>
      </c>
      <c r="N178" s="396">
        <f>'After Tax Analysis'!N24</f>
        <v>0</v>
      </c>
      <c r="O178" s="67">
        <v>0</v>
      </c>
      <c r="P178" s="326">
        <f t="shared" si="136"/>
        <v>0</v>
      </c>
      <c r="Q178" s="2">
        <f>'After Tax Analysis'!P24</f>
        <v>0</v>
      </c>
      <c r="S178" s="2"/>
    </row>
    <row r="179" spans="1:19" x14ac:dyDescent="0.15">
      <c r="B179" s="340" t="s">
        <v>704</v>
      </c>
      <c r="C179" s="12" t="s">
        <v>311</v>
      </c>
      <c r="D179" s="396">
        <f>'After Tax Analysis'!D25</f>
        <v>0</v>
      </c>
      <c r="E179" s="396">
        <f>'After Tax Analysis'!E25</f>
        <v>0</v>
      </c>
      <c r="F179" s="396">
        <f>'After Tax Analysis'!F25</f>
        <v>0</v>
      </c>
      <c r="G179" s="396">
        <f>'After Tax Analysis'!G25</f>
        <v>0</v>
      </c>
      <c r="H179" s="396">
        <f>'After Tax Analysis'!H25</f>
        <v>0</v>
      </c>
      <c r="I179" s="396">
        <f>'After Tax Analysis'!I25</f>
        <v>-2596968.7000000002</v>
      </c>
      <c r="J179" s="396">
        <f>'After Tax Analysis'!J25</f>
        <v>0</v>
      </c>
      <c r="K179" s="396">
        <f>'After Tax Analysis'!K25</f>
        <v>0</v>
      </c>
      <c r="L179" s="396">
        <f>'After Tax Analysis'!L25</f>
        <v>0</v>
      </c>
      <c r="M179" s="396">
        <f>'After Tax Analysis'!M25</f>
        <v>0</v>
      </c>
      <c r="N179" s="396">
        <f>'After Tax Analysis'!N25</f>
        <v>0</v>
      </c>
      <c r="O179" s="67">
        <v>0</v>
      </c>
      <c r="P179" s="326">
        <f t="shared" si="136"/>
        <v>-2596968.7000000002</v>
      </c>
      <c r="Q179" s="2">
        <f>'After Tax Analysis'!P25</f>
        <v>-2596968.7000000002</v>
      </c>
      <c r="S179" s="2"/>
    </row>
    <row r="180" spans="1:19" ht="14" thickBot="1" x14ac:dyDescent="0.2">
      <c r="B180" s="340" t="s">
        <v>705</v>
      </c>
      <c r="C180" s="12" t="s">
        <v>115</v>
      </c>
      <c r="D180" s="396">
        <f>'After Tax Analysis'!D26</f>
        <v>-60000000</v>
      </c>
      <c r="E180" s="396">
        <f>'After Tax Analysis'!E26</f>
        <v>0</v>
      </c>
      <c r="F180" s="396">
        <f>'After Tax Analysis'!F26</f>
        <v>0</v>
      </c>
      <c r="G180" s="396">
        <f>'After Tax Analysis'!G26</f>
        <v>0</v>
      </c>
      <c r="H180" s="396">
        <f>'After Tax Analysis'!H26</f>
        <v>0</v>
      </c>
      <c r="I180" s="396">
        <f>'After Tax Analysis'!I26</f>
        <v>60000000</v>
      </c>
      <c r="J180" s="396">
        <f>'After Tax Analysis'!J26</f>
        <v>0</v>
      </c>
      <c r="K180" s="396">
        <f>'After Tax Analysis'!K26</f>
        <v>0</v>
      </c>
      <c r="L180" s="396">
        <f>'After Tax Analysis'!L26</f>
        <v>0</v>
      </c>
      <c r="M180" s="396">
        <f>'After Tax Analysis'!M26</f>
        <v>0</v>
      </c>
      <c r="N180" s="396">
        <f>'After Tax Analysis'!N26</f>
        <v>0</v>
      </c>
      <c r="O180" s="67">
        <v>0</v>
      </c>
      <c r="P180" s="326">
        <f t="shared" si="136"/>
        <v>0</v>
      </c>
      <c r="Q180" s="2">
        <f>'After Tax Analysis'!P26</f>
        <v>0</v>
      </c>
      <c r="S180" s="2"/>
    </row>
    <row r="181" spans="1:19" x14ac:dyDescent="0.15">
      <c r="B181" s="340">
        <v>17</v>
      </c>
      <c r="C181" s="12" t="s">
        <v>313</v>
      </c>
      <c r="D181" s="67">
        <f>D174+D175+D179+D180</f>
        <v>-92550000</v>
      </c>
      <c r="E181" s="67">
        <f t="shared" ref="E181:N181" si="145">E174+E175+E179+E180</f>
        <v>0</v>
      </c>
      <c r="F181" s="67">
        <f t="shared" si="145"/>
        <v>0</v>
      </c>
      <c r="G181" s="67">
        <f t="shared" si="145"/>
        <v>0</v>
      </c>
      <c r="H181" s="67">
        <f t="shared" si="145"/>
        <v>0</v>
      </c>
      <c r="I181" s="67">
        <f t="shared" si="145"/>
        <v>71750066.299999997</v>
      </c>
      <c r="J181" s="67">
        <f t="shared" si="145"/>
        <v>0</v>
      </c>
      <c r="K181" s="67">
        <f t="shared" si="145"/>
        <v>0</v>
      </c>
      <c r="L181" s="67">
        <f t="shared" si="145"/>
        <v>0</v>
      </c>
      <c r="M181" s="67">
        <f t="shared" si="145"/>
        <v>0</v>
      </c>
      <c r="N181" s="67">
        <f t="shared" si="145"/>
        <v>0</v>
      </c>
      <c r="O181" s="67">
        <v>0</v>
      </c>
      <c r="P181" s="326">
        <f t="shared" si="136"/>
        <v>-20799933.700000003</v>
      </c>
      <c r="Q181" s="2">
        <f>'After Tax Analysis'!P27</f>
        <v>-20799933.700000003</v>
      </c>
      <c r="R181" s="333" t="s">
        <v>693</v>
      </c>
      <c r="S181" s="2"/>
    </row>
    <row r="182" spans="1:19" ht="14" thickBot="1" x14ac:dyDescent="0.2">
      <c r="B182" s="355">
        <v>18</v>
      </c>
      <c r="C182" s="335" t="s">
        <v>314</v>
      </c>
      <c r="D182" s="331">
        <f>D173+D181</f>
        <v>-92550000</v>
      </c>
      <c r="E182" s="331">
        <f t="shared" ref="E182:N182" si="146">E173+E181</f>
        <v>50012750</v>
      </c>
      <c r="F182" s="331">
        <f t="shared" si="146"/>
        <v>44202792.500000022</v>
      </c>
      <c r="G182" s="331">
        <f t="shared" si="146"/>
        <v>35442192.08412499</v>
      </c>
      <c r="H182" s="331">
        <f t="shared" si="146"/>
        <v>25111356.707490433</v>
      </c>
      <c r="I182" s="331">
        <f t="shared" si="146"/>
        <v>84401062.478848949</v>
      </c>
      <c r="J182" s="331">
        <f t="shared" si="146"/>
        <v>0</v>
      </c>
      <c r="K182" s="331">
        <f t="shared" si="146"/>
        <v>0</v>
      </c>
      <c r="L182" s="331">
        <f t="shared" si="146"/>
        <v>0</v>
      </c>
      <c r="M182" s="331">
        <f t="shared" si="146"/>
        <v>0</v>
      </c>
      <c r="N182" s="331">
        <f t="shared" si="146"/>
        <v>0</v>
      </c>
      <c r="O182" s="331">
        <v>0</v>
      </c>
      <c r="P182" s="326">
        <f t="shared" si="136"/>
        <v>146620153.77046439</v>
      </c>
      <c r="Q182" s="2">
        <f>'After Tax Analysis'!P28</f>
        <v>146620153.77046439</v>
      </c>
      <c r="R182" s="338">
        <f>IF(ISNUMBER(IRR(D182:N182)),IRR(D182:N182),"NMF")</f>
        <v>0.40549033935008683</v>
      </c>
      <c r="S182" s="353" t="str">
        <f>A159</f>
        <v>Base Case</v>
      </c>
    </row>
    <row r="183" spans="1:19" x14ac:dyDescent="0.15">
      <c r="B183" s="340">
        <v>19</v>
      </c>
      <c r="C183" s="12" t="s">
        <v>315</v>
      </c>
      <c r="D183" s="53">
        <v>1</v>
      </c>
      <c r="E183" s="53">
        <v>0.86956521739130443</v>
      </c>
      <c r="F183" s="53">
        <v>0.7561436672967865</v>
      </c>
      <c r="G183" s="53">
        <v>0.65751623243198831</v>
      </c>
      <c r="H183" s="53">
        <v>0.57175324559303342</v>
      </c>
      <c r="I183" s="53">
        <v>0.49717673529828987</v>
      </c>
      <c r="J183" s="53">
        <v>0.43232759591155645</v>
      </c>
      <c r="K183" s="53">
        <v>0.37593703992309269</v>
      </c>
      <c r="L183" s="53">
        <v>0.32690177384616753</v>
      </c>
      <c r="M183" s="53">
        <v>0.28426241204014574</v>
      </c>
      <c r="N183" s="53">
        <v>0.24718470612186585</v>
      </c>
      <c r="O183" s="67">
        <v>0</v>
      </c>
      <c r="P183" s="326">
        <f t="shared" si="136"/>
        <v>6.0187686258542321</v>
      </c>
      <c r="Q183" s="2">
        <f>'After Tax Analysis'!P30</f>
        <v>5.8332274784574745</v>
      </c>
      <c r="S183" s="2"/>
    </row>
    <row r="184" spans="1:19" x14ac:dyDescent="0.15">
      <c r="B184" s="340">
        <v>20</v>
      </c>
      <c r="C184" s="12" t="s">
        <v>316</v>
      </c>
      <c r="D184" s="67">
        <f>D183+D182</f>
        <v>-92549999</v>
      </c>
      <c r="E184" s="67">
        <f>E183+E182</f>
        <v>50012750.869565219</v>
      </c>
      <c r="F184" s="67">
        <f t="shared" ref="F184:N184" si="147">F183+F182</f>
        <v>44202793.256143689</v>
      </c>
      <c r="G184" s="67">
        <f t="shared" si="147"/>
        <v>35442192.741641223</v>
      </c>
      <c r="H184" s="67">
        <f t="shared" si="147"/>
        <v>25111357.279243678</v>
      </c>
      <c r="I184" s="67">
        <f t="shared" si="147"/>
        <v>84401062.976025686</v>
      </c>
      <c r="J184" s="67">
        <f t="shared" si="147"/>
        <v>0.43232759591155645</v>
      </c>
      <c r="K184" s="67">
        <f t="shared" si="147"/>
        <v>0.37593703992309269</v>
      </c>
      <c r="L184" s="67">
        <f t="shared" si="147"/>
        <v>0.32690177384616753</v>
      </c>
      <c r="M184" s="67">
        <f t="shared" si="147"/>
        <v>0.28426241204014574</v>
      </c>
      <c r="N184" s="67">
        <f t="shared" si="147"/>
        <v>0.24718470612186585</v>
      </c>
      <c r="O184" s="67">
        <v>0</v>
      </c>
      <c r="P184" s="326">
        <f t="shared" si="136"/>
        <v>146620159.78923303</v>
      </c>
      <c r="Q184" s="2">
        <f>'After Tax Analysis'!P31</f>
        <v>60173850.627423033</v>
      </c>
      <c r="S184" s="2"/>
    </row>
    <row r="185" spans="1:19" ht="14" thickBot="1" x14ac:dyDescent="0.2">
      <c r="B185" s="341">
        <v>21</v>
      </c>
      <c r="C185" s="201" t="s">
        <v>317</v>
      </c>
      <c r="D185" s="327">
        <f>D184</f>
        <v>-92549999</v>
      </c>
      <c r="E185" s="327">
        <f>E184+D185</f>
        <v>-42537248.130434781</v>
      </c>
      <c r="F185" s="327">
        <f t="shared" ref="F185:N185" si="148">F184+E185</f>
        <v>1665545.1257089078</v>
      </c>
      <c r="G185" s="327">
        <f t="shared" si="148"/>
        <v>37107737.867350131</v>
      </c>
      <c r="H185" s="327">
        <f t="shared" si="148"/>
        <v>62219095.146593809</v>
      </c>
      <c r="I185" s="327">
        <f t="shared" si="148"/>
        <v>146620158.12261951</v>
      </c>
      <c r="J185" s="327">
        <f t="shared" si="148"/>
        <v>146620158.55494711</v>
      </c>
      <c r="K185" s="327">
        <f t="shared" si="148"/>
        <v>146620158.93088415</v>
      </c>
      <c r="L185" s="327">
        <f t="shared" si="148"/>
        <v>146620159.25778592</v>
      </c>
      <c r="M185" s="327">
        <f t="shared" si="148"/>
        <v>146620159.54204834</v>
      </c>
      <c r="N185" s="327">
        <f t="shared" si="148"/>
        <v>146620159.78923303</v>
      </c>
      <c r="O185" s="327">
        <v>0</v>
      </c>
      <c r="P185" s="326">
        <f t="shared" si="136"/>
        <v>845626085.20673609</v>
      </c>
      <c r="Q185" s="2">
        <f>'After Tax Analysis'!P32</f>
        <v>0</v>
      </c>
      <c r="S185" s="2"/>
    </row>
    <row r="186" spans="1:19" x14ac:dyDescent="0.15">
      <c r="S186" s="2"/>
    </row>
    <row r="187" spans="1:19" ht="14" thickBot="1" x14ac:dyDescent="0.2">
      <c r="S187" s="2"/>
    </row>
    <row r="188" spans="1:19" ht="14" thickBot="1" x14ac:dyDescent="0.2">
      <c r="B188" s="359" t="s">
        <v>282</v>
      </c>
      <c r="C188" s="360" t="s">
        <v>283</v>
      </c>
      <c r="D188" s="360"/>
      <c r="E188" s="360">
        <v>1</v>
      </c>
      <c r="F188" s="360">
        <v>2</v>
      </c>
      <c r="G188" s="360">
        <v>3</v>
      </c>
      <c r="H188" s="360">
        <v>4</v>
      </c>
      <c r="I188" s="360">
        <v>5</v>
      </c>
      <c r="J188" s="360">
        <v>6</v>
      </c>
      <c r="K188" s="360">
        <v>7</v>
      </c>
      <c r="L188" s="360">
        <v>8</v>
      </c>
      <c r="M188" s="360">
        <v>9</v>
      </c>
      <c r="N188" s="360">
        <v>10</v>
      </c>
      <c r="O188" s="360" t="s">
        <v>284</v>
      </c>
      <c r="P188" s="361" t="s">
        <v>285</v>
      </c>
      <c r="S188" s="2"/>
    </row>
    <row r="189" spans="1:19" x14ac:dyDescent="0.15">
      <c r="B189" s="339" t="s">
        <v>687</v>
      </c>
      <c r="C189" s="302" t="s">
        <v>287</v>
      </c>
      <c r="D189" s="322">
        <f t="shared" ref="D189:D204" si="149">D158</f>
        <v>0</v>
      </c>
      <c r="E189" s="322">
        <f t="shared" ref="E189:N189" si="150">E158</f>
        <v>300000000</v>
      </c>
      <c r="F189" s="322">
        <f t="shared" si="150"/>
        <v>313500000.00000006</v>
      </c>
      <c r="G189" s="322">
        <f t="shared" si="150"/>
        <v>327607500.00000006</v>
      </c>
      <c r="H189" s="322">
        <f t="shared" si="150"/>
        <v>342349837.50000012</v>
      </c>
      <c r="I189" s="322">
        <f t="shared" si="150"/>
        <v>357755580.18750012</v>
      </c>
      <c r="J189" s="322">
        <f t="shared" si="150"/>
        <v>0</v>
      </c>
      <c r="K189" s="322">
        <f t="shared" si="150"/>
        <v>0</v>
      </c>
      <c r="L189" s="322">
        <f t="shared" si="150"/>
        <v>0</v>
      </c>
      <c r="M189" s="322">
        <f t="shared" si="150"/>
        <v>0</v>
      </c>
      <c r="N189" s="322">
        <f t="shared" si="150"/>
        <v>0</v>
      </c>
      <c r="O189" s="322">
        <v>0</v>
      </c>
      <c r="P189" s="325">
        <f>SUM(E189:N189)</f>
        <v>1641212917.6875</v>
      </c>
      <c r="Q189" s="2"/>
      <c r="S189" s="2"/>
    </row>
    <row r="190" spans="1:19" x14ac:dyDescent="0.15">
      <c r="A190" s="1" t="s">
        <v>709</v>
      </c>
      <c r="B190" s="340" t="s">
        <v>689</v>
      </c>
      <c r="C190" s="354" t="s">
        <v>689</v>
      </c>
      <c r="D190" s="67">
        <f t="shared" si="149"/>
        <v>0</v>
      </c>
      <c r="E190" s="67">
        <f>E159</f>
        <v>300000000</v>
      </c>
      <c r="F190" s="67">
        <f t="shared" ref="F190:N190" si="151">F159</f>
        <v>313500000.00000006</v>
      </c>
      <c r="G190" s="67">
        <f t="shared" si="151"/>
        <v>327607500.00000006</v>
      </c>
      <c r="H190" s="67">
        <f t="shared" si="151"/>
        <v>342349837.50000012</v>
      </c>
      <c r="I190" s="67">
        <f t="shared" si="151"/>
        <v>357755580.18750012</v>
      </c>
      <c r="J190" s="67">
        <f t="shared" si="151"/>
        <v>0</v>
      </c>
      <c r="K190" s="67">
        <f t="shared" si="151"/>
        <v>0</v>
      </c>
      <c r="L190" s="67">
        <f t="shared" si="151"/>
        <v>0</v>
      </c>
      <c r="M190" s="67">
        <f t="shared" si="151"/>
        <v>0</v>
      </c>
      <c r="N190" s="67">
        <f t="shared" si="151"/>
        <v>0</v>
      </c>
      <c r="O190" s="67"/>
      <c r="P190" s="326">
        <f t="shared" ref="P190:P213" si="152">SUM(E190:N190)</f>
        <v>1641212917.6875</v>
      </c>
      <c r="Q190" s="2"/>
      <c r="S190" s="2"/>
    </row>
    <row r="191" spans="1:19" x14ac:dyDescent="0.15">
      <c r="B191" s="355" t="s">
        <v>690</v>
      </c>
      <c r="C191" s="362" t="s">
        <v>690</v>
      </c>
      <c r="D191" s="331">
        <f t="shared" si="149"/>
        <v>0</v>
      </c>
      <c r="E191" s="331">
        <f>E160*1.05</f>
        <v>0</v>
      </c>
      <c r="F191" s="331">
        <f t="shared" ref="F191:N191" si="153">F160*1.05</f>
        <v>0</v>
      </c>
      <c r="G191" s="331">
        <f t="shared" si="153"/>
        <v>0</v>
      </c>
      <c r="H191" s="331">
        <f t="shared" si="153"/>
        <v>0</v>
      </c>
      <c r="I191" s="331">
        <f t="shared" si="153"/>
        <v>0</v>
      </c>
      <c r="J191" s="331">
        <f t="shared" si="153"/>
        <v>0</v>
      </c>
      <c r="K191" s="331">
        <f t="shared" si="153"/>
        <v>0</v>
      </c>
      <c r="L191" s="331">
        <f t="shared" si="153"/>
        <v>0</v>
      </c>
      <c r="M191" s="331">
        <f t="shared" si="153"/>
        <v>0</v>
      </c>
      <c r="N191" s="331">
        <f t="shared" si="153"/>
        <v>0</v>
      </c>
      <c r="O191" s="363"/>
      <c r="P191" s="356">
        <f t="shared" si="152"/>
        <v>0</v>
      </c>
      <c r="Q191" s="460"/>
      <c r="S191" s="2"/>
    </row>
    <row r="192" spans="1:19" x14ac:dyDescent="0.15">
      <c r="B192" s="340" t="s">
        <v>691</v>
      </c>
      <c r="C192" s="354" t="s">
        <v>691</v>
      </c>
      <c r="D192" s="67">
        <f t="shared" si="149"/>
        <v>0</v>
      </c>
      <c r="E192" s="67">
        <f>E161</f>
        <v>0</v>
      </c>
      <c r="F192" s="67">
        <f t="shared" ref="F192:N192" si="154">F161</f>
        <v>0</v>
      </c>
      <c r="G192" s="67">
        <f t="shared" si="154"/>
        <v>0</v>
      </c>
      <c r="H192" s="67">
        <f t="shared" si="154"/>
        <v>0</v>
      </c>
      <c r="I192" s="67">
        <f t="shared" si="154"/>
        <v>0</v>
      </c>
      <c r="J192" s="67">
        <f t="shared" si="154"/>
        <v>0</v>
      </c>
      <c r="K192" s="67">
        <f t="shared" si="154"/>
        <v>0</v>
      </c>
      <c r="L192" s="67">
        <f t="shared" si="154"/>
        <v>0</v>
      </c>
      <c r="M192" s="67">
        <f t="shared" si="154"/>
        <v>0</v>
      </c>
      <c r="N192" s="67">
        <f t="shared" si="154"/>
        <v>0</v>
      </c>
      <c r="O192" s="67"/>
      <c r="P192" s="326">
        <f t="shared" si="152"/>
        <v>0</v>
      </c>
      <c r="Q192" s="2"/>
      <c r="S192" s="2"/>
    </row>
    <row r="193" spans="2:19" x14ac:dyDescent="0.15">
      <c r="B193" s="340" t="s">
        <v>695</v>
      </c>
      <c r="C193" s="12"/>
      <c r="D193" s="67">
        <f t="shared" si="149"/>
        <v>0</v>
      </c>
      <c r="E193" s="67">
        <f>E192+E191+E190</f>
        <v>300000000</v>
      </c>
      <c r="F193" s="67">
        <f t="shared" ref="F193:N193" si="155">F192+F191+F190</f>
        <v>313500000.00000006</v>
      </c>
      <c r="G193" s="67">
        <f t="shared" si="155"/>
        <v>327607500.00000006</v>
      </c>
      <c r="H193" s="67">
        <f t="shared" si="155"/>
        <v>342349837.50000012</v>
      </c>
      <c r="I193" s="67">
        <f t="shared" si="155"/>
        <v>357755580.18750012</v>
      </c>
      <c r="J193" s="67">
        <f t="shared" si="155"/>
        <v>0</v>
      </c>
      <c r="K193" s="67">
        <f t="shared" si="155"/>
        <v>0</v>
      </c>
      <c r="L193" s="67">
        <f t="shared" si="155"/>
        <v>0</v>
      </c>
      <c r="M193" s="67">
        <f t="shared" si="155"/>
        <v>0</v>
      </c>
      <c r="N193" s="67">
        <f t="shared" si="155"/>
        <v>0</v>
      </c>
      <c r="O193" s="67"/>
      <c r="P193" s="326">
        <f t="shared" si="152"/>
        <v>1641212917.6875</v>
      </c>
      <c r="Q193" s="2"/>
      <c r="S193" s="2"/>
    </row>
    <row r="194" spans="2:19" x14ac:dyDescent="0.15">
      <c r="B194" s="340" t="s">
        <v>696</v>
      </c>
      <c r="C194" s="12" t="s">
        <v>289</v>
      </c>
      <c r="D194" s="67">
        <f t="shared" si="149"/>
        <v>0</v>
      </c>
      <c r="E194" s="67">
        <f>Expenses!D18+(Expenses!D25*1.05)+Expenses!D32+Expenses!D39+(Expenses!D44*1.05)+Expenses!D49+Expenses!D56+Expenses!D95-Expenses!D77</f>
        <v>230170000</v>
      </c>
      <c r="F194" s="67">
        <f>Expenses!E18+(Expenses!E25*1.05)+Expenses!E32+Expenses!E39+(Expenses!E44*1.05)+Expenses!E49+Expenses!E56+Expenses!E95-Expenses!E77</f>
        <v>253018375.00000003</v>
      </c>
      <c r="G194" s="67">
        <f>Expenses!F18+(Expenses!F25*1.05)+Expenses!F32+Expenses!F39+(Expenses!F44*1.05)+Expenses!F49+Expenses!F56+Expenses!F95-Expenses!F77</f>
        <v>278725718.45125008</v>
      </c>
      <c r="H194" s="67">
        <f>Expenses!G18+(Expenses!G25*1.05)+Expenses!G32+Expenses!G39+(Expenses!G44*1.05)+Expenses!G49+Expenses!G56+Expenses!G95-Expenses!G77</f>
        <v>307665975.06072807</v>
      </c>
      <c r="I194" s="67">
        <f>Expenses!H18+(Expenses!H25*1.05)+Expenses!H32+Expenses!H39+(Expenses!H44*1.05)+Expenses!H49+Expenses!H56+Expenses!H95-Expenses!H77</f>
        <v>340262566.36057305</v>
      </c>
      <c r="J194" s="67">
        <f>Expenses!I18+(Expenses!I25*1.05)+Expenses!I32+Expenses!I39+(Expenses!I44*1.05)+Expenses!I49+Expenses!I56+Expenses!I95-Expenses!I77</f>
        <v>0</v>
      </c>
      <c r="K194" s="67">
        <f>Expenses!J18+(Expenses!J25*1.05)+Expenses!J32+Expenses!J39+(Expenses!J44*1.05)+Expenses!J49+Expenses!J56+Expenses!J95-Expenses!J77</f>
        <v>0</v>
      </c>
      <c r="L194" s="67">
        <f>Expenses!K18+(Expenses!K25*1.05)+Expenses!K32+Expenses!K39+(Expenses!K44*1.05)+Expenses!K49+Expenses!K56+Expenses!K95-Expenses!K77</f>
        <v>0</v>
      </c>
      <c r="M194" s="67">
        <f>Expenses!L18+(Expenses!L25*1.05)+Expenses!L32+Expenses!L39+(Expenses!L44*1.05)+Expenses!L49+Expenses!L56+Expenses!L95-Expenses!L77</f>
        <v>0</v>
      </c>
      <c r="N194" s="67">
        <f>Expenses!M18+(Expenses!M25*1.05)+Expenses!M32+Expenses!M39+(Expenses!M44*1.05)+Expenses!M49+Expenses!M56+Expenses!M95-Expenses!M77</f>
        <v>0</v>
      </c>
      <c r="O194" s="67">
        <v>0</v>
      </c>
      <c r="P194" s="326">
        <f t="shared" si="152"/>
        <v>1409842634.8725512</v>
      </c>
      <c r="Q194" s="2"/>
      <c r="S194" s="2"/>
    </row>
    <row r="195" spans="2:19" x14ac:dyDescent="0.15">
      <c r="B195" s="340">
        <v>3</v>
      </c>
      <c r="C195" s="12" t="s">
        <v>290</v>
      </c>
      <c r="D195" s="67">
        <f t="shared" si="149"/>
        <v>0</v>
      </c>
      <c r="E195" s="67">
        <f>E193-E194</f>
        <v>69830000</v>
      </c>
      <c r="F195" s="67">
        <f t="shared" ref="F195:N195" si="156">F193-F194</f>
        <v>60481625.00000003</v>
      </c>
      <c r="G195" s="67">
        <f t="shared" si="156"/>
        <v>48881781.548749983</v>
      </c>
      <c r="H195" s="67">
        <f t="shared" si="156"/>
        <v>34683862.439272046</v>
      </c>
      <c r="I195" s="67">
        <f t="shared" si="156"/>
        <v>17493013.826927066</v>
      </c>
      <c r="J195" s="67">
        <f t="shared" si="156"/>
        <v>0</v>
      </c>
      <c r="K195" s="67">
        <f t="shared" si="156"/>
        <v>0</v>
      </c>
      <c r="L195" s="67">
        <f t="shared" si="156"/>
        <v>0</v>
      </c>
      <c r="M195" s="67">
        <f t="shared" si="156"/>
        <v>0</v>
      </c>
      <c r="N195" s="67">
        <f t="shared" si="156"/>
        <v>0</v>
      </c>
      <c r="O195" s="67">
        <v>0</v>
      </c>
      <c r="P195" s="326">
        <f t="shared" si="152"/>
        <v>231370282.81494913</v>
      </c>
      <c r="Q195" s="2"/>
      <c r="S195" s="2"/>
    </row>
    <row r="196" spans="2:19" x14ac:dyDescent="0.15">
      <c r="B196" s="340" t="s">
        <v>697</v>
      </c>
      <c r="C196" s="12" t="s">
        <v>292</v>
      </c>
      <c r="D196" s="67">
        <f t="shared" si="149"/>
        <v>0</v>
      </c>
      <c r="E196" s="67">
        <f>E165</f>
        <v>3772500</v>
      </c>
      <c r="F196" s="67">
        <f t="shared" ref="F196:N196" si="157">F165</f>
        <v>6218850</v>
      </c>
      <c r="G196" s="67">
        <f t="shared" si="157"/>
        <v>4083150</v>
      </c>
      <c r="H196" s="67">
        <f t="shared" si="157"/>
        <v>2775510</v>
      </c>
      <c r="I196" s="67">
        <f t="shared" si="157"/>
        <v>1352955</v>
      </c>
      <c r="J196" s="67">
        <f t="shared" si="157"/>
        <v>0</v>
      </c>
      <c r="K196" s="67">
        <f t="shared" si="157"/>
        <v>0</v>
      </c>
      <c r="L196" s="67">
        <f t="shared" si="157"/>
        <v>0</v>
      </c>
      <c r="M196" s="67">
        <f t="shared" si="157"/>
        <v>0</v>
      </c>
      <c r="N196" s="67">
        <f t="shared" si="157"/>
        <v>0</v>
      </c>
      <c r="O196" s="67">
        <v>0</v>
      </c>
      <c r="P196" s="326">
        <f t="shared" si="152"/>
        <v>18202965</v>
      </c>
      <c r="Q196" s="2"/>
      <c r="S196" s="2"/>
    </row>
    <row r="197" spans="2:19" x14ac:dyDescent="0.15">
      <c r="B197" s="340">
        <v>5</v>
      </c>
      <c r="C197" s="12" t="s">
        <v>293</v>
      </c>
      <c r="D197" s="67">
        <f t="shared" si="149"/>
        <v>0</v>
      </c>
      <c r="E197" s="67">
        <f>E195-E196</f>
        <v>66057500</v>
      </c>
      <c r="F197" s="67">
        <f t="shared" ref="F197:N197" si="158">F195-F196</f>
        <v>54262775.00000003</v>
      </c>
      <c r="G197" s="67">
        <f t="shared" si="158"/>
        <v>44798631.548749983</v>
      </c>
      <c r="H197" s="67">
        <f t="shared" si="158"/>
        <v>31908352.439272046</v>
      </c>
      <c r="I197" s="67">
        <f t="shared" si="158"/>
        <v>16140058.826927066</v>
      </c>
      <c r="J197" s="67">
        <f t="shared" si="158"/>
        <v>0</v>
      </c>
      <c r="K197" s="67">
        <f t="shared" si="158"/>
        <v>0</v>
      </c>
      <c r="L197" s="67">
        <f t="shared" si="158"/>
        <v>0</v>
      </c>
      <c r="M197" s="67">
        <f t="shared" si="158"/>
        <v>0</v>
      </c>
      <c r="N197" s="67">
        <f t="shared" si="158"/>
        <v>0</v>
      </c>
      <c r="O197" s="67">
        <v>0</v>
      </c>
      <c r="P197" s="326">
        <f t="shared" si="152"/>
        <v>213167317.81494913</v>
      </c>
      <c r="Q197" s="2"/>
      <c r="S197" s="2"/>
    </row>
    <row r="198" spans="2:19" x14ac:dyDescent="0.15">
      <c r="B198" s="340" t="s">
        <v>698</v>
      </c>
      <c r="C198" s="12" t="s">
        <v>295</v>
      </c>
      <c r="D198" s="67">
        <f t="shared" si="149"/>
        <v>0</v>
      </c>
      <c r="E198" s="67">
        <f>E167</f>
        <v>0</v>
      </c>
      <c r="F198" s="67">
        <f t="shared" ref="F198:N198" si="159">F167</f>
        <v>0</v>
      </c>
      <c r="G198" s="67">
        <f t="shared" si="159"/>
        <v>0</v>
      </c>
      <c r="H198" s="67">
        <f t="shared" si="159"/>
        <v>0</v>
      </c>
      <c r="I198" s="67">
        <f t="shared" si="159"/>
        <v>0</v>
      </c>
      <c r="J198" s="67">
        <f t="shared" si="159"/>
        <v>0</v>
      </c>
      <c r="K198" s="67">
        <f t="shared" si="159"/>
        <v>0</v>
      </c>
      <c r="L198" s="67">
        <f t="shared" si="159"/>
        <v>0</v>
      </c>
      <c r="M198" s="67">
        <f t="shared" si="159"/>
        <v>0</v>
      </c>
      <c r="N198" s="67">
        <f t="shared" si="159"/>
        <v>0</v>
      </c>
      <c r="O198" s="67">
        <v>0</v>
      </c>
      <c r="P198" s="326">
        <f t="shared" si="152"/>
        <v>0</v>
      </c>
      <c r="Q198" s="2"/>
      <c r="S198" s="2"/>
    </row>
    <row r="199" spans="2:19" x14ac:dyDescent="0.15">
      <c r="B199" s="340">
        <v>7</v>
      </c>
      <c r="C199" s="12" t="s">
        <v>296</v>
      </c>
      <c r="D199" s="67">
        <f t="shared" si="149"/>
        <v>0</v>
      </c>
      <c r="E199" s="67">
        <f>E197-E198</f>
        <v>66057500</v>
      </c>
      <c r="F199" s="67">
        <f t="shared" ref="F199:N199" si="160">F197-F198</f>
        <v>54262775.00000003</v>
      </c>
      <c r="G199" s="67">
        <f t="shared" si="160"/>
        <v>44798631.548749983</v>
      </c>
      <c r="H199" s="67">
        <f t="shared" si="160"/>
        <v>31908352.439272046</v>
      </c>
      <c r="I199" s="67">
        <f t="shared" si="160"/>
        <v>16140058.826927066</v>
      </c>
      <c r="J199" s="67">
        <f t="shared" si="160"/>
        <v>0</v>
      </c>
      <c r="K199" s="67">
        <f t="shared" si="160"/>
        <v>0</v>
      </c>
      <c r="L199" s="67">
        <f t="shared" si="160"/>
        <v>0</v>
      </c>
      <c r="M199" s="67">
        <f t="shared" si="160"/>
        <v>0</v>
      </c>
      <c r="N199" s="67">
        <f t="shared" si="160"/>
        <v>0</v>
      </c>
      <c r="O199" s="67">
        <v>0</v>
      </c>
      <c r="P199" s="326">
        <f t="shared" si="152"/>
        <v>213167317.81494913</v>
      </c>
      <c r="Q199" s="2"/>
      <c r="S199" s="2"/>
    </row>
    <row r="200" spans="2:19" x14ac:dyDescent="0.15">
      <c r="B200" s="340">
        <v>8</v>
      </c>
      <c r="C200" s="12" t="s">
        <v>297</v>
      </c>
      <c r="D200" s="67">
        <f t="shared" si="149"/>
        <v>0</v>
      </c>
      <c r="E200" s="67">
        <f>-E199*$D$3</f>
        <v>-19817250</v>
      </c>
      <c r="F200" s="67">
        <f t="shared" ref="F200:N200" si="161">-F199*$D$3</f>
        <v>-16278832.500000007</v>
      </c>
      <c r="G200" s="67">
        <f t="shared" si="161"/>
        <v>-13439589.464624995</v>
      </c>
      <c r="H200" s="67">
        <f t="shared" si="161"/>
        <v>-9572505.7317816131</v>
      </c>
      <c r="I200" s="67">
        <f t="shared" si="161"/>
        <v>-4842017.6480781194</v>
      </c>
      <c r="J200" s="67">
        <f t="shared" si="161"/>
        <v>0</v>
      </c>
      <c r="K200" s="67">
        <f t="shared" si="161"/>
        <v>0</v>
      </c>
      <c r="L200" s="67">
        <f t="shared" si="161"/>
        <v>0</v>
      </c>
      <c r="M200" s="67">
        <f t="shared" si="161"/>
        <v>0</v>
      </c>
      <c r="N200" s="67">
        <f t="shared" si="161"/>
        <v>0</v>
      </c>
      <c r="O200" s="67">
        <v>0</v>
      </c>
      <c r="P200" s="326">
        <f t="shared" si="152"/>
        <v>-63950195.344484739</v>
      </c>
      <c r="Q200" s="2"/>
      <c r="S200" s="2"/>
    </row>
    <row r="201" spans="2:19" x14ac:dyDescent="0.15">
      <c r="B201" s="340">
        <v>9</v>
      </c>
      <c r="C201" s="12" t="s">
        <v>298</v>
      </c>
      <c r="D201" s="67">
        <f t="shared" si="149"/>
        <v>0</v>
      </c>
      <c r="E201" s="67">
        <f>E170</f>
        <v>0</v>
      </c>
      <c r="F201" s="67">
        <f t="shared" ref="F201:N201" si="162">F170</f>
        <v>0</v>
      </c>
      <c r="G201" s="67">
        <f t="shared" si="162"/>
        <v>0</v>
      </c>
      <c r="H201" s="67">
        <f t="shared" si="162"/>
        <v>0</v>
      </c>
      <c r="I201" s="67">
        <f t="shared" si="162"/>
        <v>0</v>
      </c>
      <c r="J201" s="67">
        <f t="shared" si="162"/>
        <v>0</v>
      </c>
      <c r="K201" s="67">
        <f t="shared" si="162"/>
        <v>0</v>
      </c>
      <c r="L201" s="67">
        <f t="shared" si="162"/>
        <v>0</v>
      </c>
      <c r="M201" s="67">
        <f t="shared" si="162"/>
        <v>0</v>
      </c>
      <c r="N201" s="67">
        <f t="shared" si="162"/>
        <v>0</v>
      </c>
      <c r="O201" s="67">
        <v>0</v>
      </c>
      <c r="P201" s="326">
        <f t="shared" si="152"/>
        <v>0</v>
      </c>
      <c r="Q201" s="2"/>
      <c r="S201" s="2"/>
    </row>
    <row r="202" spans="2:19" x14ac:dyDescent="0.15">
      <c r="B202" s="340">
        <v>10</v>
      </c>
      <c r="C202" s="12" t="s">
        <v>299</v>
      </c>
      <c r="D202" s="67">
        <f t="shared" si="149"/>
        <v>0</v>
      </c>
      <c r="E202" s="67">
        <f>E199+E200+E201</f>
        <v>46240250</v>
      </c>
      <c r="F202" s="67">
        <f t="shared" ref="F202:N202" si="163">F199+F200+F201</f>
        <v>37983942.500000022</v>
      </c>
      <c r="G202" s="67">
        <f t="shared" si="163"/>
        <v>31359042.08412499</v>
      </c>
      <c r="H202" s="67">
        <f t="shared" si="163"/>
        <v>22335846.707490433</v>
      </c>
      <c r="I202" s="67">
        <f t="shared" si="163"/>
        <v>11298041.178848946</v>
      </c>
      <c r="J202" s="67">
        <f t="shared" si="163"/>
        <v>0</v>
      </c>
      <c r="K202" s="67">
        <f t="shared" si="163"/>
        <v>0</v>
      </c>
      <c r="L202" s="67">
        <f t="shared" si="163"/>
        <v>0</v>
      </c>
      <c r="M202" s="67">
        <f t="shared" si="163"/>
        <v>0</v>
      </c>
      <c r="N202" s="67">
        <f t="shared" si="163"/>
        <v>0</v>
      </c>
      <c r="O202" s="67">
        <v>0</v>
      </c>
      <c r="P202" s="326">
        <f t="shared" si="152"/>
        <v>149217122.47046441</v>
      </c>
      <c r="Q202" s="2"/>
      <c r="S202" s="2"/>
    </row>
    <row r="203" spans="2:19" x14ac:dyDescent="0.15">
      <c r="B203" s="340" t="s">
        <v>699</v>
      </c>
      <c r="C203" s="12" t="s">
        <v>292</v>
      </c>
      <c r="D203" s="67">
        <f t="shared" si="149"/>
        <v>0</v>
      </c>
      <c r="E203" s="67">
        <f>E172</f>
        <v>3772500</v>
      </c>
      <c r="F203" s="67">
        <f t="shared" ref="F203:N203" si="164">F172</f>
        <v>6218850</v>
      </c>
      <c r="G203" s="67">
        <f t="shared" si="164"/>
        <v>4083150</v>
      </c>
      <c r="H203" s="67">
        <f t="shared" si="164"/>
        <v>2775510</v>
      </c>
      <c r="I203" s="67">
        <f t="shared" si="164"/>
        <v>1352955</v>
      </c>
      <c r="J203" s="67">
        <f t="shared" si="164"/>
        <v>0</v>
      </c>
      <c r="K203" s="67">
        <f t="shared" si="164"/>
        <v>0</v>
      </c>
      <c r="L203" s="67">
        <f t="shared" si="164"/>
        <v>0</v>
      </c>
      <c r="M203" s="67">
        <f t="shared" si="164"/>
        <v>0</v>
      </c>
      <c r="N203" s="67">
        <f t="shared" si="164"/>
        <v>0</v>
      </c>
      <c r="O203" s="67">
        <v>0</v>
      </c>
      <c r="P203" s="326">
        <f t="shared" si="152"/>
        <v>18202965</v>
      </c>
      <c r="Q203" s="2"/>
      <c r="S203" s="2"/>
    </row>
    <row r="204" spans="2:19" x14ac:dyDescent="0.15">
      <c r="B204" s="340">
        <v>12</v>
      </c>
      <c r="C204" s="12" t="s">
        <v>301</v>
      </c>
      <c r="D204" s="67">
        <f t="shared" si="149"/>
        <v>0</v>
      </c>
      <c r="E204" s="67">
        <f>E202+E203</f>
        <v>50012750</v>
      </c>
      <c r="F204" s="67">
        <f t="shared" ref="F204:N204" si="165">F202+F203</f>
        <v>44202792.500000022</v>
      </c>
      <c r="G204" s="67">
        <f t="shared" si="165"/>
        <v>35442192.08412499</v>
      </c>
      <c r="H204" s="67">
        <f t="shared" si="165"/>
        <v>25111356.707490433</v>
      </c>
      <c r="I204" s="67">
        <f t="shared" si="165"/>
        <v>12650996.178848946</v>
      </c>
      <c r="J204" s="67">
        <f t="shared" si="165"/>
        <v>0</v>
      </c>
      <c r="K204" s="67">
        <f t="shared" si="165"/>
        <v>0</v>
      </c>
      <c r="L204" s="67">
        <f t="shared" si="165"/>
        <v>0</v>
      </c>
      <c r="M204" s="67">
        <f t="shared" si="165"/>
        <v>0</v>
      </c>
      <c r="N204" s="67">
        <f t="shared" si="165"/>
        <v>0</v>
      </c>
      <c r="O204" s="67">
        <v>0</v>
      </c>
      <c r="P204" s="326">
        <f t="shared" si="152"/>
        <v>167420087.47046441</v>
      </c>
      <c r="Q204" s="2"/>
      <c r="S204" s="2"/>
    </row>
    <row r="205" spans="2:19" x14ac:dyDescent="0.15">
      <c r="B205" s="340" t="s">
        <v>700</v>
      </c>
      <c r="C205" s="12" t="s">
        <v>303</v>
      </c>
      <c r="D205" s="67">
        <v>0</v>
      </c>
      <c r="E205" s="67">
        <f t="shared" ref="E205:N205" si="166">E174</f>
        <v>0</v>
      </c>
      <c r="F205" s="67">
        <f t="shared" si="166"/>
        <v>0</v>
      </c>
      <c r="G205" s="67">
        <f t="shared" si="166"/>
        <v>0</v>
      </c>
      <c r="H205" s="67">
        <f t="shared" si="166"/>
        <v>0</v>
      </c>
      <c r="I205" s="67">
        <f t="shared" si="166"/>
        <v>0</v>
      </c>
      <c r="J205" s="67">
        <f t="shared" si="166"/>
        <v>0</v>
      </c>
      <c r="K205" s="67">
        <f t="shared" si="166"/>
        <v>0</v>
      </c>
      <c r="L205" s="67">
        <f t="shared" si="166"/>
        <v>0</v>
      </c>
      <c r="M205" s="67">
        <f t="shared" si="166"/>
        <v>0</v>
      </c>
      <c r="N205" s="67">
        <f t="shared" si="166"/>
        <v>0</v>
      </c>
      <c r="O205" s="67">
        <v>0</v>
      </c>
      <c r="P205" s="326">
        <f t="shared" si="152"/>
        <v>0</v>
      </c>
      <c r="Q205" s="2"/>
      <c r="S205" s="2"/>
    </row>
    <row r="206" spans="2:19" x14ac:dyDescent="0.15">
      <c r="B206" s="340">
        <v>14</v>
      </c>
      <c r="C206" s="12" t="s">
        <v>304</v>
      </c>
      <c r="D206" s="67">
        <f t="shared" ref="D206:N212" si="167">D175</f>
        <v>-32550000</v>
      </c>
      <c r="E206" s="67">
        <f t="shared" si="167"/>
        <v>0</v>
      </c>
      <c r="F206" s="67">
        <f t="shared" si="167"/>
        <v>0</v>
      </c>
      <c r="G206" s="67">
        <f t="shared" si="167"/>
        <v>0</v>
      </c>
      <c r="H206" s="67">
        <f t="shared" si="167"/>
        <v>0</v>
      </c>
      <c r="I206" s="67">
        <f t="shared" si="167"/>
        <v>14347035</v>
      </c>
      <c r="J206" s="67">
        <f t="shared" si="167"/>
        <v>0</v>
      </c>
      <c r="K206" s="67">
        <f t="shared" si="167"/>
        <v>0</v>
      </c>
      <c r="L206" s="67">
        <f t="shared" si="167"/>
        <v>0</v>
      </c>
      <c r="M206" s="67">
        <f t="shared" si="167"/>
        <v>0</v>
      </c>
      <c r="N206" s="67">
        <f t="shared" si="167"/>
        <v>0</v>
      </c>
      <c r="O206" s="67">
        <v>0</v>
      </c>
      <c r="P206" s="326">
        <f t="shared" si="152"/>
        <v>14347035</v>
      </c>
      <c r="Q206" s="2"/>
      <c r="S206" s="2"/>
    </row>
    <row r="207" spans="2:19" x14ac:dyDescent="0.15">
      <c r="B207" s="340" t="s">
        <v>701</v>
      </c>
      <c r="C207" s="12" t="s">
        <v>207</v>
      </c>
      <c r="D207" s="67">
        <f t="shared" si="167"/>
        <v>-31050000</v>
      </c>
      <c r="E207" s="67">
        <f t="shared" si="167"/>
        <v>0</v>
      </c>
      <c r="F207" s="67">
        <f t="shared" si="167"/>
        <v>0</v>
      </c>
      <c r="G207" s="67">
        <f t="shared" si="167"/>
        <v>0</v>
      </c>
      <c r="H207" s="67">
        <f t="shared" si="167"/>
        <v>0</v>
      </c>
      <c r="I207" s="67">
        <f t="shared" si="167"/>
        <v>12847035</v>
      </c>
      <c r="J207" s="67">
        <f t="shared" si="167"/>
        <v>0</v>
      </c>
      <c r="K207" s="67">
        <f t="shared" si="167"/>
        <v>0</v>
      </c>
      <c r="L207" s="67">
        <f t="shared" si="167"/>
        <v>0</v>
      </c>
      <c r="M207" s="67">
        <f t="shared" si="167"/>
        <v>0</v>
      </c>
      <c r="N207" s="67">
        <f t="shared" si="167"/>
        <v>0</v>
      </c>
      <c r="O207" s="67">
        <v>0</v>
      </c>
      <c r="P207" s="326">
        <f t="shared" si="152"/>
        <v>12847035</v>
      </c>
      <c r="Q207" s="2"/>
      <c r="S207" s="2"/>
    </row>
    <row r="208" spans="2:19" x14ac:dyDescent="0.15">
      <c r="B208" s="340" t="s">
        <v>702</v>
      </c>
      <c r="C208" s="12" t="s">
        <v>307</v>
      </c>
      <c r="D208" s="67">
        <f t="shared" si="167"/>
        <v>-1500000</v>
      </c>
      <c r="E208" s="67">
        <f t="shared" si="167"/>
        <v>0</v>
      </c>
      <c r="F208" s="67">
        <f t="shared" si="167"/>
        <v>0</v>
      </c>
      <c r="G208" s="67">
        <f t="shared" si="167"/>
        <v>0</v>
      </c>
      <c r="H208" s="67">
        <f t="shared" si="167"/>
        <v>0</v>
      </c>
      <c r="I208" s="67">
        <f t="shared" si="167"/>
        <v>1500000</v>
      </c>
      <c r="J208" s="67">
        <f t="shared" si="167"/>
        <v>0</v>
      </c>
      <c r="K208" s="67">
        <f t="shared" si="167"/>
        <v>0</v>
      </c>
      <c r="L208" s="67">
        <f t="shared" si="167"/>
        <v>0</v>
      </c>
      <c r="M208" s="67">
        <f t="shared" si="167"/>
        <v>0</v>
      </c>
      <c r="N208" s="67">
        <f t="shared" si="167"/>
        <v>0</v>
      </c>
      <c r="O208" s="67">
        <v>0</v>
      </c>
      <c r="P208" s="326">
        <f t="shared" si="152"/>
        <v>1500000</v>
      </c>
      <c r="Q208" s="2"/>
      <c r="S208" s="2"/>
    </row>
    <row r="209" spans="1:19" x14ac:dyDescent="0.15">
      <c r="B209" s="340" t="s">
        <v>703</v>
      </c>
      <c r="C209" s="12" t="s">
        <v>309</v>
      </c>
      <c r="D209" s="67">
        <f t="shared" si="167"/>
        <v>0</v>
      </c>
      <c r="E209" s="67">
        <f t="shared" si="167"/>
        <v>0</v>
      </c>
      <c r="F209" s="67">
        <f t="shared" si="167"/>
        <v>0</v>
      </c>
      <c r="G209" s="67">
        <f t="shared" si="167"/>
        <v>0</v>
      </c>
      <c r="H209" s="67">
        <f t="shared" si="167"/>
        <v>0</v>
      </c>
      <c r="I209" s="67">
        <f t="shared" si="167"/>
        <v>0</v>
      </c>
      <c r="J209" s="67">
        <f t="shared" si="167"/>
        <v>0</v>
      </c>
      <c r="K209" s="67">
        <f t="shared" si="167"/>
        <v>0</v>
      </c>
      <c r="L209" s="67">
        <f t="shared" si="167"/>
        <v>0</v>
      </c>
      <c r="M209" s="67">
        <f t="shared" si="167"/>
        <v>0</v>
      </c>
      <c r="N209" s="67">
        <f t="shared" si="167"/>
        <v>0</v>
      </c>
      <c r="O209" s="67">
        <v>0</v>
      </c>
      <c r="P209" s="326">
        <f t="shared" si="152"/>
        <v>0</v>
      </c>
      <c r="Q209" s="2"/>
      <c r="S209" s="2"/>
    </row>
    <row r="210" spans="1:19" x14ac:dyDescent="0.15">
      <c r="B210" s="340" t="s">
        <v>704</v>
      </c>
      <c r="C210" s="12" t="s">
        <v>311</v>
      </c>
      <c r="D210" s="67">
        <f t="shared" si="167"/>
        <v>0</v>
      </c>
      <c r="E210" s="67">
        <f t="shared" si="167"/>
        <v>0</v>
      </c>
      <c r="F210" s="67">
        <f t="shared" si="167"/>
        <v>0</v>
      </c>
      <c r="G210" s="67">
        <f t="shared" si="167"/>
        <v>0</v>
      </c>
      <c r="H210" s="67">
        <f t="shared" si="167"/>
        <v>0</v>
      </c>
      <c r="I210" s="67">
        <f t="shared" si="167"/>
        <v>-2596968.7000000002</v>
      </c>
      <c r="J210" s="67">
        <f t="shared" si="167"/>
        <v>0</v>
      </c>
      <c r="K210" s="67">
        <f t="shared" si="167"/>
        <v>0</v>
      </c>
      <c r="L210" s="67">
        <f t="shared" si="167"/>
        <v>0</v>
      </c>
      <c r="M210" s="67">
        <f t="shared" si="167"/>
        <v>0</v>
      </c>
      <c r="N210" s="67">
        <f t="shared" si="167"/>
        <v>0</v>
      </c>
      <c r="O210" s="67">
        <v>0</v>
      </c>
      <c r="P210" s="326">
        <f t="shared" si="152"/>
        <v>-2596968.7000000002</v>
      </c>
      <c r="Q210" s="2"/>
      <c r="S210" s="2"/>
    </row>
    <row r="211" spans="1:19" ht="14" thickBot="1" x14ac:dyDescent="0.2">
      <c r="B211" s="340" t="s">
        <v>705</v>
      </c>
      <c r="C211" s="12" t="s">
        <v>115</v>
      </c>
      <c r="D211" s="67">
        <f t="shared" si="167"/>
        <v>-60000000</v>
      </c>
      <c r="E211" s="67">
        <f t="shared" si="167"/>
        <v>0</v>
      </c>
      <c r="F211" s="67">
        <f t="shared" si="167"/>
        <v>0</v>
      </c>
      <c r="G211" s="67">
        <f t="shared" si="167"/>
        <v>0</v>
      </c>
      <c r="H211" s="67">
        <f t="shared" si="167"/>
        <v>0</v>
      </c>
      <c r="I211" s="67">
        <f t="shared" si="167"/>
        <v>60000000</v>
      </c>
      <c r="J211" s="67">
        <f t="shared" si="167"/>
        <v>0</v>
      </c>
      <c r="K211" s="67">
        <f t="shared" si="167"/>
        <v>0</v>
      </c>
      <c r="L211" s="67">
        <f t="shared" si="167"/>
        <v>0</v>
      </c>
      <c r="M211" s="67">
        <f t="shared" si="167"/>
        <v>0</v>
      </c>
      <c r="N211" s="67">
        <f t="shared" si="167"/>
        <v>0</v>
      </c>
      <c r="O211" s="67">
        <v>0</v>
      </c>
      <c r="P211" s="326">
        <f t="shared" si="152"/>
        <v>60000000</v>
      </c>
      <c r="Q211" s="2"/>
      <c r="S211" s="2"/>
    </row>
    <row r="212" spans="1:19" x14ac:dyDescent="0.15">
      <c r="B212" s="340">
        <v>17</v>
      </c>
      <c r="C212" s="12" t="s">
        <v>313</v>
      </c>
      <c r="D212" s="67">
        <f t="shared" si="167"/>
        <v>-92550000</v>
      </c>
      <c r="E212" s="67">
        <f t="shared" si="167"/>
        <v>0</v>
      </c>
      <c r="F212" s="67">
        <f t="shared" si="167"/>
        <v>0</v>
      </c>
      <c r="G212" s="67">
        <f t="shared" si="167"/>
        <v>0</v>
      </c>
      <c r="H212" s="67">
        <f t="shared" si="167"/>
        <v>0</v>
      </c>
      <c r="I212" s="67">
        <f t="shared" si="167"/>
        <v>71750066.299999997</v>
      </c>
      <c r="J212" s="67">
        <f t="shared" si="167"/>
        <v>0</v>
      </c>
      <c r="K212" s="67">
        <f t="shared" si="167"/>
        <v>0</v>
      </c>
      <c r="L212" s="67">
        <f t="shared" si="167"/>
        <v>0</v>
      </c>
      <c r="M212" s="67">
        <f t="shared" si="167"/>
        <v>0</v>
      </c>
      <c r="N212" s="67">
        <f t="shared" si="167"/>
        <v>0</v>
      </c>
      <c r="O212" s="67">
        <v>0</v>
      </c>
      <c r="P212" s="326">
        <f t="shared" si="152"/>
        <v>71750066.299999997</v>
      </c>
      <c r="Q212" s="461"/>
      <c r="R212" s="357" t="s">
        <v>693</v>
      </c>
      <c r="S212" s="2"/>
    </row>
    <row r="213" spans="1:19" ht="14" thickBot="1" x14ac:dyDescent="0.2">
      <c r="A213" s="1" t="s">
        <v>709</v>
      </c>
      <c r="B213" s="355">
        <v>18</v>
      </c>
      <c r="C213" s="335" t="s">
        <v>314</v>
      </c>
      <c r="D213" s="331">
        <f>D212+D204</f>
        <v>-92550000</v>
      </c>
      <c r="E213" s="331">
        <f t="shared" ref="E213:N213" si="168">E212+E204</f>
        <v>50012750</v>
      </c>
      <c r="F213" s="331">
        <f t="shared" si="168"/>
        <v>44202792.500000022</v>
      </c>
      <c r="G213" s="331">
        <f t="shared" si="168"/>
        <v>35442192.08412499</v>
      </c>
      <c r="H213" s="331">
        <f t="shared" si="168"/>
        <v>25111356.707490433</v>
      </c>
      <c r="I213" s="331">
        <f t="shared" si="168"/>
        <v>84401062.478848949</v>
      </c>
      <c r="J213" s="331">
        <f t="shared" si="168"/>
        <v>0</v>
      </c>
      <c r="K213" s="331">
        <f t="shared" si="168"/>
        <v>0</v>
      </c>
      <c r="L213" s="331">
        <f t="shared" si="168"/>
        <v>0</v>
      </c>
      <c r="M213" s="331">
        <f t="shared" si="168"/>
        <v>0</v>
      </c>
      <c r="N213" s="331">
        <f t="shared" si="168"/>
        <v>0</v>
      </c>
      <c r="O213" s="331">
        <v>0</v>
      </c>
      <c r="P213" s="356">
        <f t="shared" si="152"/>
        <v>239170153.77046442</v>
      </c>
      <c r="Q213" s="463"/>
      <c r="R213" s="358">
        <f>IF(ISNUMBER(IRR(D213:N213)),IRR(D213:N213),"NMF")</f>
        <v>0.40549033935008683</v>
      </c>
      <c r="S213" s="1" t="s">
        <v>709</v>
      </c>
    </row>
    <row r="214" spans="1:19" x14ac:dyDescent="0.15">
      <c r="S214" s="2"/>
    </row>
    <row r="215" spans="1:19" ht="14" thickBot="1" x14ac:dyDescent="0.2">
      <c r="S215" s="2"/>
    </row>
    <row r="216" spans="1:19" ht="14" thickBot="1" x14ac:dyDescent="0.2">
      <c r="B216" s="359" t="s">
        <v>282</v>
      </c>
      <c r="C216" s="360" t="s">
        <v>283</v>
      </c>
      <c r="D216" s="360"/>
      <c r="E216" s="360">
        <v>1</v>
      </c>
      <c r="F216" s="360">
        <v>2</v>
      </c>
      <c r="G216" s="360">
        <v>3</v>
      </c>
      <c r="H216" s="360">
        <v>4</v>
      </c>
      <c r="I216" s="360">
        <v>5</v>
      </c>
      <c r="J216" s="360">
        <v>6</v>
      </c>
      <c r="K216" s="360">
        <v>7</v>
      </c>
      <c r="L216" s="360">
        <v>8</v>
      </c>
      <c r="M216" s="360">
        <v>9</v>
      </c>
      <c r="N216" s="360">
        <v>10</v>
      </c>
      <c r="O216" s="360" t="s">
        <v>284</v>
      </c>
      <c r="P216" s="361" t="s">
        <v>285</v>
      </c>
      <c r="S216" s="2"/>
    </row>
    <row r="217" spans="1:19" x14ac:dyDescent="0.15">
      <c r="B217" s="339" t="s">
        <v>687</v>
      </c>
      <c r="C217" s="302" t="s">
        <v>287</v>
      </c>
      <c r="D217" s="322">
        <f t="shared" ref="D217:D232" si="169">D158</f>
        <v>0</v>
      </c>
      <c r="E217" s="322">
        <f t="shared" ref="E217:N217" si="170">E158</f>
        <v>300000000</v>
      </c>
      <c r="F217" s="322">
        <f t="shared" si="170"/>
        <v>313500000.00000006</v>
      </c>
      <c r="G217" s="322">
        <f t="shared" si="170"/>
        <v>327607500.00000006</v>
      </c>
      <c r="H217" s="322">
        <f t="shared" si="170"/>
        <v>342349837.50000012</v>
      </c>
      <c r="I217" s="322">
        <f t="shared" si="170"/>
        <v>357755580.18750012</v>
      </c>
      <c r="J217" s="322">
        <f t="shared" si="170"/>
        <v>0</v>
      </c>
      <c r="K217" s="322">
        <f t="shared" si="170"/>
        <v>0</v>
      </c>
      <c r="L217" s="322">
        <f t="shared" si="170"/>
        <v>0</v>
      </c>
      <c r="M217" s="322">
        <f t="shared" si="170"/>
        <v>0</v>
      </c>
      <c r="N217" s="322">
        <f t="shared" si="170"/>
        <v>0</v>
      </c>
      <c r="O217" s="322">
        <v>0</v>
      </c>
      <c r="P217" s="325">
        <f>SUM(E217:N217)</f>
        <v>1641212917.6875</v>
      </c>
      <c r="Q217" s="2"/>
      <c r="S217" s="2"/>
    </row>
    <row r="218" spans="1:19" x14ac:dyDescent="0.15">
      <c r="A218" s="1" t="s">
        <v>710</v>
      </c>
      <c r="B218" s="340" t="s">
        <v>689</v>
      </c>
      <c r="C218" s="354" t="s">
        <v>689</v>
      </c>
      <c r="D218" s="67">
        <f t="shared" si="169"/>
        <v>0</v>
      </c>
      <c r="E218" s="67">
        <f>E159</f>
        <v>300000000</v>
      </c>
      <c r="F218" s="67">
        <f t="shared" ref="F218:N218" si="171">F159</f>
        <v>313500000.00000006</v>
      </c>
      <c r="G218" s="67">
        <f t="shared" si="171"/>
        <v>327607500.00000006</v>
      </c>
      <c r="H218" s="67">
        <f t="shared" si="171"/>
        <v>342349837.50000012</v>
      </c>
      <c r="I218" s="67">
        <f t="shared" si="171"/>
        <v>357755580.18750012</v>
      </c>
      <c r="J218" s="67">
        <f t="shared" si="171"/>
        <v>0</v>
      </c>
      <c r="K218" s="67">
        <f t="shared" si="171"/>
        <v>0</v>
      </c>
      <c r="L218" s="67">
        <f t="shared" si="171"/>
        <v>0</v>
      </c>
      <c r="M218" s="67">
        <f t="shared" si="171"/>
        <v>0</v>
      </c>
      <c r="N218" s="67">
        <f t="shared" si="171"/>
        <v>0</v>
      </c>
      <c r="O218" s="67"/>
      <c r="P218" s="326">
        <f t="shared" ref="P218:P241" si="172">SUM(E218:N218)</f>
        <v>1641212917.6875</v>
      </c>
      <c r="Q218" s="2"/>
      <c r="S218" s="2"/>
    </row>
    <row r="219" spans="1:19" x14ac:dyDescent="0.15">
      <c r="B219" s="355" t="s">
        <v>690</v>
      </c>
      <c r="C219" s="362" t="s">
        <v>690</v>
      </c>
      <c r="D219" s="331">
        <f t="shared" si="169"/>
        <v>0</v>
      </c>
      <c r="E219" s="331">
        <f>E160*1.1</f>
        <v>0</v>
      </c>
      <c r="F219" s="331">
        <f t="shared" ref="F219:N219" si="173">F160*1.1</f>
        <v>0</v>
      </c>
      <c r="G219" s="331">
        <f t="shared" si="173"/>
        <v>0</v>
      </c>
      <c r="H219" s="331">
        <f t="shared" si="173"/>
        <v>0</v>
      </c>
      <c r="I219" s="331">
        <f t="shared" si="173"/>
        <v>0</v>
      </c>
      <c r="J219" s="331">
        <f t="shared" si="173"/>
        <v>0</v>
      </c>
      <c r="K219" s="331">
        <f t="shared" si="173"/>
        <v>0</v>
      </c>
      <c r="L219" s="331">
        <f t="shared" si="173"/>
        <v>0</v>
      </c>
      <c r="M219" s="331">
        <f t="shared" si="173"/>
        <v>0</v>
      </c>
      <c r="N219" s="331">
        <f t="shared" si="173"/>
        <v>0</v>
      </c>
      <c r="O219" s="363"/>
      <c r="P219" s="356">
        <f t="shared" si="172"/>
        <v>0</v>
      </c>
      <c r="Q219" s="460"/>
      <c r="S219" s="2"/>
    </row>
    <row r="220" spans="1:19" x14ac:dyDescent="0.15">
      <c r="B220" s="340" t="s">
        <v>691</v>
      </c>
      <c r="C220" s="354" t="s">
        <v>691</v>
      </c>
      <c r="D220" s="67">
        <f t="shared" si="169"/>
        <v>0</v>
      </c>
      <c r="E220" s="67">
        <f>E161</f>
        <v>0</v>
      </c>
      <c r="F220" s="67">
        <f t="shared" ref="F220:N220" si="174">F161</f>
        <v>0</v>
      </c>
      <c r="G220" s="67">
        <f t="shared" si="174"/>
        <v>0</v>
      </c>
      <c r="H220" s="67">
        <f t="shared" si="174"/>
        <v>0</v>
      </c>
      <c r="I220" s="67">
        <f t="shared" si="174"/>
        <v>0</v>
      </c>
      <c r="J220" s="67">
        <f t="shared" si="174"/>
        <v>0</v>
      </c>
      <c r="K220" s="67">
        <f t="shared" si="174"/>
        <v>0</v>
      </c>
      <c r="L220" s="67">
        <f t="shared" si="174"/>
        <v>0</v>
      </c>
      <c r="M220" s="67">
        <f t="shared" si="174"/>
        <v>0</v>
      </c>
      <c r="N220" s="67">
        <f t="shared" si="174"/>
        <v>0</v>
      </c>
      <c r="O220" s="67"/>
      <c r="P220" s="326">
        <f t="shared" si="172"/>
        <v>0</v>
      </c>
      <c r="Q220" s="2"/>
      <c r="S220" s="2"/>
    </row>
    <row r="221" spans="1:19" x14ac:dyDescent="0.15">
      <c r="B221" s="340" t="s">
        <v>695</v>
      </c>
      <c r="C221" s="12"/>
      <c r="D221" s="67">
        <f t="shared" si="169"/>
        <v>0</v>
      </c>
      <c r="E221" s="67">
        <f>E220+E219+E218</f>
        <v>300000000</v>
      </c>
      <c r="F221" s="67">
        <f t="shared" ref="F221:N221" si="175">F220+F219+F218</f>
        <v>313500000.00000006</v>
      </c>
      <c r="G221" s="67">
        <f t="shared" si="175"/>
        <v>327607500.00000006</v>
      </c>
      <c r="H221" s="67">
        <f t="shared" si="175"/>
        <v>342349837.50000012</v>
      </c>
      <c r="I221" s="67">
        <f t="shared" si="175"/>
        <v>357755580.18750012</v>
      </c>
      <c r="J221" s="67">
        <f t="shared" si="175"/>
        <v>0</v>
      </c>
      <c r="K221" s="67">
        <f t="shared" si="175"/>
        <v>0</v>
      </c>
      <c r="L221" s="67">
        <f t="shared" si="175"/>
        <v>0</v>
      </c>
      <c r="M221" s="67">
        <f t="shared" si="175"/>
        <v>0</v>
      </c>
      <c r="N221" s="67">
        <f t="shared" si="175"/>
        <v>0</v>
      </c>
      <c r="O221" s="67"/>
      <c r="P221" s="326">
        <f t="shared" si="172"/>
        <v>1641212917.6875</v>
      </c>
      <c r="Q221" s="2"/>
      <c r="S221" s="2"/>
    </row>
    <row r="222" spans="1:19" x14ac:dyDescent="0.15">
      <c r="B222" s="340" t="s">
        <v>696</v>
      </c>
      <c r="C222" s="12" t="s">
        <v>289</v>
      </c>
      <c r="D222" s="67">
        <f t="shared" si="169"/>
        <v>0</v>
      </c>
      <c r="E222" s="67">
        <f>Expenses!D18+(Expenses!D25*1.1)+Expenses!D32+Expenses!D39+(Expenses!D44*1.1)+Expenses!D49+Expenses!D56+Expenses!D95-Expenses!D77</f>
        <v>230170000</v>
      </c>
      <c r="F222" s="67">
        <f>Expenses!E18+(Expenses!E25*1.1)+Expenses!E32+Expenses!E39+(Expenses!E44*1.1)+Expenses!E49+Expenses!E56+Expenses!E95-Expenses!E77</f>
        <v>253018375.00000003</v>
      </c>
      <c r="G222" s="67">
        <f>Expenses!F18+(Expenses!F25*1.1)+Expenses!F32+Expenses!F39+(Expenses!F44*1.1)+Expenses!F49+Expenses!F56+Expenses!F95-Expenses!F77</f>
        <v>278725718.45125008</v>
      </c>
      <c r="H222" s="67">
        <f>Expenses!G18+(Expenses!G25*1.1)+Expenses!G32+Expenses!G39+(Expenses!G44*1.1)+Expenses!G49+Expenses!G56+Expenses!G95-Expenses!G77</f>
        <v>307665975.06072807</v>
      </c>
      <c r="I222" s="67">
        <f>Expenses!H18+(Expenses!H25*1.1)+Expenses!H32+Expenses!H39+(Expenses!H44*1.1)+Expenses!H49+Expenses!H56+Expenses!H95-Expenses!H77</f>
        <v>340262566.36057305</v>
      </c>
      <c r="J222" s="67">
        <f>Expenses!I18+(Expenses!I25*1.1)+Expenses!I32+Expenses!I39+(Expenses!I44*1.1)+Expenses!I49+Expenses!I56+Expenses!I95-Expenses!I77</f>
        <v>0</v>
      </c>
      <c r="K222" s="67">
        <f>Expenses!J18+(Expenses!J25*1.1)+Expenses!J32+Expenses!J39+(Expenses!J44*1.1)+Expenses!J49+Expenses!J56+Expenses!J95-Expenses!J77</f>
        <v>0</v>
      </c>
      <c r="L222" s="67">
        <f>Expenses!K18+(Expenses!K25*1.1)+Expenses!K32+Expenses!K39+(Expenses!K44*1.1)+Expenses!K49+Expenses!K56+Expenses!K95-Expenses!K77</f>
        <v>0</v>
      </c>
      <c r="M222" s="67">
        <f>Expenses!L18+(Expenses!L25*1.1)+Expenses!L32+Expenses!L39+(Expenses!L44*1.1)+Expenses!L49+Expenses!L56+Expenses!L95-Expenses!L77</f>
        <v>0</v>
      </c>
      <c r="N222" s="67">
        <f>Expenses!M18+(Expenses!M25*1.1)+Expenses!M32+Expenses!M39+(Expenses!M44*1.1)+Expenses!M49+Expenses!M56+Expenses!M95-Expenses!M77</f>
        <v>0</v>
      </c>
      <c r="O222" s="67">
        <v>0</v>
      </c>
      <c r="P222" s="326">
        <f t="shared" si="172"/>
        <v>1409842634.8725512</v>
      </c>
      <c r="Q222" s="2"/>
      <c r="S222" s="2"/>
    </row>
    <row r="223" spans="1:19" x14ac:dyDescent="0.15">
      <c r="B223" s="340">
        <v>3</v>
      </c>
      <c r="C223" s="12" t="s">
        <v>290</v>
      </c>
      <c r="D223" s="67">
        <f t="shared" si="169"/>
        <v>0</v>
      </c>
      <c r="E223" s="67">
        <f>E221-E222</f>
        <v>69830000</v>
      </c>
      <c r="F223" s="67">
        <f t="shared" ref="F223:N223" si="176">F221-F222</f>
        <v>60481625.00000003</v>
      </c>
      <c r="G223" s="67">
        <f t="shared" si="176"/>
        <v>48881781.548749983</v>
      </c>
      <c r="H223" s="67">
        <f t="shared" si="176"/>
        <v>34683862.439272046</v>
      </c>
      <c r="I223" s="67">
        <f t="shared" si="176"/>
        <v>17493013.826927066</v>
      </c>
      <c r="J223" s="67">
        <f t="shared" si="176"/>
        <v>0</v>
      </c>
      <c r="K223" s="67">
        <f t="shared" si="176"/>
        <v>0</v>
      </c>
      <c r="L223" s="67">
        <f t="shared" si="176"/>
        <v>0</v>
      </c>
      <c r="M223" s="67">
        <f t="shared" si="176"/>
        <v>0</v>
      </c>
      <c r="N223" s="67">
        <f t="shared" si="176"/>
        <v>0</v>
      </c>
      <c r="O223" s="67">
        <v>0</v>
      </c>
      <c r="P223" s="326">
        <f t="shared" si="172"/>
        <v>231370282.81494913</v>
      </c>
      <c r="Q223" s="2"/>
      <c r="S223" s="2"/>
    </row>
    <row r="224" spans="1:19" x14ac:dyDescent="0.15">
      <c r="B224" s="340" t="s">
        <v>697</v>
      </c>
      <c r="C224" s="12" t="s">
        <v>292</v>
      </c>
      <c r="D224" s="67">
        <f t="shared" si="169"/>
        <v>0</v>
      </c>
      <c r="E224" s="67">
        <f>E165</f>
        <v>3772500</v>
      </c>
      <c r="F224" s="67">
        <f t="shared" ref="F224:N224" si="177">F165</f>
        <v>6218850</v>
      </c>
      <c r="G224" s="67">
        <f t="shared" si="177"/>
        <v>4083150</v>
      </c>
      <c r="H224" s="67">
        <f t="shared" si="177"/>
        <v>2775510</v>
      </c>
      <c r="I224" s="67">
        <f t="shared" si="177"/>
        <v>1352955</v>
      </c>
      <c r="J224" s="67">
        <f t="shared" si="177"/>
        <v>0</v>
      </c>
      <c r="K224" s="67">
        <f t="shared" si="177"/>
        <v>0</v>
      </c>
      <c r="L224" s="67">
        <f t="shared" si="177"/>
        <v>0</v>
      </c>
      <c r="M224" s="67">
        <f t="shared" si="177"/>
        <v>0</v>
      </c>
      <c r="N224" s="67">
        <f t="shared" si="177"/>
        <v>0</v>
      </c>
      <c r="O224" s="67">
        <v>0</v>
      </c>
      <c r="P224" s="326">
        <f t="shared" si="172"/>
        <v>18202965</v>
      </c>
      <c r="Q224" s="2"/>
      <c r="S224" s="2"/>
    </row>
    <row r="225" spans="2:19" x14ac:dyDescent="0.15">
      <c r="B225" s="340">
        <v>5</v>
      </c>
      <c r="C225" s="12" t="s">
        <v>293</v>
      </c>
      <c r="D225" s="67">
        <f t="shared" si="169"/>
        <v>0</v>
      </c>
      <c r="E225" s="67">
        <f>E223-E224</f>
        <v>66057500</v>
      </c>
      <c r="F225" s="67">
        <f t="shared" ref="F225:N225" si="178">F223-F224</f>
        <v>54262775.00000003</v>
      </c>
      <c r="G225" s="67">
        <f t="shared" si="178"/>
        <v>44798631.548749983</v>
      </c>
      <c r="H225" s="67">
        <f t="shared" si="178"/>
        <v>31908352.439272046</v>
      </c>
      <c r="I225" s="67">
        <f t="shared" si="178"/>
        <v>16140058.826927066</v>
      </c>
      <c r="J225" s="67">
        <f t="shared" si="178"/>
        <v>0</v>
      </c>
      <c r="K225" s="67">
        <f t="shared" si="178"/>
        <v>0</v>
      </c>
      <c r="L225" s="67">
        <f t="shared" si="178"/>
        <v>0</v>
      </c>
      <c r="M225" s="67">
        <f t="shared" si="178"/>
        <v>0</v>
      </c>
      <c r="N225" s="67">
        <f t="shared" si="178"/>
        <v>0</v>
      </c>
      <c r="O225" s="67">
        <v>0</v>
      </c>
      <c r="P225" s="326">
        <f t="shared" si="172"/>
        <v>213167317.81494913</v>
      </c>
      <c r="Q225" s="2"/>
      <c r="S225" s="2"/>
    </row>
    <row r="226" spans="2:19" x14ac:dyDescent="0.15">
      <c r="B226" s="340" t="s">
        <v>698</v>
      </c>
      <c r="C226" s="12" t="s">
        <v>295</v>
      </c>
      <c r="D226" s="67">
        <f t="shared" si="169"/>
        <v>0</v>
      </c>
      <c r="E226" s="67">
        <f>E167</f>
        <v>0</v>
      </c>
      <c r="F226" s="67">
        <f t="shared" ref="F226:N226" si="179">F167</f>
        <v>0</v>
      </c>
      <c r="G226" s="67">
        <f t="shared" si="179"/>
        <v>0</v>
      </c>
      <c r="H226" s="67">
        <f t="shared" si="179"/>
        <v>0</v>
      </c>
      <c r="I226" s="67">
        <f t="shared" si="179"/>
        <v>0</v>
      </c>
      <c r="J226" s="67">
        <f t="shared" si="179"/>
        <v>0</v>
      </c>
      <c r="K226" s="67">
        <f t="shared" si="179"/>
        <v>0</v>
      </c>
      <c r="L226" s="67">
        <f t="shared" si="179"/>
        <v>0</v>
      </c>
      <c r="M226" s="67">
        <f t="shared" si="179"/>
        <v>0</v>
      </c>
      <c r="N226" s="67">
        <f t="shared" si="179"/>
        <v>0</v>
      </c>
      <c r="O226" s="67">
        <v>0</v>
      </c>
      <c r="P226" s="326">
        <f t="shared" si="172"/>
        <v>0</v>
      </c>
      <c r="Q226" s="2"/>
      <c r="S226" s="2"/>
    </row>
    <row r="227" spans="2:19" x14ac:dyDescent="0.15">
      <c r="B227" s="340">
        <v>7</v>
      </c>
      <c r="C227" s="12" t="s">
        <v>296</v>
      </c>
      <c r="D227" s="67">
        <f t="shared" si="169"/>
        <v>0</v>
      </c>
      <c r="E227" s="67">
        <f>E225-E226</f>
        <v>66057500</v>
      </c>
      <c r="F227" s="67">
        <f t="shared" ref="F227:N227" si="180">F225-F226</f>
        <v>54262775.00000003</v>
      </c>
      <c r="G227" s="67">
        <f t="shared" si="180"/>
        <v>44798631.548749983</v>
      </c>
      <c r="H227" s="67">
        <f t="shared" si="180"/>
        <v>31908352.439272046</v>
      </c>
      <c r="I227" s="67">
        <f t="shared" si="180"/>
        <v>16140058.826927066</v>
      </c>
      <c r="J227" s="67">
        <f t="shared" si="180"/>
        <v>0</v>
      </c>
      <c r="K227" s="67">
        <f t="shared" si="180"/>
        <v>0</v>
      </c>
      <c r="L227" s="67">
        <f t="shared" si="180"/>
        <v>0</v>
      </c>
      <c r="M227" s="67">
        <f t="shared" si="180"/>
        <v>0</v>
      </c>
      <c r="N227" s="67">
        <f t="shared" si="180"/>
        <v>0</v>
      </c>
      <c r="O227" s="67">
        <v>0</v>
      </c>
      <c r="P227" s="326">
        <f t="shared" si="172"/>
        <v>213167317.81494913</v>
      </c>
      <c r="Q227" s="2"/>
      <c r="S227" s="2"/>
    </row>
    <row r="228" spans="2:19" x14ac:dyDescent="0.15">
      <c r="B228" s="340">
        <v>8</v>
      </c>
      <c r="C228" s="12" t="s">
        <v>297</v>
      </c>
      <c r="D228" s="67">
        <f t="shared" si="169"/>
        <v>0</v>
      </c>
      <c r="E228" s="67">
        <f>-E227*$D$3</f>
        <v>-19817250</v>
      </c>
      <c r="F228" s="67">
        <f t="shared" ref="F228:N228" si="181">-F227*$D$3</f>
        <v>-16278832.500000007</v>
      </c>
      <c r="G228" s="67">
        <f t="shared" si="181"/>
        <v>-13439589.464624995</v>
      </c>
      <c r="H228" s="67">
        <f t="shared" si="181"/>
        <v>-9572505.7317816131</v>
      </c>
      <c r="I228" s="67">
        <f t="shared" si="181"/>
        <v>-4842017.6480781194</v>
      </c>
      <c r="J228" s="67">
        <f t="shared" si="181"/>
        <v>0</v>
      </c>
      <c r="K228" s="67">
        <f t="shared" si="181"/>
        <v>0</v>
      </c>
      <c r="L228" s="67">
        <f t="shared" si="181"/>
        <v>0</v>
      </c>
      <c r="M228" s="67">
        <f t="shared" si="181"/>
        <v>0</v>
      </c>
      <c r="N228" s="67">
        <f t="shared" si="181"/>
        <v>0</v>
      </c>
      <c r="O228" s="67">
        <v>0</v>
      </c>
      <c r="P228" s="326">
        <f t="shared" si="172"/>
        <v>-63950195.344484739</v>
      </c>
      <c r="Q228" s="2"/>
      <c r="S228" s="2"/>
    </row>
    <row r="229" spans="2:19" x14ac:dyDescent="0.15">
      <c r="B229" s="340">
        <v>9</v>
      </c>
      <c r="C229" s="12" t="s">
        <v>298</v>
      </c>
      <c r="D229" s="67">
        <f t="shared" si="169"/>
        <v>0</v>
      </c>
      <c r="E229" s="67">
        <f>E170</f>
        <v>0</v>
      </c>
      <c r="F229" s="67">
        <f t="shared" ref="F229:N229" si="182">F170</f>
        <v>0</v>
      </c>
      <c r="G229" s="67">
        <f t="shared" si="182"/>
        <v>0</v>
      </c>
      <c r="H229" s="67">
        <f t="shared" si="182"/>
        <v>0</v>
      </c>
      <c r="I229" s="67">
        <f t="shared" si="182"/>
        <v>0</v>
      </c>
      <c r="J229" s="67">
        <f t="shared" si="182"/>
        <v>0</v>
      </c>
      <c r="K229" s="67">
        <f t="shared" si="182"/>
        <v>0</v>
      </c>
      <c r="L229" s="67">
        <f t="shared" si="182"/>
        <v>0</v>
      </c>
      <c r="M229" s="67">
        <f t="shared" si="182"/>
        <v>0</v>
      </c>
      <c r="N229" s="67">
        <f t="shared" si="182"/>
        <v>0</v>
      </c>
      <c r="O229" s="67">
        <v>0</v>
      </c>
      <c r="P229" s="326">
        <f t="shared" si="172"/>
        <v>0</v>
      </c>
      <c r="Q229" s="2"/>
      <c r="S229" s="2"/>
    </row>
    <row r="230" spans="2:19" x14ac:dyDescent="0.15">
      <c r="B230" s="340">
        <v>10</v>
      </c>
      <c r="C230" s="12" t="s">
        <v>299</v>
      </c>
      <c r="D230" s="67">
        <f t="shared" si="169"/>
        <v>0</v>
      </c>
      <c r="E230" s="67">
        <f>E227+E228+E229</f>
        <v>46240250</v>
      </c>
      <c r="F230" s="67">
        <f t="shared" ref="F230:N230" si="183">F227+F228+F229</f>
        <v>37983942.500000022</v>
      </c>
      <c r="G230" s="67">
        <f t="shared" si="183"/>
        <v>31359042.08412499</v>
      </c>
      <c r="H230" s="67">
        <f t="shared" si="183"/>
        <v>22335846.707490433</v>
      </c>
      <c r="I230" s="67">
        <f t="shared" si="183"/>
        <v>11298041.178848946</v>
      </c>
      <c r="J230" s="67">
        <f t="shared" si="183"/>
        <v>0</v>
      </c>
      <c r="K230" s="67">
        <f t="shared" si="183"/>
        <v>0</v>
      </c>
      <c r="L230" s="67">
        <f t="shared" si="183"/>
        <v>0</v>
      </c>
      <c r="M230" s="67">
        <f t="shared" si="183"/>
        <v>0</v>
      </c>
      <c r="N230" s="67">
        <f t="shared" si="183"/>
        <v>0</v>
      </c>
      <c r="O230" s="67">
        <v>0</v>
      </c>
      <c r="P230" s="326">
        <f t="shared" si="172"/>
        <v>149217122.47046441</v>
      </c>
      <c r="Q230" s="2"/>
      <c r="S230" s="2"/>
    </row>
    <row r="231" spans="2:19" x14ac:dyDescent="0.15">
      <c r="B231" s="340" t="s">
        <v>699</v>
      </c>
      <c r="C231" s="12" t="s">
        <v>292</v>
      </c>
      <c r="D231" s="67">
        <f t="shared" si="169"/>
        <v>0</v>
      </c>
      <c r="E231" s="67">
        <f>E172</f>
        <v>3772500</v>
      </c>
      <c r="F231" s="67">
        <f t="shared" ref="F231:N231" si="184">F172</f>
        <v>6218850</v>
      </c>
      <c r="G231" s="67">
        <f t="shared" si="184"/>
        <v>4083150</v>
      </c>
      <c r="H231" s="67">
        <f t="shared" si="184"/>
        <v>2775510</v>
      </c>
      <c r="I231" s="67">
        <f t="shared" si="184"/>
        <v>1352955</v>
      </c>
      <c r="J231" s="67">
        <f t="shared" si="184"/>
        <v>0</v>
      </c>
      <c r="K231" s="67">
        <f t="shared" si="184"/>
        <v>0</v>
      </c>
      <c r="L231" s="67">
        <f t="shared" si="184"/>
        <v>0</v>
      </c>
      <c r="M231" s="67">
        <f t="shared" si="184"/>
        <v>0</v>
      </c>
      <c r="N231" s="67">
        <f t="shared" si="184"/>
        <v>0</v>
      </c>
      <c r="O231" s="67">
        <v>0</v>
      </c>
      <c r="P231" s="326">
        <f t="shared" si="172"/>
        <v>18202965</v>
      </c>
      <c r="Q231" s="2"/>
      <c r="S231" s="2"/>
    </row>
    <row r="232" spans="2:19" x14ac:dyDescent="0.15">
      <c r="B232" s="340">
        <v>12</v>
      </c>
      <c r="C232" s="12" t="s">
        <v>301</v>
      </c>
      <c r="D232" s="67">
        <f t="shared" si="169"/>
        <v>0</v>
      </c>
      <c r="E232" s="67">
        <f>E230+E231</f>
        <v>50012750</v>
      </c>
      <c r="F232" s="67">
        <f t="shared" ref="F232:N232" si="185">F230+F231</f>
        <v>44202792.500000022</v>
      </c>
      <c r="G232" s="67">
        <f t="shared" si="185"/>
        <v>35442192.08412499</v>
      </c>
      <c r="H232" s="67">
        <f t="shared" si="185"/>
        <v>25111356.707490433</v>
      </c>
      <c r="I232" s="67">
        <f t="shared" si="185"/>
        <v>12650996.178848946</v>
      </c>
      <c r="J232" s="67">
        <f t="shared" si="185"/>
        <v>0</v>
      </c>
      <c r="K232" s="67">
        <f t="shared" si="185"/>
        <v>0</v>
      </c>
      <c r="L232" s="67">
        <f t="shared" si="185"/>
        <v>0</v>
      </c>
      <c r="M232" s="67">
        <f t="shared" si="185"/>
        <v>0</v>
      </c>
      <c r="N232" s="67">
        <f t="shared" si="185"/>
        <v>0</v>
      </c>
      <c r="O232" s="67">
        <v>0</v>
      </c>
      <c r="P232" s="326">
        <f t="shared" si="172"/>
        <v>167420087.47046441</v>
      </c>
      <c r="Q232" s="2"/>
      <c r="S232" s="2"/>
    </row>
    <row r="233" spans="2:19" x14ac:dyDescent="0.15">
      <c r="B233" s="340" t="s">
        <v>700</v>
      </c>
      <c r="C233" s="12" t="s">
        <v>303</v>
      </c>
      <c r="D233" s="67">
        <v>0</v>
      </c>
      <c r="E233" s="67">
        <f t="shared" ref="E233:N233" si="186">E174</f>
        <v>0</v>
      </c>
      <c r="F233" s="67">
        <f t="shared" si="186"/>
        <v>0</v>
      </c>
      <c r="G233" s="67">
        <f t="shared" si="186"/>
        <v>0</v>
      </c>
      <c r="H233" s="67">
        <f t="shared" si="186"/>
        <v>0</v>
      </c>
      <c r="I233" s="67">
        <f t="shared" si="186"/>
        <v>0</v>
      </c>
      <c r="J233" s="67">
        <f t="shared" si="186"/>
        <v>0</v>
      </c>
      <c r="K233" s="67">
        <f t="shared" si="186"/>
        <v>0</v>
      </c>
      <c r="L233" s="67">
        <f t="shared" si="186"/>
        <v>0</v>
      </c>
      <c r="M233" s="67">
        <f t="shared" si="186"/>
        <v>0</v>
      </c>
      <c r="N233" s="67">
        <f t="shared" si="186"/>
        <v>0</v>
      </c>
      <c r="O233" s="67">
        <v>0</v>
      </c>
      <c r="P233" s="326">
        <f t="shared" si="172"/>
        <v>0</v>
      </c>
      <c r="Q233" s="2"/>
      <c r="S233" s="2"/>
    </row>
    <row r="234" spans="2:19" x14ac:dyDescent="0.15">
      <c r="B234" s="340">
        <v>14</v>
      </c>
      <c r="C234" s="12" t="s">
        <v>304</v>
      </c>
      <c r="D234" s="67">
        <f t="shared" ref="D234:N240" si="187">D175</f>
        <v>-32550000</v>
      </c>
      <c r="E234" s="67">
        <f t="shared" si="187"/>
        <v>0</v>
      </c>
      <c r="F234" s="67">
        <f t="shared" si="187"/>
        <v>0</v>
      </c>
      <c r="G234" s="67">
        <f t="shared" si="187"/>
        <v>0</v>
      </c>
      <c r="H234" s="67">
        <f t="shared" si="187"/>
        <v>0</v>
      </c>
      <c r="I234" s="67">
        <f t="shared" si="187"/>
        <v>14347035</v>
      </c>
      <c r="J234" s="67">
        <f t="shared" si="187"/>
        <v>0</v>
      </c>
      <c r="K234" s="67">
        <f t="shared" si="187"/>
        <v>0</v>
      </c>
      <c r="L234" s="67">
        <f t="shared" si="187"/>
        <v>0</v>
      </c>
      <c r="M234" s="67">
        <f t="shared" si="187"/>
        <v>0</v>
      </c>
      <c r="N234" s="67">
        <f t="shared" si="187"/>
        <v>0</v>
      </c>
      <c r="O234" s="67">
        <v>0</v>
      </c>
      <c r="P234" s="326">
        <f t="shared" si="172"/>
        <v>14347035</v>
      </c>
      <c r="Q234" s="2"/>
      <c r="S234" s="2"/>
    </row>
    <row r="235" spans="2:19" x14ac:dyDescent="0.15">
      <c r="B235" s="340" t="s">
        <v>701</v>
      </c>
      <c r="C235" s="12" t="s">
        <v>207</v>
      </c>
      <c r="D235" s="67">
        <f t="shared" si="187"/>
        <v>-31050000</v>
      </c>
      <c r="E235" s="67">
        <f t="shared" si="187"/>
        <v>0</v>
      </c>
      <c r="F235" s="67">
        <f t="shared" si="187"/>
        <v>0</v>
      </c>
      <c r="G235" s="67">
        <f t="shared" si="187"/>
        <v>0</v>
      </c>
      <c r="H235" s="67">
        <f t="shared" si="187"/>
        <v>0</v>
      </c>
      <c r="I235" s="67">
        <f t="shared" si="187"/>
        <v>12847035</v>
      </c>
      <c r="J235" s="67">
        <f t="shared" si="187"/>
        <v>0</v>
      </c>
      <c r="K235" s="67">
        <f t="shared" si="187"/>
        <v>0</v>
      </c>
      <c r="L235" s="67">
        <f t="shared" si="187"/>
        <v>0</v>
      </c>
      <c r="M235" s="67">
        <f t="shared" si="187"/>
        <v>0</v>
      </c>
      <c r="N235" s="67">
        <f t="shared" si="187"/>
        <v>0</v>
      </c>
      <c r="O235" s="67">
        <v>0</v>
      </c>
      <c r="P235" s="326">
        <f t="shared" si="172"/>
        <v>12847035</v>
      </c>
      <c r="Q235" s="2"/>
      <c r="S235" s="2"/>
    </row>
    <row r="236" spans="2:19" x14ac:dyDescent="0.15">
      <c r="B236" s="340" t="s">
        <v>702</v>
      </c>
      <c r="C236" s="12" t="s">
        <v>307</v>
      </c>
      <c r="D236" s="67">
        <f t="shared" si="187"/>
        <v>-1500000</v>
      </c>
      <c r="E236" s="67">
        <f t="shared" si="187"/>
        <v>0</v>
      </c>
      <c r="F236" s="67">
        <f t="shared" si="187"/>
        <v>0</v>
      </c>
      <c r="G236" s="67">
        <f t="shared" si="187"/>
        <v>0</v>
      </c>
      <c r="H236" s="67">
        <f t="shared" si="187"/>
        <v>0</v>
      </c>
      <c r="I236" s="67">
        <f t="shared" si="187"/>
        <v>1500000</v>
      </c>
      <c r="J236" s="67">
        <f t="shared" si="187"/>
        <v>0</v>
      </c>
      <c r="K236" s="67">
        <f t="shared" si="187"/>
        <v>0</v>
      </c>
      <c r="L236" s="67">
        <f t="shared" si="187"/>
        <v>0</v>
      </c>
      <c r="M236" s="67">
        <f t="shared" si="187"/>
        <v>0</v>
      </c>
      <c r="N236" s="67">
        <f t="shared" si="187"/>
        <v>0</v>
      </c>
      <c r="O236" s="67">
        <v>0</v>
      </c>
      <c r="P236" s="326">
        <f t="shared" si="172"/>
        <v>1500000</v>
      </c>
      <c r="Q236" s="2"/>
      <c r="S236" s="2"/>
    </row>
    <row r="237" spans="2:19" x14ac:dyDescent="0.15">
      <c r="B237" s="340" t="s">
        <v>703</v>
      </c>
      <c r="C237" s="12" t="s">
        <v>309</v>
      </c>
      <c r="D237" s="67">
        <f t="shared" si="187"/>
        <v>0</v>
      </c>
      <c r="E237" s="67">
        <f t="shared" si="187"/>
        <v>0</v>
      </c>
      <c r="F237" s="67">
        <f t="shared" si="187"/>
        <v>0</v>
      </c>
      <c r="G237" s="67">
        <f t="shared" si="187"/>
        <v>0</v>
      </c>
      <c r="H237" s="67">
        <f t="shared" si="187"/>
        <v>0</v>
      </c>
      <c r="I237" s="67">
        <f t="shared" si="187"/>
        <v>0</v>
      </c>
      <c r="J237" s="67">
        <f t="shared" si="187"/>
        <v>0</v>
      </c>
      <c r="K237" s="67">
        <f t="shared" si="187"/>
        <v>0</v>
      </c>
      <c r="L237" s="67">
        <f t="shared" si="187"/>
        <v>0</v>
      </c>
      <c r="M237" s="67">
        <f t="shared" si="187"/>
        <v>0</v>
      </c>
      <c r="N237" s="67">
        <f t="shared" si="187"/>
        <v>0</v>
      </c>
      <c r="O237" s="67">
        <v>0</v>
      </c>
      <c r="P237" s="326">
        <f t="shared" si="172"/>
        <v>0</v>
      </c>
      <c r="Q237" s="2"/>
      <c r="S237" s="2"/>
    </row>
    <row r="238" spans="2:19" x14ac:dyDescent="0.15">
      <c r="B238" s="340" t="s">
        <v>704</v>
      </c>
      <c r="C238" s="12" t="s">
        <v>311</v>
      </c>
      <c r="D238" s="67">
        <f t="shared" si="187"/>
        <v>0</v>
      </c>
      <c r="E238" s="67">
        <f t="shared" si="187"/>
        <v>0</v>
      </c>
      <c r="F238" s="67">
        <f t="shared" si="187"/>
        <v>0</v>
      </c>
      <c r="G238" s="67">
        <f t="shared" si="187"/>
        <v>0</v>
      </c>
      <c r="H238" s="67">
        <f t="shared" si="187"/>
        <v>0</v>
      </c>
      <c r="I238" s="67">
        <f t="shared" si="187"/>
        <v>-2596968.7000000002</v>
      </c>
      <c r="J238" s="67">
        <f t="shared" si="187"/>
        <v>0</v>
      </c>
      <c r="K238" s="67">
        <f t="shared" si="187"/>
        <v>0</v>
      </c>
      <c r="L238" s="67">
        <f t="shared" si="187"/>
        <v>0</v>
      </c>
      <c r="M238" s="67">
        <f t="shared" si="187"/>
        <v>0</v>
      </c>
      <c r="N238" s="67">
        <f t="shared" si="187"/>
        <v>0</v>
      </c>
      <c r="O238" s="67">
        <v>0</v>
      </c>
      <c r="P238" s="326">
        <f t="shared" si="172"/>
        <v>-2596968.7000000002</v>
      </c>
      <c r="Q238" s="2"/>
      <c r="S238" s="2"/>
    </row>
    <row r="239" spans="2:19" ht="14" thickBot="1" x14ac:dyDescent="0.2">
      <c r="B239" s="340" t="s">
        <v>705</v>
      </c>
      <c r="C239" s="12" t="s">
        <v>115</v>
      </c>
      <c r="D239" s="67">
        <f t="shared" si="187"/>
        <v>-60000000</v>
      </c>
      <c r="E239" s="67">
        <f t="shared" si="187"/>
        <v>0</v>
      </c>
      <c r="F239" s="67">
        <f t="shared" si="187"/>
        <v>0</v>
      </c>
      <c r="G239" s="67">
        <f t="shared" si="187"/>
        <v>0</v>
      </c>
      <c r="H239" s="67">
        <f t="shared" si="187"/>
        <v>0</v>
      </c>
      <c r="I239" s="67">
        <f t="shared" si="187"/>
        <v>60000000</v>
      </c>
      <c r="J239" s="67">
        <f t="shared" si="187"/>
        <v>0</v>
      </c>
      <c r="K239" s="67">
        <f t="shared" si="187"/>
        <v>0</v>
      </c>
      <c r="L239" s="67">
        <f t="shared" si="187"/>
        <v>0</v>
      </c>
      <c r="M239" s="67">
        <f t="shared" si="187"/>
        <v>0</v>
      </c>
      <c r="N239" s="67">
        <f t="shared" si="187"/>
        <v>0</v>
      </c>
      <c r="O239" s="67">
        <v>0</v>
      </c>
      <c r="P239" s="326">
        <f t="shared" si="172"/>
        <v>60000000</v>
      </c>
      <c r="Q239" s="2"/>
      <c r="S239" s="2"/>
    </row>
    <row r="240" spans="2:19" x14ac:dyDescent="0.15">
      <c r="B240" s="340">
        <v>17</v>
      </c>
      <c r="C240" s="12" t="s">
        <v>313</v>
      </c>
      <c r="D240" s="67">
        <f t="shared" si="187"/>
        <v>-92550000</v>
      </c>
      <c r="E240" s="67">
        <f t="shared" si="187"/>
        <v>0</v>
      </c>
      <c r="F240" s="67">
        <f t="shared" si="187"/>
        <v>0</v>
      </c>
      <c r="G240" s="67">
        <f t="shared" si="187"/>
        <v>0</v>
      </c>
      <c r="H240" s="67">
        <f t="shared" si="187"/>
        <v>0</v>
      </c>
      <c r="I240" s="67">
        <f t="shared" si="187"/>
        <v>71750066.299999997</v>
      </c>
      <c r="J240" s="67">
        <f t="shared" si="187"/>
        <v>0</v>
      </c>
      <c r="K240" s="67">
        <f t="shared" si="187"/>
        <v>0</v>
      </c>
      <c r="L240" s="67">
        <f t="shared" si="187"/>
        <v>0</v>
      </c>
      <c r="M240" s="67">
        <f t="shared" si="187"/>
        <v>0</v>
      </c>
      <c r="N240" s="67">
        <f t="shared" si="187"/>
        <v>0</v>
      </c>
      <c r="O240" s="67">
        <v>0</v>
      </c>
      <c r="P240" s="326">
        <f t="shared" si="172"/>
        <v>71750066.299999997</v>
      </c>
      <c r="Q240" s="461"/>
      <c r="R240" s="357" t="s">
        <v>693</v>
      </c>
      <c r="S240" s="2"/>
    </row>
    <row r="241" spans="1:19" ht="14" thickBot="1" x14ac:dyDescent="0.2">
      <c r="A241" s="1" t="s">
        <v>710</v>
      </c>
      <c r="B241" s="355">
        <v>18</v>
      </c>
      <c r="C241" s="335" t="s">
        <v>314</v>
      </c>
      <c r="D241" s="331">
        <f>D240+D232</f>
        <v>-92550000</v>
      </c>
      <c r="E241" s="331">
        <f t="shared" ref="E241:N241" si="188">E240+E232</f>
        <v>50012750</v>
      </c>
      <c r="F241" s="331">
        <f t="shared" si="188"/>
        <v>44202792.500000022</v>
      </c>
      <c r="G241" s="331">
        <f t="shared" si="188"/>
        <v>35442192.08412499</v>
      </c>
      <c r="H241" s="331">
        <f t="shared" si="188"/>
        <v>25111356.707490433</v>
      </c>
      <c r="I241" s="331">
        <f t="shared" si="188"/>
        <v>84401062.478848949</v>
      </c>
      <c r="J241" s="331">
        <f t="shared" si="188"/>
        <v>0</v>
      </c>
      <c r="K241" s="331">
        <f t="shared" si="188"/>
        <v>0</v>
      </c>
      <c r="L241" s="331">
        <f t="shared" si="188"/>
        <v>0</v>
      </c>
      <c r="M241" s="331">
        <f t="shared" si="188"/>
        <v>0</v>
      </c>
      <c r="N241" s="331">
        <f t="shared" si="188"/>
        <v>0</v>
      </c>
      <c r="O241" s="331">
        <v>0</v>
      </c>
      <c r="P241" s="356">
        <f t="shared" si="172"/>
        <v>239170153.77046442</v>
      </c>
      <c r="Q241" s="463"/>
      <c r="R241" s="358">
        <f>IF(ISNUMBER(IRR(D241:N241)),IRR(D241:N241),"NMF")</f>
        <v>0.40549033935008683</v>
      </c>
      <c r="S241" s="1" t="s">
        <v>710</v>
      </c>
    </row>
    <row r="242" spans="1:19" x14ac:dyDescent="0.15">
      <c r="S242" s="2"/>
    </row>
    <row r="243" spans="1:19" ht="14" thickBot="1" x14ac:dyDescent="0.2">
      <c r="S243" s="2"/>
    </row>
    <row r="244" spans="1:19" ht="14" thickBot="1" x14ac:dyDescent="0.2">
      <c r="B244" s="359" t="s">
        <v>282</v>
      </c>
      <c r="C244" s="360" t="s">
        <v>283</v>
      </c>
      <c r="D244" s="360"/>
      <c r="E244" s="360">
        <v>1</v>
      </c>
      <c r="F244" s="360">
        <v>2</v>
      </c>
      <c r="G244" s="360">
        <v>3</v>
      </c>
      <c r="H244" s="360">
        <v>4</v>
      </c>
      <c r="I244" s="360">
        <v>5</v>
      </c>
      <c r="J244" s="360">
        <v>6</v>
      </c>
      <c r="K244" s="360">
        <v>7</v>
      </c>
      <c r="L244" s="360">
        <v>8</v>
      </c>
      <c r="M244" s="360">
        <v>9</v>
      </c>
      <c r="N244" s="360">
        <v>10</v>
      </c>
      <c r="O244" s="360" t="s">
        <v>284</v>
      </c>
      <c r="P244" s="361" t="s">
        <v>285</v>
      </c>
      <c r="S244" s="2"/>
    </row>
    <row r="245" spans="1:19" x14ac:dyDescent="0.15">
      <c r="B245" s="339" t="s">
        <v>687</v>
      </c>
      <c r="C245" s="302" t="s">
        <v>287</v>
      </c>
      <c r="D245" s="322">
        <f t="shared" ref="D245:D260" si="189">D158</f>
        <v>0</v>
      </c>
      <c r="E245" s="322">
        <f t="shared" ref="E245:N245" si="190">E158</f>
        <v>300000000</v>
      </c>
      <c r="F245" s="322">
        <f t="shared" si="190"/>
        <v>313500000.00000006</v>
      </c>
      <c r="G245" s="322">
        <f t="shared" si="190"/>
        <v>327607500.00000006</v>
      </c>
      <c r="H245" s="322">
        <f t="shared" si="190"/>
        <v>342349837.50000012</v>
      </c>
      <c r="I245" s="322">
        <f t="shared" si="190"/>
        <v>357755580.18750012</v>
      </c>
      <c r="J245" s="322">
        <f t="shared" si="190"/>
        <v>0</v>
      </c>
      <c r="K245" s="322">
        <f t="shared" si="190"/>
        <v>0</v>
      </c>
      <c r="L245" s="322">
        <f t="shared" si="190"/>
        <v>0</v>
      </c>
      <c r="M245" s="322">
        <f t="shared" si="190"/>
        <v>0</v>
      </c>
      <c r="N245" s="322">
        <f t="shared" si="190"/>
        <v>0</v>
      </c>
      <c r="O245" s="322">
        <v>0</v>
      </c>
      <c r="P245" s="325">
        <f>SUM(E245:N245)</f>
        <v>1641212917.6875</v>
      </c>
      <c r="Q245" s="2"/>
      <c r="S245" s="2"/>
    </row>
    <row r="246" spans="1:19" x14ac:dyDescent="0.15">
      <c r="A246" s="1" t="s">
        <v>711</v>
      </c>
      <c r="B246" s="340" t="s">
        <v>689</v>
      </c>
      <c r="C246" s="354" t="s">
        <v>689</v>
      </c>
      <c r="D246" s="67">
        <f t="shared" si="189"/>
        <v>0</v>
      </c>
      <c r="E246" s="67">
        <f>E159</f>
        <v>300000000</v>
      </c>
      <c r="F246" s="67">
        <f t="shared" ref="F246:N246" si="191">F159</f>
        <v>313500000.00000006</v>
      </c>
      <c r="G246" s="67">
        <f t="shared" si="191"/>
        <v>327607500.00000006</v>
      </c>
      <c r="H246" s="67">
        <f t="shared" si="191"/>
        <v>342349837.50000012</v>
      </c>
      <c r="I246" s="67">
        <f t="shared" si="191"/>
        <v>357755580.18750012</v>
      </c>
      <c r="J246" s="67">
        <f t="shared" si="191"/>
        <v>0</v>
      </c>
      <c r="K246" s="67">
        <f t="shared" si="191"/>
        <v>0</v>
      </c>
      <c r="L246" s="67">
        <f t="shared" si="191"/>
        <v>0</v>
      </c>
      <c r="M246" s="67">
        <f t="shared" si="191"/>
        <v>0</v>
      </c>
      <c r="N246" s="67">
        <f t="shared" si="191"/>
        <v>0</v>
      </c>
      <c r="O246" s="67"/>
      <c r="P246" s="326">
        <f t="shared" ref="P246:P269" si="192">SUM(E246:N246)</f>
        <v>1641212917.6875</v>
      </c>
      <c r="Q246" s="2"/>
      <c r="S246" s="2"/>
    </row>
    <row r="247" spans="1:19" x14ac:dyDescent="0.15">
      <c r="B247" s="355" t="s">
        <v>690</v>
      </c>
      <c r="C247" s="362" t="s">
        <v>690</v>
      </c>
      <c r="D247" s="331">
        <f t="shared" si="189"/>
        <v>0</v>
      </c>
      <c r="E247" s="331">
        <f>E160*1.15</f>
        <v>0</v>
      </c>
      <c r="F247" s="331">
        <f t="shared" ref="F247:N247" si="193">F160*1.15</f>
        <v>0</v>
      </c>
      <c r="G247" s="331">
        <f t="shared" si="193"/>
        <v>0</v>
      </c>
      <c r="H247" s="331">
        <f t="shared" si="193"/>
        <v>0</v>
      </c>
      <c r="I247" s="331">
        <f t="shared" si="193"/>
        <v>0</v>
      </c>
      <c r="J247" s="331">
        <f t="shared" si="193"/>
        <v>0</v>
      </c>
      <c r="K247" s="331">
        <f t="shared" si="193"/>
        <v>0</v>
      </c>
      <c r="L247" s="331">
        <f t="shared" si="193"/>
        <v>0</v>
      </c>
      <c r="M247" s="331">
        <f t="shared" si="193"/>
        <v>0</v>
      </c>
      <c r="N247" s="331">
        <f t="shared" si="193"/>
        <v>0</v>
      </c>
      <c r="O247" s="363"/>
      <c r="P247" s="356">
        <f t="shared" si="192"/>
        <v>0</v>
      </c>
      <c r="Q247" s="460"/>
      <c r="S247" s="2"/>
    </row>
    <row r="248" spans="1:19" x14ac:dyDescent="0.15">
      <c r="B248" s="340" t="s">
        <v>691</v>
      </c>
      <c r="C248" s="354" t="s">
        <v>691</v>
      </c>
      <c r="D248" s="67">
        <f t="shared" si="189"/>
        <v>0</v>
      </c>
      <c r="E248" s="67">
        <f>E161</f>
        <v>0</v>
      </c>
      <c r="F248" s="67">
        <f t="shared" ref="F248:N248" si="194">F161</f>
        <v>0</v>
      </c>
      <c r="G248" s="67">
        <f t="shared" si="194"/>
        <v>0</v>
      </c>
      <c r="H248" s="67">
        <f t="shared" si="194"/>
        <v>0</v>
      </c>
      <c r="I248" s="67">
        <f t="shared" si="194"/>
        <v>0</v>
      </c>
      <c r="J248" s="67">
        <f t="shared" si="194"/>
        <v>0</v>
      </c>
      <c r="K248" s="67">
        <f t="shared" si="194"/>
        <v>0</v>
      </c>
      <c r="L248" s="67">
        <f t="shared" si="194"/>
        <v>0</v>
      </c>
      <c r="M248" s="67">
        <f t="shared" si="194"/>
        <v>0</v>
      </c>
      <c r="N248" s="67">
        <f t="shared" si="194"/>
        <v>0</v>
      </c>
      <c r="O248" s="67"/>
      <c r="P248" s="326">
        <f t="shared" si="192"/>
        <v>0</v>
      </c>
      <c r="Q248" s="2"/>
      <c r="S248" s="2"/>
    </row>
    <row r="249" spans="1:19" x14ac:dyDescent="0.15">
      <c r="B249" s="340" t="s">
        <v>695</v>
      </c>
      <c r="C249" s="12"/>
      <c r="D249" s="67">
        <f t="shared" si="189"/>
        <v>0</v>
      </c>
      <c r="E249" s="67">
        <f>E246+E247+E248</f>
        <v>300000000</v>
      </c>
      <c r="F249" s="67">
        <f t="shared" ref="F249:N249" si="195">F246+F247+F248</f>
        <v>313500000.00000006</v>
      </c>
      <c r="G249" s="67">
        <f t="shared" si="195"/>
        <v>327607500.00000006</v>
      </c>
      <c r="H249" s="67">
        <f t="shared" si="195"/>
        <v>342349837.50000012</v>
      </c>
      <c r="I249" s="67">
        <f t="shared" si="195"/>
        <v>357755580.18750012</v>
      </c>
      <c r="J249" s="67">
        <f t="shared" si="195"/>
        <v>0</v>
      </c>
      <c r="K249" s="67">
        <f t="shared" si="195"/>
        <v>0</v>
      </c>
      <c r="L249" s="67">
        <f t="shared" si="195"/>
        <v>0</v>
      </c>
      <c r="M249" s="67">
        <f t="shared" si="195"/>
        <v>0</v>
      </c>
      <c r="N249" s="67">
        <f t="shared" si="195"/>
        <v>0</v>
      </c>
      <c r="O249" s="67"/>
      <c r="P249" s="326">
        <f t="shared" si="192"/>
        <v>1641212917.6875</v>
      </c>
      <c r="Q249" s="2"/>
      <c r="S249" s="2"/>
    </row>
    <row r="250" spans="1:19" x14ac:dyDescent="0.15">
      <c r="B250" s="340" t="s">
        <v>696</v>
      </c>
      <c r="C250" s="12" t="s">
        <v>289</v>
      </c>
      <c r="D250" s="67">
        <f t="shared" si="189"/>
        <v>0</v>
      </c>
      <c r="E250" s="67">
        <f>Expenses!D18+(Expenses!D25*1.15)+Expenses!D32+Expenses!D39+(Expenses!D44*1.15)+Expenses!D49+Expenses!D56+Expenses!D95-Expenses!D77</f>
        <v>230170000</v>
      </c>
      <c r="F250" s="67">
        <f>Expenses!E18+(Expenses!E25*1.15)+Expenses!E32+Expenses!E39+(Expenses!E44*1.15)+Expenses!E49+Expenses!E56+Expenses!E95-Expenses!E77</f>
        <v>253018375.00000003</v>
      </c>
      <c r="G250" s="67">
        <f>Expenses!F18+(Expenses!F25*1.15)+Expenses!F32+Expenses!F39+(Expenses!F44*1.15)+Expenses!F49+Expenses!F56+Expenses!F95-Expenses!F77</f>
        <v>278725718.45125008</v>
      </c>
      <c r="H250" s="67">
        <f>Expenses!G18+(Expenses!G25*1.15)+Expenses!G32+Expenses!G39+(Expenses!G44*1.15)+Expenses!G49+Expenses!G56+Expenses!G95-Expenses!G77</f>
        <v>307665975.06072807</v>
      </c>
      <c r="I250" s="67">
        <f>Expenses!H18+(Expenses!H25*1.15)+Expenses!H32+Expenses!H39+(Expenses!H44*1.15)+Expenses!H49+Expenses!H56+Expenses!H95-Expenses!H77</f>
        <v>340262566.36057305</v>
      </c>
      <c r="J250" s="67">
        <f>Expenses!I18+(Expenses!I25*1.15)+Expenses!I32+Expenses!I39+(Expenses!I44*1.15)+Expenses!I49+Expenses!I56+Expenses!I95-Expenses!I77</f>
        <v>0</v>
      </c>
      <c r="K250" s="67">
        <f>Expenses!J18+(Expenses!J25*1.15)+Expenses!J32+Expenses!J39+(Expenses!J44*1.15)+Expenses!J49+Expenses!J56+Expenses!J95-Expenses!J77</f>
        <v>0</v>
      </c>
      <c r="L250" s="67">
        <f>Expenses!K18+(Expenses!K25*1.15)+Expenses!K32+Expenses!K39+(Expenses!K44*1.15)+Expenses!K49+Expenses!K56+Expenses!K95-Expenses!K77</f>
        <v>0</v>
      </c>
      <c r="M250" s="67">
        <f>Expenses!L18+(Expenses!L25*1.15)+Expenses!L32+Expenses!L39+(Expenses!L44*1.15)+Expenses!L49+Expenses!L56+Expenses!L95-Expenses!L77</f>
        <v>0</v>
      </c>
      <c r="N250" s="67">
        <f>Expenses!M18+(Expenses!M25*1.15)+Expenses!M32+Expenses!M39+(Expenses!M44*1.15)+Expenses!M49+Expenses!M56+Expenses!M95-Expenses!M77</f>
        <v>0</v>
      </c>
      <c r="O250" s="67">
        <v>0</v>
      </c>
      <c r="P250" s="326">
        <f t="shared" si="192"/>
        <v>1409842634.8725512</v>
      </c>
      <c r="Q250" s="2"/>
      <c r="S250" s="2"/>
    </row>
    <row r="251" spans="1:19" x14ac:dyDescent="0.15">
      <c r="B251" s="340">
        <v>3</v>
      </c>
      <c r="C251" s="12" t="s">
        <v>290</v>
      </c>
      <c r="D251" s="67">
        <f t="shared" si="189"/>
        <v>0</v>
      </c>
      <c r="E251" s="67">
        <f>E249-E250</f>
        <v>69830000</v>
      </c>
      <c r="F251" s="67">
        <f t="shared" ref="F251:N251" si="196">F249-F250</f>
        <v>60481625.00000003</v>
      </c>
      <c r="G251" s="67">
        <f t="shared" si="196"/>
        <v>48881781.548749983</v>
      </c>
      <c r="H251" s="67">
        <f t="shared" si="196"/>
        <v>34683862.439272046</v>
      </c>
      <c r="I251" s="67">
        <f t="shared" si="196"/>
        <v>17493013.826927066</v>
      </c>
      <c r="J251" s="67">
        <f t="shared" si="196"/>
        <v>0</v>
      </c>
      <c r="K251" s="67">
        <f t="shared" si="196"/>
        <v>0</v>
      </c>
      <c r="L251" s="67">
        <f t="shared" si="196"/>
        <v>0</v>
      </c>
      <c r="M251" s="67">
        <f t="shared" si="196"/>
        <v>0</v>
      </c>
      <c r="N251" s="67">
        <f t="shared" si="196"/>
        <v>0</v>
      </c>
      <c r="O251" s="67">
        <v>0</v>
      </c>
      <c r="P251" s="326">
        <f t="shared" si="192"/>
        <v>231370282.81494913</v>
      </c>
      <c r="Q251" s="2"/>
      <c r="S251" s="2"/>
    </row>
    <row r="252" spans="1:19" x14ac:dyDescent="0.15">
      <c r="B252" s="340" t="s">
        <v>697</v>
      </c>
      <c r="C252" s="12" t="s">
        <v>292</v>
      </c>
      <c r="D252" s="67">
        <f t="shared" si="189"/>
        <v>0</v>
      </c>
      <c r="E252" s="67">
        <f>E165</f>
        <v>3772500</v>
      </c>
      <c r="F252" s="67">
        <f t="shared" ref="F252:N252" si="197">F165</f>
        <v>6218850</v>
      </c>
      <c r="G252" s="67">
        <f t="shared" si="197"/>
        <v>4083150</v>
      </c>
      <c r="H252" s="67">
        <f t="shared" si="197"/>
        <v>2775510</v>
      </c>
      <c r="I252" s="67">
        <f t="shared" si="197"/>
        <v>1352955</v>
      </c>
      <c r="J252" s="67">
        <f t="shared" si="197"/>
        <v>0</v>
      </c>
      <c r="K252" s="67">
        <f t="shared" si="197"/>
        <v>0</v>
      </c>
      <c r="L252" s="67">
        <f t="shared" si="197"/>
        <v>0</v>
      </c>
      <c r="M252" s="67">
        <f t="shared" si="197"/>
        <v>0</v>
      </c>
      <c r="N252" s="67">
        <f t="shared" si="197"/>
        <v>0</v>
      </c>
      <c r="O252" s="67">
        <v>0</v>
      </c>
      <c r="P252" s="326">
        <f t="shared" si="192"/>
        <v>18202965</v>
      </c>
      <c r="Q252" s="2"/>
      <c r="S252" s="2"/>
    </row>
    <row r="253" spans="1:19" x14ac:dyDescent="0.15">
      <c r="B253" s="340">
        <v>5</v>
      </c>
      <c r="C253" s="12" t="s">
        <v>293</v>
      </c>
      <c r="D253" s="67">
        <f t="shared" si="189"/>
        <v>0</v>
      </c>
      <c r="E253" s="67">
        <f>E251-E252</f>
        <v>66057500</v>
      </c>
      <c r="F253" s="67">
        <f t="shared" ref="F253:N253" si="198">F251-F252</f>
        <v>54262775.00000003</v>
      </c>
      <c r="G253" s="67">
        <f t="shared" si="198"/>
        <v>44798631.548749983</v>
      </c>
      <c r="H253" s="67">
        <f t="shared" si="198"/>
        <v>31908352.439272046</v>
      </c>
      <c r="I253" s="67">
        <f t="shared" si="198"/>
        <v>16140058.826927066</v>
      </c>
      <c r="J253" s="67">
        <f t="shared" si="198"/>
        <v>0</v>
      </c>
      <c r="K253" s="67">
        <f t="shared" si="198"/>
        <v>0</v>
      </c>
      <c r="L253" s="67">
        <f t="shared" si="198"/>
        <v>0</v>
      </c>
      <c r="M253" s="67">
        <f t="shared" si="198"/>
        <v>0</v>
      </c>
      <c r="N253" s="67">
        <f t="shared" si="198"/>
        <v>0</v>
      </c>
      <c r="O253" s="67">
        <v>0</v>
      </c>
      <c r="P253" s="326">
        <f t="shared" si="192"/>
        <v>213167317.81494913</v>
      </c>
      <c r="Q253" s="2"/>
      <c r="S253" s="2"/>
    </row>
    <row r="254" spans="1:19" x14ac:dyDescent="0.15">
      <c r="B254" s="340" t="s">
        <v>698</v>
      </c>
      <c r="C254" s="12" t="s">
        <v>295</v>
      </c>
      <c r="D254" s="67">
        <f t="shared" si="189"/>
        <v>0</v>
      </c>
      <c r="E254" s="67">
        <f>E167</f>
        <v>0</v>
      </c>
      <c r="F254" s="67">
        <f t="shared" ref="F254:N254" si="199">F167</f>
        <v>0</v>
      </c>
      <c r="G254" s="67">
        <f t="shared" si="199"/>
        <v>0</v>
      </c>
      <c r="H254" s="67">
        <f t="shared" si="199"/>
        <v>0</v>
      </c>
      <c r="I254" s="67">
        <f t="shared" si="199"/>
        <v>0</v>
      </c>
      <c r="J254" s="67">
        <f t="shared" si="199"/>
        <v>0</v>
      </c>
      <c r="K254" s="67">
        <f t="shared" si="199"/>
        <v>0</v>
      </c>
      <c r="L254" s="67">
        <f t="shared" si="199"/>
        <v>0</v>
      </c>
      <c r="M254" s="67">
        <f t="shared" si="199"/>
        <v>0</v>
      </c>
      <c r="N254" s="67">
        <f t="shared" si="199"/>
        <v>0</v>
      </c>
      <c r="O254" s="67">
        <v>0</v>
      </c>
      <c r="P254" s="326">
        <f t="shared" si="192"/>
        <v>0</v>
      </c>
      <c r="Q254" s="2"/>
      <c r="S254" s="2"/>
    </row>
    <row r="255" spans="1:19" x14ac:dyDescent="0.15">
      <c r="B255" s="340">
        <v>7</v>
      </c>
      <c r="C255" s="12" t="s">
        <v>296</v>
      </c>
      <c r="D255" s="67">
        <f t="shared" si="189"/>
        <v>0</v>
      </c>
      <c r="E255" s="67">
        <f>E253-E254</f>
        <v>66057500</v>
      </c>
      <c r="F255" s="67">
        <f t="shared" ref="F255:N255" si="200">F253-F254</f>
        <v>54262775.00000003</v>
      </c>
      <c r="G255" s="67">
        <f t="shared" si="200"/>
        <v>44798631.548749983</v>
      </c>
      <c r="H255" s="67">
        <f t="shared" si="200"/>
        <v>31908352.439272046</v>
      </c>
      <c r="I255" s="67">
        <f t="shared" si="200"/>
        <v>16140058.826927066</v>
      </c>
      <c r="J255" s="67">
        <f t="shared" si="200"/>
        <v>0</v>
      </c>
      <c r="K255" s="67">
        <f t="shared" si="200"/>
        <v>0</v>
      </c>
      <c r="L255" s="67">
        <f t="shared" si="200"/>
        <v>0</v>
      </c>
      <c r="M255" s="67">
        <f t="shared" si="200"/>
        <v>0</v>
      </c>
      <c r="N255" s="67">
        <f t="shared" si="200"/>
        <v>0</v>
      </c>
      <c r="O255" s="67">
        <v>0</v>
      </c>
      <c r="P255" s="326">
        <f t="shared" si="192"/>
        <v>213167317.81494913</v>
      </c>
      <c r="Q255" s="2"/>
      <c r="S255" s="2"/>
    </row>
    <row r="256" spans="1:19" x14ac:dyDescent="0.15">
      <c r="B256" s="340">
        <v>8</v>
      </c>
      <c r="C256" s="12" t="s">
        <v>297</v>
      </c>
      <c r="D256" s="67">
        <f t="shared" si="189"/>
        <v>0</v>
      </c>
      <c r="E256" s="67">
        <f>-E255*$D$3</f>
        <v>-19817250</v>
      </c>
      <c r="F256" s="67">
        <f t="shared" ref="F256:N256" si="201">-F255*$D$3</f>
        <v>-16278832.500000007</v>
      </c>
      <c r="G256" s="67">
        <f t="shared" si="201"/>
        <v>-13439589.464624995</v>
      </c>
      <c r="H256" s="67">
        <f t="shared" si="201"/>
        <v>-9572505.7317816131</v>
      </c>
      <c r="I256" s="67">
        <f t="shared" si="201"/>
        <v>-4842017.6480781194</v>
      </c>
      <c r="J256" s="67">
        <f t="shared" si="201"/>
        <v>0</v>
      </c>
      <c r="K256" s="67">
        <f t="shared" si="201"/>
        <v>0</v>
      </c>
      <c r="L256" s="67">
        <f t="shared" si="201"/>
        <v>0</v>
      </c>
      <c r="M256" s="67">
        <f t="shared" si="201"/>
        <v>0</v>
      </c>
      <c r="N256" s="67">
        <f t="shared" si="201"/>
        <v>0</v>
      </c>
      <c r="O256" s="67">
        <v>0</v>
      </c>
      <c r="P256" s="326">
        <f t="shared" si="192"/>
        <v>-63950195.344484739</v>
      </c>
      <c r="Q256" s="2"/>
      <c r="S256" s="2"/>
    </row>
    <row r="257" spans="1:19" x14ac:dyDescent="0.15">
      <c r="B257" s="340">
        <v>9</v>
      </c>
      <c r="C257" s="12" t="s">
        <v>298</v>
      </c>
      <c r="D257" s="67">
        <f t="shared" si="189"/>
        <v>0</v>
      </c>
      <c r="E257" s="67">
        <f>E170</f>
        <v>0</v>
      </c>
      <c r="F257" s="67">
        <f t="shared" ref="F257:N257" si="202">F170</f>
        <v>0</v>
      </c>
      <c r="G257" s="67">
        <f t="shared" si="202"/>
        <v>0</v>
      </c>
      <c r="H257" s="67">
        <f t="shared" si="202"/>
        <v>0</v>
      </c>
      <c r="I257" s="67">
        <f t="shared" si="202"/>
        <v>0</v>
      </c>
      <c r="J257" s="67">
        <f t="shared" si="202"/>
        <v>0</v>
      </c>
      <c r="K257" s="67">
        <f t="shared" si="202"/>
        <v>0</v>
      </c>
      <c r="L257" s="67">
        <f t="shared" si="202"/>
        <v>0</v>
      </c>
      <c r="M257" s="67">
        <f t="shared" si="202"/>
        <v>0</v>
      </c>
      <c r="N257" s="67">
        <f t="shared" si="202"/>
        <v>0</v>
      </c>
      <c r="O257" s="67">
        <v>0</v>
      </c>
      <c r="P257" s="326">
        <f t="shared" si="192"/>
        <v>0</v>
      </c>
      <c r="Q257" s="2"/>
      <c r="S257" s="2"/>
    </row>
    <row r="258" spans="1:19" x14ac:dyDescent="0.15">
      <c r="B258" s="340">
        <v>10</v>
      </c>
      <c r="C258" s="12" t="s">
        <v>299</v>
      </c>
      <c r="D258" s="67">
        <f t="shared" si="189"/>
        <v>0</v>
      </c>
      <c r="E258" s="67">
        <f>E255+E256+E257</f>
        <v>46240250</v>
      </c>
      <c r="F258" s="67">
        <f t="shared" ref="F258:N258" si="203">F255+F256+F257</f>
        <v>37983942.500000022</v>
      </c>
      <c r="G258" s="67">
        <f t="shared" si="203"/>
        <v>31359042.08412499</v>
      </c>
      <c r="H258" s="67">
        <f t="shared" si="203"/>
        <v>22335846.707490433</v>
      </c>
      <c r="I258" s="67">
        <f t="shared" si="203"/>
        <v>11298041.178848946</v>
      </c>
      <c r="J258" s="67">
        <f t="shared" si="203"/>
        <v>0</v>
      </c>
      <c r="K258" s="67">
        <f t="shared" si="203"/>
        <v>0</v>
      </c>
      <c r="L258" s="67">
        <f t="shared" si="203"/>
        <v>0</v>
      </c>
      <c r="M258" s="67">
        <f t="shared" si="203"/>
        <v>0</v>
      </c>
      <c r="N258" s="67">
        <f t="shared" si="203"/>
        <v>0</v>
      </c>
      <c r="O258" s="67">
        <v>0</v>
      </c>
      <c r="P258" s="326">
        <f t="shared" si="192"/>
        <v>149217122.47046441</v>
      </c>
      <c r="Q258" s="2"/>
      <c r="S258" s="2"/>
    </row>
    <row r="259" spans="1:19" x14ac:dyDescent="0.15">
      <c r="B259" s="340" t="s">
        <v>699</v>
      </c>
      <c r="C259" s="12" t="s">
        <v>292</v>
      </c>
      <c r="D259" s="67">
        <f t="shared" si="189"/>
        <v>0</v>
      </c>
      <c r="E259" s="67">
        <f>E172</f>
        <v>3772500</v>
      </c>
      <c r="F259" s="67">
        <f t="shared" ref="F259:N259" si="204">F172</f>
        <v>6218850</v>
      </c>
      <c r="G259" s="67">
        <f t="shared" si="204"/>
        <v>4083150</v>
      </c>
      <c r="H259" s="67">
        <f t="shared" si="204"/>
        <v>2775510</v>
      </c>
      <c r="I259" s="67">
        <f t="shared" si="204"/>
        <v>1352955</v>
      </c>
      <c r="J259" s="67">
        <f t="shared" si="204"/>
        <v>0</v>
      </c>
      <c r="K259" s="67">
        <f t="shared" si="204"/>
        <v>0</v>
      </c>
      <c r="L259" s="67">
        <f t="shared" si="204"/>
        <v>0</v>
      </c>
      <c r="M259" s="67">
        <f t="shared" si="204"/>
        <v>0</v>
      </c>
      <c r="N259" s="67">
        <f t="shared" si="204"/>
        <v>0</v>
      </c>
      <c r="O259" s="67">
        <v>0</v>
      </c>
      <c r="P259" s="326">
        <f t="shared" si="192"/>
        <v>18202965</v>
      </c>
      <c r="Q259" s="2"/>
      <c r="S259" s="2"/>
    </row>
    <row r="260" spans="1:19" x14ac:dyDescent="0.15">
      <c r="B260" s="340">
        <v>12</v>
      </c>
      <c r="C260" s="12" t="s">
        <v>301</v>
      </c>
      <c r="D260" s="67">
        <f t="shared" si="189"/>
        <v>0</v>
      </c>
      <c r="E260" s="67">
        <f>E258+E259</f>
        <v>50012750</v>
      </c>
      <c r="F260" s="67">
        <f t="shared" ref="F260:N260" si="205">F258+F259</f>
        <v>44202792.500000022</v>
      </c>
      <c r="G260" s="67">
        <f t="shared" si="205"/>
        <v>35442192.08412499</v>
      </c>
      <c r="H260" s="67">
        <f t="shared" si="205"/>
        <v>25111356.707490433</v>
      </c>
      <c r="I260" s="67">
        <f t="shared" si="205"/>
        <v>12650996.178848946</v>
      </c>
      <c r="J260" s="67">
        <f t="shared" si="205"/>
        <v>0</v>
      </c>
      <c r="K260" s="67">
        <f t="shared" si="205"/>
        <v>0</v>
      </c>
      <c r="L260" s="67">
        <f t="shared" si="205"/>
        <v>0</v>
      </c>
      <c r="M260" s="67">
        <f t="shared" si="205"/>
        <v>0</v>
      </c>
      <c r="N260" s="67">
        <f t="shared" si="205"/>
        <v>0</v>
      </c>
      <c r="O260" s="67">
        <v>0</v>
      </c>
      <c r="P260" s="326">
        <f t="shared" si="192"/>
        <v>167420087.47046441</v>
      </c>
      <c r="Q260" s="2"/>
      <c r="S260" s="2"/>
    </row>
    <row r="261" spans="1:19" x14ac:dyDescent="0.15">
      <c r="B261" s="340" t="s">
        <v>700</v>
      </c>
      <c r="C261" s="12" t="s">
        <v>303</v>
      </c>
      <c r="D261" s="67">
        <v>0</v>
      </c>
      <c r="E261" s="67">
        <f t="shared" ref="E261:N261" si="206">E174</f>
        <v>0</v>
      </c>
      <c r="F261" s="67">
        <f t="shared" si="206"/>
        <v>0</v>
      </c>
      <c r="G261" s="67">
        <f t="shared" si="206"/>
        <v>0</v>
      </c>
      <c r="H261" s="67">
        <f t="shared" si="206"/>
        <v>0</v>
      </c>
      <c r="I261" s="67">
        <f t="shared" si="206"/>
        <v>0</v>
      </c>
      <c r="J261" s="67">
        <f t="shared" si="206"/>
        <v>0</v>
      </c>
      <c r="K261" s="67">
        <f t="shared" si="206"/>
        <v>0</v>
      </c>
      <c r="L261" s="67">
        <f t="shared" si="206"/>
        <v>0</v>
      </c>
      <c r="M261" s="67">
        <f t="shared" si="206"/>
        <v>0</v>
      </c>
      <c r="N261" s="67">
        <f t="shared" si="206"/>
        <v>0</v>
      </c>
      <c r="O261" s="67">
        <v>0</v>
      </c>
      <c r="P261" s="326">
        <f t="shared" si="192"/>
        <v>0</v>
      </c>
      <c r="Q261" s="2"/>
      <c r="S261" s="2"/>
    </row>
    <row r="262" spans="1:19" x14ac:dyDescent="0.15">
      <c r="B262" s="340">
        <v>14</v>
      </c>
      <c r="C262" s="12" t="s">
        <v>304</v>
      </c>
      <c r="D262" s="67">
        <f t="shared" ref="D262:N268" si="207">D175</f>
        <v>-32550000</v>
      </c>
      <c r="E262" s="67">
        <f t="shared" si="207"/>
        <v>0</v>
      </c>
      <c r="F262" s="67">
        <f t="shared" si="207"/>
        <v>0</v>
      </c>
      <c r="G262" s="67">
        <f t="shared" si="207"/>
        <v>0</v>
      </c>
      <c r="H262" s="67">
        <f t="shared" si="207"/>
        <v>0</v>
      </c>
      <c r="I262" s="67">
        <f t="shared" si="207"/>
        <v>14347035</v>
      </c>
      <c r="J262" s="67">
        <f t="shared" si="207"/>
        <v>0</v>
      </c>
      <c r="K262" s="67">
        <f t="shared" si="207"/>
        <v>0</v>
      </c>
      <c r="L262" s="67">
        <f t="shared" si="207"/>
        <v>0</v>
      </c>
      <c r="M262" s="67">
        <f t="shared" si="207"/>
        <v>0</v>
      </c>
      <c r="N262" s="67">
        <f t="shared" si="207"/>
        <v>0</v>
      </c>
      <c r="O262" s="67">
        <v>0</v>
      </c>
      <c r="P262" s="326">
        <f t="shared" si="192"/>
        <v>14347035</v>
      </c>
      <c r="Q262" s="2"/>
      <c r="S262" s="2"/>
    </row>
    <row r="263" spans="1:19" x14ac:dyDescent="0.15">
      <c r="B263" s="340" t="s">
        <v>701</v>
      </c>
      <c r="C263" s="12" t="s">
        <v>207</v>
      </c>
      <c r="D263" s="67">
        <f t="shared" si="207"/>
        <v>-31050000</v>
      </c>
      <c r="E263" s="67">
        <f t="shared" si="207"/>
        <v>0</v>
      </c>
      <c r="F263" s="67">
        <f t="shared" si="207"/>
        <v>0</v>
      </c>
      <c r="G263" s="67">
        <f t="shared" si="207"/>
        <v>0</v>
      </c>
      <c r="H263" s="67">
        <f t="shared" si="207"/>
        <v>0</v>
      </c>
      <c r="I263" s="67">
        <f t="shared" si="207"/>
        <v>12847035</v>
      </c>
      <c r="J263" s="67">
        <f t="shared" si="207"/>
        <v>0</v>
      </c>
      <c r="K263" s="67">
        <f t="shared" si="207"/>
        <v>0</v>
      </c>
      <c r="L263" s="67">
        <f t="shared" si="207"/>
        <v>0</v>
      </c>
      <c r="M263" s="67">
        <f t="shared" si="207"/>
        <v>0</v>
      </c>
      <c r="N263" s="67">
        <f t="shared" si="207"/>
        <v>0</v>
      </c>
      <c r="O263" s="67">
        <v>0</v>
      </c>
      <c r="P263" s="326">
        <f t="shared" si="192"/>
        <v>12847035</v>
      </c>
      <c r="Q263" s="2"/>
      <c r="S263" s="2"/>
    </row>
    <row r="264" spans="1:19" x14ac:dyDescent="0.15">
      <c r="B264" s="340" t="s">
        <v>702</v>
      </c>
      <c r="C264" s="12" t="s">
        <v>307</v>
      </c>
      <c r="D264" s="67">
        <f t="shared" si="207"/>
        <v>-1500000</v>
      </c>
      <c r="E264" s="67">
        <f t="shared" si="207"/>
        <v>0</v>
      </c>
      <c r="F264" s="67">
        <f t="shared" si="207"/>
        <v>0</v>
      </c>
      <c r="G264" s="67">
        <f t="shared" si="207"/>
        <v>0</v>
      </c>
      <c r="H264" s="67">
        <f t="shared" si="207"/>
        <v>0</v>
      </c>
      <c r="I264" s="67">
        <f t="shared" si="207"/>
        <v>1500000</v>
      </c>
      <c r="J264" s="67">
        <f t="shared" si="207"/>
        <v>0</v>
      </c>
      <c r="K264" s="67">
        <f t="shared" si="207"/>
        <v>0</v>
      </c>
      <c r="L264" s="67">
        <f t="shared" si="207"/>
        <v>0</v>
      </c>
      <c r="M264" s="67">
        <f t="shared" si="207"/>
        <v>0</v>
      </c>
      <c r="N264" s="67">
        <f t="shared" si="207"/>
        <v>0</v>
      </c>
      <c r="O264" s="67">
        <v>0</v>
      </c>
      <c r="P264" s="326">
        <f t="shared" si="192"/>
        <v>1500000</v>
      </c>
      <c r="Q264" s="2"/>
      <c r="S264" s="2"/>
    </row>
    <row r="265" spans="1:19" x14ac:dyDescent="0.15">
      <c r="B265" s="340" t="s">
        <v>703</v>
      </c>
      <c r="C265" s="12" t="s">
        <v>309</v>
      </c>
      <c r="D265" s="67">
        <f t="shared" si="207"/>
        <v>0</v>
      </c>
      <c r="E265" s="67">
        <f t="shared" si="207"/>
        <v>0</v>
      </c>
      <c r="F265" s="67">
        <f t="shared" si="207"/>
        <v>0</v>
      </c>
      <c r="G265" s="67">
        <f t="shared" si="207"/>
        <v>0</v>
      </c>
      <c r="H265" s="67">
        <f t="shared" si="207"/>
        <v>0</v>
      </c>
      <c r="I265" s="67">
        <f t="shared" si="207"/>
        <v>0</v>
      </c>
      <c r="J265" s="67">
        <f t="shared" si="207"/>
        <v>0</v>
      </c>
      <c r="K265" s="67">
        <f t="shared" si="207"/>
        <v>0</v>
      </c>
      <c r="L265" s="67">
        <f t="shared" si="207"/>
        <v>0</v>
      </c>
      <c r="M265" s="67">
        <f t="shared" si="207"/>
        <v>0</v>
      </c>
      <c r="N265" s="67">
        <f t="shared" si="207"/>
        <v>0</v>
      </c>
      <c r="O265" s="67">
        <v>0</v>
      </c>
      <c r="P265" s="326">
        <f t="shared" si="192"/>
        <v>0</v>
      </c>
      <c r="Q265" s="2"/>
      <c r="S265" s="2"/>
    </row>
    <row r="266" spans="1:19" x14ac:dyDescent="0.15">
      <c r="B266" s="340" t="s">
        <v>704</v>
      </c>
      <c r="C266" s="12" t="s">
        <v>311</v>
      </c>
      <c r="D266" s="67">
        <f t="shared" si="207"/>
        <v>0</v>
      </c>
      <c r="E266" s="67">
        <f t="shared" si="207"/>
        <v>0</v>
      </c>
      <c r="F266" s="67">
        <f t="shared" si="207"/>
        <v>0</v>
      </c>
      <c r="G266" s="67">
        <f t="shared" si="207"/>
        <v>0</v>
      </c>
      <c r="H266" s="67">
        <f t="shared" si="207"/>
        <v>0</v>
      </c>
      <c r="I266" s="67">
        <f t="shared" si="207"/>
        <v>-2596968.7000000002</v>
      </c>
      <c r="J266" s="67">
        <f t="shared" si="207"/>
        <v>0</v>
      </c>
      <c r="K266" s="67">
        <f t="shared" si="207"/>
        <v>0</v>
      </c>
      <c r="L266" s="67">
        <f t="shared" si="207"/>
        <v>0</v>
      </c>
      <c r="M266" s="67">
        <f t="shared" si="207"/>
        <v>0</v>
      </c>
      <c r="N266" s="67">
        <f t="shared" si="207"/>
        <v>0</v>
      </c>
      <c r="O266" s="67">
        <v>0</v>
      </c>
      <c r="P266" s="326">
        <f t="shared" si="192"/>
        <v>-2596968.7000000002</v>
      </c>
      <c r="Q266" s="2"/>
      <c r="S266" s="2"/>
    </row>
    <row r="267" spans="1:19" ht="14" thickBot="1" x14ac:dyDescent="0.2">
      <c r="B267" s="340" t="s">
        <v>705</v>
      </c>
      <c r="C267" s="12" t="s">
        <v>115</v>
      </c>
      <c r="D267" s="67">
        <f t="shared" si="207"/>
        <v>-60000000</v>
      </c>
      <c r="E267" s="67">
        <f t="shared" si="207"/>
        <v>0</v>
      </c>
      <c r="F267" s="67">
        <f t="shared" si="207"/>
        <v>0</v>
      </c>
      <c r="G267" s="67">
        <f t="shared" si="207"/>
        <v>0</v>
      </c>
      <c r="H267" s="67">
        <f t="shared" si="207"/>
        <v>0</v>
      </c>
      <c r="I267" s="67">
        <f t="shared" si="207"/>
        <v>60000000</v>
      </c>
      <c r="J267" s="67">
        <f t="shared" si="207"/>
        <v>0</v>
      </c>
      <c r="K267" s="67">
        <f t="shared" si="207"/>
        <v>0</v>
      </c>
      <c r="L267" s="67">
        <f t="shared" si="207"/>
        <v>0</v>
      </c>
      <c r="M267" s="67">
        <f t="shared" si="207"/>
        <v>0</v>
      </c>
      <c r="N267" s="67">
        <f t="shared" si="207"/>
        <v>0</v>
      </c>
      <c r="O267" s="67">
        <v>0</v>
      </c>
      <c r="P267" s="326">
        <f t="shared" si="192"/>
        <v>60000000</v>
      </c>
      <c r="Q267" s="2"/>
      <c r="S267" s="2"/>
    </row>
    <row r="268" spans="1:19" x14ac:dyDescent="0.15">
      <c r="B268" s="340">
        <v>17</v>
      </c>
      <c r="C268" s="12" t="s">
        <v>313</v>
      </c>
      <c r="D268" s="67">
        <f t="shared" si="207"/>
        <v>-92550000</v>
      </c>
      <c r="E268" s="67">
        <f t="shared" si="207"/>
        <v>0</v>
      </c>
      <c r="F268" s="67">
        <f t="shared" si="207"/>
        <v>0</v>
      </c>
      <c r="G268" s="67">
        <f t="shared" si="207"/>
        <v>0</v>
      </c>
      <c r="H268" s="67">
        <f t="shared" si="207"/>
        <v>0</v>
      </c>
      <c r="I268" s="67">
        <f t="shared" si="207"/>
        <v>71750066.299999997</v>
      </c>
      <c r="J268" s="67">
        <f t="shared" si="207"/>
        <v>0</v>
      </c>
      <c r="K268" s="67">
        <f t="shared" si="207"/>
        <v>0</v>
      </c>
      <c r="L268" s="67">
        <f t="shared" si="207"/>
        <v>0</v>
      </c>
      <c r="M268" s="67">
        <f t="shared" si="207"/>
        <v>0</v>
      </c>
      <c r="N268" s="67">
        <f t="shared" si="207"/>
        <v>0</v>
      </c>
      <c r="O268" s="67">
        <v>0</v>
      </c>
      <c r="P268" s="326">
        <f t="shared" si="192"/>
        <v>71750066.299999997</v>
      </c>
      <c r="Q268" s="461"/>
      <c r="R268" s="357" t="s">
        <v>693</v>
      </c>
      <c r="S268" s="2"/>
    </row>
    <row r="269" spans="1:19" ht="14" thickBot="1" x14ac:dyDescent="0.2">
      <c r="A269" s="1" t="s">
        <v>711</v>
      </c>
      <c r="B269" s="355">
        <v>18</v>
      </c>
      <c r="C269" s="335" t="s">
        <v>314</v>
      </c>
      <c r="D269" s="331">
        <f>D268+D260</f>
        <v>-92550000</v>
      </c>
      <c r="E269" s="331">
        <f t="shared" ref="E269:N269" si="208">E268+E260</f>
        <v>50012750</v>
      </c>
      <c r="F269" s="331">
        <f t="shared" si="208"/>
        <v>44202792.500000022</v>
      </c>
      <c r="G269" s="331">
        <f t="shared" si="208"/>
        <v>35442192.08412499</v>
      </c>
      <c r="H269" s="331">
        <f t="shared" si="208"/>
        <v>25111356.707490433</v>
      </c>
      <c r="I269" s="331">
        <f t="shared" si="208"/>
        <v>84401062.478848949</v>
      </c>
      <c r="J269" s="331">
        <f t="shared" si="208"/>
        <v>0</v>
      </c>
      <c r="K269" s="331">
        <f t="shared" si="208"/>
        <v>0</v>
      </c>
      <c r="L269" s="331">
        <f t="shared" si="208"/>
        <v>0</v>
      </c>
      <c r="M269" s="331">
        <f t="shared" si="208"/>
        <v>0</v>
      </c>
      <c r="N269" s="331">
        <f t="shared" si="208"/>
        <v>0</v>
      </c>
      <c r="O269" s="331">
        <v>0</v>
      </c>
      <c r="P269" s="356">
        <f t="shared" si="192"/>
        <v>239170153.77046442</v>
      </c>
      <c r="Q269" s="463"/>
      <c r="R269" s="358">
        <f>IF(ISNUMBER(IRR(D269:N269)),IRR(D269:N269),"NMF")</f>
        <v>0.40549033935008683</v>
      </c>
      <c r="S269" s="1" t="s">
        <v>711</v>
      </c>
    </row>
    <row r="270" spans="1:19" x14ac:dyDescent="0.15">
      <c r="S270" s="2"/>
    </row>
    <row r="271" spans="1:19" ht="14" thickBot="1" x14ac:dyDescent="0.2">
      <c r="S271" s="2"/>
    </row>
    <row r="272" spans="1:19" ht="14" thickBot="1" x14ac:dyDescent="0.2">
      <c r="B272" s="359" t="s">
        <v>282</v>
      </c>
      <c r="C272" s="360" t="s">
        <v>283</v>
      </c>
      <c r="D272" s="360"/>
      <c r="E272" s="360">
        <v>1</v>
      </c>
      <c r="F272" s="360">
        <v>2</v>
      </c>
      <c r="G272" s="360">
        <v>3</v>
      </c>
      <c r="H272" s="360">
        <v>4</v>
      </c>
      <c r="I272" s="360">
        <v>5</v>
      </c>
      <c r="J272" s="360">
        <v>6</v>
      </c>
      <c r="K272" s="360">
        <v>7</v>
      </c>
      <c r="L272" s="360">
        <v>8</v>
      </c>
      <c r="M272" s="360">
        <v>9</v>
      </c>
      <c r="N272" s="360">
        <v>10</v>
      </c>
      <c r="O272" s="360" t="s">
        <v>284</v>
      </c>
      <c r="P272" s="361" t="s">
        <v>285</v>
      </c>
      <c r="S272" s="2"/>
    </row>
    <row r="273" spans="1:19" x14ac:dyDescent="0.15">
      <c r="B273" s="339" t="s">
        <v>687</v>
      </c>
      <c r="C273" s="302" t="s">
        <v>287</v>
      </c>
      <c r="D273" s="322">
        <f t="shared" ref="D273:D288" si="209">D158</f>
        <v>0</v>
      </c>
      <c r="E273" s="322">
        <f t="shared" ref="E273:N273" si="210">E158</f>
        <v>300000000</v>
      </c>
      <c r="F273" s="322">
        <f t="shared" si="210"/>
        <v>313500000.00000006</v>
      </c>
      <c r="G273" s="322">
        <f t="shared" si="210"/>
        <v>327607500.00000006</v>
      </c>
      <c r="H273" s="322">
        <f t="shared" si="210"/>
        <v>342349837.50000012</v>
      </c>
      <c r="I273" s="322">
        <f t="shared" si="210"/>
        <v>357755580.18750012</v>
      </c>
      <c r="J273" s="322">
        <f t="shared" si="210"/>
        <v>0</v>
      </c>
      <c r="K273" s="322">
        <f t="shared" si="210"/>
        <v>0</v>
      </c>
      <c r="L273" s="322">
        <f t="shared" si="210"/>
        <v>0</v>
      </c>
      <c r="M273" s="322">
        <f t="shared" si="210"/>
        <v>0</v>
      </c>
      <c r="N273" s="322">
        <f t="shared" si="210"/>
        <v>0</v>
      </c>
      <c r="O273" s="322">
        <v>0</v>
      </c>
      <c r="P273" s="325">
        <f>SUM(E273:N273)</f>
        <v>1641212917.6875</v>
      </c>
      <c r="Q273" s="2"/>
      <c r="S273" s="2"/>
    </row>
    <row r="274" spans="1:19" x14ac:dyDescent="0.15">
      <c r="A274" s="1" t="s">
        <v>712</v>
      </c>
      <c r="B274" s="340" t="s">
        <v>689</v>
      </c>
      <c r="C274" s="354" t="s">
        <v>689</v>
      </c>
      <c r="D274" s="67">
        <f t="shared" si="209"/>
        <v>0</v>
      </c>
      <c r="E274" s="67">
        <f>E159</f>
        <v>300000000</v>
      </c>
      <c r="F274" s="67">
        <f t="shared" ref="F274:N274" si="211">F159</f>
        <v>313500000.00000006</v>
      </c>
      <c r="G274" s="67">
        <f t="shared" si="211"/>
        <v>327607500.00000006</v>
      </c>
      <c r="H274" s="67">
        <f t="shared" si="211"/>
        <v>342349837.50000012</v>
      </c>
      <c r="I274" s="67">
        <f t="shared" si="211"/>
        <v>357755580.18750012</v>
      </c>
      <c r="J274" s="67">
        <f t="shared" si="211"/>
        <v>0</v>
      </c>
      <c r="K274" s="67">
        <f t="shared" si="211"/>
        <v>0</v>
      </c>
      <c r="L274" s="67">
        <f t="shared" si="211"/>
        <v>0</v>
      </c>
      <c r="M274" s="67">
        <f t="shared" si="211"/>
        <v>0</v>
      </c>
      <c r="N274" s="67">
        <f t="shared" si="211"/>
        <v>0</v>
      </c>
      <c r="O274" s="67"/>
      <c r="P274" s="326">
        <f t="shared" ref="P274:P297" si="212">SUM(E274:N274)</f>
        <v>1641212917.6875</v>
      </c>
      <c r="Q274" s="2"/>
      <c r="S274" s="2"/>
    </row>
    <row r="275" spans="1:19" x14ac:dyDescent="0.15">
      <c r="B275" s="355" t="s">
        <v>690</v>
      </c>
      <c r="C275" s="362" t="s">
        <v>690</v>
      </c>
      <c r="D275" s="331">
        <f t="shared" si="209"/>
        <v>0</v>
      </c>
      <c r="E275" s="331">
        <f>E160*1.2</f>
        <v>0</v>
      </c>
      <c r="F275" s="331">
        <f t="shared" ref="F275:N275" si="213">F160*1.2</f>
        <v>0</v>
      </c>
      <c r="G275" s="331">
        <f t="shared" si="213"/>
        <v>0</v>
      </c>
      <c r="H275" s="331">
        <f t="shared" si="213"/>
        <v>0</v>
      </c>
      <c r="I275" s="331">
        <f t="shared" si="213"/>
        <v>0</v>
      </c>
      <c r="J275" s="331">
        <f t="shared" si="213"/>
        <v>0</v>
      </c>
      <c r="K275" s="331">
        <f t="shared" si="213"/>
        <v>0</v>
      </c>
      <c r="L275" s="331">
        <f t="shared" si="213"/>
        <v>0</v>
      </c>
      <c r="M275" s="331">
        <f t="shared" si="213"/>
        <v>0</v>
      </c>
      <c r="N275" s="331">
        <f t="shared" si="213"/>
        <v>0</v>
      </c>
      <c r="O275" s="363"/>
      <c r="P275" s="356">
        <f t="shared" si="212"/>
        <v>0</v>
      </c>
      <c r="Q275" s="460"/>
      <c r="S275" s="2"/>
    </row>
    <row r="276" spans="1:19" x14ac:dyDescent="0.15">
      <c r="B276" s="340" t="s">
        <v>691</v>
      </c>
      <c r="C276" s="354" t="s">
        <v>691</v>
      </c>
      <c r="D276" s="67">
        <f t="shared" si="209"/>
        <v>0</v>
      </c>
      <c r="E276" s="67">
        <f>E161</f>
        <v>0</v>
      </c>
      <c r="F276" s="67">
        <f t="shared" ref="F276:N276" si="214">F161</f>
        <v>0</v>
      </c>
      <c r="G276" s="67">
        <f t="shared" si="214"/>
        <v>0</v>
      </c>
      <c r="H276" s="67">
        <f t="shared" si="214"/>
        <v>0</v>
      </c>
      <c r="I276" s="67">
        <f t="shared" si="214"/>
        <v>0</v>
      </c>
      <c r="J276" s="67">
        <f t="shared" si="214"/>
        <v>0</v>
      </c>
      <c r="K276" s="67">
        <f t="shared" si="214"/>
        <v>0</v>
      </c>
      <c r="L276" s="67">
        <f t="shared" si="214"/>
        <v>0</v>
      </c>
      <c r="M276" s="67">
        <f t="shared" si="214"/>
        <v>0</v>
      </c>
      <c r="N276" s="67">
        <f t="shared" si="214"/>
        <v>0</v>
      </c>
      <c r="O276" s="67"/>
      <c r="P276" s="326">
        <f t="shared" si="212"/>
        <v>0</v>
      </c>
      <c r="Q276" s="2"/>
      <c r="S276" s="2"/>
    </row>
    <row r="277" spans="1:19" x14ac:dyDescent="0.15">
      <c r="B277" s="340" t="s">
        <v>695</v>
      </c>
      <c r="C277" s="12"/>
      <c r="D277" s="67">
        <f t="shared" si="209"/>
        <v>0</v>
      </c>
      <c r="E277" s="67">
        <f>E274+E275+E276</f>
        <v>300000000</v>
      </c>
      <c r="F277" s="67">
        <f t="shared" ref="F277:N277" si="215">F274+F275+F276</f>
        <v>313500000.00000006</v>
      </c>
      <c r="G277" s="67">
        <f t="shared" si="215"/>
        <v>327607500.00000006</v>
      </c>
      <c r="H277" s="67">
        <f t="shared" si="215"/>
        <v>342349837.50000012</v>
      </c>
      <c r="I277" s="67">
        <f t="shared" si="215"/>
        <v>357755580.18750012</v>
      </c>
      <c r="J277" s="67">
        <f t="shared" si="215"/>
        <v>0</v>
      </c>
      <c r="K277" s="67">
        <f t="shared" si="215"/>
        <v>0</v>
      </c>
      <c r="L277" s="67">
        <f t="shared" si="215"/>
        <v>0</v>
      </c>
      <c r="M277" s="67">
        <f t="shared" si="215"/>
        <v>0</v>
      </c>
      <c r="N277" s="67">
        <f t="shared" si="215"/>
        <v>0</v>
      </c>
      <c r="O277" s="67"/>
      <c r="P277" s="326">
        <f t="shared" si="212"/>
        <v>1641212917.6875</v>
      </c>
      <c r="Q277" s="2"/>
      <c r="S277" s="2"/>
    </row>
    <row r="278" spans="1:19" x14ac:dyDescent="0.15">
      <c r="B278" s="340" t="s">
        <v>696</v>
      </c>
      <c r="C278" s="12" t="s">
        <v>289</v>
      </c>
      <c r="D278" s="67">
        <f t="shared" si="209"/>
        <v>0</v>
      </c>
      <c r="E278" s="67">
        <f>Expenses!D18+(Expenses!D25*1.2)+Expenses!D32+Expenses!D39+(Expenses!D44*1.2)+Expenses!D49+Expenses!D56+Expenses!D95-Expenses!D77</f>
        <v>230170000</v>
      </c>
      <c r="F278" s="67">
        <f>Expenses!E18+(Expenses!E25*1.2)+Expenses!E32+Expenses!E39+(Expenses!E44*1.2)+Expenses!E49+Expenses!E56+Expenses!E95-Expenses!E77</f>
        <v>253018375.00000003</v>
      </c>
      <c r="G278" s="67">
        <f>Expenses!F18+(Expenses!F25*1.2)+Expenses!F32+Expenses!F39+(Expenses!F44*1.2)+Expenses!F49+Expenses!F56+Expenses!F95-Expenses!F77</f>
        <v>278725718.45125008</v>
      </c>
      <c r="H278" s="67">
        <f>Expenses!G18+(Expenses!G25*1.2)+Expenses!G32+Expenses!G39+(Expenses!G44*1.2)+Expenses!G49+Expenses!G56+Expenses!G95-Expenses!G77</f>
        <v>307665975.06072807</v>
      </c>
      <c r="I278" s="67">
        <f>Expenses!H18+(Expenses!H25*1.2)+Expenses!H32+Expenses!H39+(Expenses!H44*1.2)+Expenses!H49+Expenses!H56+Expenses!H95-Expenses!H77</f>
        <v>340262566.36057305</v>
      </c>
      <c r="J278" s="67">
        <f>Expenses!I18+(Expenses!I25*1.2)+Expenses!I32+Expenses!I39+(Expenses!I44*1.2)+Expenses!I49+Expenses!I56+Expenses!I95-Expenses!I77</f>
        <v>0</v>
      </c>
      <c r="K278" s="67">
        <f>Expenses!J18+(Expenses!J25*1.2)+Expenses!J32+Expenses!J39+(Expenses!J44*1.2)+Expenses!J49+Expenses!J56+Expenses!J95-Expenses!J77</f>
        <v>0</v>
      </c>
      <c r="L278" s="67">
        <f>Expenses!K18+(Expenses!K25*1.2)+Expenses!K32+Expenses!K39+(Expenses!K44*1.2)+Expenses!K49+Expenses!K56+Expenses!K95-Expenses!K77</f>
        <v>0</v>
      </c>
      <c r="M278" s="67">
        <f>Expenses!L18+(Expenses!L25*1.2)+Expenses!L32+Expenses!L39+(Expenses!L44*1.2)+Expenses!L49+Expenses!L56+Expenses!L95-Expenses!L77</f>
        <v>0</v>
      </c>
      <c r="N278" s="67">
        <f>Expenses!M18+(Expenses!M25*1.2)+Expenses!M32+Expenses!M39+(Expenses!M44*1.2)+Expenses!M49+Expenses!M56+Expenses!M95-Expenses!M77</f>
        <v>0</v>
      </c>
      <c r="O278" s="67">
        <v>0</v>
      </c>
      <c r="P278" s="326">
        <f t="shared" si="212"/>
        <v>1409842634.8725512</v>
      </c>
      <c r="Q278" s="2"/>
      <c r="S278" s="2"/>
    </row>
    <row r="279" spans="1:19" x14ac:dyDescent="0.15">
      <c r="B279" s="340">
        <v>3</v>
      </c>
      <c r="C279" s="12" t="s">
        <v>290</v>
      </c>
      <c r="D279" s="67">
        <f t="shared" si="209"/>
        <v>0</v>
      </c>
      <c r="E279" s="67">
        <f>E277-E278</f>
        <v>69830000</v>
      </c>
      <c r="F279" s="67">
        <f t="shared" ref="F279:N279" si="216">F277-F278</f>
        <v>60481625.00000003</v>
      </c>
      <c r="G279" s="67">
        <f t="shared" si="216"/>
        <v>48881781.548749983</v>
      </c>
      <c r="H279" s="67">
        <f t="shared" si="216"/>
        <v>34683862.439272046</v>
      </c>
      <c r="I279" s="67">
        <f t="shared" si="216"/>
        <v>17493013.826927066</v>
      </c>
      <c r="J279" s="67">
        <f t="shared" si="216"/>
        <v>0</v>
      </c>
      <c r="K279" s="67">
        <f t="shared" si="216"/>
        <v>0</v>
      </c>
      <c r="L279" s="67">
        <f t="shared" si="216"/>
        <v>0</v>
      </c>
      <c r="M279" s="67">
        <f t="shared" si="216"/>
        <v>0</v>
      </c>
      <c r="N279" s="67">
        <f t="shared" si="216"/>
        <v>0</v>
      </c>
      <c r="O279" s="67">
        <v>0</v>
      </c>
      <c r="P279" s="326">
        <f t="shared" si="212"/>
        <v>231370282.81494913</v>
      </c>
      <c r="Q279" s="2"/>
      <c r="S279" s="2"/>
    </row>
    <row r="280" spans="1:19" x14ac:dyDescent="0.15">
      <c r="B280" s="340" t="s">
        <v>697</v>
      </c>
      <c r="C280" s="12" t="s">
        <v>292</v>
      </c>
      <c r="D280" s="67">
        <f t="shared" si="209"/>
        <v>0</v>
      </c>
      <c r="E280" s="67">
        <f>E165</f>
        <v>3772500</v>
      </c>
      <c r="F280" s="67">
        <f t="shared" ref="F280:N280" si="217">F165</f>
        <v>6218850</v>
      </c>
      <c r="G280" s="67">
        <f t="shared" si="217"/>
        <v>4083150</v>
      </c>
      <c r="H280" s="67">
        <f t="shared" si="217"/>
        <v>2775510</v>
      </c>
      <c r="I280" s="67">
        <f t="shared" si="217"/>
        <v>1352955</v>
      </c>
      <c r="J280" s="67">
        <f t="shared" si="217"/>
        <v>0</v>
      </c>
      <c r="K280" s="67">
        <f t="shared" si="217"/>
        <v>0</v>
      </c>
      <c r="L280" s="67">
        <f t="shared" si="217"/>
        <v>0</v>
      </c>
      <c r="M280" s="67">
        <f t="shared" si="217"/>
        <v>0</v>
      </c>
      <c r="N280" s="67">
        <f t="shared" si="217"/>
        <v>0</v>
      </c>
      <c r="O280" s="67">
        <v>0</v>
      </c>
      <c r="P280" s="326">
        <f t="shared" si="212"/>
        <v>18202965</v>
      </c>
      <c r="Q280" s="2"/>
      <c r="S280" s="2"/>
    </row>
    <row r="281" spans="1:19" x14ac:dyDescent="0.15">
      <c r="B281" s="340">
        <v>5</v>
      </c>
      <c r="C281" s="12" t="s">
        <v>293</v>
      </c>
      <c r="D281" s="67">
        <f t="shared" si="209"/>
        <v>0</v>
      </c>
      <c r="E281" s="67">
        <f>E279-E280</f>
        <v>66057500</v>
      </c>
      <c r="F281" s="67">
        <f t="shared" ref="F281:N281" si="218">F279-F280</f>
        <v>54262775.00000003</v>
      </c>
      <c r="G281" s="67">
        <f t="shared" si="218"/>
        <v>44798631.548749983</v>
      </c>
      <c r="H281" s="67">
        <f t="shared" si="218"/>
        <v>31908352.439272046</v>
      </c>
      <c r="I281" s="67">
        <f t="shared" si="218"/>
        <v>16140058.826927066</v>
      </c>
      <c r="J281" s="67">
        <f t="shared" si="218"/>
        <v>0</v>
      </c>
      <c r="K281" s="67">
        <f t="shared" si="218"/>
        <v>0</v>
      </c>
      <c r="L281" s="67">
        <f t="shared" si="218"/>
        <v>0</v>
      </c>
      <c r="M281" s="67">
        <f t="shared" si="218"/>
        <v>0</v>
      </c>
      <c r="N281" s="67">
        <f t="shared" si="218"/>
        <v>0</v>
      </c>
      <c r="O281" s="67">
        <v>0</v>
      </c>
      <c r="P281" s="326">
        <f t="shared" si="212"/>
        <v>213167317.81494913</v>
      </c>
      <c r="Q281" s="2"/>
      <c r="S281" s="2"/>
    </row>
    <row r="282" spans="1:19" x14ac:dyDescent="0.15">
      <c r="B282" s="340" t="s">
        <v>698</v>
      </c>
      <c r="C282" s="12" t="s">
        <v>295</v>
      </c>
      <c r="D282" s="67">
        <f t="shared" si="209"/>
        <v>0</v>
      </c>
      <c r="E282" s="67">
        <f>E167</f>
        <v>0</v>
      </c>
      <c r="F282" s="67">
        <f t="shared" ref="F282:N282" si="219">F167</f>
        <v>0</v>
      </c>
      <c r="G282" s="67">
        <f t="shared" si="219"/>
        <v>0</v>
      </c>
      <c r="H282" s="67">
        <f t="shared" si="219"/>
        <v>0</v>
      </c>
      <c r="I282" s="67">
        <f t="shared" si="219"/>
        <v>0</v>
      </c>
      <c r="J282" s="67">
        <f t="shared" si="219"/>
        <v>0</v>
      </c>
      <c r="K282" s="67">
        <f t="shared" si="219"/>
        <v>0</v>
      </c>
      <c r="L282" s="67">
        <f t="shared" si="219"/>
        <v>0</v>
      </c>
      <c r="M282" s="67">
        <f t="shared" si="219"/>
        <v>0</v>
      </c>
      <c r="N282" s="67">
        <f t="shared" si="219"/>
        <v>0</v>
      </c>
      <c r="O282" s="67">
        <v>0</v>
      </c>
      <c r="P282" s="326">
        <f t="shared" si="212"/>
        <v>0</v>
      </c>
      <c r="Q282" s="2"/>
      <c r="S282" s="2"/>
    </row>
    <row r="283" spans="1:19" x14ac:dyDescent="0.15">
      <c r="B283" s="340">
        <v>7</v>
      </c>
      <c r="C283" s="12" t="s">
        <v>296</v>
      </c>
      <c r="D283" s="67">
        <f t="shared" si="209"/>
        <v>0</v>
      </c>
      <c r="E283" s="67">
        <f>E281-E282</f>
        <v>66057500</v>
      </c>
      <c r="F283" s="67">
        <f t="shared" ref="F283:N283" si="220">F281-F282</f>
        <v>54262775.00000003</v>
      </c>
      <c r="G283" s="67">
        <f t="shared" si="220"/>
        <v>44798631.548749983</v>
      </c>
      <c r="H283" s="67">
        <f t="shared" si="220"/>
        <v>31908352.439272046</v>
      </c>
      <c r="I283" s="67">
        <f t="shared" si="220"/>
        <v>16140058.826927066</v>
      </c>
      <c r="J283" s="67">
        <f t="shared" si="220"/>
        <v>0</v>
      </c>
      <c r="K283" s="67">
        <f t="shared" si="220"/>
        <v>0</v>
      </c>
      <c r="L283" s="67">
        <f t="shared" si="220"/>
        <v>0</v>
      </c>
      <c r="M283" s="67">
        <f t="shared" si="220"/>
        <v>0</v>
      </c>
      <c r="N283" s="67">
        <f t="shared" si="220"/>
        <v>0</v>
      </c>
      <c r="O283" s="67">
        <v>0</v>
      </c>
      <c r="P283" s="326">
        <f t="shared" si="212"/>
        <v>213167317.81494913</v>
      </c>
      <c r="Q283" s="2"/>
      <c r="S283" s="2"/>
    </row>
    <row r="284" spans="1:19" x14ac:dyDescent="0.15">
      <c r="B284" s="340">
        <v>8</v>
      </c>
      <c r="C284" s="12" t="s">
        <v>297</v>
      </c>
      <c r="D284" s="67">
        <f t="shared" si="209"/>
        <v>0</v>
      </c>
      <c r="E284" s="67">
        <f>-E283*$D$3</f>
        <v>-19817250</v>
      </c>
      <c r="F284" s="67">
        <f t="shared" ref="F284:N284" si="221">-F283*$D$3</f>
        <v>-16278832.500000007</v>
      </c>
      <c r="G284" s="67">
        <f t="shared" si="221"/>
        <v>-13439589.464624995</v>
      </c>
      <c r="H284" s="67">
        <f t="shared" si="221"/>
        <v>-9572505.7317816131</v>
      </c>
      <c r="I284" s="67">
        <f t="shared" si="221"/>
        <v>-4842017.6480781194</v>
      </c>
      <c r="J284" s="67">
        <f t="shared" si="221"/>
        <v>0</v>
      </c>
      <c r="K284" s="67">
        <f t="shared" si="221"/>
        <v>0</v>
      </c>
      <c r="L284" s="67">
        <f t="shared" si="221"/>
        <v>0</v>
      </c>
      <c r="M284" s="67">
        <f t="shared" si="221"/>
        <v>0</v>
      </c>
      <c r="N284" s="67">
        <f t="shared" si="221"/>
        <v>0</v>
      </c>
      <c r="O284" s="67">
        <v>0</v>
      </c>
      <c r="P284" s="326">
        <f t="shared" si="212"/>
        <v>-63950195.344484739</v>
      </c>
      <c r="Q284" s="2"/>
      <c r="S284" s="2"/>
    </row>
    <row r="285" spans="1:19" x14ac:dyDescent="0.15">
      <c r="B285" s="340">
        <v>9</v>
      </c>
      <c r="C285" s="12" t="s">
        <v>298</v>
      </c>
      <c r="D285" s="67">
        <f t="shared" si="209"/>
        <v>0</v>
      </c>
      <c r="E285" s="67">
        <f>E170</f>
        <v>0</v>
      </c>
      <c r="F285" s="67">
        <f t="shared" ref="F285:N285" si="222">F170</f>
        <v>0</v>
      </c>
      <c r="G285" s="67">
        <f t="shared" si="222"/>
        <v>0</v>
      </c>
      <c r="H285" s="67">
        <f t="shared" si="222"/>
        <v>0</v>
      </c>
      <c r="I285" s="67">
        <f t="shared" si="222"/>
        <v>0</v>
      </c>
      <c r="J285" s="67">
        <f t="shared" si="222"/>
        <v>0</v>
      </c>
      <c r="K285" s="67">
        <f t="shared" si="222"/>
        <v>0</v>
      </c>
      <c r="L285" s="67">
        <f t="shared" si="222"/>
        <v>0</v>
      </c>
      <c r="M285" s="67">
        <f t="shared" si="222"/>
        <v>0</v>
      </c>
      <c r="N285" s="67">
        <f t="shared" si="222"/>
        <v>0</v>
      </c>
      <c r="O285" s="67">
        <v>0</v>
      </c>
      <c r="P285" s="326">
        <f t="shared" si="212"/>
        <v>0</v>
      </c>
      <c r="Q285" s="2"/>
      <c r="S285" s="2"/>
    </row>
    <row r="286" spans="1:19" x14ac:dyDescent="0.15">
      <c r="B286" s="340">
        <v>10</v>
      </c>
      <c r="C286" s="12" t="s">
        <v>299</v>
      </c>
      <c r="D286" s="67">
        <f t="shared" si="209"/>
        <v>0</v>
      </c>
      <c r="E286" s="67">
        <f>E283+E284+E285</f>
        <v>46240250</v>
      </c>
      <c r="F286" s="67">
        <f t="shared" ref="F286:N286" si="223">F283+F284+F285</f>
        <v>37983942.500000022</v>
      </c>
      <c r="G286" s="67">
        <f t="shared" si="223"/>
        <v>31359042.08412499</v>
      </c>
      <c r="H286" s="67">
        <f t="shared" si="223"/>
        <v>22335846.707490433</v>
      </c>
      <c r="I286" s="67">
        <f t="shared" si="223"/>
        <v>11298041.178848946</v>
      </c>
      <c r="J286" s="67">
        <f t="shared" si="223"/>
        <v>0</v>
      </c>
      <c r="K286" s="67">
        <f t="shared" si="223"/>
        <v>0</v>
      </c>
      <c r="L286" s="67">
        <f t="shared" si="223"/>
        <v>0</v>
      </c>
      <c r="M286" s="67">
        <f t="shared" si="223"/>
        <v>0</v>
      </c>
      <c r="N286" s="67">
        <f t="shared" si="223"/>
        <v>0</v>
      </c>
      <c r="O286" s="67">
        <v>0</v>
      </c>
      <c r="P286" s="326">
        <f t="shared" si="212"/>
        <v>149217122.47046441</v>
      </c>
      <c r="Q286" s="2"/>
      <c r="S286" s="2"/>
    </row>
    <row r="287" spans="1:19" x14ac:dyDescent="0.15">
      <c r="B287" s="340" t="s">
        <v>699</v>
      </c>
      <c r="C287" s="12" t="s">
        <v>292</v>
      </c>
      <c r="D287" s="67">
        <f t="shared" si="209"/>
        <v>0</v>
      </c>
      <c r="E287" s="67">
        <f>E172</f>
        <v>3772500</v>
      </c>
      <c r="F287" s="67">
        <f t="shared" ref="F287:N287" si="224">F172</f>
        <v>6218850</v>
      </c>
      <c r="G287" s="67">
        <f t="shared" si="224"/>
        <v>4083150</v>
      </c>
      <c r="H287" s="67">
        <f t="shared" si="224"/>
        <v>2775510</v>
      </c>
      <c r="I287" s="67">
        <f t="shared" si="224"/>
        <v>1352955</v>
      </c>
      <c r="J287" s="67">
        <f t="shared" si="224"/>
        <v>0</v>
      </c>
      <c r="K287" s="67">
        <f t="shared" si="224"/>
        <v>0</v>
      </c>
      <c r="L287" s="67">
        <f t="shared" si="224"/>
        <v>0</v>
      </c>
      <c r="M287" s="67">
        <f t="shared" si="224"/>
        <v>0</v>
      </c>
      <c r="N287" s="67">
        <f t="shared" si="224"/>
        <v>0</v>
      </c>
      <c r="O287" s="67">
        <v>0</v>
      </c>
      <c r="P287" s="326">
        <f t="shared" si="212"/>
        <v>18202965</v>
      </c>
      <c r="Q287" s="2"/>
      <c r="S287" s="2"/>
    </row>
    <row r="288" spans="1:19" x14ac:dyDescent="0.15">
      <c r="B288" s="340">
        <v>12</v>
      </c>
      <c r="C288" s="12" t="s">
        <v>301</v>
      </c>
      <c r="D288" s="67">
        <f t="shared" si="209"/>
        <v>0</v>
      </c>
      <c r="E288" s="67">
        <f>E286+E287</f>
        <v>50012750</v>
      </c>
      <c r="F288" s="67">
        <f t="shared" ref="F288:N288" si="225">F286+F287</f>
        <v>44202792.500000022</v>
      </c>
      <c r="G288" s="67">
        <f t="shared" si="225"/>
        <v>35442192.08412499</v>
      </c>
      <c r="H288" s="67">
        <f t="shared" si="225"/>
        <v>25111356.707490433</v>
      </c>
      <c r="I288" s="67">
        <f t="shared" si="225"/>
        <v>12650996.178848946</v>
      </c>
      <c r="J288" s="67">
        <f t="shared" si="225"/>
        <v>0</v>
      </c>
      <c r="K288" s="67">
        <f t="shared" si="225"/>
        <v>0</v>
      </c>
      <c r="L288" s="67">
        <f t="shared" si="225"/>
        <v>0</v>
      </c>
      <c r="M288" s="67">
        <f t="shared" si="225"/>
        <v>0</v>
      </c>
      <c r="N288" s="67">
        <f t="shared" si="225"/>
        <v>0</v>
      </c>
      <c r="O288" s="67">
        <v>0</v>
      </c>
      <c r="P288" s="326">
        <f t="shared" si="212"/>
        <v>167420087.47046441</v>
      </c>
      <c r="Q288" s="2"/>
      <c r="S288" s="2"/>
    </row>
    <row r="289" spans="1:19" x14ac:dyDescent="0.15">
      <c r="B289" s="340" t="s">
        <v>700</v>
      </c>
      <c r="C289" s="12" t="s">
        <v>303</v>
      </c>
      <c r="D289" s="67">
        <v>0</v>
      </c>
      <c r="E289" s="67">
        <f t="shared" ref="E289:N289" si="226">E174</f>
        <v>0</v>
      </c>
      <c r="F289" s="67">
        <f t="shared" si="226"/>
        <v>0</v>
      </c>
      <c r="G289" s="67">
        <f t="shared" si="226"/>
        <v>0</v>
      </c>
      <c r="H289" s="67">
        <f t="shared" si="226"/>
        <v>0</v>
      </c>
      <c r="I289" s="67">
        <f t="shared" si="226"/>
        <v>0</v>
      </c>
      <c r="J289" s="67">
        <f t="shared" si="226"/>
        <v>0</v>
      </c>
      <c r="K289" s="67">
        <f t="shared" si="226"/>
        <v>0</v>
      </c>
      <c r="L289" s="67">
        <f t="shared" si="226"/>
        <v>0</v>
      </c>
      <c r="M289" s="67">
        <f t="shared" si="226"/>
        <v>0</v>
      </c>
      <c r="N289" s="67">
        <f t="shared" si="226"/>
        <v>0</v>
      </c>
      <c r="O289" s="67">
        <v>0</v>
      </c>
      <c r="P289" s="326">
        <f t="shared" si="212"/>
        <v>0</v>
      </c>
      <c r="Q289" s="2"/>
      <c r="S289" s="2"/>
    </row>
    <row r="290" spans="1:19" x14ac:dyDescent="0.15">
      <c r="B290" s="340">
        <v>14</v>
      </c>
      <c r="C290" s="12" t="s">
        <v>304</v>
      </c>
      <c r="D290" s="67">
        <f t="shared" ref="D290:N296" si="227">D175</f>
        <v>-32550000</v>
      </c>
      <c r="E290" s="67">
        <f t="shared" si="227"/>
        <v>0</v>
      </c>
      <c r="F290" s="67">
        <f t="shared" si="227"/>
        <v>0</v>
      </c>
      <c r="G290" s="67">
        <f t="shared" si="227"/>
        <v>0</v>
      </c>
      <c r="H290" s="67">
        <f t="shared" si="227"/>
        <v>0</v>
      </c>
      <c r="I290" s="67">
        <f t="shared" si="227"/>
        <v>14347035</v>
      </c>
      <c r="J290" s="67">
        <f t="shared" si="227"/>
        <v>0</v>
      </c>
      <c r="K290" s="67">
        <f t="shared" si="227"/>
        <v>0</v>
      </c>
      <c r="L290" s="67">
        <f t="shared" si="227"/>
        <v>0</v>
      </c>
      <c r="M290" s="67">
        <f t="shared" si="227"/>
        <v>0</v>
      </c>
      <c r="N290" s="67">
        <f t="shared" si="227"/>
        <v>0</v>
      </c>
      <c r="O290" s="67">
        <v>0</v>
      </c>
      <c r="P290" s="326">
        <f t="shared" si="212"/>
        <v>14347035</v>
      </c>
      <c r="Q290" s="2"/>
      <c r="S290" s="2"/>
    </row>
    <row r="291" spans="1:19" x14ac:dyDescent="0.15">
      <c r="B291" s="340" t="s">
        <v>701</v>
      </c>
      <c r="C291" s="12" t="s">
        <v>207</v>
      </c>
      <c r="D291" s="67">
        <f t="shared" si="227"/>
        <v>-31050000</v>
      </c>
      <c r="E291" s="67">
        <f t="shared" si="227"/>
        <v>0</v>
      </c>
      <c r="F291" s="67">
        <f t="shared" si="227"/>
        <v>0</v>
      </c>
      <c r="G291" s="67">
        <f t="shared" si="227"/>
        <v>0</v>
      </c>
      <c r="H291" s="67">
        <f t="shared" si="227"/>
        <v>0</v>
      </c>
      <c r="I291" s="67">
        <f t="shared" si="227"/>
        <v>12847035</v>
      </c>
      <c r="J291" s="67">
        <f t="shared" si="227"/>
        <v>0</v>
      </c>
      <c r="K291" s="67">
        <f t="shared" si="227"/>
        <v>0</v>
      </c>
      <c r="L291" s="67">
        <f t="shared" si="227"/>
        <v>0</v>
      </c>
      <c r="M291" s="67">
        <f t="shared" si="227"/>
        <v>0</v>
      </c>
      <c r="N291" s="67">
        <f t="shared" si="227"/>
        <v>0</v>
      </c>
      <c r="O291" s="67">
        <v>0</v>
      </c>
      <c r="P291" s="326">
        <f t="shared" si="212"/>
        <v>12847035</v>
      </c>
      <c r="Q291" s="2"/>
      <c r="S291" s="2"/>
    </row>
    <row r="292" spans="1:19" x14ac:dyDescent="0.15">
      <c r="B292" s="340" t="s">
        <v>702</v>
      </c>
      <c r="C292" s="12" t="s">
        <v>307</v>
      </c>
      <c r="D292" s="67">
        <f t="shared" si="227"/>
        <v>-1500000</v>
      </c>
      <c r="E292" s="67">
        <f t="shared" si="227"/>
        <v>0</v>
      </c>
      <c r="F292" s="67">
        <f t="shared" si="227"/>
        <v>0</v>
      </c>
      <c r="G292" s="67">
        <f t="shared" si="227"/>
        <v>0</v>
      </c>
      <c r="H292" s="67">
        <f t="shared" si="227"/>
        <v>0</v>
      </c>
      <c r="I292" s="67">
        <f t="shared" si="227"/>
        <v>1500000</v>
      </c>
      <c r="J292" s="67">
        <f t="shared" si="227"/>
        <v>0</v>
      </c>
      <c r="K292" s="67">
        <f t="shared" si="227"/>
        <v>0</v>
      </c>
      <c r="L292" s="67">
        <f t="shared" si="227"/>
        <v>0</v>
      </c>
      <c r="M292" s="67">
        <f t="shared" si="227"/>
        <v>0</v>
      </c>
      <c r="N292" s="67">
        <f t="shared" si="227"/>
        <v>0</v>
      </c>
      <c r="O292" s="67">
        <v>0</v>
      </c>
      <c r="P292" s="326">
        <f t="shared" si="212"/>
        <v>1500000</v>
      </c>
      <c r="Q292" s="2"/>
      <c r="S292" s="2"/>
    </row>
    <row r="293" spans="1:19" x14ac:dyDescent="0.15">
      <c r="B293" s="340" t="s">
        <v>703</v>
      </c>
      <c r="C293" s="12" t="s">
        <v>309</v>
      </c>
      <c r="D293" s="67">
        <f t="shared" si="227"/>
        <v>0</v>
      </c>
      <c r="E293" s="67">
        <f t="shared" si="227"/>
        <v>0</v>
      </c>
      <c r="F293" s="67">
        <f t="shared" si="227"/>
        <v>0</v>
      </c>
      <c r="G293" s="67">
        <f t="shared" si="227"/>
        <v>0</v>
      </c>
      <c r="H293" s="67">
        <f t="shared" si="227"/>
        <v>0</v>
      </c>
      <c r="I293" s="67">
        <f t="shared" si="227"/>
        <v>0</v>
      </c>
      <c r="J293" s="67">
        <f t="shared" si="227"/>
        <v>0</v>
      </c>
      <c r="K293" s="67">
        <f t="shared" si="227"/>
        <v>0</v>
      </c>
      <c r="L293" s="67">
        <f t="shared" si="227"/>
        <v>0</v>
      </c>
      <c r="M293" s="67">
        <f t="shared" si="227"/>
        <v>0</v>
      </c>
      <c r="N293" s="67">
        <f t="shared" si="227"/>
        <v>0</v>
      </c>
      <c r="O293" s="67">
        <v>0</v>
      </c>
      <c r="P293" s="326">
        <f t="shared" si="212"/>
        <v>0</v>
      </c>
      <c r="Q293" s="2"/>
      <c r="S293" s="2"/>
    </row>
    <row r="294" spans="1:19" x14ac:dyDescent="0.15">
      <c r="B294" s="340" t="s">
        <v>704</v>
      </c>
      <c r="C294" s="12" t="s">
        <v>311</v>
      </c>
      <c r="D294" s="67">
        <f t="shared" si="227"/>
        <v>0</v>
      </c>
      <c r="E294" s="67">
        <f t="shared" si="227"/>
        <v>0</v>
      </c>
      <c r="F294" s="67">
        <f t="shared" si="227"/>
        <v>0</v>
      </c>
      <c r="G294" s="67">
        <f t="shared" si="227"/>
        <v>0</v>
      </c>
      <c r="H294" s="67">
        <f t="shared" si="227"/>
        <v>0</v>
      </c>
      <c r="I294" s="67">
        <f t="shared" si="227"/>
        <v>-2596968.7000000002</v>
      </c>
      <c r="J294" s="67">
        <f t="shared" si="227"/>
        <v>0</v>
      </c>
      <c r="K294" s="67">
        <f t="shared" si="227"/>
        <v>0</v>
      </c>
      <c r="L294" s="67">
        <f t="shared" si="227"/>
        <v>0</v>
      </c>
      <c r="M294" s="67">
        <f t="shared" si="227"/>
        <v>0</v>
      </c>
      <c r="N294" s="67">
        <f t="shared" si="227"/>
        <v>0</v>
      </c>
      <c r="O294" s="67">
        <v>0</v>
      </c>
      <c r="P294" s="326">
        <f t="shared" si="212"/>
        <v>-2596968.7000000002</v>
      </c>
      <c r="Q294" s="2"/>
      <c r="S294" s="2"/>
    </row>
    <row r="295" spans="1:19" ht="14" thickBot="1" x14ac:dyDescent="0.2">
      <c r="B295" s="340" t="s">
        <v>705</v>
      </c>
      <c r="C295" s="12" t="s">
        <v>115</v>
      </c>
      <c r="D295" s="67">
        <f t="shared" si="227"/>
        <v>-60000000</v>
      </c>
      <c r="E295" s="67">
        <f t="shared" si="227"/>
        <v>0</v>
      </c>
      <c r="F295" s="67">
        <f t="shared" si="227"/>
        <v>0</v>
      </c>
      <c r="G295" s="67">
        <f t="shared" si="227"/>
        <v>0</v>
      </c>
      <c r="H295" s="67">
        <f t="shared" si="227"/>
        <v>0</v>
      </c>
      <c r="I295" s="67">
        <f t="shared" si="227"/>
        <v>60000000</v>
      </c>
      <c r="J295" s="67">
        <f t="shared" si="227"/>
        <v>0</v>
      </c>
      <c r="K295" s="67">
        <f t="shared" si="227"/>
        <v>0</v>
      </c>
      <c r="L295" s="67">
        <f t="shared" si="227"/>
        <v>0</v>
      </c>
      <c r="M295" s="67">
        <f t="shared" si="227"/>
        <v>0</v>
      </c>
      <c r="N295" s="67">
        <f t="shared" si="227"/>
        <v>0</v>
      </c>
      <c r="O295" s="67">
        <v>0</v>
      </c>
      <c r="P295" s="326">
        <f t="shared" si="212"/>
        <v>60000000</v>
      </c>
      <c r="Q295" s="2"/>
      <c r="S295" s="2"/>
    </row>
    <row r="296" spans="1:19" x14ac:dyDescent="0.15">
      <c r="B296" s="340">
        <v>17</v>
      </c>
      <c r="C296" s="12" t="s">
        <v>313</v>
      </c>
      <c r="D296" s="67">
        <f t="shared" si="227"/>
        <v>-92550000</v>
      </c>
      <c r="E296" s="67">
        <f t="shared" si="227"/>
        <v>0</v>
      </c>
      <c r="F296" s="67">
        <f t="shared" si="227"/>
        <v>0</v>
      </c>
      <c r="G296" s="67">
        <f t="shared" si="227"/>
        <v>0</v>
      </c>
      <c r="H296" s="67">
        <f t="shared" si="227"/>
        <v>0</v>
      </c>
      <c r="I296" s="67">
        <f t="shared" si="227"/>
        <v>71750066.299999997</v>
      </c>
      <c r="J296" s="67">
        <f t="shared" si="227"/>
        <v>0</v>
      </c>
      <c r="K296" s="67">
        <f t="shared" si="227"/>
        <v>0</v>
      </c>
      <c r="L296" s="67">
        <f t="shared" si="227"/>
        <v>0</v>
      </c>
      <c r="M296" s="67">
        <f t="shared" si="227"/>
        <v>0</v>
      </c>
      <c r="N296" s="67">
        <f t="shared" si="227"/>
        <v>0</v>
      </c>
      <c r="O296" s="67">
        <v>0</v>
      </c>
      <c r="P296" s="326">
        <f t="shared" si="212"/>
        <v>71750066.299999997</v>
      </c>
      <c r="Q296" s="461"/>
      <c r="R296" s="357" t="s">
        <v>693</v>
      </c>
      <c r="S296" s="2"/>
    </row>
    <row r="297" spans="1:19" ht="14" thickBot="1" x14ac:dyDescent="0.2">
      <c r="A297" s="1" t="s">
        <v>712</v>
      </c>
      <c r="B297" s="355">
        <v>18</v>
      </c>
      <c r="C297" s="335" t="s">
        <v>314</v>
      </c>
      <c r="D297" s="331">
        <f>D296+D288</f>
        <v>-92550000</v>
      </c>
      <c r="E297" s="331">
        <f t="shared" ref="E297:N297" si="228">E296+E288</f>
        <v>50012750</v>
      </c>
      <c r="F297" s="331">
        <f t="shared" si="228"/>
        <v>44202792.500000022</v>
      </c>
      <c r="G297" s="331">
        <f t="shared" si="228"/>
        <v>35442192.08412499</v>
      </c>
      <c r="H297" s="331">
        <f t="shared" si="228"/>
        <v>25111356.707490433</v>
      </c>
      <c r="I297" s="331">
        <f t="shared" si="228"/>
        <v>84401062.478848949</v>
      </c>
      <c r="J297" s="331">
        <f t="shared" si="228"/>
        <v>0</v>
      </c>
      <c r="K297" s="331">
        <f t="shared" si="228"/>
        <v>0</v>
      </c>
      <c r="L297" s="331">
        <f t="shared" si="228"/>
        <v>0</v>
      </c>
      <c r="M297" s="331">
        <f t="shared" si="228"/>
        <v>0</v>
      </c>
      <c r="N297" s="331">
        <f t="shared" si="228"/>
        <v>0</v>
      </c>
      <c r="O297" s="331">
        <v>0</v>
      </c>
      <c r="P297" s="356">
        <f t="shared" si="212"/>
        <v>239170153.77046442</v>
      </c>
      <c r="Q297" s="463"/>
      <c r="R297" s="358">
        <f>IF(ISNUMBER(IRR(D297:N297)),IRR(D297:N297),"NMF")</f>
        <v>0.40549033935008683</v>
      </c>
      <c r="S297" s="1" t="s">
        <v>712</v>
      </c>
    </row>
    <row r="298" spans="1:19" x14ac:dyDescent="0.15">
      <c r="S298" s="2"/>
    </row>
    <row r="299" spans="1:19" ht="14" thickBot="1" x14ac:dyDescent="0.2">
      <c r="S299" s="2"/>
    </row>
    <row r="300" spans="1:19" ht="14" thickBot="1" x14ac:dyDescent="0.2">
      <c r="B300" s="359" t="s">
        <v>282</v>
      </c>
      <c r="C300" s="360" t="s">
        <v>283</v>
      </c>
      <c r="D300" s="360"/>
      <c r="E300" s="360">
        <v>1</v>
      </c>
      <c r="F300" s="360">
        <v>2</v>
      </c>
      <c r="G300" s="360">
        <v>3</v>
      </c>
      <c r="H300" s="360">
        <v>4</v>
      </c>
      <c r="I300" s="360">
        <v>5</v>
      </c>
      <c r="J300" s="360">
        <v>6</v>
      </c>
      <c r="K300" s="360">
        <v>7</v>
      </c>
      <c r="L300" s="360">
        <v>8</v>
      </c>
      <c r="M300" s="360">
        <v>9</v>
      </c>
      <c r="N300" s="360">
        <v>10</v>
      </c>
      <c r="O300" s="360" t="s">
        <v>284</v>
      </c>
      <c r="P300" s="361" t="s">
        <v>285</v>
      </c>
    </row>
    <row r="301" spans="1:19" x14ac:dyDescent="0.15">
      <c r="B301" s="339" t="s">
        <v>687</v>
      </c>
      <c r="C301" s="302" t="s">
        <v>287</v>
      </c>
      <c r="D301" s="322">
        <f t="shared" ref="D301:D316" si="229">D158</f>
        <v>0</v>
      </c>
      <c r="E301" s="322">
        <f t="shared" ref="E301:N301" si="230">E158</f>
        <v>300000000</v>
      </c>
      <c r="F301" s="322">
        <f t="shared" si="230"/>
        <v>313500000.00000006</v>
      </c>
      <c r="G301" s="322">
        <f t="shared" si="230"/>
        <v>327607500.00000006</v>
      </c>
      <c r="H301" s="322">
        <f t="shared" si="230"/>
        <v>342349837.50000012</v>
      </c>
      <c r="I301" s="322">
        <f t="shared" si="230"/>
        <v>357755580.18750012</v>
      </c>
      <c r="J301" s="322">
        <f t="shared" si="230"/>
        <v>0</v>
      </c>
      <c r="K301" s="322">
        <f t="shared" si="230"/>
        <v>0</v>
      </c>
      <c r="L301" s="322">
        <f t="shared" si="230"/>
        <v>0</v>
      </c>
      <c r="M301" s="322">
        <f t="shared" si="230"/>
        <v>0</v>
      </c>
      <c r="N301" s="322">
        <f t="shared" si="230"/>
        <v>0</v>
      </c>
      <c r="O301" s="322">
        <v>0</v>
      </c>
      <c r="P301" s="325">
        <f>SUM(E301:N301)</f>
        <v>1641212917.6875</v>
      </c>
      <c r="Q301" s="2"/>
    </row>
    <row r="302" spans="1:19" x14ac:dyDescent="0.15">
      <c r="A302" s="1" t="s">
        <v>714</v>
      </c>
      <c r="B302" s="340" t="s">
        <v>689</v>
      </c>
      <c r="C302" s="354" t="s">
        <v>689</v>
      </c>
      <c r="D302" s="67">
        <f t="shared" si="229"/>
        <v>0</v>
      </c>
      <c r="E302" s="67">
        <f>E159</f>
        <v>300000000</v>
      </c>
      <c r="F302" s="67">
        <f t="shared" ref="F302:N302" si="231">F159</f>
        <v>313500000.00000006</v>
      </c>
      <c r="G302" s="67">
        <f t="shared" si="231"/>
        <v>327607500.00000006</v>
      </c>
      <c r="H302" s="67">
        <f t="shared" si="231"/>
        <v>342349837.50000012</v>
      </c>
      <c r="I302" s="67">
        <f t="shared" si="231"/>
        <v>357755580.18750012</v>
      </c>
      <c r="J302" s="67">
        <f t="shared" si="231"/>
        <v>0</v>
      </c>
      <c r="K302" s="67">
        <f t="shared" si="231"/>
        <v>0</v>
      </c>
      <c r="L302" s="67">
        <f t="shared" si="231"/>
        <v>0</v>
      </c>
      <c r="M302" s="67">
        <f t="shared" si="231"/>
        <v>0</v>
      </c>
      <c r="N302" s="67">
        <f t="shared" si="231"/>
        <v>0</v>
      </c>
      <c r="O302" s="67"/>
      <c r="P302" s="326">
        <f t="shared" ref="P302:P325" si="232">SUM(E302:N302)</f>
        <v>1641212917.6875</v>
      </c>
      <c r="Q302" s="2"/>
    </row>
    <row r="303" spans="1:19" x14ac:dyDescent="0.15">
      <c r="B303" s="355" t="s">
        <v>690</v>
      </c>
      <c r="C303" s="362" t="s">
        <v>690</v>
      </c>
      <c r="D303" s="331">
        <f t="shared" si="229"/>
        <v>0</v>
      </c>
      <c r="E303" s="331">
        <f>E160*1.25</f>
        <v>0</v>
      </c>
      <c r="F303" s="331">
        <f t="shared" ref="F303:N303" si="233">F160*1.25</f>
        <v>0</v>
      </c>
      <c r="G303" s="331">
        <f t="shared" si="233"/>
        <v>0</v>
      </c>
      <c r="H303" s="331">
        <f t="shared" si="233"/>
        <v>0</v>
      </c>
      <c r="I303" s="331">
        <f t="shared" si="233"/>
        <v>0</v>
      </c>
      <c r="J303" s="331">
        <f t="shared" si="233"/>
        <v>0</v>
      </c>
      <c r="K303" s="331">
        <f t="shared" si="233"/>
        <v>0</v>
      </c>
      <c r="L303" s="331">
        <f t="shared" si="233"/>
        <v>0</v>
      </c>
      <c r="M303" s="331">
        <f t="shared" si="233"/>
        <v>0</v>
      </c>
      <c r="N303" s="331">
        <f t="shared" si="233"/>
        <v>0</v>
      </c>
      <c r="O303" s="363"/>
      <c r="P303" s="356">
        <f t="shared" si="232"/>
        <v>0</v>
      </c>
      <c r="Q303" s="460"/>
    </row>
    <row r="304" spans="1:19" x14ac:dyDescent="0.15">
      <c r="B304" s="340" t="s">
        <v>691</v>
      </c>
      <c r="C304" s="354" t="s">
        <v>691</v>
      </c>
      <c r="D304" s="67">
        <f t="shared" si="229"/>
        <v>0</v>
      </c>
      <c r="E304" s="67">
        <f>E161</f>
        <v>0</v>
      </c>
      <c r="F304" s="67">
        <f t="shared" ref="F304:N304" si="234">F161</f>
        <v>0</v>
      </c>
      <c r="G304" s="67">
        <f t="shared" si="234"/>
        <v>0</v>
      </c>
      <c r="H304" s="67">
        <f t="shared" si="234"/>
        <v>0</v>
      </c>
      <c r="I304" s="67">
        <f t="shared" si="234"/>
        <v>0</v>
      </c>
      <c r="J304" s="67">
        <f t="shared" si="234"/>
        <v>0</v>
      </c>
      <c r="K304" s="67">
        <f t="shared" si="234"/>
        <v>0</v>
      </c>
      <c r="L304" s="67">
        <f t="shared" si="234"/>
        <v>0</v>
      </c>
      <c r="M304" s="67">
        <f t="shared" si="234"/>
        <v>0</v>
      </c>
      <c r="N304" s="67">
        <f t="shared" si="234"/>
        <v>0</v>
      </c>
      <c r="O304" s="67"/>
      <c r="P304" s="326">
        <f t="shared" si="232"/>
        <v>0</v>
      </c>
      <c r="Q304" s="2"/>
    </row>
    <row r="305" spans="2:17" x14ac:dyDescent="0.15">
      <c r="B305" s="340" t="s">
        <v>695</v>
      </c>
      <c r="C305" s="12"/>
      <c r="D305" s="67">
        <f t="shared" si="229"/>
        <v>0</v>
      </c>
      <c r="E305" s="67">
        <f>E304+E303+E302</f>
        <v>300000000</v>
      </c>
      <c r="F305" s="67">
        <f t="shared" ref="F305:N305" si="235">F304+F303+F302</f>
        <v>313500000.00000006</v>
      </c>
      <c r="G305" s="67">
        <f t="shared" si="235"/>
        <v>327607500.00000006</v>
      </c>
      <c r="H305" s="67">
        <f t="shared" si="235"/>
        <v>342349837.50000012</v>
      </c>
      <c r="I305" s="67">
        <f t="shared" si="235"/>
        <v>357755580.18750012</v>
      </c>
      <c r="J305" s="67">
        <f t="shared" si="235"/>
        <v>0</v>
      </c>
      <c r="K305" s="67">
        <f t="shared" si="235"/>
        <v>0</v>
      </c>
      <c r="L305" s="67">
        <f t="shared" si="235"/>
        <v>0</v>
      </c>
      <c r="M305" s="67">
        <f t="shared" si="235"/>
        <v>0</v>
      </c>
      <c r="N305" s="67">
        <f t="shared" si="235"/>
        <v>0</v>
      </c>
      <c r="O305" s="67"/>
      <c r="P305" s="326">
        <f t="shared" si="232"/>
        <v>1641212917.6875</v>
      </c>
      <c r="Q305" s="2"/>
    </row>
    <row r="306" spans="2:17" x14ac:dyDescent="0.15">
      <c r="B306" s="340" t="s">
        <v>696</v>
      </c>
      <c r="C306" s="12" t="s">
        <v>289</v>
      </c>
      <c r="D306" s="67">
        <f t="shared" si="229"/>
        <v>0</v>
      </c>
      <c r="E306" s="67">
        <f>Expenses!D18+(Expenses!D25*1.25)+Expenses!D32+Expenses!D39+(Expenses!D44*1.25)+Expenses!D49+Expenses!D56+Expenses!D95-Expenses!D77</f>
        <v>230170000</v>
      </c>
      <c r="F306" s="67">
        <f>Expenses!E18+(Expenses!E25*1.25)+Expenses!E32+Expenses!E39+(Expenses!E44*1.25)+Expenses!E49+Expenses!E56+Expenses!E95-Expenses!E77</f>
        <v>253018375.00000003</v>
      </c>
      <c r="G306" s="67">
        <f>Expenses!F18+(Expenses!F25*1.25)+Expenses!F32+Expenses!F39+(Expenses!F44*1.25)+Expenses!F49+Expenses!F56+Expenses!F95-Expenses!F77</f>
        <v>278725718.45125008</v>
      </c>
      <c r="H306" s="67">
        <f>Expenses!G18+(Expenses!G25*1.25)+Expenses!G32+Expenses!G39+(Expenses!G44*1.25)+Expenses!G49+Expenses!G56+Expenses!G95-Expenses!G77</f>
        <v>307665975.06072807</v>
      </c>
      <c r="I306" s="67">
        <f>Expenses!H18+(Expenses!H25*1.25)+Expenses!H32+Expenses!H39+(Expenses!H44*1.25)+Expenses!H49+Expenses!H56+Expenses!H95-Expenses!H77</f>
        <v>340262566.36057305</v>
      </c>
      <c r="J306" s="67">
        <f>Expenses!I18+(Expenses!I25*1.25)+Expenses!I32+Expenses!I39+(Expenses!I44*1.25)+Expenses!I49+Expenses!I56+Expenses!I95-Expenses!I77</f>
        <v>0</v>
      </c>
      <c r="K306" s="67">
        <f>Expenses!J18+(Expenses!J25*1.25)+Expenses!J32+Expenses!J39+(Expenses!J44*1.25)+Expenses!J49+Expenses!J56+Expenses!J95-Expenses!J77</f>
        <v>0</v>
      </c>
      <c r="L306" s="67">
        <f>Expenses!K18+(Expenses!K25*1.25)+Expenses!K32+Expenses!K39+(Expenses!K44*1.25)+Expenses!K49+Expenses!K56+Expenses!K95-Expenses!K77</f>
        <v>0</v>
      </c>
      <c r="M306" s="67">
        <f>Expenses!L18+(Expenses!L25*1.25)+Expenses!L32+Expenses!L39+(Expenses!L44*1.25)+Expenses!L49+Expenses!L56+Expenses!L95-Expenses!L77</f>
        <v>0</v>
      </c>
      <c r="N306" s="67">
        <f>Expenses!M18+(Expenses!M25*1.25)+Expenses!M32+Expenses!M39+(Expenses!M44*1.25)+Expenses!M49+Expenses!M56+Expenses!M95-Expenses!M77</f>
        <v>0</v>
      </c>
      <c r="O306" s="67">
        <v>0</v>
      </c>
      <c r="P306" s="326">
        <f t="shared" si="232"/>
        <v>1409842634.8725512</v>
      </c>
      <c r="Q306" s="2"/>
    </row>
    <row r="307" spans="2:17" x14ac:dyDescent="0.15">
      <c r="B307" s="340">
        <v>3</v>
      </c>
      <c r="C307" s="12" t="s">
        <v>290</v>
      </c>
      <c r="D307" s="67">
        <f t="shared" si="229"/>
        <v>0</v>
      </c>
      <c r="E307" s="67">
        <f>E305-E306</f>
        <v>69830000</v>
      </c>
      <c r="F307" s="67">
        <f t="shared" ref="F307:N307" si="236">F305-F306</f>
        <v>60481625.00000003</v>
      </c>
      <c r="G307" s="67">
        <f t="shared" si="236"/>
        <v>48881781.548749983</v>
      </c>
      <c r="H307" s="67">
        <f t="shared" si="236"/>
        <v>34683862.439272046</v>
      </c>
      <c r="I307" s="67">
        <f t="shared" si="236"/>
        <v>17493013.826927066</v>
      </c>
      <c r="J307" s="67">
        <f t="shared" si="236"/>
        <v>0</v>
      </c>
      <c r="K307" s="67">
        <f t="shared" si="236"/>
        <v>0</v>
      </c>
      <c r="L307" s="67">
        <f t="shared" si="236"/>
        <v>0</v>
      </c>
      <c r="M307" s="67">
        <f t="shared" si="236"/>
        <v>0</v>
      </c>
      <c r="N307" s="67">
        <f t="shared" si="236"/>
        <v>0</v>
      </c>
      <c r="O307" s="67">
        <v>0</v>
      </c>
      <c r="P307" s="326">
        <f t="shared" si="232"/>
        <v>231370282.81494913</v>
      </c>
      <c r="Q307" s="2"/>
    </row>
    <row r="308" spans="2:17" x14ac:dyDescent="0.15">
      <c r="B308" s="340" t="s">
        <v>697</v>
      </c>
      <c r="C308" s="12" t="s">
        <v>292</v>
      </c>
      <c r="D308" s="67">
        <f t="shared" si="229"/>
        <v>0</v>
      </c>
      <c r="E308" s="67">
        <f>E165</f>
        <v>3772500</v>
      </c>
      <c r="F308" s="67">
        <f t="shared" ref="F308:N308" si="237">F165</f>
        <v>6218850</v>
      </c>
      <c r="G308" s="67">
        <f t="shared" si="237"/>
        <v>4083150</v>
      </c>
      <c r="H308" s="67">
        <f t="shared" si="237"/>
        <v>2775510</v>
      </c>
      <c r="I308" s="67">
        <f t="shared" si="237"/>
        <v>1352955</v>
      </c>
      <c r="J308" s="67">
        <f t="shared" si="237"/>
        <v>0</v>
      </c>
      <c r="K308" s="67">
        <f t="shared" si="237"/>
        <v>0</v>
      </c>
      <c r="L308" s="67">
        <f t="shared" si="237"/>
        <v>0</v>
      </c>
      <c r="M308" s="67">
        <f t="shared" si="237"/>
        <v>0</v>
      </c>
      <c r="N308" s="67">
        <f t="shared" si="237"/>
        <v>0</v>
      </c>
      <c r="O308" s="67">
        <v>0</v>
      </c>
      <c r="P308" s="326">
        <f t="shared" si="232"/>
        <v>18202965</v>
      </c>
      <c r="Q308" s="2"/>
    </row>
    <row r="309" spans="2:17" x14ac:dyDescent="0.15">
      <c r="B309" s="340">
        <v>5</v>
      </c>
      <c r="C309" s="12" t="s">
        <v>293</v>
      </c>
      <c r="D309" s="67">
        <f t="shared" si="229"/>
        <v>0</v>
      </c>
      <c r="E309" s="67">
        <f>E307-E308</f>
        <v>66057500</v>
      </c>
      <c r="F309" s="67">
        <f t="shared" ref="F309:N309" si="238">F307-F308</f>
        <v>54262775.00000003</v>
      </c>
      <c r="G309" s="67">
        <f t="shared" si="238"/>
        <v>44798631.548749983</v>
      </c>
      <c r="H309" s="67">
        <f t="shared" si="238"/>
        <v>31908352.439272046</v>
      </c>
      <c r="I309" s="67">
        <f t="shared" si="238"/>
        <v>16140058.826927066</v>
      </c>
      <c r="J309" s="67">
        <f t="shared" si="238"/>
        <v>0</v>
      </c>
      <c r="K309" s="67">
        <f t="shared" si="238"/>
        <v>0</v>
      </c>
      <c r="L309" s="67">
        <f t="shared" si="238"/>
        <v>0</v>
      </c>
      <c r="M309" s="67">
        <f t="shared" si="238"/>
        <v>0</v>
      </c>
      <c r="N309" s="67">
        <f t="shared" si="238"/>
        <v>0</v>
      </c>
      <c r="O309" s="67">
        <v>0</v>
      </c>
      <c r="P309" s="326">
        <f t="shared" si="232"/>
        <v>213167317.81494913</v>
      </c>
      <c r="Q309" s="2"/>
    </row>
    <row r="310" spans="2:17" x14ac:dyDescent="0.15">
      <c r="B310" s="340" t="s">
        <v>698</v>
      </c>
      <c r="C310" s="12" t="s">
        <v>295</v>
      </c>
      <c r="D310" s="67">
        <f t="shared" si="229"/>
        <v>0</v>
      </c>
      <c r="E310" s="67">
        <f>E167</f>
        <v>0</v>
      </c>
      <c r="F310" s="67">
        <f t="shared" ref="F310:N310" si="239">F167</f>
        <v>0</v>
      </c>
      <c r="G310" s="67">
        <f t="shared" si="239"/>
        <v>0</v>
      </c>
      <c r="H310" s="67">
        <f t="shared" si="239"/>
        <v>0</v>
      </c>
      <c r="I310" s="67">
        <f t="shared" si="239"/>
        <v>0</v>
      </c>
      <c r="J310" s="67">
        <f t="shared" si="239"/>
        <v>0</v>
      </c>
      <c r="K310" s="67">
        <f t="shared" si="239"/>
        <v>0</v>
      </c>
      <c r="L310" s="67">
        <f t="shared" si="239"/>
        <v>0</v>
      </c>
      <c r="M310" s="67">
        <f t="shared" si="239"/>
        <v>0</v>
      </c>
      <c r="N310" s="67">
        <f t="shared" si="239"/>
        <v>0</v>
      </c>
      <c r="O310" s="67">
        <v>0</v>
      </c>
      <c r="P310" s="326">
        <f t="shared" si="232"/>
        <v>0</v>
      </c>
      <c r="Q310" s="2"/>
    </row>
    <row r="311" spans="2:17" x14ac:dyDescent="0.15">
      <c r="B311" s="340">
        <v>7</v>
      </c>
      <c r="C311" s="12" t="s">
        <v>296</v>
      </c>
      <c r="D311" s="67">
        <f t="shared" si="229"/>
        <v>0</v>
      </c>
      <c r="E311" s="67">
        <f>E309-E310</f>
        <v>66057500</v>
      </c>
      <c r="F311" s="67">
        <f t="shared" ref="F311:N311" si="240">F309-F310</f>
        <v>54262775.00000003</v>
      </c>
      <c r="G311" s="67">
        <f t="shared" si="240"/>
        <v>44798631.548749983</v>
      </c>
      <c r="H311" s="67">
        <f t="shared" si="240"/>
        <v>31908352.439272046</v>
      </c>
      <c r="I311" s="67">
        <f t="shared" si="240"/>
        <v>16140058.826927066</v>
      </c>
      <c r="J311" s="67">
        <f t="shared" si="240"/>
        <v>0</v>
      </c>
      <c r="K311" s="67">
        <f t="shared" si="240"/>
        <v>0</v>
      </c>
      <c r="L311" s="67">
        <f t="shared" si="240"/>
        <v>0</v>
      </c>
      <c r="M311" s="67">
        <f t="shared" si="240"/>
        <v>0</v>
      </c>
      <c r="N311" s="67">
        <f t="shared" si="240"/>
        <v>0</v>
      </c>
      <c r="O311" s="67">
        <v>0</v>
      </c>
      <c r="P311" s="326">
        <f t="shared" si="232"/>
        <v>213167317.81494913</v>
      </c>
      <c r="Q311" s="2"/>
    </row>
    <row r="312" spans="2:17" x14ac:dyDescent="0.15">
      <c r="B312" s="340">
        <v>8</v>
      </c>
      <c r="C312" s="12" t="s">
        <v>297</v>
      </c>
      <c r="D312" s="67">
        <f t="shared" si="229"/>
        <v>0</v>
      </c>
      <c r="E312" s="67">
        <f>-E311*$D$3</f>
        <v>-19817250</v>
      </c>
      <c r="F312" s="67">
        <f t="shared" ref="F312:N312" si="241">-F311*$D$3</f>
        <v>-16278832.500000007</v>
      </c>
      <c r="G312" s="67">
        <f t="shared" si="241"/>
        <v>-13439589.464624995</v>
      </c>
      <c r="H312" s="67">
        <f t="shared" si="241"/>
        <v>-9572505.7317816131</v>
      </c>
      <c r="I312" s="67">
        <f t="shared" si="241"/>
        <v>-4842017.6480781194</v>
      </c>
      <c r="J312" s="67">
        <f t="shared" si="241"/>
        <v>0</v>
      </c>
      <c r="K312" s="67">
        <f t="shared" si="241"/>
        <v>0</v>
      </c>
      <c r="L312" s="67">
        <f t="shared" si="241"/>
        <v>0</v>
      </c>
      <c r="M312" s="67">
        <f t="shared" si="241"/>
        <v>0</v>
      </c>
      <c r="N312" s="67">
        <f t="shared" si="241"/>
        <v>0</v>
      </c>
      <c r="O312" s="67">
        <v>0</v>
      </c>
      <c r="P312" s="326">
        <f t="shared" si="232"/>
        <v>-63950195.344484739</v>
      </c>
      <c r="Q312" s="2"/>
    </row>
    <row r="313" spans="2:17" x14ac:dyDescent="0.15">
      <c r="B313" s="340">
        <v>9</v>
      </c>
      <c r="C313" s="12" t="s">
        <v>298</v>
      </c>
      <c r="D313" s="67">
        <f t="shared" si="229"/>
        <v>0</v>
      </c>
      <c r="E313" s="67">
        <f>E170</f>
        <v>0</v>
      </c>
      <c r="F313" s="67">
        <f t="shared" ref="F313:N313" si="242">F170</f>
        <v>0</v>
      </c>
      <c r="G313" s="67">
        <f t="shared" si="242"/>
        <v>0</v>
      </c>
      <c r="H313" s="67">
        <f t="shared" si="242"/>
        <v>0</v>
      </c>
      <c r="I313" s="67">
        <f t="shared" si="242"/>
        <v>0</v>
      </c>
      <c r="J313" s="67">
        <f t="shared" si="242"/>
        <v>0</v>
      </c>
      <c r="K313" s="67">
        <f t="shared" si="242"/>
        <v>0</v>
      </c>
      <c r="L313" s="67">
        <f t="shared" si="242"/>
        <v>0</v>
      </c>
      <c r="M313" s="67">
        <f t="shared" si="242"/>
        <v>0</v>
      </c>
      <c r="N313" s="67">
        <f t="shared" si="242"/>
        <v>0</v>
      </c>
      <c r="O313" s="67">
        <v>0</v>
      </c>
      <c r="P313" s="326">
        <f t="shared" si="232"/>
        <v>0</v>
      </c>
      <c r="Q313" s="2"/>
    </row>
    <row r="314" spans="2:17" x14ac:dyDescent="0.15">
      <c r="B314" s="340">
        <v>10</v>
      </c>
      <c r="C314" s="12" t="s">
        <v>299</v>
      </c>
      <c r="D314" s="67">
        <f t="shared" si="229"/>
        <v>0</v>
      </c>
      <c r="E314" s="67">
        <f>E311+E312+E313</f>
        <v>46240250</v>
      </c>
      <c r="F314" s="67">
        <f t="shared" ref="F314:N314" si="243">F311+F312+F313</f>
        <v>37983942.500000022</v>
      </c>
      <c r="G314" s="67">
        <f t="shared" si="243"/>
        <v>31359042.08412499</v>
      </c>
      <c r="H314" s="67">
        <f t="shared" si="243"/>
        <v>22335846.707490433</v>
      </c>
      <c r="I314" s="67">
        <f t="shared" si="243"/>
        <v>11298041.178848946</v>
      </c>
      <c r="J314" s="67">
        <f t="shared" si="243"/>
        <v>0</v>
      </c>
      <c r="K314" s="67">
        <f t="shared" si="243"/>
        <v>0</v>
      </c>
      <c r="L314" s="67">
        <f t="shared" si="243"/>
        <v>0</v>
      </c>
      <c r="M314" s="67">
        <f t="shared" si="243"/>
        <v>0</v>
      </c>
      <c r="N314" s="67">
        <f t="shared" si="243"/>
        <v>0</v>
      </c>
      <c r="O314" s="67">
        <v>0</v>
      </c>
      <c r="P314" s="326">
        <f t="shared" si="232"/>
        <v>149217122.47046441</v>
      </c>
      <c r="Q314" s="2"/>
    </row>
    <row r="315" spans="2:17" x14ac:dyDescent="0.15">
      <c r="B315" s="340" t="s">
        <v>699</v>
      </c>
      <c r="C315" s="12" t="s">
        <v>292</v>
      </c>
      <c r="D315" s="67">
        <f t="shared" si="229"/>
        <v>0</v>
      </c>
      <c r="E315" s="67">
        <f>E172</f>
        <v>3772500</v>
      </c>
      <c r="F315" s="67">
        <f t="shared" ref="F315:N315" si="244">F172</f>
        <v>6218850</v>
      </c>
      <c r="G315" s="67">
        <f t="shared" si="244"/>
        <v>4083150</v>
      </c>
      <c r="H315" s="67">
        <f t="shared" si="244"/>
        <v>2775510</v>
      </c>
      <c r="I315" s="67">
        <f t="shared" si="244"/>
        <v>1352955</v>
      </c>
      <c r="J315" s="67">
        <f t="shared" si="244"/>
        <v>0</v>
      </c>
      <c r="K315" s="67">
        <f t="shared" si="244"/>
        <v>0</v>
      </c>
      <c r="L315" s="67">
        <f t="shared" si="244"/>
        <v>0</v>
      </c>
      <c r="M315" s="67">
        <f t="shared" si="244"/>
        <v>0</v>
      </c>
      <c r="N315" s="67">
        <f t="shared" si="244"/>
        <v>0</v>
      </c>
      <c r="O315" s="67">
        <v>0</v>
      </c>
      <c r="P315" s="326">
        <f t="shared" si="232"/>
        <v>18202965</v>
      </c>
      <c r="Q315" s="2"/>
    </row>
    <row r="316" spans="2:17" x14ac:dyDescent="0.15">
      <c r="B316" s="340">
        <v>12</v>
      </c>
      <c r="C316" s="12" t="s">
        <v>301</v>
      </c>
      <c r="D316" s="67">
        <f t="shared" si="229"/>
        <v>0</v>
      </c>
      <c r="E316" s="67">
        <f>E314+E315</f>
        <v>50012750</v>
      </c>
      <c r="F316" s="67">
        <f t="shared" ref="F316:N316" si="245">F314+F315</f>
        <v>44202792.500000022</v>
      </c>
      <c r="G316" s="67">
        <f t="shared" si="245"/>
        <v>35442192.08412499</v>
      </c>
      <c r="H316" s="67">
        <f t="shared" si="245"/>
        <v>25111356.707490433</v>
      </c>
      <c r="I316" s="67">
        <f t="shared" si="245"/>
        <v>12650996.178848946</v>
      </c>
      <c r="J316" s="67">
        <f t="shared" si="245"/>
        <v>0</v>
      </c>
      <c r="K316" s="67">
        <f t="shared" si="245"/>
        <v>0</v>
      </c>
      <c r="L316" s="67">
        <f t="shared" si="245"/>
        <v>0</v>
      </c>
      <c r="M316" s="67">
        <f t="shared" si="245"/>
        <v>0</v>
      </c>
      <c r="N316" s="67">
        <f t="shared" si="245"/>
        <v>0</v>
      </c>
      <c r="O316" s="67">
        <v>0</v>
      </c>
      <c r="P316" s="326">
        <f t="shared" si="232"/>
        <v>167420087.47046441</v>
      </c>
      <c r="Q316" s="2"/>
    </row>
    <row r="317" spans="2:17" x14ac:dyDescent="0.15">
      <c r="B317" s="340" t="s">
        <v>700</v>
      </c>
      <c r="C317" s="12" t="s">
        <v>303</v>
      </c>
      <c r="D317" s="67">
        <v>0</v>
      </c>
      <c r="E317" s="67">
        <f t="shared" ref="E317:N317" si="246">E174</f>
        <v>0</v>
      </c>
      <c r="F317" s="67">
        <f t="shared" si="246"/>
        <v>0</v>
      </c>
      <c r="G317" s="67">
        <f t="shared" si="246"/>
        <v>0</v>
      </c>
      <c r="H317" s="67">
        <f t="shared" si="246"/>
        <v>0</v>
      </c>
      <c r="I317" s="67">
        <f t="shared" si="246"/>
        <v>0</v>
      </c>
      <c r="J317" s="67">
        <f t="shared" si="246"/>
        <v>0</v>
      </c>
      <c r="K317" s="67">
        <f t="shared" si="246"/>
        <v>0</v>
      </c>
      <c r="L317" s="67">
        <f t="shared" si="246"/>
        <v>0</v>
      </c>
      <c r="M317" s="67">
        <f t="shared" si="246"/>
        <v>0</v>
      </c>
      <c r="N317" s="67">
        <f t="shared" si="246"/>
        <v>0</v>
      </c>
      <c r="O317" s="67">
        <v>0</v>
      </c>
      <c r="P317" s="326">
        <f t="shared" si="232"/>
        <v>0</v>
      </c>
      <c r="Q317" s="2"/>
    </row>
    <row r="318" spans="2:17" x14ac:dyDescent="0.15">
      <c r="B318" s="340">
        <v>14</v>
      </c>
      <c r="C318" s="12" t="s">
        <v>304</v>
      </c>
      <c r="D318" s="67">
        <f t="shared" ref="D318:N324" si="247">D175</f>
        <v>-32550000</v>
      </c>
      <c r="E318" s="67">
        <f t="shared" si="247"/>
        <v>0</v>
      </c>
      <c r="F318" s="67">
        <f t="shared" si="247"/>
        <v>0</v>
      </c>
      <c r="G318" s="67">
        <f t="shared" si="247"/>
        <v>0</v>
      </c>
      <c r="H318" s="67">
        <f t="shared" si="247"/>
        <v>0</v>
      </c>
      <c r="I318" s="67">
        <f t="shared" si="247"/>
        <v>14347035</v>
      </c>
      <c r="J318" s="67">
        <f t="shared" si="247"/>
        <v>0</v>
      </c>
      <c r="K318" s="67">
        <f t="shared" si="247"/>
        <v>0</v>
      </c>
      <c r="L318" s="67">
        <f t="shared" si="247"/>
        <v>0</v>
      </c>
      <c r="M318" s="67">
        <f t="shared" si="247"/>
        <v>0</v>
      </c>
      <c r="N318" s="67">
        <f t="shared" si="247"/>
        <v>0</v>
      </c>
      <c r="O318" s="67">
        <v>0</v>
      </c>
      <c r="P318" s="326">
        <f t="shared" si="232"/>
        <v>14347035</v>
      </c>
      <c r="Q318" s="2"/>
    </row>
    <row r="319" spans="2:17" x14ac:dyDescent="0.15">
      <c r="B319" s="340" t="s">
        <v>701</v>
      </c>
      <c r="C319" s="12" t="s">
        <v>207</v>
      </c>
      <c r="D319" s="67">
        <f t="shared" si="247"/>
        <v>-31050000</v>
      </c>
      <c r="E319" s="67">
        <f t="shared" si="247"/>
        <v>0</v>
      </c>
      <c r="F319" s="67">
        <f t="shared" si="247"/>
        <v>0</v>
      </c>
      <c r="G319" s="67">
        <f t="shared" si="247"/>
        <v>0</v>
      </c>
      <c r="H319" s="67">
        <f t="shared" si="247"/>
        <v>0</v>
      </c>
      <c r="I319" s="67">
        <f t="shared" si="247"/>
        <v>12847035</v>
      </c>
      <c r="J319" s="67">
        <f t="shared" si="247"/>
        <v>0</v>
      </c>
      <c r="K319" s="67">
        <f t="shared" si="247"/>
        <v>0</v>
      </c>
      <c r="L319" s="67">
        <f t="shared" si="247"/>
        <v>0</v>
      </c>
      <c r="M319" s="67">
        <f t="shared" si="247"/>
        <v>0</v>
      </c>
      <c r="N319" s="67">
        <f t="shared" si="247"/>
        <v>0</v>
      </c>
      <c r="O319" s="67">
        <v>0</v>
      </c>
      <c r="P319" s="326">
        <f t="shared" si="232"/>
        <v>12847035</v>
      </c>
      <c r="Q319" s="2"/>
    </row>
    <row r="320" spans="2:17" x14ac:dyDescent="0.15">
      <c r="B320" s="340" t="s">
        <v>702</v>
      </c>
      <c r="C320" s="12" t="s">
        <v>307</v>
      </c>
      <c r="D320" s="67">
        <f t="shared" si="247"/>
        <v>-1500000</v>
      </c>
      <c r="E320" s="67">
        <f t="shared" si="247"/>
        <v>0</v>
      </c>
      <c r="F320" s="67">
        <f t="shared" si="247"/>
        <v>0</v>
      </c>
      <c r="G320" s="67">
        <f t="shared" si="247"/>
        <v>0</v>
      </c>
      <c r="H320" s="67">
        <f t="shared" si="247"/>
        <v>0</v>
      </c>
      <c r="I320" s="67">
        <f t="shared" si="247"/>
        <v>1500000</v>
      </c>
      <c r="J320" s="67">
        <f t="shared" si="247"/>
        <v>0</v>
      </c>
      <c r="K320" s="67">
        <f t="shared" si="247"/>
        <v>0</v>
      </c>
      <c r="L320" s="67">
        <f t="shared" si="247"/>
        <v>0</v>
      </c>
      <c r="M320" s="67">
        <f t="shared" si="247"/>
        <v>0</v>
      </c>
      <c r="N320" s="67">
        <f t="shared" si="247"/>
        <v>0</v>
      </c>
      <c r="O320" s="67">
        <v>0</v>
      </c>
      <c r="P320" s="326">
        <f t="shared" si="232"/>
        <v>1500000</v>
      </c>
      <c r="Q320" s="2"/>
    </row>
    <row r="321" spans="1:19" x14ac:dyDescent="0.15">
      <c r="B321" s="340" t="s">
        <v>703</v>
      </c>
      <c r="C321" s="12" t="s">
        <v>309</v>
      </c>
      <c r="D321" s="67">
        <f t="shared" si="247"/>
        <v>0</v>
      </c>
      <c r="E321" s="67">
        <f t="shared" si="247"/>
        <v>0</v>
      </c>
      <c r="F321" s="67">
        <f t="shared" si="247"/>
        <v>0</v>
      </c>
      <c r="G321" s="67">
        <f t="shared" si="247"/>
        <v>0</v>
      </c>
      <c r="H321" s="67">
        <f t="shared" si="247"/>
        <v>0</v>
      </c>
      <c r="I321" s="67">
        <f t="shared" si="247"/>
        <v>0</v>
      </c>
      <c r="J321" s="67">
        <f t="shared" si="247"/>
        <v>0</v>
      </c>
      <c r="K321" s="67">
        <f t="shared" si="247"/>
        <v>0</v>
      </c>
      <c r="L321" s="67">
        <f t="shared" si="247"/>
        <v>0</v>
      </c>
      <c r="M321" s="67">
        <f t="shared" si="247"/>
        <v>0</v>
      </c>
      <c r="N321" s="67">
        <f t="shared" si="247"/>
        <v>0</v>
      </c>
      <c r="O321" s="67">
        <v>0</v>
      </c>
      <c r="P321" s="326">
        <f t="shared" si="232"/>
        <v>0</v>
      </c>
      <c r="Q321" s="2"/>
    </row>
    <row r="322" spans="1:19" x14ac:dyDescent="0.15">
      <c r="B322" s="340" t="s">
        <v>704</v>
      </c>
      <c r="C322" s="12" t="s">
        <v>311</v>
      </c>
      <c r="D322" s="67">
        <f t="shared" si="247"/>
        <v>0</v>
      </c>
      <c r="E322" s="67">
        <f t="shared" si="247"/>
        <v>0</v>
      </c>
      <c r="F322" s="67">
        <f t="shared" si="247"/>
        <v>0</v>
      </c>
      <c r="G322" s="67">
        <f t="shared" si="247"/>
        <v>0</v>
      </c>
      <c r="H322" s="67">
        <f t="shared" si="247"/>
        <v>0</v>
      </c>
      <c r="I322" s="67">
        <f t="shared" si="247"/>
        <v>-2596968.7000000002</v>
      </c>
      <c r="J322" s="67">
        <f t="shared" si="247"/>
        <v>0</v>
      </c>
      <c r="K322" s="67">
        <f t="shared" si="247"/>
        <v>0</v>
      </c>
      <c r="L322" s="67">
        <f t="shared" si="247"/>
        <v>0</v>
      </c>
      <c r="M322" s="67">
        <f t="shared" si="247"/>
        <v>0</v>
      </c>
      <c r="N322" s="67">
        <f t="shared" si="247"/>
        <v>0</v>
      </c>
      <c r="O322" s="67">
        <v>0</v>
      </c>
      <c r="P322" s="326">
        <f t="shared" si="232"/>
        <v>-2596968.7000000002</v>
      </c>
      <c r="Q322" s="2"/>
    </row>
    <row r="323" spans="1:19" ht="14" thickBot="1" x14ac:dyDescent="0.2">
      <c r="B323" s="340" t="s">
        <v>705</v>
      </c>
      <c r="C323" s="12" t="s">
        <v>115</v>
      </c>
      <c r="D323" s="67">
        <f t="shared" si="247"/>
        <v>-60000000</v>
      </c>
      <c r="E323" s="67">
        <f t="shared" si="247"/>
        <v>0</v>
      </c>
      <c r="F323" s="67">
        <f t="shared" si="247"/>
        <v>0</v>
      </c>
      <c r="G323" s="67">
        <f t="shared" si="247"/>
        <v>0</v>
      </c>
      <c r="H323" s="67">
        <f t="shared" si="247"/>
        <v>0</v>
      </c>
      <c r="I323" s="67">
        <f t="shared" si="247"/>
        <v>60000000</v>
      </c>
      <c r="J323" s="67">
        <f t="shared" si="247"/>
        <v>0</v>
      </c>
      <c r="K323" s="67">
        <f t="shared" si="247"/>
        <v>0</v>
      </c>
      <c r="L323" s="67">
        <f t="shared" si="247"/>
        <v>0</v>
      </c>
      <c r="M323" s="67">
        <f t="shared" si="247"/>
        <v>0</v>
      </c>
      <c r="N323" s="67">
        <f t="shared" si="247"/>
        <v>0</v>
      </c>
      <c r="O323" s="67">
        <v>0</v>
      </c>
      <c r="P323" s="326">
        <f t="shared" si="232"/>
        <v>60000000</v>
      </c>
      <c r="Q323" s="2"/>
    </row>
    <row r="324" spans="1:19" x14ac:dyDescent="0.15">
      <c r="B324" s="340">
        <v>17</v>
      </c>
      <c r="C324" s="12" t="s">
        <v>313</v>
      </c>
      <c r="D324" s="67">
        <f t="shared" si="247"/>
        <v>-92550000</v>
      </c>
      <c r="E324" s="67">
        <f t="shared" si="247"/>
        <v>0</v>
      </c>
      <c r="F324" s="67">
        <f t="shared" si="247"/>
        <v>0</v>
      </c>
      <c r="G324" s="67">
        <f t="shared" si="247"/>
        <v>0</v>
      </c>
      <c r="H324" s="67">
        <f t="shared" si="247"/>
        <v>0</v>
      </c>
      <c r="I324" s="67">
        <f t="shared" si="247"/>
        <v>71750066.299999997</v>
      </c>
      <c r="J324" s="67">
        <f t="shared" si="247"/>
        <v>0</v>
      </c>
      <c r="K324" s="67">
        <f t="shared" si="247"/>
        <v>0</v>
      </c>
      <c r="L324" s="67">
        <f t="shared" si="247"/>
        <v>0</v>
      </c>
      <c r="M324" s="67">
        <f t="shared" si="247"/>
        <v>0</v>
      </c>
      <c r="N324" s="67">
        <f t="shared" si="247"/>
        <v>0</v>
      </c>
      <c r="O324" s="67">
        <v>0</v>
      </c>
      <c r="P324" s="326">
        <f t="shared" si="232"/>
        <v>71750066.299999997</v>
      </c>
      <c r="Q324" s="461"/>
      <c r="R324" s="357" t="s">
        <v>693</v>
      </c>
    </row>
    <row r="325" spans="1:19" ht="14" thickBot="1" x14ac:dyDescent="0.2">
      <c r="A325" s="1" t="s">
        <v>714</v>
      </c>
      <c r="B325" s="355">
        <v>18</v>
      </c>
      <c r="C325" s="335" t="s">
        <v>314</v>
      </c>
      <c r="D325" s="331">
        <f>D324+D316</f>
        <v>-92550000</v>
      </c>
      <c r="E325" s="331">
        <f t="shared" ref="E325:N325" si="248">E324+E316</f>
        <v>50012750</v>
      </c>
      <c r="F325" s="331">
        <f t="shared" si="248"/>
        <v>44202792.500000022</v>
      </c>
      <c r="G325" s="331">
        <f t="shared" si="248"/>
        <v>35442192.08412499</v>
      </c>
      <c r="H325" s="331">
        <f t="shared" si="248"/>
        <v>25111356.707490433</v>
      </c>
      <c r="I325" s="331">
        <f t="shared" si="248"/>
        <v>84401062.478848949</v>
      </c>
      <c r="J325" s="331">
        <f t="shared" si="248"/>
        <v>0</v>
      </c>
      <c r="K325" s="331">
        <f t="shared" si="248"/>
        <v>0</v>
      </c>
      <c r="L325" s="331">
        <f t="shared" si="248"/>
        <v>0</v>
      </c>
      <c r="M325" s="331">
        <f t="shared" si="248"/>
        <v>0</v>
      </c>
      <c r="N325" s="331">
        <f t="shared" si="248"/>
        <v>0</v>
      </c>
      <c r="O325" s="331">
        <v>0</v>
      </c>
      <c r="P325" s="356">
        <f t="shared" si="232"/>
        <v>239170153.77046442</v>
      </c>
      <c r="Q325" s="463"/>
      <c r="R325" s="358">
        <f>IF(ISNUMBER(IRR(D325:N325)),IRR(D325:N325),"NMF")</f>
        <v>0.40549033935008683</v>
      </c>
      <c r="S325" s="1" t="s">
        <v>714</v>
      </c>
    </row>
  </sheetData>
  <sheetProtection password="AA36" sheet="1" objects="1" scenarios="1"/>
  <phoneticPr fontId="0" type="noConversion"/>
  <printOptions horizontalCentered="1"/>
  <pageMargins left="0.5" right="0.5" top="1" bottom="1" header="0.5" footer="0.5"/>
  <pageSetup scale="41" orientation="landscape"/>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52"/>
  <sheetViews>
    <sheetView zoomScale="110" zoomScaleNormal="110" zoomScalePageLayoutView="125" workbookViewId="0">
      <selection activeCell="C3" sqref="C3"/>
    </sheetView>
  </sheetViews>
  <sheetFormatPr baseColWidth="10" defaultColWidth="8.83203125" defaultRowHeight="13" x14ac:dyDescent="0.15"/>
  <cols>
    <col min="1" max="1" width="24.5" customWidth="1"/>
    <col min="2" max="2" width="19.6640625" customWidth="1"/>
    <col min="3" max="3" width="17.33203125" customWidth="1"/>
    <col min="4" max="4" width="14.83203125" customWidth="1"/>
    <col min="5" max="5" width="15.5" customWidth="1"/>
    <col min="6" max="6" width="15.83203125" customWidth="1"/>
    <col min="7" max="7" width="17.33203125" customWidth="1"/>
    <col min="8" max="8" width="13.1640625" customWidth="1"/>
  </cols>
  <sheetData>
    <row r="1" spans="1:8" ht="16" x14ac:dyDescent="0.2">
      <c r="A1" s="215" t="s">
        <v>81</v>
      </c>
    </row>
    <row r="2" spans="1:8" x14ac:dyDescent="0.15">
      <c r="A2" s="1"/>
    </row>
    <row r="3" spans="1:8" x14ac:dyDescent="0.15">
      <c r="B3" s="11" t="s">
        <v>82</v>
      </c>
      <c r="C3" s="680" t="s">
        <v>724</v>
      </c>
      <c r="E3" s="1" t="s">
        <v>83</v>
      </c>
    </row>
    <row r="4" spans="1:8" x14ac:dyDescent="0.15">
      <c r="B4" s="11"/>
      <c r="C4" s="142"/>
      <c r="E4" s="348" t="s">
        <v>84</v>
      </c>
    </row>
    <row r="5" spans="1:8" x14ac:dyDescent="0.15">
      <c r="B5" s="11" t="s">
        <v>85</v>
      </c>
      <c r="C5" s="276">
        <v>0.16</v>
      </c>
      <c r="D5" s="11"/>
      <c r="E5" s="275">
        <v>0</v>
      </c>
      <c r="F5" t="s">
        <v>86</v>
      </c>
    </row>
    <row r="6" spans="1:8" x14ac:dyDescent="0.15">
      <c r="B6" s="11"/>
      <c r="C6" s="194"/>
      <c r="E6" t="s">
        <v>87</v>
      </c>
    </row>
    <row r="7" spans="1:8" ht="28" x14ac:dyDescent="0.15">
      <c r="B7" s="204" t="s">
        <v>88</v>
      </c>
      <c r="C7" s="275">
        <v>5</v>
      </c>
    </row>
    <row r="8" spans="1:8" x14ac:dyDescent="0.15">
      <c r="A8" s="195"/>
    </row>
    <row r="9" spans="1:8" ht="34" x14ac:dyDescent="0.2">
      <c r="A9" s="207" t="s">
        <v>89</v>
      </c>
    </row>
    <row r="11" spans="1:8" x14ac:dyDescent="0.15">
      <c r="B11" s="119" t="s">
        <v>90</v>
      </c>
    </row>
    <row r="12" spans="1:8" ht="42" x14ac:dyDescent="0.15">
      <c r="B12" s="5" t="s">
        <v>91</v>
      </c>
      <c r="C12" s="5" t="s">
        <v>92</v>
      </c>
      <c r="D12" s="5" t="s">
        <v>93</v>
      </c>
      <c r="E12" s="118" t="s">
        <v>94</v>
      </c>
      <c r="F12" s="118" t="s">
        <v>95</v>
      </c>
      <c r="G12" s="117" t="s">
        <v>96</v>
      </c>
      <c r="H12" s="117" t="s">
        <v>97</v>
      </c>
    </row>
    <row r="13" spans="1:8" x14ac:dyDescent="0.15">
      <c r="B13" s="26" t="s">
        <v>98</v>
      </c>
      <c r="C13" s="680" t="s">
        <v>99</v>
      </c>
      <c r="D13" s="277">
        <v>15000000</v>
      </c>
      <c r="E13" s="275">
        <v>20</v>
      </c>
      <c r="F13" s="277">
        <v>0</v>
      </c>
      <c r="G13" s="277">
        <v>4</v>
      </c>
      <c r="H13" s="277">
        <v>6800000</v>
      </c>
    </row>
    <row r="14" spans="1:8" ht="14" x14ac:dyDescent="0.15">
      <c r="B14" s="26" t="s">
        <v>100</v>
      </c>
      <c r="C14" s="709" t="s">
        <v>101</v>
      </c>
      <c r="D14" s="277">
        <v>15250000</v>
      </c>
      <c r="E14" s="720">
        <v>5</v>
      </c>
      <c r="F14" s="277">
        <v>0</v>
      </c>
      <c r="G14" s="277">
        <v>4</v>
      </c>
      <c r="H14" s="277">
        <v>2500000</v>
      </c>
    </row>
    <row r="15" spans="1:8" x14ac:dyDescent="0.15">
      <c r="B15" s="26" t="s">
        <v>102</v>
      </c>
      <c r="C15" s="680" t="s">
        <v>103</v>
      </c>
      <c r="D15" s="277">
        <v>800000</v>
      </c>
      <c r="E15" s="720">
        <v>5</v>
      </c>
      <c r="F15" s="277">
        <v>0</v>
      </c>
      <c r="G15" s="277">
        <v>4</v>
      </c>
      <c r="H15" s="277">
        <v>80000</v>
      </c>
    </row>
    <row r="16" spans="1:8" x14ac:dyDescent="0.15">
      <c r="B16" s="26" t="s">
        <v>104</v>
      </c>
      <c r="C16" s="275"/>
      <c r="D16" s="277"/>
      <c r="E16" s="720">
        <v>1</v>
      </c>
      <c r="F16" s="277">
        <v>0</v>
      </c>
      <c r="G16" s="277"/>
      <c r="H16" s="277"/>
    </row>
    <row r="17" spans="2:8" x14ac:dyDescent="0.15">
      <c r="B17" s="22"/>
      <c r="D17" s="649" t="s">
        <v>105</v>
      </c>
      <c r="F17" s="566"/>
      <c r="G17" s="567"/>
      <c r="H17" s="566"/>
    </row>
    <row r="18" spans="2:8" x14ac:dyDescent="0.15">
      <c r="B18" s="22"/>
      <c r="C18" s="565"/>
      <c r="D18" s="566"/>
      <c r="E18" s="567"/>
      <c r="F18" s="566"/>
      <c r="G18" s="567"/>
      <c r="H18" s="566"/>
    </row>
    <row r="19" spans="2:8" x14ac:dyDescent="0.15">
      <c r="B19" s="119" t="s">
        <v>106</v>
      </c>
      <c r="C19" s="565"/>
      <c r="D19" s="566"/>
      <c r="E19" s="567"/>
      <c r="F19" s="566"/>
      <c r="G19" s="567"/>
      <c r="H19" s="566"/>
    </row>
    <row r="20" spans="2:8" x14ac:dyDescent="0.15">
      <c r="B20" s="119"/>
      <c r="C20" s="565"/>
      <c r="D20" s="566"/>
      <c r="E20" s="567"/>
      <c r="F20" s="566"/>
      <c r="G20" s="567"/>
      <c r="H20" s="566"/>
    </row>
    <row r="21" spans="2:8" x14ac:dyDescent="0.15">
      <c r="B21" s="22"/>
      <c r="C21" s="4" t="s">
        <v>92</v>
      </c>
      <c r="D21" s="4" t="s">
        <v>107</v>
      </c>
    </row>
    <row r="22" spans="2:8" x14ac:dyDescent="0.15">
      <c r="C22" s="568" t="s">
        <v>108</v>
      </c>
      <c r="D22" s="575">
        <v>0</v>
      </c>
    </row>
    <row r="24" spans="2:8" x14ac:dyDescent="0.15">
      <c r="B24" s="119" t="s">
        <v>109</v>
      </c>
    </row>
    <row r="26" spans="2:8" ht="42" x14ac:dyDescent="0.15">
      <c r="B26" s="4" t="s">
        <v>110</v>
      </c>
      <c r="C26" s="4" t="s">
        <v>92</v>
      </c>
      <c r="D26" s="4" t="s">
        <v>93</v>
      </c>
      <c r="E26" s="117" t="s">
        <v>96</v>
      </c>
      <c r="F26" s="117" t="s">
        <v>111</v>
      </c>
    </row>
    <row r="27" spans="2:8" x14ac:dyDescent="0.15">
      <c r="B27" s="26" t="s">
        <v>112</v>
      </c>
      <c r="C27" s="680" t="s">
        <v>113</v>
      </c>
      <c r="D27" s="279">
        <v>1500000</v>
      </c>
      <c r="E27" s="275">
        <v>4</v>
      </c>
      <c r="F27" s="280">
        <v>1800000</v>
      </c>
    </row>
    <row r="28" spans="2:8" x14ac:dyDescent="0.15">
      <c r="B28" s="26" t="s">
        <v>114</v>
      </c>
      <c r="C28" s="275"/>
      <c r="D28" s="279"/>
      <c r="E28" s="275"/>
      <c r="F28" s="280"/>
    </row>
    <row r="30" spans="2:8" x14ac:dyDescent="0.15">
      <c r="B30" s="119" t="s">
        <v>115</v>
      </c>
      <c r="C30" s="279">
        <v>60000000</v>
      </c>
    </row>
    <row r="31" spans="2:8" x14ac:dyDescent="0.15">
      <c r="B31" s="119" t="s">
        <v>116</v>
      </c>
      <c r="E31" s="275">
        <v>4</v>
      </c>
    </row>
    <row r="33" spans="1:5" ht="16" x14ac:dyDescent="0.2">
      <c r="A33" s="206" t="s">
        <v>117</v>
      </c>
    </row>
    <row r="34" spans="1:5" x14ac:dyDescent="0.15">
      <c r="E34" s="1" t="s">
        <v>118</v>
      </c>
    </row>
    <row r="35" spans="1:5" ht="14" x14ac:dyDescent="0.15">
      <c r="B35" s="128" t="s">
        <v>119</v>
      </c>
      <c r="C35" s="279"/>
      <c r="E35" s="348" t="s">
        <v>120</v>
      </c>
    </row>
    <row r="36" spans="1:5" x14ac:dyDescent="0.15">
      <c r="E36" s="275">
        <v>0</v>
      </c>
    </row>
    <row r="37" spans="1:5" ht="28" x14ac:dyDescent="0.15">
      <c r="B37" s="128" t="s">
        <v>121</v>
      </c>
      <c r="C37" s="276">
        <v>0.08</v>
      </c>
      <c r="E37" s="1" t="s">
        <v>122</v>
      </c>
    </row>
    <row r="38" spans="1:5" x14ac:dyDescent="0.15">
      <c r="E38" t="s">
        <v>123</v>
      </c>
    </row>
    <row r="39" spans="1:5" x14ac:dyDescent="0.15">
      <c r="B39" s="119" t="s">
        <v>124</v>
      </c>
      <c r="C39" s="275">
        <v>5</v>
      </c>
      <c r="E39" s="275">
        <v>1</v>
      </c>
    </row>
    <row r="41" spans="1:5" ht="16" x14ac:dyDescent="0.2">
      <c r="A41" s="206" t="s">
        <v>125</v>
      </c>
    </row>
    <row r="43" spans="1:5" ht="28" x14ac:dyDescent="0.15">
      <c r="B43" s="128" t="s">
        <v>126</v>
      </c>
      <c r="C43" s="276">
        <v>0.3</v>
      </c>
    </row>
    <row r="45" spans="1:5" ht="28" x14ac:dyDescent="0.15">
      <c r="B45" s="128" t="s">
        <v>127</v>
      </c>
      <c r="C45" s="276">
        <v>0.18</v>
      </c>
    </row>
    <row r="47" spans="1:5" ht="28" x14ac:dyDescent="0.15">
      <c r="B47" s="128" t="s">
        <v>128</v>
      </c>
      <c r="C47" s="276">
        <v>0</v>
      </c>
    </row>
    <row r="50" spans="1:7" ht="14" thickBot="1" x14ac:dyDescent="0.2">
      <c r="A50" s="138"/>
      <c r="B50" s="138"/>
      <c r="C50" s="138"/>
      <c r="D50" s="138"/>
      <c r="E50" s="138"/>
      <c r="F50" s="138"/>
      <c r="G50" s="138"/>
    </row>
    <row r="51" spans="1:7" ht="14" thickTop="1" x14ac:dyDescent="0.15"/>
    <row r="52" spans="1:7" ht="16" x14ac:dyDescent="0.2">
      <c r="A52" s="205" t="s">
        <v>129</v>
      </c>
    </row>
  </sheetData>
  <sheetProtection password="AA36" sheet="1" objects="1" scenarios="1"/>
  <phoneticPr fontId="0" type="noConversion"/>
  <pageMargins left="0.75" right="0.75" top="1" bottom="1" header="0.5" footer="0.5"/>
  <pageSetup scale="60" orientation="portrait"/>
  <headerFooter alignWithMargins="0">
    <oddFooter>Page &amp;P of &amp;N</oddFooter>
  </headerFooter>
  <legacyDrawing r:id="rId1"/>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T325"/>
  <sheetViews>
    <sheetView zoomScale="75" workbookViewId="0">
      <selection activeCell="E46" sqref="E46"/>
    </sheetView>
  </sheetViews>
  <sheetFormatPr baseColWidth="10" defaultColWidth="8.83203125" defaultRowHeight="13" x14ac:dyDescent="0.15"/>
  <cols>
    <col min="1" max="1" width="13.6640625" customWidth="1"/>
    <col min="2" max="2" width="22.6640625" customWidth="1"/>
    <col min="3" max="3" width="38.1640625" customWidth="1"/>
    <col min="4" max="14" width="15.6640625" customWidth="1"/>
    <col min="15" max="15" width="5.5" customWidth="1"/>
    <col min="16" max="18" width="15.6640625" customWidth="1"/>
  </cols>
  <sheetData>
    <row r="1" spans="1:11" ht="19" thickBot="1" x14ac:dyDescent="0.25">
      <c r="A1" s="549" t="s">
        <v>719</v>
      </c>
    </row>
    <row r="2" spans="1:11" ht="14" thickBot="1" x14ac:dyDescent="0.2">
      <c r="F2" t="s">
        <v>684</v>
      </c>
      <c r="H2" s="323" t="s">
        <v>436</v>
      </c>
      <c r="I2" s="365" t="s">
        <v>685</v>
      </c>
      <c r="J2" s="320" t="s">
        <v>341</v>
      </c>
      <c r="K2" s="365" t="s">
        <v>685</v>
      </c>
    </row>
    <row r="3" spans="1:11" ht="18" thickBot="1" x14ac:dyDescent="0.25">
      <c r="C3" s="343" t="s">
        <v>279</v>
      </c>
      <c r="D3" s="344">
        <f>'Initial Inputs'!C43</f>
        <v>0.3</v>
      </c>
      <c r="G3" s="378" t="s">
        <v>412</v>
      </c>
      <c r="H3" s="379">
        <f>R42</f>
        <v>0.40549033935008683</v>
      </c>
      <c r="I3" s="372">
        <f>IF(H3="NMF","NMF",(H3-$H$8)/$H$8)</f>
        <v>0</v>
      </c>
      <c r="J3" s="375">
        <f>NPV($D$7,E42:N42)+D42</f>
        <v>60173850.627423048</v>
      </c>
      <c r="K3" s="372">
        <f>IF(J3="NMF","NMF",IF(ISNUMBER((J3-$J$8)/$J$8),(J3-$J$8)/$J$8,0))</f>
        <v>0</v>
      </c>
    </row>
    <row r="4" spans="1:11" ht="18" thickBot="1" x14ac:dyDescent="0.25">
      <c r="C4" s="345" t="s">
        <v>280</v>
      </c>
      <c r="D4" s="346">
        <f>'Initial Inputs'!C45</f>
        <v>0.18</v>
      </c>
      <c r="G4" s="381" t="s">
        <v>413</v>
      </c>
      <c r="H4" s="382">
        <f>R70</f>
        <v>0.40549033935008683</v>
      </c>
      <c r="I4" s="373">
        <f t="shared" ref="I4:I13" si="0">IF(H4="NMF","NMF",(H4-$H$8)/$H$8)</f>
        <v>0</v>
      </c>
      <c r="J4" s="376">
        <f>NPV($D$7,E70:N70)+D70</f>
        <v>60173850.627423048</v>
      </c>
      <c r="K4" s="372">
        <f t="shared" ref="K4:K13" si="1">IF(J4="NMF","NMF",IF(ISNUMBER((J4-$J$8)/$J$8),(J4-$J$8)/$J$8,0))</f>
        <v>0</v>
      </c>
    </row>
    <row r="5" spans="1:11" ht="18" thickBot="1" x14ac:dyDescent="0.25">
      <c r="C5" s="347" t="s">
        <v>281</v>
      </c>
      <c r="D5" s="350">
        <f>'Initial Inputs'!A47</f>
        <v>0</v>
      </c>
      <c r="G5" s="381" t="s">
        <v>414</v>
      </c>
      <c r="H5" s="382">
        <f>R98</f>
        <v>0.40549033935008683</v>
      </c>
      <c r="I5" s="373">
        <f t="shared" si="0"/>
        <v>0</v>
      </c>
      <c r="J5" s="376">
        <f>NPV($D$7,E98:N98)+D98</f>
        <v>60173850.627423048</v>
      </c>
      <c r="K5" s="372">
        <f t="shared" si="1"/>
        <v>0</v>
      </c>
    </row>
    <row r="6" spans="1:11" ht="17" thickBot="1" x14ac:dyDescent="0.25">
      <c r="C6" s="336"/>
      <c r="D6" s="349"/>
      <c r="G6" s="381" t="s">
        <v>415</v>
      </c>
      <c r="H6" s="382">
        <f>R126</f>
        <v>0.40549033935008683</v>
      </c>
      <c r="I6" s="373">
        <f t="shared" si="0"/>
        <v>0</v>
      </c>
      <c r="J6" s="376">
        <f>NPV($D$7,E126:N126)+D126</f>
        <v>60173850.627423048</v>
      </c>
      <c r="K6" s="372">
        <f t="shared" si="1"/>
        <v>0</v>
      </c>
    </row>
    <row r="7" spans="1:11" ht="18" thickBot="1" x14ac:dyDescent="0.25">
      <c r="C7" s="351" t="s">
        <v>686</v>
      </c>
      <c r="D7" s="352">
        <f>'Initial Inputs'!C5</f>
        <v>0.16</v>
      </c>
      <c r="G7" s="381" t="s">
        <v>416</v>
      </c>
      <c r="H7" s="382">
        <f>R154</f>
        <v>0.40549033935008683</v>
      </c>
      <c r="I7" s="373">
        <f t="shared" si="0"/>
        <v>0</v>
      </c>
      <c r="J7" s="376">
        <f>NPV($D$7,E154:N154)+D154</f>
        <v>60173850.627423048</v>
      </c>
      <c r="K7" s="372">
        <f t="shared" si="1"/>
        <v>0</v>
      </c>
    </row>
    <row r="8" spans="1:11" ht="17" thickBot="1" x14ac:dyDescent="0.25">
      <c r="C8" s="336"/>
      <c r="D8" s="349"/>
      <c r="G8" s="381" t="s">
        <v>653</v>
      </c>
      <c r="H8" s="382">
        <f>R182</f>
        <v>0.40549033935008683</v>
      </c>
      <c r="I8" s="373">
        <f t="shared" si="0"/>
        <v>0</v>
      </c>
      <c r="J8" s="376">
        <f>NPV($D$7,E182:N182)+D182</f>
        <v>60173850.627423048</v>
      </c>
      <c r="K8" s="372">
        <f t="shared" si="1"/>
        <v>0</v>
      </c>
    </row>
    <row r="9" spans="1:11" ht="17" thickBot="1" x14ac:dyDescent="0.25">
      <c r="C9" s="336"/>
      <c r="D9" s="349"/>
      <c r="G9" s="381" t="s">
        <v>418</v>
      </c>
      <c r="H9" s="382">
        <f>R213</f>
        <v>0.40549033935008683</v>
      </c>
      <c r="I9" s="373">
        <f t="shared" si="0"/>
        <v>0</v>
      </c>
      <c r="J9" s="376">
        <f>NPV($D$7,E213:N213)+D213</f>
        <v>60173850.627423048</v>
      </c>
      <c r="K9" s="372">
        <f t="shared" si="1"/>
        <v>0</v>
      </c>
    </row>
    <row r="10" spans="1:11" ht="17" thickBot="1" x14ac:dyDescent="0.25">
      <c r="C10" s="336"/>
      <c r="D10" s="349"/>
      <c r="G10" s="381" t="s">
        <v>419</v>
      </c>
      <c r="H10" s="382">
        <f>R241</f>
        <v>0.40549033935008683</v>
      </c>
      <c r="I10" s="373">
        <f t="shared" si="0"/>
        <v>0</v>
      </c>
      <c r="J10" s="376">
        <f>NPV($D$7,E241:N241)+D241</f>
        <v>60173850.627423048</v>
      </c>
      <c r="K10" s="372">
        <f t="shared" si="1"/>
        <v>0</v>
      </c>
    </row>
    <row r="11" spans="1:11" ht="17" thickBot="1" x14ac:dyDescent="0.25">
      <c r="C11" s="336"/>
      <c r="D11" s="349"/>
      <c r="G11" s="381" t="s">
        <v>420</v>
      </c>
      <c r="H11" s="382">
        <f>R269</f>
        <v>0.40549033935008683</v>
      </c>
      <c r="I11" s="373">
        <f t="shared" si="0"/>
        <v>0</v>
      </c>
      <c r="J11" s="376">
        <f>NPV($D$7,E269:N269)+D269</f>
        <v>60173850.627423048</v>
      </c>
      <c r="K11" s="372">
        <f t="shared" si="1"/>
        <v>0</v>
      </c>
    </row>
    <row r="12" spans="1:11" ht="17" thickBot="1" x14ac:dyDescent="0.25">
      <c r="C12" s="336"/>
      <c r="D12" s="342"/>
      <c r="G12" s="381" t="s">
        <v>421</v>
      </c>
      <c r="H12" s="382">
        <f>R297</f>
        <v>0.40549033935008683</v>
      </c>
      <c r="I12" s="373">
        <f t="shared" si="0"/>
        <v>0</v>
      </c>
      <c r="J12" s="376">
        <f>NPV($D$7,E297:N297)+D297</f>
        <v>60173850.627423048</v>
      </c>
      <c r="K12" s="372">
        <f t="shared" si="1"/>
        <v>0</v>
      </c>
    </row>
    <row r="13" spans="1:11" ht="17" thickBot="1" x14ac:dyDescent="0.25">
      <c r="C13" s="336"/>
      <c r="D13" s="342"/>
      <c r="G13" s="384" t="s">
        <v>422</v>
      </c>
      <c r="H13" s="385">
        <f>R325</f>
        <v>0.40549033935008683</v>
      </c>
      <c r="I13" s="374">
        <f t="shared" si="0"/>
        <v>0</v>
      </c>
      <c r="J13" s="377">
        <f>NPV($D$7,E325:N325)+D325</f>
        <v>60173850.627423048</v>
      </c>
      <c r="K13" s="372">
        <f t="shared" si="1"/>
        <v>0</v>
      </c>
    </row>
    <row r="14" spans="1:11" ht="16" x14ac:dyDescent="0.2">
      <c r="C14" s="336"/>
      <c r="D14" s="342"/>
      <c r="G14" t="s">
        <v>424</v>
      </c>
    </row>
    <row r="15" spans="1:11" ht="16" x14ac:dyDescent="0.2">
      <c r="B15" s="48" t="s">
        <v>719</v>
      </c>
      <c r="G15" s="90"/>
    </row>
    <row r="16" spans="1:11" ht="14" thickBot="1" x14ac:dyDescent="0.2"/>
    <row r="17" spans="1:17" ht="14" thickBot="1" x14ac:dyDescent="0.2">
      <c r="B17" s="323" t="str">
        <f>'After Tax Analysis'!B7</f>
        <v>Line/Source</v>
      </c>
      <c r="C17" s="324" t="str">
        <f>'After Tax Analysis'!C7</f>
        <v>Description</v>
      </c>
      <c r="D17" s="324"/>
      <c r="E17" s="324">
        <f>'After Tax Analysis'!E7</f>
        <v>1</v>
      </c>
      <c r="F17" s="324">
        <f>'After Tax Analysis'!F7</f>
        <v>2</v>
      </c>
      <c r="G17" s="324">
        <f>'After Tax Analysis'!G7</f>
        <v>3</v>
      </c>
      <c r="H17" s="324">
        <f>'After Tax Analysis'!H7</f>
        <v>4</v>
      </c>
      <c r="I17" s="324">
        <f>'After Tax Analysis'!I7</f>
        <v>5</v>
      </c>
      <c r="J17" s="324">
        <f>'After Tax Analysis'!J7</f>
        <v>6</v>
      </c>
      <c r="K17" s="324">
        <f>'After Tax Analysis'!K7</f>
        <v>7</v>
      </c>
      <c r="L17" s="324">
        <f>'After Tax Analysis'!L7</f>
        <v>8</v>
      </c>
      <c r="M17" s="324">
        <f>'After Tax Analysis'!M7</f>
        <v>9</v>
      </c>
      <c r="N17" s="324">
        <f>'After Tax Analysis'!N7</f>
        <v>10</v>
      </c>
      <c r="O17" s="324" t="str">
        <f>'After Tax Analysis'!O7</f>
        <v>10A</v>
      </c>
      <c r="P17" s="320" t="str">
        <f>'After Tax Analysis'!P7</f>
        <v>TOTAL</v>
      </c>
      <c r="Q17" s="22"/>
    </row>
    <row r="18" spans="1:17" x14ac:dyDescent="0.15">
      <c r="B18" s="339" t="s">
        <v>687</v>
      </c>
      <c r="C18" s="302" t="str">
        <f>'After Tax Analysis'!C8</f>
        <v>Operating Revenue</v>
      </c>
      <c r="D18" s="322"/>
      <c r="E18" s="322">
        <f>E158</f>
        <v>300000000</v>
      </c>
      <c r="F18" s="322">
        <f t="shared" ref="F18:N18" si="2">F158</f>
        <v>313500000.00000006</v>
      </c>
      <c r="G18" s="322">
        <f t="shared" si="2"/>
        <v>327607500.00000006</v>
      </c>
      <c r="H18" s="322">
        <f t="shared" si="2"/>
        <v>342349837.50000012</v>
      </c>
      <c r="I18" s="322">
        <f t="shared" si="2"/>
        <v>357755580.18750012</v>
      </c>
      <c r="J18" s="322">
        <f t="shared" si="2"/>
        <v>0</v>
      </c>
      <c r="K18" s="322">
        <f t="shared" si="2"/>
        <v>0</v>
      </c>
      <c r="L18" s="322">
        <f t="shared" si="2"/>
        <v>0</v>
      </c>
      <c r="M18" s="322">
        <f t="shared" si="2"/>
        <v>0</v>
      </c>
      <c r="N18" s="322">
        <f t="shared" si="2"/>
        <v>0</v>
      </c>
      <c r="O18" s="322">
        <f>'After Tax Analysis'!O8</f>
        <v>0</v>
      </c>
      <c r="P18" s="325">
        <f>SUM(D18:N18)</f>
        <v>1641212917.6875</v>
      </c>
      <c r="Q18" s="2"/>
    </row>
    <row r="19" spans="1:17" x14ac:dyDescent="0.15">
      <c r="A19" s="1" t="s">
        <v>688</v>
      </c>
      <c r="B19" s="340" t="s">
        <v>689</v>
      </c>
      <c r="C19" s="354" t="s">
        <v>689</v>
      </c>
      <c r="D19" s="67"/>
      <c r="E19" s="67">
        <f>E159</f>
        <v>300000000</v>
      </c>
      <c r="F19" s="67">
        <f t="shared" ref="F19:N19" si="3">F159</f>
        <v>313500000.00000006</v>
      </c>
      <c r="G19" s="67">
        <f t="shared" si="3"/>
        <v>327607500.00000006</v>
      </c>
      <c r="H19" s="67">
        <f t="shared" si="3"/>
        <v>342349837.50000012</v>
      </c>
      <c r="I19" s="67">
        <f t="shared" si="3"/>
        <v>357755580.18750012</v>
      </c>
      <c r="J19" s="67">
        <f t="shared" si="3"/>
        <v>0</v>
      </c>
      <c r="K19" s="67">
        <f t="shared" si="3"/>
        <v>0</v>
      </c>
      <c r="L19" s="67">
        <f t="shared" si="3"/>
        <v>0</v>
      </c>
      <c r="M19" s="67">
        <f t="shared" si="3"/>
        <v>0</v>
      </c>
      <c r="N19" s="67">
        <f t="shared" si="3"/>
        <v>0</v>
      </c>
      <c r="O19" s="67"/>
      <c r="P19" s="326">
        <f>SUM(D19:N19)</f>
        <v>1641212917.6875</v>
      </c>
      <c r="Q19" s="2"/>
    </row>
    <row r="20" spans="1:17" x14ac:dyDescent="0.15">
      <c r="B20" s="340" t="s">
        <v>690</v>
      </c>
      <c r="C20" s="354" t="s">
        <v>690</v>
      </c>
      <c r="D20" s="67"/>
      <c r="E20" s="67">
        <f>E160</f>
        <v>0</v>
      </c>
      <c r="F20" s="67">
        <f t="shared" ref="F20:N20" si="4">F160</f>
        <v>0</v>
      </c>
      <c r="G20" s="67">
        <f t="shared" si="4"/>
        <v>0</v>
      </c>
      <c r="H20" s="67">
        <f t="shared" si="4"/>
        <v>0</v>
      </c>
      <c r="I20" s="67">
        <f t="shared" si="4"/>
        <v>0</v>
      </c>
      <c r="J20" s="67">
        <f t="shared" si="4"/>
        <v>0</v>
      </c>
      <c r="K20" s="67">
        <f t="shared" si="4"/>
        <v>0</v>
      </c>
      <c r="L20" s="67">
        <f t="shared" si="4"/>
        <v>0</v>
      </c>
      <c r="M20" s="67">
        <f t="shared" si="4"/>
        <v>0</v>
      </c>
      <c r="N20" s="67">
        <f t="shared" si="4"/>
        <v>0</v>
      </c>
      <c r="O20" s="67"/>
      <c r="P20" s="326">
        <f>SUM(D20:N20)</f>
        <v>0</v>
      </c>
      <c r="Q20" s="2"/>
    </row>
    <row r="21" spans="1:17" x14ac:dyDescent="0.15">
      <c r="B21" s="355" t="s">
        <v>691</v>
      </c>
      <c r="C21" s="362" t="s">
        <v>691</v>
      </c>
      <c r="D21" s="331"/>
      <c r="E21" s="331">
        <f>E161*0.75</f>
        <v>0</v>
      </c>
      <c r="F21" s="331">
        <f t="shared" ref="F21:N21" si="5">F161*0.75</f>
        <v>0</v>
      </c>
      <c r="G21" s="331">
        <f t="shared" si="5"/>
        <v>0</v>
      </c>
      <c r="H21" s="331">
        <f t="shared" si="5"/>
        <v>0</v>
      </c>
      <c r="I21" s="331">
        <f t="shared" si="5"/>
        <v>0</v>
      </c>
      <c r="J21" s="331">
        <f t="shared" si="5"/>
        <v>0</v>
      </c>
      <c r="K21" s="331">
        <f t="shared" si="5"/>
        <v>0</v>
      </c>
      <c r="L21" s="331">
        <f t="shared" si="5"/>
        <v>0</v>
      </c>
      <c r="M21" s="331">
        <f t="shared" si="5"/>
        <v>0</v>
      </c>
      <c r="N21" s="331">
        <f t="shared" si="5"/>
        <v>0</v>
      </c>
      <c r="O21" s="331"/>
      <c r="P21" s="356">
        <f>SUM(D21:N21)</f>
        <v>0</v>
      </c>
      <c r="Q21" s="460"/>
    </row>
    <row r="22" spans="1:17" x14ac:dyDescent="0.15">
      <c r="B22" s="340" t="s">
        <v>692</v>
      </c>
      <c r="C22" s="354" t="s">
        <v>692</v>
      </c>
      <c r="D22" s="67"/>
      <c r="E22" s="67">
        <f>E21+E20+E19</f>
        <v>300000000</v>
      </c>
      <c r="F22" s="67">
        <f t="shared" ref="F22:N22" si="6">F21+F20+F19</f>
        <v>313500000.00000006</v>
      </c>
      <c r="G22" s="67">
        <f t="shared" si="6"/>
        <v>327607500.00000006</v>
      </c>
      <c r="H22" s="67">
        <f t="shared" si="6"/>
        <v>342349837.50000012</v>
      </c>
      <c r="I22" s="67">
        <f t="shared" si="6"/>
        <v>357755580.18750012</v>
      </c>
      <c r="J22" s="67">
        <f t="shared" si="6"/>
        <v>0</v>
      </c>
      <c r="K22" s="67">
        <f t="shared" si="6"/>
        <v>0</v>
      </c>
      <c r="L22" s="67">
        <f t="shared" si="6"/>
        <v>0</v>
      </c>
      <c r="M22" s="67">
        <f t="shared" si="6"/>
        <v>0</v>
      </c>
      <c r="N22" s="67">
        <f t="shared" si="6"/>
        <v>0</v>
      </c>
      <c r="O22" s="67"/>
      <c r="P22" s="326">
        <f>SUM(D22:N22)</f>
        <v>1641212917.6875</v>
      </c>
      <c r="Q22" s="2"/>
    </row>
    <row r="23" spans="1:17" x14ac:dyDescent="0.15">
      <c r="B23" s="340" t="str">
        <f>'After Tax Analysis'!B9</f>
        <v>2 / "Expenses"</v>
      </c>
      <c r="C23" s="12" t="str">
        <f>'After Tax Analysis'!C9</f>
        <v>Cash Expenses (Not including depreciation)</v>
      </c>
      <c r="D23" s="67"/>
      <c r="E23" s="67">
        <f t="shared" ref="E23:N23" si="7">E163</f>
        <v>230170000</v>
      </c>
      <c r="F23" s="67">
        <f t="shared" si="7"/>
        <v>253018375.00000003</v>
      </c>
      <c r="G23" s="67">
        <f t="shared" si="7"/>
        <v>278725718.45125008</v>
      </c>
      <c r="H23" s="67">
        <f t="shared" si="7"/>
        <v>307665975.06072807</v>
      </c>
      <c r="I23" s="67">
        <f t="shared" si="7"/>
        <v>340262566.36057305</v>
      </c>
      <c r="J23" s="67">
        <f t="shared" si="7"/>
        <v>0</v>
      </c>
      <c r="K23" s="67">
        <f t="shared" si="7"/>
        <v>0</v>
      </c>
      <c r="L23" s="67">
        <f t="shared" si="7"/>
        <v>0</v>
      </c>
      <c r="M23" s="67">
        <f t="shared" si="7"/>
        <v>0</v>
      </c>
      <c r="N23" s="67">
        <f t="shared" si="7"/>
        <v>0</v>
      </c>
      <c r="O23" s="67">
        <f>'After Tax Analysis'!O9</f>
        <v>0</v>
      </c>
      <c r="P23" s="326">
        <f t="shared" ref="P23:P41" si="8">SUM(D23:N23)</f>
        <v>1409842634.8725512</v>
      </c>
      <c r="Q23" s="2"/>
    </row>
    <row r="24" spans="1:17" x14ac:dyDescent="0.15">
      <c r="B24" s="340">
        <f>'After Tax Analysis'!B10</f>
        <v>3</v>
      </c>
      <c r="C24" s="12" t="str">
        <f>'After Tax Analysis'!C10</f>
        <v>Oper. Income (1-2)</v>
      </c>
      <c r="D24" s="67"/>
      <c r="E24" s="67">
        <f>E22-E23</f>
        <v>69830000</v>
      </c>
      <c r="F24" s="67">
        <f t="shared" ref="F24:O24" si="9">F22-F23</f>
        <v>60481625.00000003</v>
      </c>
      <c r="G24" s="67">
        <f t="shared" si="9"/>
        <v>48881781.548749983</v>
      </c>
      <c r="H24" s="67">
        <f t="shared" si="9"/>
        <v>34683862.439272046</v>
      </c>
      <c r="I24" s="67">
        <f t="shared" si="9"/>
        <v>17493013.826927066</v>
      </c>
      <c r="J24" s="67">
        <f t="shared" si="9"/>
        <v>0</v>
      </c>
      <c r="K24" s="67">
        <f t="shared" si="9"/>
        <v>0</v>
      </c>
      <c r="L24" s="67">
        <f t="shared" si="9"/>
        <v>0</v>
      </c>
      <c r="M24" s="67">
        <f t="shared" si="9"/>
        <v>0</v>
      </c>
      <c r="N24" s="67">
        <f t="shared" si="9"/>
        <v>0</v>
      </c>
      <c r="O24" s="67">
        <f t="shared" si="9"/>
        <v>0</v>
      </c>
      <c r="P24" s="326">
        <f t="shared" si="8"/>
        <v>231370282.81494913</v>
      </c>
      <c r="Q24" s="2"/>
    </row>
    <row r="25" spans="1:17" x14ac:dyDescent="0.15">
      <c r="B25" s="340" t="str">
        <f>'After Tax Analysis'!B11</f>
        <v>4 / "Expenses"</v>
      </c>
      <c r="C25" s="12" t="str">
        <f>'After Tax Analysis'!C11</f>
        <v>Depreciation</v>
      </c>
      <c r="D25" s="67"/>
      <c r="E25" s="67">
        <f>E165</f>
        <v>3772500</v>
      </c>
      <c r="F25" s="67">
        <f t="shared" ref="F25:O25" si="10">F165</f>
        <v>6218850</v>
      </c>
      <c r="G25" s="67">
        <f t="shared" si="10"/>
        <v>4083150</v>
      </c>
      <c r="H25" s="67">
        <f t="shared" si="10"/>
        <v>2775510</v>
      </c>
      <c r="I25" s="67">
        <f t="shared" si="10"/>
        <v>1352955</v>
      </c>
      <c r="J25" s="67">
        <f t="shared" si="10"/>
        <v>0</v>
      </c>
      <c r="K25" s="67">
        <f t="shared" si="10"/>
        <v>0</v>
      </c>
      <c r="L25" s="67">
        <f t="shared" si="10"/>
        <v>0</v>
      </c>
      <c r="M25" s="67">
        <f t="shared" si="10"/>
        <v>0</v>
      </c>
      <c r="N25" s="67">
        <f t="shared" si="10"/>
        <v>0</v>
      </c>
      <c r="O25" s="67">
        <f t="shared" si="10"/>
        <v>0</v>
      </c>
      <c r="P25" s="326">
        <f t="shared" si="8"/>
        <v>18202965</v>
      </c>
      <c r="Q25" s="2"/>
    </row>
    <row r="26" spans="1:17" x14ac:dyDescent="0.15">
      <c r="B26" s="340">
        <f>'After Tax Analysis'!B12</f>
        <v>5</v>
      </c>
      <c r="C26" s="12" t="str">
        <f>'After Tax Analysis'!C12</f>
        <v>Oper. Income (3-4)</v>
      </c>
      <c r="D26" s="67"/>
      <c r="E26" s="67">
        <f>E24-E25</f>
        <v>66057500</v>
      </c>
      <c r="F26" s="67">
        <f t="shared" ref="F26:O26" si="11">F24-F25</f>
        <v>54262775.00000003</v>
      </c>
      <c r="G26" s="67">
        <f t="shared" si="11"/>
        <v>44798631.548749983</v>
      </c>
      <c r="H26" s="67">
        <f t="shared" si="11"/>
        <v>31908352.439272046</v>
      </c>
      <c r="I26" s="67">
        <f t="shared" si="11"/>
        <v>16140058.826927066</v>
      </c>
      <c r="J26" s="67">
        <f t="shared" si="11"/>
        <v>0</v>
      </c>
      <c r="K26" s="67">
        <f t="shared" si="11"/>
        <v>0</v>
      </c>
      <c r="L26" s="67">
        <f t="shared" si="11"/>
        <v>0</v>
      </c>
      <c r="M26" s="67">
        <f t="shared" si="11"/>
        <v>0</v>
      </c>
      <c r="N26" s="67">
        <f t="shared" si="11"/>
        <v>0</v>
      </c>
      <c r="O26" s="67">
        <f t="shared" si="11"/>
        <v>0</v>
      </c>
      <c r="P26" s="326">
        <f t="shared" si="8"/>
        <v>213167317.81494913</v>
      </c>
      <c r="Q26" s="2"/>
    </row>
    <row r="27" spans="1:17" x14ac:dyDescent="0.15">
      <c r="B27" s="340" t="str">
        <f>'After Tax Analysis'!B13</f>
        <v>6 / "Loan Amortization"</v>
      </c>
      <c r="C27" s="12" t="str">
        <f>'After Tax Analysis'!C13</f>
        <v>Interest expense</v>
      </c>
      <c r="D27" s="67"/>
      <c r="E27" s="67">
        <f>E167</f>
        <v>0</v>
      </c>
      <c r="F27" s="67">
        <f t="shared" ref="F27:O27" si="12">F167</f>
        <v>0</v>
      </c>
      <c r="G27" s="67">
        <f t="shared" si="12"/>
        <v>0</v>
      </c>
      <c r="H27" s="67">
        <f t="shared" si="12"/>
        <v>0</v>
      </c>
      <c r="I27" s="67">
        <f t="shared" si="12"/>
        <v>0</v>
      </c>
      <c r="J27" s="67">
        <f t="shared" si="12"/>
        <v>0</v>
      </c>
      <c r="K27" s="67">
        <f t="shared" si="12"/>
        <v>0</v>
      </c>
      <c r="L27" s="67">
        <f t="shared" si="12"/>
        <v>0</v>
      </c>
      <c r="M27" s="67">
        <f t="shared" si="12"/>
        <v>0</v>
      </c>
      <c r="N27" s="67">
        <f t="shared" si="12"/>
        <v>0</v>
      </c>
      <c r="O27" s="67">
        <f t="shared" si="12"/>
        <v>0</v>
      </c>
      <c r="P27" s="326">
        <f t="shared" si="8"/>
        <v>0</v>
      </c>
      <c r="Q27" s="2"/>
    </row>
    <row r="28" spans="1:17" x14ac:dyDescent="0.15">
      <c r="B28" s="340">
        <f>'After Tax Analysis'!B14</f>
        <v>7</v>
      </c>
      <c r="C28" s="12" t="str">
        <f>'After Tax Analysis'!C14</f>
        <v>Pretax Net Income (5-6)</v>
      </c>
      <c r="D28" s="67"/>
      <c r="E28" s="67">
        <f>E26-E27</f>
        <v>66057500</v>
      </c>
      <c r="F28" s="67">
        <f t="shared" ref="F28:O28" si="13">F26-F27</f>
        <v>54262775.00000003</v>
      </c>
      <c r="G28" s="67">
        <f t="shared" si="13"/>
        <v>44798631.548749983</v>
      </c>
      <c r="H28" s="67">
        <f t="shared" si="13"/>
        <v>31908352.439272046</v>
      </c>
      <c r="I28" s="67">
        <f t="shared" si="13"/>
        <v>16140058.826927066</v>
      </c>
      <c r="J28" s="67">
        <f t="shared" si="13"/>
        <v>0</v>
      </c>
      <c r="K28" s="67">
        <f t="shared" si="13"/>
        <v>0</v>
      </c>
      <c r="L28" s="67">
        <f t="shared" si="13"/>
        <v>0</v>
      </c>
      <c r="M28" s="67">
        <f t="shared" si="13"/>
        <v>0</v>
      </c>
      <c r="N28" s="67">
        <f t="shared" si="13"/>
        <v>0</v>
      </c>
      <c r="O28" s="67">
        <f t="shared" si="13"/>
        <v>0</v>
      </c>
      <c r="P28" s="326">
        <f t="shared" si="8"/>
        <v>213167317.81494913</v>
      </c>
      <c r="Q28" s="2"/>
    </row>
    <row r="29" spans="1:17" x14ac:dyDescent="0.15">
      <c r="B29" s="340">
        <f>'After Tax Analysis'!B15</f>
        <v>8</v>
      </c>
      <c r="C29" s="12" t="str">
        <f>'After Tax Analysis'!C15</f>
        <v>Income taxes (at rate above)</v>
      </c>
      <c r="D29" s="67"/>
      <c r="E29" s="67">
        <f>-E28*$D$3</f>
        <v>-19817250</v>
      </c>
      <c r="F29" s="67">
        <f t="shared" ref="F29:O29" si="14">-F28*$D$3</f>
        <v>-16278832.500000007</v>
      </c>
      <c r="G29" s="67">
        <f t="shared" si="14"/>
        <v>-13439589.464624995</v>
      </c>
      <c r="H29" s="67">
        <f t="shared" si="14"/>
        <v>-9572505.7317816131</v>
      </c>
      <c r="I29" s="67">
        <f t="shared" si="14"/>
        <v>-4842017.6480781194</v>
      </c>
      <c r="J29" s="67">
        <f t="shared" si="14"/>
        <v>0</v>
      </c>
      <c r="K29" s="67">
        <f t="shared" si="14"/>
        <v>0</v>
      </c>
      <c r="L29" s="67">
        <f t="shared" si="14"/>
        <v>0</v>
      </c>
      <c r="M29" s="67">
        <f t="shared" si="14"/>
        <v>0</v>
      </c>
      <c r="N29" s="67">
        <f t="shared" si="14"/>
        <v>0</v>
      </c>
      <c r="O29" s="67">
        <f t="shared" si="14"/>
        <v>0</v>
      </c>
      <c r="P29" s="326">
        <f t="shared" si="8"/>
        <v>-63950195.344484739</v>
      </c>
      <c r="Q29" s="2"/>
    </row>
    <row r="30" spans="1:17" x14ac:dyDescent="0.15">
      <c r="B30" s="340">
        <f>'After Tax Analysis'!B16</f>
        <v>9</v>
      </c>
      <c r="C30" s="12" t="str">
        <f>'After Tax Analysis'!C16</f>
        <v>Investment Tax Credit For Year 1 (at rate above)</v>
      </c>
      <c r="D30" s="67"/>
      <c r="E30" s="67">
        <f>E170</f>
        <v>0</v>
      </c>
      <c r="F30" s="67">
        <f t="shared" ref="F30:O30" si="15">F170</f>
        <v>0</v>
      </c>
      <c r="G30" s="67">
        <f t="shared" si="15"/>
        <v>0</v>
      </c>
      <c r="H30" s="67">
        <f t="shared" si="15"/>
        <v>0</v>
      </c>
      <c r="I30" s="67">
        <f t="shared" si="15"/>
        <v>0</v>
      </c>
      <c r="J30" s="67">
        <f t="shared" si="15"/>
        <v>0</v>
      </c>
      <c r="K30" s="67">
        <f t="shared" si="15"/>
        <v>0</v>
      </c>
      <c r="L30" s="67">
        <f t="shared" si="15"/>
        <v>0</v>
      </c>
      <c r="M30" s="67">
        <f t="shared" si="15"/>
        <v>0</v>
      </c>
      <c r="N30" s="67">
        <f t="shared" si="15"/>
        <v>0</v>
      </c>
      <c r="O30" s="67">
        <f t="shared" si="15"/>
        <v>0</v>
      </c>
      <c r="P30" s="326">
        <f t="shared" si="8"/>
        <v>0</v>
      </c>
      <c r="Q30" s="2"/>
    </row>
    <row r="31" spans="1:17" x14ac:dyDescent="0.15">
      <c r="B31" s="340">
        <f>'After Tax Analysis'!B17</f>
        <v>10</v>
      </c>
      <c r="C31" s="12" t="str">
        <f>'After Tax Analysis'!C17</f>
        <v>Net Income AT (7-8+9)</v>
      </c>
      <c r="D31" s="67"/>
      <c r="E31" s="67">
        <f>E28+E29+E30</f>
        <v>46240250</v>
      </c>
      <c r="F31" s="67">
        <f t="shared" ref="F31:O31" si="16">F28+F29+F30</f>
        <v>37983942.500000022</v>
      </c>
      <c r="G31" s="67">
        <f t="shared" si="16"/>
        <v>31359042.08412499</v>
      </c>
      <c r="H31" s="67">
        <f t="shared" si="16"/>
        <v>22335846.707490433</v>
      </c>
      <c r="I31" s="67">
        <f t="shared" si="16"/>
        <v>11298041.178848946</v>
      </c>
      <c r="J31" s="67">
        <f t="shared" si="16"/>
        <v>0</v>
      </c>
      <c r="K31" s="67">
        <f t="shared" si="16"/>
        <v>0</v>
      </c>
      <c r="L31" s="67">
        <f t="shared" si="16"/>
        <v>0</v>
      </c>
      <c r="M31" s="67">
        <f t="shared" si="16"/>
        <v>0</v>
      </c>
      <c r="N31" s="67">
        <f t="shared" si="16"/>
        <v>0</v>
      </c>
      <c r="O31" s="67">
        <f t="shared" si="16"/>
        <v>0</v>
      </c>
      <c r="P31" s="326">
        <f t="shared" si="8"/>
        <v>149217122.47046441</v>
      </c>
      <c r="Q31" s="2"/>
    </row>
    <row r="32" spans="1:17" x14ac:dyDescent="0.15">
      <c r="B32" s="340" t="str">
        <f>'After Tax Analysis'!B18</f>
        <v>11 / "Expenses"</v>
      </c>
      <c r="C32" s="12" t="str">
        <f>'After Tax Analysis'!C18</f>
        <v>Depreciation</v>
      </c>
      <c r="D32" s="67"/>
      <c r="E32" s="67">
        <f>E172</f>
        <v>3772500</v>
      </c>
      <c r="F32" s="67">
        <f t="shared" ref="F32:O32" si="17">F172</f>
        <v>6218850</v>
      </c>
      <c r="G32" s="67">
        <f t="shared" si="17"/>
        <v>4083150</v>
      </c>
      <c r="H32" s="67">
        <f t="shared" si="17"/>
        <v>2775510</v>
      </c>
      <c r="I32" s="67">
        <f t="shared" si="17"/>
        <v>1352955</v>
      </c>
      <c r="J32" s="67">
        <f t="shared" si="17"/>
        <v>0</v>
      </c>
      <c r="K32" s="67">
        <f t="shared" si="17"/>
        <v>0</v>
      </c>
      <c r="L32" s="67">
        <f t="shared" si="17"/>
        <v>0</v>
      </c>
      <c r="M32" s="67">
        <f t="shared" si="17"/>
        <v>0</v>
      </c>
      <c r="N32" s="67">
        <f t="shared" si="17"/>
        <v>0</v>
      </c>
      <c r="O32" s="67">
        <f t="shared" si="17"/>
        <v>0</v>
      </c>
      <c r="P32" s="326">
        <f t="shared" si="8"/>
        <v>18202965</v>
      </c>
      <c r="Q32" s="2"/>
    </row>
    <row r="33" spans="1:20" x14ac:dyDescent="0.15">
      <c r="B33" s="340">
        <f>'After Tax Analysis'!B19</f>
        <v>12</v>
      </c>
      <c r="C33" s="12" t="str">
        <f>'After Tax Analysis'!C19</f>
        <v>Net C.F. from Oper.(10+11)</v>
      </c>
      <c r="D33" s="67"/>
      <c r="E33" s="67">
        <f>E31+E32</f>
        <v>50012750</v>
      </c>
      <c r="F33" s="67">
        <f t="shared" ref="F33:O33" si="18">F31+F32</f>
        <v>44202792.500000022</v>
      </c>
      <c r="G33" s="67">
        <f t="shared" si="18"/>
        <v>35442192.08412499</v>
      </c>
      <c r="H33" s="67">
        <f t="shared" si="18"/>
        <v>25111356.707490433</v>
      </c>
      <c r="I33" s="67">
        <f t="shared" si="18"/>
        <v>12650996.178848946</v>
      </c>
      <c r="J33" s="67">
        <f t="shared" si="18"/>
        <v>0</v>
      </c>
      <c r="K33" s="67">
        <f t="shared" si="18"/>
        <v>0</v>
      </c>
      <c r="L33" s="67">
        <f t="shared" si="18"/>
        <v>0</v>
      </c>
      <c r="M33" s="67">
        <f t="shared" si="18"/>
        <v>0</v>
      </c>
      <c r="N33" s="67">
        <f t="shared" si="18"/>
        <v>0</v>
      </c>
      <c r="O33" s="67">
        <f t="shared" si="18"/>
        <v>0</v>
      </c>
      <c r="P33" s="326">
        <f t="shared" si="8"/>
        <v>167420087.47046441</v>
      </c>
      <c r="Q33" s="2"/>
    </row>
    <row r="34" spans="1:20" x14ac:dyDescent="0.15">
      <c r="B34" s="340" t="str">
        <f>'After Tax Analysis'!B20</f>
        <v>13 / "Loan Amortization"</v>
      </c>
      <c r="C34" s="12" t="str">
        <f>'After Tax Analysis'!C20</f>
        <v>Principal Repayment</v>
      </c>
      <c r="D34" s="67">
        <v>0</v>
      </c>
      <c r="E34" s="67">
        <f t="shared" ref="E34:N34" si="19">E174</f>
        <v>0</v>
      </c>
      <c r="F34" s="67">
        <f t="shared" si="19"/>
        <v>0</v>
      </c>
      <c r="G34" s="67">
        <f t="shared" si="19"/>
        <v>0</v>
      </c>
      <c r="H34" s="67">
        <f t="shared" si="19"/>
        <v>0</v>
      </c>
      <c r="I34" s="67">
        <f t="shared" si="19"/>
        <v>0</v>
      </c>
      <c r="J34" s="67">
        <f t="shared" si="19"/>
        <v>0</v>
      </c>
      <c r="K34" s="67">
        <f t="shared" si="19"/>
        <v>0</v>
      </c>
      <c r="L34" s="67">
        <f t="shared" si="19"/>
        <v>0</v>
      </c>
      <c r="M34" s="67">
        <f t="shared" si="19"/>
        <v>0</v>
      </c>
      <c r="N34" s="67">
        <f t="shared" si="19"/>
        <v>0</v>
      </c>
      <c r="O34" s="67">
        <f>'After Tax Analysis'!O20</f>
        <v>0</v>
      </c>
      <c r="P34" s="326">
        <f t="shared" si="8"/>
        <v>0</v>
      </c>
      <c r="Q34" s="2"/>
    </row>
    <row r="35" spans="1:20" x14ac:dyDescent="0.15">
      <c r="B35" s="340">
        <f>'After Tax Analysis'!B21</f>
        <v>14</v>
      </c>
      <c r="C35" s="12" t="str">
        <f>'After Tax Analysis'!C21</f>
        <v>Equity Capital (14a+14b+14c)</v>
      </c>
      <c r="D35" s="67">
        <f>'After Tax Analysis'!D21</f>
        <v>-32550000</v>
      </c>
      <c r="E35" s="67">
        <f t="shared" ref="E35:N35" si="20">E175</f>
        <v>0</v>
      </c>
      <c r="F35" s="67">
        <f t="shared" si="20"/>
        <v>0</v>
      </c>
      <c r="G35" s="67">
        <f t="shared" si="20"/>
        <v>0</v>
      </c>
      <c r="H35" s="67">
        <f t="shared" si="20"/>
        <v>0</v>
      </c>
      <c r="I35" s="67">
        <f t="shared" si="20"/>
        <v>14347035</v>
      </c>
      <c r="J35" s="67">
        <f t="shared" si="20"/>
        <v>0</v>
      </c>
      <c r="K35" s="67">
        <f t="shared" si="20"/>
        <v>0</v>
      </c>
      <c r="L35" s="67">
        <f t="shared" si="20"/>
        <v>0</v>
      </c>
      <c r="M35" s="67">
        <f t="shared" si="20"/>
        <v>0</v>
      </c>
      <c r="N35" s="67">
        <f t="shared" si="20"/>
        <v>0</v>
      </c>
      <c r="O35" s="67">
        <f>'After Tax Analysis'!O21</f>
        <v>0</v>
      </c>
      <c r="P35" s="326">
        <f t="shared" si="8"/>
        <v>-18202965</v>
      </c>
      <c r="Q35" s="2"/>
    </row>
    <row r="36" spans="1:20" x14ac:dyDescent="0.15">
      <c r="B36" s="340" t="str">
        <f>'After Tax Analysis'!B22</f>
        <v>14a / "Capital &amp; Depr"</v>
      </c>
      <c r="C36" s="12" t="str">
        <f>'After Tax Analysis'!C22</f>
        <v>Depreciable Capital</v>
      </c>
      <c r="D36" s="67">
        <f>'After Tax Analysis'!D22</f>
        <v>-31050000</v>
      </c>
      <c r="E36" s="67">
        <f t="shared" ref="E36:N36" si="21">E176</f>
        <v>0</v>
      </c>
      <c r="F36" s="67">
        <f t="shared" si="21"/>
        <v>0</v>
      </c>
      <c r="G36" s="67">
        <f t="shared" si="21"/>
        <v>0</v>
      </c>
      <c r="H36" s="67">
        <f t="shared" si="21"/>
        <v>0</v>
      </c>
      <c r="I36" s="67">
        <f t="shared" si="21"/>
        <v>12847035</v>
      </c>
      <c r="J36" s="67">
        <f t="shared" si="21"/>
        <v>0</v>
      </c>
      <c r="K36" s="67">
        <f t="shared" si="21"/>
        <v>0</v>
      </c>
      <c r="L36" s="67">
        <f t="shared" si="21"/>
        <v>0</v>
      </c>
      <c r="M36" s="67">
        <f t="shared" si="21"/>
        <v>0</v>
      </c>
      <c r="N36" s="67">
        <f t="shared" si="21"/>
        <v>0</v>
      </c>
      <c r="O36" s="67">
        <f>'After Tax Analysis'!O22</f>
        <v>0</v>
      </c>
      <c r="P36" s="326">
        <f t="shared" si="8"/>
        <v>-18202965</v>
      </c>
      <c r="Q36" s="2"/>
    </row>
    <row r="37" spans="1:20" x14ac:dyDescent="0.15">
      <c r="B37" s="340" t="str">
        <f>'After Tax Analysis'!B23</f>
        <v>14b / "Capital &amp; Depr"</v>
      </c>
      <c r="C37" s="12" t="str">
        <f>'After Tax Analysis'!C23</f>
        <v>Non-depreciable capital</v>
      </c>
      <c r="D37" s="67">
        <f>'After Tax Analysis'!D23</f>
        <v>-1500000</v>
      </c>
      <c r="E37" s="67">
        <f t="shared" ref="E37:N37" si="22">E177</f>
        <v>0</v>
      </c>
      <c r="F37" s="67">
        <f t="shared" si="22"/>
        <v>0</v>
      </c>
      <c r="G37" s="67">
        <f t="shared" si="22"/>
        <v>0</v>
      </c>
      <c r="H37" s="67">
        <f t="shared" si="22"/>
        <v>0</v>
      </c>
      <c r="I37" s="67">
        <f t="shared" si="22"/>
        <v>1500000</v>
      </c>
      <c r="J37" s="67">
        <f t="shared" si="22"/>
        <v>0</v>
      </c>
      <c r="K37" s="67">
        <f t="shared" si="22"/>
        <v>0</v>
      </c>
      <c r="L37" s="67">
        <f t="shared" si="22"/>
        <v>0</v>
      </c>
      <c r="M37" s="67">
        <f t="shared" si="22"/>
        <v>0</v>
      </c>
      <c r="N37" s="67">
        <f t="shared" si="22"/>
        <v>0</v>
      </c>
      <c r="O37" s="67">
        <f>'After Tax Analysis'!O23</f>
        <v>0</v>
      </c>
      <c r="P37" s="326">
        <f t="shared" si="8"/>
        <v>0</v>
      </c>
      <c r="Q37" s="2"/>
    </row>
    <row r="38" spans="1:20" x14ac:dyDescent="0.15">
      <c r="B38" s="340" t="str">
        <f>'After Tax Analysis'!B24</f>
        <v>14c / "Capital &amp; Depr"</v>
      </c>
      <c r="C38" s="12" t="str">
        <f>'After Tax Analysis'!C24</f>
        <v>Loan Proceeds</v>
      </c>
      <c r="D38" s="67">
        <f>'After Tax Analysis'!D24</f>
        <v>0</v>
      </c>
      <c r="E38" s="67">
        <f t="shared" ref="E38:N38" si="23">E178</f>
        <v>0</v>
      </c>
      <c r="F38" s="67">
        <f t="shared" si="23"/>
        <v>0</v>
      </c>
      <c r="G38" s="67">
        <f t="shared" si="23"/>
        <v>0</v>
      </c>
      <c r="H38" s="67">
        <f t="shared" si="23"/>
        <v>0</v>
      </c>
      <c r="I38" s="67">
        <f t="shared" si="23"/>
        <v>0</v>
      </c>
      <c r="J38" s="67">
        <f t="shared" si="23"/>
        <v>0</v>
      </c>
      <c r="K38" s="67">
        <f t="shared" si="23"/>
        <v>0</v>
      </c>
      <c r="L38" s="67">
        <f t="shared" si="23"/>
        <v>0</v>
      </c>
      <c r="M38" s="67">
        <f t="shared" si="23"/>
        <v>0</v>
      </c>
      <c r="N38" s="67">
        <f t="shared" si="23"/>
        <v>0</v>
      </c>
      <c r="O38" s="67">
        <f>'After Tax Analysis'!O24</f>
        <v>0</v>
      </c>
      <c r="P38" s="326">
        <f t="shared" si="8"/>
        <v>0</v>
      </c>
      <c r="Q38" s="2"/>
    </row>
    <row r="39" spans="1:20" x14ac:dyDescent="0.15">
      <c r="B39" s="340" t="str">
        <f>'After Tax Analysis'!B25</f>
        <v>15 / "Capital Gains Wksht"</v>
      </c>
      <c r="C39" s="12" t="str">
        <f>'After Tax Analysis'!C25</f>
        <v>Capital Gains/Losses</v>
      </c>
      <c r="D39" s="67">
        <f>'After Tax Analysis'!D25</f>
        <v>0</v>
      </c>
      <c r="E39" s="67">
        <f t="shared" ref="E39:N39" si="24">E179</f>
        <v>0</v>
      </c>
      <c r="F39" s="67">
        <f t="shared" si="24"/>
        <v>0</v>
      </c>
      <c r="G39" s="67">
        <f t="shared" si="24"/>
        <v>0</v>
      </c>
      <c r="H39" s="67">
        <f t="shared" si="24"/>
        <v>0</v>
      </c>
      <c r="I39" s="67">
        <f t="shared" si="24"/>
        <v>-2596968.7000000002</v>
      </c>
      <c r="J39" s="67">
        <f t="shared" si="24"/>
        <v>0</v>
      </c>
      <c r="K39" s="67">
        <f t="shared" si="24"/>
        <v>0</v>
      </c>
      <c r="L39" s="67">
        <f t="shared" si="24"/>
        <v>0</v>
      </c>
      <c r="M39" s="67">
        <f t="shared" si="24"/>
        <v>0</v>
      </c>
      <c r="N39" s="67">
        <f t="shared" si="24"/>
        <v>0</v>
      </c>
      <c r="O39" s="67">
        <f>'After Tax Analysis'!O25</f>
        <v>0</v>
      </c>
      <c r="P39" s="326">
        <f t="shared" si="8"/>
        <v>-2596968.7000000002</v>
      </c>
      <c r="Q39" s="2"/>
    </row>
    <row r="40" spans="1:20" ht="14" thickBot="1" x14ac:dyDescent="0.2">
      <c r="B40" s="340" t="str">
        <f>'After Tax Analysis'!B26</f>
        <v>16 / "Initial Inputs"</v>
      </c>
      <c r="C40" s="12" t="str">
        <f>'After Tax Analysis'!C26</f>
        <v>Working Capital</v>
      </c>
      <c r="D40" s="67">
        <f>'After Tax Analysis'!D26</f>
        <v>-60000000</v>
      </c>
      <c r="E40" s="67">
        <f t="shared" ref="E40:N40" si="25">E180</f>
        <v>0</v>
      </c>
      <c r="F40" s="67">
        <f t="shared" si="25"/>
        <v>0</v>
      </c>
      <c r="G40" s="67">
        <f t="shared" si="25"/>
        <v>0</v>
      </c>
      <c r="H40" s="67">
        <f t="shared" si="25"/>
        <v>0</v>
      </c>
      <c r="I40" s="67">
        <f t="shared" si="25"/>
        <v>60000000</v>
      </c>
      <c r="J40" s="67">
        <f t="shared" si="25"/>
        <v>0</v>
      </c>
      <c r="K40" s="67">
        <f t="shared" si="25"/>
        <v>0</v>
      </c>
      <c r="L40" s="67">
        <f t="shared" si="25"/>
        <v>0</v>
      </c>
      <c r="M40" s="67">
        <f t="shared" si="25"/>
        <v>0</v>
      </c>
      <c r="N40" s="67">
        <f t="shared" si="25"/>
        <v>0</v>
      </c>
      <c r="O40" s="67">
        <f>'After Tax Analysis'!O26</f>
        <v>0</v>
      </c>
      <c r="P40" s="326">
        <f t="shared" si="8"/>
        <v>0</v>
      </c>
      <c r="Q40" s="2"/>
    </row>
    <row r="41" spans="1:20" ht="14" thickBot="1" x14ac:dyDescent="0.2">
      <c r="B41" s="340">
        <f>'After Tax Analysis'!B27</f>
        <v>17</v>
      </c>
      <c r="C41" s="12" t="str">
        <f>'After Tax Analysis'!C27</f>
        <v>Net Capital Cash Flow (13+14a+14b+14c+15+16)</v>
      </c>
      <c r="D41" s="67">
        <f>'After Tax Analysis'!D27</f>
        <v>-92550000</v>
      </c>
      <c r="E41" s="67">
        <f t="shared" ref="E41:N41" si="26">E181</f>
        <v>0</v>
      </c>
      <c r="F41" s="67">
        <f t="shared" si="26"/>
        <v>0</v>
      </c>
      <c r="G41" s="67">
        <f t="shared" si="26"/>
        <v>0</v>
      </c>
      <c r="H41" s="67">
        <f t="shared" si="26"/>
        <v>0</v>
      </c>
      <c r="I41" s="67">
        <f t="shared" si="26"/>
        <v>71750066.299999997</v>
      </c>
      <c r="J41" s="67">
        <f t="shared" si="26"/>
        <v>0</v>
      </c>
      <c r="K41" s="67">
        <f t="shared" si="26"/>
        <v>0</v>
      </c>
      <c r="L41" s="67">
        <f t="shared" si="26"/>
        <v>0</v>
      </c>
      <c r="M41" s="67">
        <f t="shared" si="26"/>
        <v>0</v>
      </c>
      <c r="N41" s="67">
        <f t="shared" si="26"/>
        <v>0</v>
      </c>
      <c r="O41" s="67">
        <f>'After Tax Analysis'!O27</f>
        <v>0</v>
      </c>
      <c r="P41" s="326">
        <f t="shared" si="8"/>
        <v>-20799933.700000003</v>
      </c>
      <c r="Q41" s="461"/>
      <c r="R41" s="357" t="s">
        <v>693</v>
      </c>
      <c r="T41" s="334"/>
    </row>
    <row r="42" spans="1:20" ht="14" thickBot="1" x14ac:dyDescent="0.2">
      <c r="A42" s="1" t="s">
        <v>688</v>
      </c>
      <c r="B42" s="355">
        <f>'After Tax Analysis'!B28</f>
        <v>18</v>
      </c>
      <c r="C42" s="335" t="str">
        <f>'After Tax Analysis'!C28</f>
        <v>Total Cash Flow (12+17)</v>
      </c>
      <c r="D42" s="331">
        <f>D41+D33</f>
        <v>-92550000</v>
      </c>
      <c r="E42" s="331">
        <f t="shared" ref="E42:N42" si="27">E41+E33</f>
        <v>50012750</v>
      </c>
      <c r="F42" s="331">
        <f t="shared" si="27"/>
        <v>44202792.500000022</v>
      </c>
      <c r="G42" s="331">
        <f t="shared" si="27"/>
        <v>35442192.08412499</v>
      </c>
      <c r="H42" s="331">
        <f t="shared" si="27"/>
        <v>25111356.707490433</v>
      </c>
      <c r="I42" s="331">
        <f t="shared" si="27"/>
        <v>84401062.478848949</v>
      </c>
      <c r="J42" s="331">
        <f t="shared" si="27"/>
        <v>0</v>
      </c>
      <c r="K42" s="331">
        <f t="shared" si="27"/>
        <v>0</v>
      </c>
      <c r="L42" s="331">
        <f t="shared" si="27"/>
        <v>0</v>
      </c>
      <c r="M42" s="331">
        <f t="shared" si="27"/>
        <v>0</v>
      </c>
      <c r="N42" s="331">
        <f t="shared" si="27"/>
        <v>0</v>
      </c>
      <c r="O42" s="331">
        <f>'After Tax Analysis'!O28</f>
        <v>0</v>
      </c>
      <c r="P42" s="356">
        <f>SUM(D42:N42)</f>
        <v>146620153.77046439</v>
      </c>
      <c r="Q42" s="463"/>
      <c r="R42" s="358">
        <f>IF(ISNUMBER(IRR(D42:N42)),IRR(D42:N42),"NMF")</f>
        <v>0.40549033935008683</v>
      </c>
      <c r="S42" s="1" t="s">
        <v>688</v>
      </c>
    </row>
    <row r="43" spans="1:20" x14ac:dyDescent="0.15">
      <c r="S43" s="2"/>
    </row>
    <row r="44" spans="1:20" ht="14" thickBot="1" x14ac:dyDescent="0.2">
      <c r="S44" s="2"/>
    </row>
    <row r="45" spans="1:20" ht="14" thickBot="1" x14ac:dyDescent="0.2">
      <c r="B45" s="359" t="s">
        <v>282</v>
      </c>
      <c r="C45" s="360" t="s">
        <v>283</v>
      </c>
      <c r="D45" s="360"/>
      <c r="E45" s="360">
        <v>1</v>
      </c>
      <c r="F45" s="360">
        <v>2</v>
      </c>
      <c r="G45" s="360">
        <v>3</v>
      </c>
      <c r="H45" s="360">
        <v>4</v>
      </c>
      <c r="I45" s="360">
        <v>5</v>
      </c>
      <c r="J45" s="360">
        <v>6</v>
      </c>
      <c r="K45" s="360">
        <v>7</v>
      </c>
      <c r="L45" s="360">
        <v>8</v>
      </c>
      <c r="M45" s="360">
        <v>9</v>
      </c>
      <c r="N45" s="360">
        <v>10</v>
      </c>
      <c r="O45" s="360" t="s">
        <v>284</v>
      </c>
      <c r="P45" s="361" t="s">
        <v>285</v>
      </c>
      <c r="S45" s="2"/>
    </row>
    <row r="46" spans="1:20" x14ac:dyDescent="0.15">
      <c r="B46" s="339" t="s">
        <v>687</v>
      </c>
      <c r="C46" s="302" t="s">
        <v>287</v>
      </c>
      <c r="D46" s="322">
        <f t="shared" ref="D46:D61" si="28">D158</f>
        <v>0</v>
      </c>
      <c r="E46" s="322">
        <f t="shared" ref="E46:N46" si="29">E158</f>
        <v>300000000</v>
      </c>
      <c r="F46" s="322">
        <f t="shared" si="29"/>
        <v>313500000.00000006</v>
      </c>
      <c r="G46" s="322">
        <f t="shared" si="29"/>
        <v>327607500.00000006</v>
      </c>
      <c r="H46" s="322">
        <f t="shared" si="29"/>
        <v>342349837.50000012</v>
      </c>
      <c r="I46" s="322">
        <f t="shared" si="29"/>
        <v>357755580.18750012</v>
      </c>
      <c r="J46" s="322">
        <f t="shared" si="29"/>
        <v>0</v>
      </c>
      <c r="K46" s="322">
        <f t="shared" si="29"/>
        <v>0</v>
      </c>
      <c r="L46" s="322">
        <f t="shared" si="29"/>
        <v>0</v>
      </c>
      <c r="M46" s="322">
        <f t="shared" si="29"/>
        <v>0</v>
      </c>
      <c r="N46" s="322">
        <f t="shared" si="29"/>
        <v>0</v>
      </c>
      <c r="O46" s="322">
        <v>0</v>
      </c>
      <c r="P46" s="325">
        <f>SUM(D46:N46)</f>
        <v>1641212917.6875</v>
      </c>
      <c r="Q46" s="2"/>
      <c r="S46" s="2"/>
    </row>
    <row r="47" spans="1:20" x14ac:dyDescent="0.15">
      <c r="A47" s="1" t="s">
        <v>694</v>
      </c>
      <c r="B47" s="340" t="s">
        <v>689</v>
      </c>
      <c r="C47" s="354" t="s">
        <v>689</v>
      </c>
      <c r="D47" s="67">
        <f t="shared" si="28"/>
        <v>0</v>
      </c>
      <c r="E47" s="67">
        <f>E159</f>
        <v>300000000</v>
      </c>
      <c r="F47" s="67">
        <f t="shared" ref="F47:N47" si="30">F159</f>
        <v>313500000.00000006</v>
      </c>
      <c r="G47" s="67">
        <f t="shared" si="30"/>
        <v>327607500.00000006</v>
      </c>
      <c r="H47" s="67">
        <f t="shared" si="30"/>
        <v>342349837.50000012</v>
      </c>
      <c r="I47" s="67">
        <f t="shared" si="30"/>
        <v>357755580.18750012</v>
      </c>
      <c r="J47" s="67">
        <f t="shared" si="30"/>
        <v>0</v>
      </c>
      <c r="K47" s="67">
        <f t="shared" si="30"/>
        <v>0</v>
      </c>
      <c r="L47" s="67">
        <f t="shared" si="30"/>
        <v>0</v>
      </c>
      <c r="M47" s="67">
        <f t="shared" si="30"/>
        <v>0</v>
      </c>
      <c r="N47" s="67">
        <f t="shared" si="30"/>
        <v>0</v>
      </c>
      <c r="O47" s="67"/>
      <c r="P47" s="326">
        <f>SUM(D47:N47)</f>
        <v>1641212917.6875</v>
      </c>
      <c r="Q47" s="2"/>
      <c r="S47" s="2"/>
    </row>
    <row r="48" spans="1:20" x14ac:dyDescent="0.15">
      <c r="B48" s="340" t="s">
        <v>690</v>
      </c>
      <c r="C48" s="354" t="s">
        <v>690</v>
      </c>
      <c r="D48" s="67">
        <f t="shared" si="28"/>
        <v>0</v>
      </c>
      <c r="E48" s="67">
        <f>E160</f>
        <v>0</v>
      </c>
      <c r="F48" s="67">
        <f t="shared" ref="F48:N48" si="31">F160</f>
        <v>0</v>
      </c>
      <c r="G48" s="67">
        <f t="shared" si="31"/>
        <v>0</v>
      </c>
      <c r="H48" s="67">
        <f t="shared" si="31"/>
        <v>0</v>
      </c>
      <c r="I48" s="67">
        <f t="shared" si="31"/>
        <v>0</v>
      </c>
      <c r="J48" s="67">
        <f t="shared" si="31"/>
        <v>0</v>
      </c>
      <c r="K48" s="67">
        <f t="shared" si="31"/>
        <v>0</v>
      </c>
      <c r="L48" s="67">
        <f t="shared" si="31"/>
        <v>0</v>
      </c>
      <c r="M48" s="67">
        <f t="shared" si="31"/>
        <v>0</v>
      </c>
      <c r="N48" s="67">
        <f t="shared" si="31"/>
        <v>0</v>
      </c>
      <c r="O48" s="294"/>
      <c r="P48" s="326">
        <f>SUM(D48:N48)</f>
        <v>0</v>
      </c>
      <c r="Q48" s="2"/>
      <c r="S48" s="2"/>
    </row>
    <row r="49" spans="2:19" x14ac:dyDescent="0.15">
      <c r="B49" s="355" t="s">
        <v>691</v>
      </c>
      <c r="C49" s="362" t="s">
        <v>691</v>
      </c>
      <c r="D49" s="331">
        <f t="shared" si="28"/>
        <v>0</v>
      </c>
      <c r="E49" s="331">
        <f>E161*0.8</f>
        <v>0</v>
      </c>
      <c r="F49" s="331">
        <f t="shared" ref="F49:N49" si="32">F161*0.8</f>
        <v>0</v>
      </c>
      <c r="G49" s="331">
        <f t="shared" si="32"/>
        <v>0</v>
      </c>
      <c r="H49" s="331">
        <f t="shared" si="32"/>
        <v>0</v>
      </c>
      <c r="I49" s="331">
        <f t="shared" si="32"/>
        <v>0</v>
      </c>
      <c r="J49" s="331">
        <f t="shared" si="32"/>
        <v>0</v>
      </c>
      <c r="K49" s="331">
        <f t="shared" si="32"/>
        <v>0</v>
      </c>
      <c r="L49" s="331">
        <f t="shared" si="32"/>
        <v>0</v>
      </c>
      <c r="M49" s="331">
        <f t="shared" si="32"/>
        <v>0</v>
      </c>
      <c r="N49" s="331">
        <f t="shared" si="32"/>
        <v>0</v>
      </c>
      <c r="O49" s="331"/>
      <c r="P49" s="356">
        <f>SUM(D49:N49)</f>
        <v>0</v>
      </c>
      <c r="Q49" s="460"/>
      <c r="S49" s="2"/>
    </row>
    <row r="50" spans="2:19" x14ac:dyDescent="0.15">
      <c r="B50" s="340" t="s">
        <v>695</v>
      </c>
      <c r="C50" s="12"/>
      <c r="D50" s="67">
        <f t="shared" si="28"/>
        <v>0</v>
      </c>
      <c r="E50" s="67">
        <f>E49+E48+E47</f>
        <v>300000000</v>
      </c>
      <c r="F50" s="67">
        <f t="shared" ref="F50:N50" si="33">F49+F48+F47</f>
        <v>313500000.00000006</v>
      </c>
      <c r="G50" s="67">
        <f t="shared" si="33"/>
        <v>327607500.00000006</v>
      </c>
      <c r="H50" s="67">
        <f t="shared" si="33"/>
        <v>342349837.50000012</v>
      </c>
      <c r="I50" s="67">
        <f t="shared" si="33"/>
        <v>357755580.18750012</v>
      </c>
      <c r="J50" s="67">
        <f t="shared" si="33"/>
        <v>0</v>
      </c>
      <c r="K50" s="67">
        <f t="shared" si="33"/>
        <v>0</v>
      </c>
      <c r="L50" s="67">
        <f t="shared" si="33"/>
        <v>0</v>
      </c>
      <c r="M50" s="67">
        <f t="shared" si="33"/>
        <v>0</v>
      </c>
      <c r="N50" s="67">
        <f t="shared" si="33"/>
        <v>0</v>
      </c>
      <c r="O50" s="67"/>
      <c r="P50" s="326">
        <f>SUM(D50:N50)</f>
        <v>1641212917.6875</v>
      </c>
      <c r="Q50" s="2"/>
      <c r="S50" s="2"/>
    </row>
    <row r="51" spans="2:19" x14ac:dyDescent="0.15">
      <c r="B51" s="340" t="s">
        <v>696</v>
      </c>
      <c r="C51" s="12" t="s">
        <v>289</v>
      </c>
      <c r="D51" s="67">
        <f t="shared" si="28"/>
        <v>0</v>
      </c>
      <c r="E51" s="67">
        <f t="shared" ref="E51:N51" si="34">E163</f>
        <v>230170000</v>
      </c>
      <c r="F51" s="67">
        <f t="shared" si="34"/>
        <v>253018375.00000003</v>
      </c>
      <c r="G51" s="67">
        <f t="shared" si="34"/>
        <v>278725718.45125008</v>
      </c>
      <c r="H51" s="67">
        <f t="shared" si="34"/>
        <v>307665975.06072807</v>
      </c>
      <c r="I51" s="67">
        <f t="shared" si="34"/>
        <v>340262566.36057305</v>
      </c>
      <c r="J51" s="67">
        <f t="shared" si="34"/>
        <v>0</v>
      </c>
      <c r="K51" s="67">
        <f t="shared" si="34"/>
        <v>0</v>
      </c>
      <c r="L51" s="67">
        <f t="shared" si="34"/>
        <v>0</v>
      </c>
      <c r="M51" s="67">
        <f t="shared" si="34"/>
        <v>0</v>
      </c>
      <c r="N51" s="67">
        <f t="shared" si="34"/>
        <v>0</v>
      </c>
      <c r="O51" s="67">
        <v>0</v>
      </c>
      <c r="P51" s="326">
        <f t="shared" ref="P51:P69" si="35">SUM(D51:N51)</f>
        <v>1409842634.8725512</v>
      </c>
      <c r="Q51" s="2"/>
      <c r="S51" s="2"/>
    </row>
    <row r="52" spans="2:19" x14ac:dyDescent="0.15">
      <c r="B52" s="340">
        <v>3</v>
      </c>
      <c r="C52" s="12" t="s">
        <v>290</v>
      </c>
      <c r="D52" s="67">
        <f t="shared" si="28"/>
        <v>0</v>
      </c>
      <c r="E52" s="67">
        <f>E50-E51</f>
        <v>69830000</v>
      </c>
      <c r="F52" s="67">
        <f t="shared" ref="F52:N52" si="36">F50-F51</f>
        <v>60481625.00000003</v>
      </c>
      <c r="G52" s="67">
        <f t="shared" si="36"/>
        <v>48881781.548749983</v>
      </c>
      <c r="H52" s="67">
        <f t="shared" si="36"/>
        <v>34683862.439272046</v>
      </c>
      <c r="I52" s="67">
        <f t="shared" si="36"/>
        <v>17493013.826927066</v>
      </c>
      <c r="J52" s="67">
        <f t="shared" si="36"/>
        <v>0</v>
      </c>
      <c r="K52" s="67">
        <f t="shared" si="36"/>
        <v>0</v>
      </c>
      <c r="L52" s="67">
        <f t="shared" si="36"/>
        <v>0</v>
      </c>
      <c r="M52" s="67">
        <f t="shared" si="36"/>
        <v>0</v>
      </c>
      <c r="N52" s="67">
        <f t="shared" si="36"/>
        <v>0</v>
      </c>
      <c r="O52" s="67">
        <v>0</v>
      </c>
      <c r="P52" s="326">
        <f t="shared" si="35"/>
        <v>231370282.81494913</v>
      </c>
      <c r="Q52" s="2"/>
      <c r="S52" s="2"/>
    </row>
    <row r="53" spans="2:19" x14ac:dyDescent="0.15">
      <c r="B53" s="340" t="s">
        <v>697</v>
      </c>
      <c r="C53" s="12" t="s">
        <v>292</v>
      </c>
      <c r="D53" s="67">
        <f t="shared" si="28"/>
        <v>0</v>
      </c>
      <c r="E53" s="67">
        <f>E165</f>
        <v>3772500</v>
      </c>
      <c r="F53" s="67">
        <f t="shared" ref="F53:N53" si="37">F165</f>
        <v>6218850</v>
      </c>
      <c r="G53" s="67">
        <f t="shared" si="37"/>
        <v>4083150</v>
      </c>
      <c r="H53" s="67">
        <f t="shared" si="37"/>
        <v>2775510</v>
      </c>
      <c r="I53" s="67">
        <f t="shared" si="37"/>
        <v>1352955</v>
      </c>
      <c r="J53" s="67">
        <f t="shared" si="37"/>
        <v>0</v>
      </c>
      <c r="K53" s="67">
        <f t="shared" si="37"/>
        <v>0</v>
      </c>
      <c r="L53" s="67">
        <f t="shared" si="37"/>
        <v>0</v>
      </c>
      <c r="M53" s="67">
        <f t="shared" si="37"/>
        <v>0</v>
      </c>
      <c r="N53" s="67">
        <f t="shared" si="37"/>
        <v>0</v>
      </c>
      <c r="O53" s="67">
        <v>0</v>
      </c>
      <c r="P53" s="326">
        <f t="shared" si="35"/>
        <v>18202965</v>
      </c>
      <c r="Q53" s="2"/>
      <c r="S53" s="2"/>
    </row>
    <row r="54" spans="2:19" x14ac:dyDescent="0.15">
      <c r="B54" s="340">
        <v>5</v>
      </c>
      <c r="C54" s="12" t="s">
        <v>293</v>
      </c>
      <c r="D54" s="67">
        <f t="shared" si="28"/>
        <v>0</v>
      </c>
      <c r="E54" s="67">
        <f>E52-E53</f>
        <v>66057500</v>
      </c>
      <c r="F54" s="67">
        <f t="shared" ref="F54:N54" si="38">F52-F53</f>
        <v>54262775.00000003</v>
      </c>
      <c r="G54" s="67">
        <f t="shared" si="38"/>
        <v>44798631.548749983</v>
      </c>
      <c r="H54" s="67">
        <f t="shared" si="38"/>
        <v>31908352.439272046</v>
      </c>
      <c r="I54" s="67">
        <f t="shared" si="38"/>
        <v>16140058.826927066</v>
      </c>
      <c r="J54" s="67">
        <f t="shared" si="38"/>
        <v>0</v>
      </c>
      <c r="K54" s="67">
        <f t="shared" si="38"/>
        <v>0</v>
      </c>
      <c r="L54" s="67">
        <f t="shared" si="38"/>
        <v>0</v>
      </c>
      <c r="M54" s="67">
        <f t="shared" si="38"/>
        <v>0</v>
      </c>
      <c r="N54" s="67">
        <f t="shared" si="38"/>
        <v>0</v>
      </c>
      <c r="O54" s="67">
        <v>0</v>
      </c>
      <c r="P54" s="326">
        <f t="shared" si="35"/>
        <v>213167317.81494913</v>
      </c>
      <c r="Q54" s="2"/>
      <c r="S54" s="2"/>
    </row>
    <row r="55" spans="2:19" x14ac:dyDescent="0.15">
      <c r="B55" s="340" t="s">
        <v>698</v>
      </c>
      <c r="C55" s="12" t="s">
        <v>295</v>
      </c>
      <c r="D55" s="67">
        <f t="shared" si="28"/>
        <v>0</v>
      </c>
      <c r="E55" s="67">
        <f>E167</f>
        <v>0</v>
      </c>
      <c r="F55" s="67">
        <f t="shared" ref="F55:N55" si="39">F167</f>
        <v>0</v>
      </c>
      <c r="G55" s="67">
        <f t="shared" si="39"/>
        <v>0</v>
      </c>
      <c r="H55" s="67">
        <f t="shared" si="39"/>
        <v>0</v>
      </c>
      <c r="I55" s="67">
        <f t="shared" si="39"/>
        <v>0</v>
      </c>
      <c r="J55" s="67">
        <f t="shared" si="39"/>
        <v>0</v>
      </c>
      <c r="K55" s="67">
        <f t="shared" si="39"/>
        <v>0</v>
      </c>
      <c r="L55" s="67">
        <f t="shared" si="39"/>
        <v>0</v>
      </c>
      <c r="M55" s="67">
        <f t="shared" si="39"/>
        <v>0</v>
      </c>
      <c r="N55" s="67">
        <f t="shared" si="39"/>
        <v>0</v>
      </c>
      <c r="O55" s="67">
        <v>0</v>
      </c>
      <c r="P55" s="326">
        <f t="shared" si="35"/>
        <v>0</v>
      </c>
      <c r="Q55" s="2"/>
      <c r="S55" s="2"/>
    </row>
    <row r="56" spans="2:19" x14ac:dyDescent="0.15">
      <c r="B56" s="340">
        <v>7</v>
      </c>
      <c r="C56" s="12" t="s">
        <v>296</v>
      </c>
      <c r="D56" s="67">
        <f t="shared" si="28"/>
        <v>0</v>
      </c>
      <c r="E56" s="67">
        <f>E54-E55</f>
        <v>66057500</v>
      </c>
      <c r="F56" s="67">
        <f t="shared" ref="F56:N56" si="40">F54-F55</f>
        <v>54262775.00000003</v>
      </c>
      <c r="G56" s="67">
        <f t="shared" si="40"/>
        <v>44798631.548749983</v>
      </c>
      <c r="H56" s="67">
        <f t="shared" si="40"/>
        <v>31908352.439272046</v>
      </c>
      <c r="I56" s="67">
        <f t="shared" si="40"/>
        <v>16140058.826927066</v>
      </c>
      <c r="J56" s="67">
        <f t="shared" si="40"/>
        <v>0</v>
      </c>
      <c r="K56" s="67">
        <f t="shared" si="40"/>
        <v>0</v>
      </c>
      <c r="L56" s="67">
        <f t="shared" si="40"/>
        <v>0</v>
      </c>
      <c r="M56" s="67">
        <f t="shared" si="40"/>
        <v>0</v>
      </c>
      <c r="N56" s="67">
        <f t="shared" si="40"/>
        <v>0</v>
      </c>
      <c r="O56" s="67">
        <v>0</v>
      </c>
      <c r="P56" s="326">
        <f t="shared" si="35"/>
        <v>213167317.81494913</v>
      </c>
      <c r="Q56" s="2"/>
      <c r="S56" s="2"/>
    </row>
    <row r="57" spans="2:19" x14ac:dyDescent="0.15">
      <c r="B57" s="340">
        <v>8</v>
      </c>
      <c r="C57" s="12" t="s">
        <v>297</v>
      </c>
      <c r="D57" s="67">
        <f t="shared" si="28"/>
        <v>0</v>
      </c>
      <c r="E57" s="67">
        <f>-E56*$D$3</f>
        <v>-19817250</v>
      </c>
      <c r="F57" s="67">
        <f t="shared" ref="F57:N57" si="41">-F56*$D$3</f>
        <v>-16278832.500000007</v>
      </c>
      <c r="G57" s="67">
        <f t="shared" si="41"/>
        <v>-13439589.464624995</v>
      </c>
      <c r="H57" s="67">
        <f t="shared" si="41"/>
        <v>-9572505.7317816131</v>
      </c>
      <c r="I57" s="67">
        <f t="shared" si="41"/>
        <v>-4842017.6480781194</v>
      </c>
      <c r="J57" s="67">
        <f t="shared" si="41"/>
        <v>0</v>
      </c>
      <c r="K57" s="67">
        <f t="shared" si="41"/>
        <v>0</v>
      </c>
      <c r="L57" s="67">
        <f t="shared" si="41"/>
        <v>0</v>
      </c>
      <c r="M57" s="67">
        <f t="shared" si="41"/>
        <v>0</v>
      </c>
      <c r="N57" s="67">
        <f t="shared" si="41"/>
        <v>0</v>
      </c>
      <c r="O57" s="67">
        <v>0</v>
      </c>
      <c r="P57" s="326">
        <f t="shared" si="35"/>
        <v>-63950195.344484739</v>
      </c>
      <c r="Q57" s="2"/>
      <c r="S57" s="2"/>
    </row>
    <row r="58" spans="2:19" x14ac:dyDescent="0.15">
      <c r="B58" s="340">
        <v>9</v>
      </c>
      <c r="C58" s="12" t="s">
        <v>298</v>
      </c>
      <c r="D58" s="67">
        <f t="shared" si="28"/>
        <v>0</v>
      </c>
      <c r="E58" s="67">
        <f>E170</f>
        <v>0</v>
      </c>
      <c r="F58" s="67">
        <f t="shared" ref="F58:N58" si="42">F170</f>
        <v>0</v>
      </c>
      <c r="G58" s="67">
        <f t="shared" si="42"/>
        <v>0</v>
      </c>
      <c r="H58" s="67">
        <f t="shared" si="42"/>
        <v>0</v>
      </c>
      <c r="I58" s="67">
        <f t="shared" si="42"/>
        <v>0</v>
      </c>
      <c r="J58" s="67">
        <f t="shared" si="42"/>
        <v>0</v>
      </c>
      <c r="K58" s="67">
        <f t="shared" si="42"/>
        <v>0</v>
      </c>
      <c r="L58" s="67">
        <f t="shared" si="42"/>
        <v>0</v>
      </c>
      <c r="M58" s="67">
        <f t="shared" si="42"/>
        <v>0</v>
      </c>
      <c r="N58" s="67">
        <f t="shared" si="42"/>
        <v>0</v>
      </c>
      <c r="O58" s="67">
        <v>0</v>
      </c>
      <c r="P58" s="326">
        <f t="shared" si="35"/>
        <v>0</v>
      </c>
      <c r="Q58" s="2"/>
      <c r="S58" s="2"/>
    </row>
    <row r="59" spans="2:19" x14ac:dyDescent="0.15">
      <c r="B59" s="340">
        <v>10</v>
      </c>
      <c r="C59" s="12" t="s">
        <v>299</v>
      </c>
      <c r="D59" s="67">
        <f t="shared" si="28"/>
        <v>0</v>
      </c>
      <c r="E59" s="67">
        <f>E56+E57+E58</f>
        <v>46240250</v>
      </c>
      <c r="F59" s="67">
        <f t="shared" ref="F59:N59" si="43">F56+F57+F58</f>
        <v>37983942.500000022</v>
      </c>
      <c r="G59" s="67">
        <f t="shared" si="43"/>
        <v>31359042.08412499</v>
      </c>
      <c r="H59" s="67">
        <f t="shared" si="43"/>
        <v>22335846.707490433</v>
      </c>
      <c r="I59" s="67">
        <f t="shared" si="43"/>
        <v>11298041.178848946</v>
      </c>
      <c r="J59" s="67">
        <f t="shared" si="43"/>
        <v>0</v>
      </c>
      <c r="K59" s="67">
        <f t="shared" si="43"/>
        <v>0</v>
      </c>
      <c r="L59" s="67">
        <f t="shared" si="43"/>
        <v>0</v>
      </c>
      <c r="M59" s="67">
        <f t="shared" si="43"/>
        <v>0</v>
      </c>
      <c r="N59" s="67">
        <f t="shared" si="43"/>
        <v>0</v>
      </c>
      <c r="O59" s="67">
        <v>0</v>
      </c>
      <c r="P59" s="326">
        <f t="shared" si="35"/>
        <v>149217122.47046441</v>
      </c>
      <c r="Q59" s="2"/>
      <c r="S59" s="2"/>
    </row>
    <row r="60" spans="2:19" x14ac:dyDescent="0.15">
      <c r="B60" s="340" t="s">
        <v>699</v>
      </c>
      <c r="C60" s="12" t="s">
        <v>292</v>
      </c>
      <c r="D60" s="67">
        <f t="shared" si="28"/>
        <v>0</v>
      </c>
      <c r="E60" s="67">
        <f>E172</f>
        <v>3772500</v>
      </c>
      <c r="F60" s="67">
        <f t="shared" ref="F60:N60" si="44">F172</f>
        <v>6218850</v>
      </c>
      <c r="G60" s="67">
        <f t="shared" si="44"/>
        <v>4083150</v>
      </c>
      <c r="H60" s="67">
        <f t="shared" si="44"/>
        <v>2775510</v>
      </c>
      <c r="I60" s="67">
        <f t="shared" si="44"/>
        <v>1352955</v>
      </c>
      <c r="J60" s="67">
        <f t="shared" si="44"/>
        <v>0</v>
      </c>
      <c r="K60" s="67">
        <f t="shared" si="44"/>
        <v>0</v>
      </c>
      <c r="L60" s="67">
        <f t="shared" si="44"/>
        <v>0</v>
      </c>
      <c r="M60" s="67">
        <f t="shared" si="44"/>
        <v>0</v>
      </c>
      <c r="N60" s="67">
        <f t="shared" si="44"/>
        <v>0</v>
      </c>
      <c r="O60" s="67">
        <v>0</v>
      </c>
      <c r="P60" s="326">
        <f t="shared" si="35"/>
        <v>18202965</v>
      </c>
      <c r="Q60" s="2"/>
      <c r="S60" s="2"/>
    </row>
    <row r="61" spans="2:19" x14ac:dyDescent="0.15">
      <c r="B61" s="340">
        <v>12</v>
      </c>
      <c r="C61" s="12" t="s">
        <v>301</v>
      </c>
      <c r="D61" s="67">
        <f t="shared" si="28"/>
        <v>0</v>
      </c>
      <c r="E61" s="67">
        <f>E59+E60</f>
        <v>50012750</v>
      </c>
      <c r="F61" s="67">
        <f t="shared" ref="F61:N61" si="45">F59+F60</f>
        <v>44202792.500000022</v>
      </c>
      <c r="G61" s="67">
        <f t="shared" si="45"/>
        <v>35442192.08412499</v>
      </c>
      <c r="H61" s="67">
        <f t="shared" si="45"/>
        <v>25111356.707490433</v>
      </c>
      <c r="I61" s="67">
        <f t="shared" si="45"/>
        <v>12650996.178848946</v>
      </c>
      <c r="J61" s="67">
        <f t="shared" si="45"/>
        <v>0</v>
      </c>
      <c r="K61" s="67">
        <f t="shared" si="45"/>
        <v>0</v>
      </c>
      <c r="L61" s="67">
        <f t="shared" si="45"/>
        <v>0</v>
      </c>
      <c r="M61" s="67">
        <f t="shared" si="45"/>
        <v>0</v>
      </c>
      <c r="N61" s="67">
        <f t="shared" si="45"/>
        <v>0</v>
      </c>
      <c r="O61" s="67">
        <v>0</v>
      </c>
      <c r="P61" s="326">
        <f t="shared" si="35"/>
        <v>167420087.47046441</v>
      </c>
      <c r="Q61" s="2"/>
      <c r="S61" s="2"/>
    </row>
    <row r="62" spans="2:19" x14ac:dyDescent="0.15">
      <c r="B62" s="340" t="s">
        <v>700</v>
      </c>
      <c r="C62" s="12" t="s">
        <v>303</v>
      </c>
      <c r="D62" s="67">
        <v>0</v>
      </c>
      <c r="E62" s="67">
        <f t="shared" ref="E62:N62" si="46">E174</f>
        <v>0</v>
      </c>
      <c r="F62" s="67">
        <f t="shared" si="46"/>
        <v>0</v>
      </c>
      <c r="G62" s="67">
        <f t="shared" si="46"/>
        <v>0</v>
      </c>
      <c r="H62" s="67">
        <f t="shared" si="46"/>
        <v>0</v>
      </c>
      <c r="I62" s="67">
        <f t="shared" si="46"/>
        <v>0</v>
      </c>
      <c r="J62" s="67">
        <f t="shared" si="46"/>
        <v>0</v>
      </c>
      <c r="K62" s="67">
        <f t="shared" si="46"/>
        <v>0</v>
      </c>
      <c r="L62" s="67">
        <f t="shared" si="46"/>
        <v>0</v>
      </c>
      <c r="M62" s="67">
        <f t="shared" si="46"/>
        <v>0</v>
      </c>
      <c r="N62" s="67">
        <f t="shared" si="46"/>
        <v>0</v>
      </c>
      <c r="O62" s="67">
        <v>0</v>
      </c>
      <c r="P62" s="326">
        <f t="shared" si="35"/>
        <v>0</v>
      </c>
      <c r="Q62" s="2"/>
      <c r="S62" s="2"/>
    </row>
    <row r="63" spans="2:19" x14ac:dyDescent="0.15">
      <c r="B63" s="340">
        <v>14</v>
      </c>
      <c r="C63" s="12" t="s">
        <v>304</v>
      </c>
      <c r="D63" s="67">
        <f t="shared" ref="D63:D69" si="47">D175</f>
        <v>-32550000</v>
      </c>
      <c r="E63" s="67">
        <f t="shared" ref="E63:N63" si="48">E175</f>
        <v>0</v>
      </c>
      <c r="F63" s="67">
        <f t="shared" si="48"/>
        <v>0</v>
      </c>
      <c r="G63" s="67">
        <f t="shared" si="48"/>
        <v>0</v>
      </c>
      <c r="H63" s="67">
        <f t="shared" si="48"/>
        <v>0</v>
      </c>
      <c r="I63" s="67">
        <f t="shared" si="48"/>
        <v>14347035</v>
      </c>
      <c r="J63" s="67">
        <f t="shared" si="48"/>
        <v>0</v>
      </c>
      <c r="K63" s="67">
        <f t="shared" si="48"/>
        <v>0</v>
      </c>
      <c r="L63" s="67">
        <f t="shared" si="48"/>
        <v>0</v>
      </c>
      <c r="M63" s="67">
        <f t="shared" si="48"/>
        <v>0</v>
      </c>
      <c r="N63" s="67">
        <f t="shared" si="48"/>
        <v>0</v>
      </c>
      <c r="O63" s="67">
        <v>0</v>
      </c>
      <c r="P63" s="326">
        <f t="shared" si="35"/>
        <v>-18202965</v>
      </c>
      <c r="Q63" s="2"/>
      <c r="S63" s="2"/>
    </row>
    <row r="64" spans="2:19" x14ac:dyDescent="0.15">
      <c r="B64" s="340" t="s">
        <v>701</v>
      </c>
      <c r="C64" s="12" t="s">
        <v>207</v>
      </c>
      <c r="D64" s="67">
        <f t="shared" si="47"/>
        <v>-31050000</v>
      </c>
      <c r="E64" s="67">
        <f t="shared" ref="E64:N64" si="49">E176</f>
        <v>0</v>
      </c>
      <c r="F64" s="67">
        <f t="shared" si="49"/>
        <v>0</v>
      </c>
      <c r="G64" s="67">
        <f t="shared" si="49"/>
        <v>0</v>
      </c>
      <c r="H64" s="67">
        <f t="shared" si="49"/>
        <v>0</v>
      </c>
      <c r="I64" s="67">
        <f t="shared" si="49"/>
        <v>12847035</v>
      </c>
      <c r="J64" s="67">
        <f t="shared" si="49"/>
        <v>0</v>
      </c>
      <c r="K64" s="67">
        <f t="shared" si="49"/>
        <v>0</v>
      </c>
      <c r="L64" s="67">
        <f t="shared" si="49"/>
        <v>0</v>
      </c>
      <c r="M64" s="67">
        <f t="shared" si="49"/>
        <v>0</v>
      </c>
      <c r="N64" s="67">
        <f t="shared" si="49"/>
        <v>0</v>
      </c>
      <c r="O64" s="67">
        <v>0</v>
      </c>
      <c r="P64" s="326">
        <f t="shared" si="35"/>
        <v>-18202965</v>
      </c>
      <c r="Q64" s="2"/>
      <c r="S64" s="2"/>
    </row>
    <row r="65" spans="1:19" x14ac:dyDescent="0.15">
      <c r="B65" s="340" t="s">
        <v>702</v>
      </c>
      <c r="C65" s="12" t="s">
        <v>307</v>
      </c>
      <c r="D65" s="67">
        <f t="shared" si="47"/>
        <v>-1500000</v>
      </c>
      <c r="E65" s="67">
        <f t="shared" ref="E65:N65" si="50">E177</f>
        <v>0</v>
      </c>
      <c r="F65" s="67">
        <f t="shared" si="50"/>
        <v>0</v>
      </c>
      <c r="G65" s="67">
        <f t="shared" si="50"/>
        <v>0</v>
      </c>
      <c r="H65" s="67">
        <f t="shared" si="50"/>
        <v>0</v>
      </c>
      <c r="I65" s="67">
        <f t="shared" si="50"/>
        <v>1500000</v>
      </c>
      <c r="J65" s="67">
        <f t="shared" si="50"/>
        <v>0</v>
      </c>
      <c r="K65" s="67">
        <f t="shared" si="50"/>
        <v>0</v>
      </c>
      <c r="L65" s="67">
        <f t="shared" si="50"/>
        <v>0</v>
      </c>
      <c r="M65" s="67">
        <f t="shared" si="50"/>
        <v>0</v>
      </c>
      <c r="N65" s="67">
        <f t="shared" si="50"/>
        <v>0</v>
      </c>
      <c r="O65" s="67">
        <v>0</v>
      </c>
      <c r="P65" s="326">
        <f t="shared" si="35"/>
        <v>0</v>
      </c>
      <c r="Q65" s="2"/>
      <c r="S65" s="2"/>
    </row>
    <row r="66" spans="1:19" x14ac:dyDescent="0.15">
      <c r="B66" s="340" t="s">
        <v>703</v>
      </c>
      <c r="C66" s="12" t="s">
        <v>309</v>
      </c>
      <c r="D66" s="67">
        <f t="shared" si="47"/>
        <v>0</v>
      </c>
      <c r="E66" s="67">
        <f t="shared" ref="E66:N66" si="51">E178</f>
        <v>0</v>
      </c>
      <c r="F66" s="67">
        <f t="shared" si="51"/>
        <v>0</v>
      </c>
      <c r="G66" s="67">
        <f t="shared" si="51"/>
        <v>0</v>
      </c>
      <c r="H66" s="67">
        <f t="shared" si="51"/>
        <v>0</v>
      </c>
      <c r="I66" s="67">
        <f t="shared" si="51"/>
        <v>0</v>
      </c>
      <c r="J66" s="67">
        <f t="shared" si="51"/>
        <v>0</v>
      </c>
      <c r="K66" s="67">
        <f t="shared" si="51"/>
        <v>0</v>
      </c>
      <c r="L66" s="67">
        <f t="shared" si="51"/>
        <v>0</v>
      </c>
      <c r="M66" s="67">
        <f t="shared" si="51"/>
        <v>0</v>
      </c>
      <c r="N66" s="67">
        <f t="shared" si="51"/>
        <v>0</v>
      </c>
      <c r="O66" s="67">
        <v>0</v>
      </c>
      <c r="P66" s="326">
        <f t="shared" si="35"/>
        <v>0</v>
      </c>
      <c r="Q66" s="2"/>
      <c r="S66" s="2"/>
    </row>
    <row r="67" spans="1:19" x14ac:dyDescent="0.15">
      <c r="B67" s="340" t="s">
        <v>704</v>
      </c>
      <c r="C67" s="12" t="s">
        <v>311</v>
      </c>
      <c r="D67" s="67">
        <f t="shared" si="47"/>
        <v>0</v>
      </c>
      <c r="E67" s="67">
        <f t="shared" ref="E67:N67" si="52">E179</f>
        <v>0</v>
      </c>
      <c r="F67" s="67">
        <f t="shared" si="52"/>
        <v>0</v>
      </c>
      <c r="G67" s="67">
        <f t="shared" si="52"/>
        <v>0</v>
      </c>
      <c r="H67" s="67">
        <f t="shared" si="52"/>
        <v>0</v>
      </c>
      <c r="I67" s="67">
        <f t="shared" si="52"/>
        <v>-2596968.7000000002</v>
      </c>
      <c r="J67" s="67">
        <f t="shared" si="52"/>
        <v>0</v>
      </c>
      <c r="K67" s="67">
        <f t="shared" si="52"/>
        <v>0</v>
      </c>
      <c r="L67" s="67">
        <f t="shared" si="52"/>
        <v>0</v>
      </c>
      <c r="M67" s="67">
        <f t="shared" si="52"/>
        <v>0</v>
      </c>
      <c r="N67" s="67">
        <f t="shared" si="52"/>
        <v>0</v>
      </c>
      <c r="O67" s="67">
        <v>0</v>
      </c>
      <c r="P67" s="326">
        <f t="shared" si="35"/>
        <v>-2596968.7000000002</v>
      </c>
      <c r="Q67" s="2"/>
      <c r="S67" s="2"/>
    </row>
    <row r="68" spans="1:19" ht="14" thickBot="1" x14ac:dyDescent="0.2">
      <c r="B68" s="340" t="s">
        <v>705</v>
      </c>
      <c r="C68" s="12" t="s">
        <v>115</v>
      </c>
      <c r="D68" s="67">
        <f t="shared" si="47"/>
        <v>-60000000</v>
      </c>
      <c r="E68" s="67">
        <f t="shared" ref="E68:N68" si="53">E180</f>
        <v>0</v>
      </c>
      <c r="F68" s="67">
        <f t="shared" si="53"/>
        <v>0</v>
      </c>
      <c r="G68" s="67">
        <f t="shared" si="53"/>
        <v>0</v>
      </c>
      <c r="H68" s="67">
        <f t="shared" si="53"/>
        <v>0</v>
      </c>
      <c r="I68" s="67">
        <f t="shared" si="53"/>
        <v>60000000</v>
      </c>
      <c r="J68" s="67">
        <f t="shared" si="53"/>
        <v>0</v>
      </c>
      <c r="K68" s="67">
        <f t="shared" si="53"/>
        <v>0</v>
      </c>
      <c r="L68" s="67">
        <f t="shared" si="53"/>
        <v>0</v>
      </c>
      <c r="M68" s="67">
        <f t="shared" si="53"/>
        <v>0</v>
      </c>
      <c r="N68" s="67">
        <f t="shared" si="53"/>
        <v>0</v>
      </c>
      <c r="O68" s="67">
        <v>0</v>
      </c>
      <c r="P68" s="326">
        <f t="shared" si="35"/>
        <v>0</v>
      </c>
      <c r="Q68" s="2"/>
      <c r="S68" s="2"/>
    </row>
    <row r="69" spans="1:19" x14ac:dyDescent="0.15">
      <c r="B69" s="340">
        <v>17</v>
      </c>
      <c r="C69" s="12" t="s">
        <v>313</v>
      </c>
      <c r="D69" s="67">
        <f t="shared" si="47"/>
        <v>-92550000</v>
      </c>
      <c r="E69" s="67">
        <f t="shared" ref="E69:N69" si="54">E181</f>
        <v>0</v>
      </c>
      <c r="F69" s="67">
        <f t="shared" si="54"/>
        <v>0</v>
      </c>
      <c r="G69" s="67">
        <f t="shared" si="54"/>
        <v>0</v>
      </c>
      <c r="H69" s="67">
        <f t="shared" si="54"/>
        <v>0</v>
      </c>
      <c r="I69" s="67">
        <f t="shared" si="54"/>
        <v>71750066.299999997</v>
      </c>
      <c r="J69" s="67">
        <f t="shared" si="54"/>
        <v>0</v>
      </c>
      <c r="K69" s="67">
        <f t="shared" si="54"/>
        <v>0</v>
      </c>
      <c r="L69" s="67">
        <f t="shared" si="54"/>
        <v>0</v>
      </c>
      <c r="M69" s="67">
        <f t="shared" si="54"/>
        <v>0</v>
      </c>
      <c r="N69" s="67">
        <f t="shared" si="54"/>
        <v>0</v>
      </c>
      <c r="O69" s="67">
        <v>0</v>
      </c>
      <c r="P69" s="326">
        <f t="shared" si="35"/>
        <v>-20799933.700000003</v>
      </c>
      <c r="Q69" s="461"/>
      <c r="R69" s="357" t="s">
        <v>693</v>
      </c>
      <c r="S69" s="2"/>
    </row>
    <row r="70" spans="1:19" ht="14" thickBot="1" x14ac:dyDescent="0.2">
      <c r="A70" s="1" t="s">
        <v>694</v>
      </c>
      <c r="B70" s="355">
        <v>18</v>
      </c>
      <c r="C70" s="335" t="s">
        <v>314</v>
      </c>
      <c r="D70" s="331">
        <f>D69+D61</f>
        <v>-92550000</v>
      </c>
      <c r="E70" s="331">
        <f t="shared" ref="E70:N70" si="55">E69+E61</f>
        <v>50012750</v>
      </c>
      <c r="F70" s="331">
        <f t="shared" si="55"/>
        <v>44202792.500000022</v>
      </c>
      <c r="G70" s="331">
        <f t="shared" si="55"/>
        <v>35442192.08412499</v>
      </c>
      <c r="H70" s="331">
        <f t="shared" si="55"/>
        <v>25111356.707490433</v>
      </c>
      <c r="I70" s="331">
        <f t="shared" si="55"/>
        <v>84401062.478848949</v>
      </c>
      <c r="J70" s="331">
        <f t="shared" si="55"/>
        <v>0</v>
      </c>
      <c r="K70" s="331">
        <f t="shared" si="55"/>
        <v>0</v>
      </c>
      <c r="L70" s="331">
        <f t="shared" si="55"/>
        <v>0</v>
      </c>
      <c r="M70" s="331">
        <f t="shared" si="55"/>
        <v>0</v>
      </c>
      <c r="N70" s="331">
        <f t="shared" si="55"/>
        <v>0</v>
      </c>
      <c r="O70" s="331">
        <v>0</v>
      </c>
      <c r="P70" s="356">
        <f>SUM(D70:N70)</f>
        <v>146620153.77046439</v>
      </c>
      <c r="Q70" s="463"/>
      <c r="R70" s="358">
        <f>IF(ISNUMBER(IRR(D70:N70)),IRR(D70:N70),"NMF")</f>
        <v>0.40549033935008683</v>
      </c>
      <c r="S70" s="1" t="s">
        <v>694</v>
      </c>
    </row>
    <row r="71" spans="1:19" x14ac:dyDescent="0.15">
      <c r="B71" s="145"/>
      <c r="S71" s="2"/>
    </row>
    <row r="72" spans="1:19" ht="14" thickBot="1" x14ac:dyDescent="0.2">
      <c r="B72" s="145"/>
      <c r="S72" s="2"/>
    </row>
    <row r="73" spans="1:19" ht="14" thickBot="1" x14ac:dyDescent="0.2">
      <c r="B73" s="359" t="s">
        <v>282</v>
      </c>
      <c r="C73" s="360" t="s">
        <v>283</v>
      </c>
      <c r="D73" s="360"/>
      <c r="E73" s="360">
        <v>1</v>
      </c>
      <c r="F73" s="360">
        <v>2</v>
      </c>
      <c r="G73" s="360">
        <v>3</v>
      </c>
      <c r="H73" s="360">
        <v>4</v>
      </c>
      <c r="I73" s="360">
        <v>5</v>
      </c>
      <c r="J73" s="360">
        <v>6</v>
      </c>
      <c r="K73" s="360">
        <v>7</v>
      </c>
      <c r="L73" s="360">
        <v>8</v>
      </c>
      <c r="M73" s="360">
        <v>9</v>
      </c>
      <c r="N73" s="360">
        <v>10</v>
      </c>
      <c r="O73" s="360" t="s">
        <v>284</v>
      </c>
      <c r="P73" s="361" t="s">
        <v>285</v>
      </c>
      <c r="S73" s="2"/>
    </row>
    <row r="74" spans="1:19" x14ac:dyDescent="0.15">
      <c r="B74" s="339" t="s">
        <v>687</v>
      </c>
      <c r="C74" s="302" t="s">
        <v>287</v>
      </c>
      <c r="D74" s="322">
        <f t="shared" ref="D74:D89" si="56">D158</f>
        <v>0</v>
      </c>
      <c r="E74" s="322">
        <f t="shared" ref="E74:N74" si="57">E158</f>
        <v>300000000</v>
      </c>
      <c r="F74" s="322">
        <f t="shared" si="57"/>
        <v>313500000.00000006</v>
      </c>
      <c r="G74" s="322">
        <f t="shared" si="57"/>
        <v>327607500.00000006</v>
      </c>
      <c r="H74" s="322">
        <f t="shared" si="57"/>
        <v>342349837.50000012</v>
      </c>
      <c r="I74" s="322">
        <f t="shared" si="57"/>
        <v>357755580.18750012</v>
      </c>
      <c r="J74" s="322">
        <f t="shared" si="57"/>
        <v>0</v>
      </c>
      <c r="K74" s="322">
        <f t="shared" si="57"/>
        <v>0</v>
      </c>
      <c r="L74" s="322">
        <f t="shared" si="57"/>
        <v>0</v>
      </c>
      <c r="M74" s="322">
        <f t="shared" si="57"/>
        <v>0</v>
      </c>
      <c r="N74" s="322">
        <f t="shared" si="57"/>
        <v>0</v>
      </c>
      <c r="O74" s="322">
        <v>0</v>
      </c>
      <c r="P74" s="325">
        <f>SUM(D74:N74)</f>
        <v>1641212917.6875</v>
      </c>
      <c r="Q74" s="2"/>
      <c r="S74" s="2"/>
    </row>
    <row r="75" spans="1:19" x14ac:dyDescent="0.15">
      <c r="A75" s="1" t="s">
        <v>706</v>
      </c>
      <c r="B75" s="340" t="s">
        <v>689</v>
      </c>
      <c r="C75" s="354" t="s">
        <v>689</v>
      </c>
      <c r="D75" s="67">
        <f t="shared" si="56"/>
        <v>0</v>
      </c>
      <c r="E75" s="67">
        <f>E159</f>
        <v>300000000</v>
      </c>
      <c r="F75" s="67">
        <f t="shared" ref="F75:N75" si="58">F159</f>
        <v>313500000.00000006</v>
      </c>
      <c r="G75" s="67">
        <f t="shared" si="58"/>
        <v>327607500.00000006</v>
      </c>
      <c r="H75" s="67">
        <f t="shared" si="58"/>
        <v>342349837.50000012</v>
      </c>
      <c r="I75" s="67">
        <f t="shared" si="58"/>
        <v>357755580.18750012</v>
      </c>
      <c r="J75" s="67">
        <f t="shared" si="58"/>
        <v>0</v>
      </c>
      <c r="K75" s="67">
        <f t="shared" si="58"/>
        <v>0</v>
      </c>
      <c r="L75" s="67">
        <f t="shared" si="58"/>
        <v>0</v>
      </c>
      <c r="M75" s="67">
        <f t="shared" si="58"/>
        <v>0</v>
      </c>
      <c r="N75" s="67">
        <f t="shared" si="58"/>
        <v>0</v>
      </c>
      <c r="O75" s="67"/>
      <c r="P75" s="326">
        <f>SUM(D75:N75)</f>
        <v>1641212917.6875</v>
      </c>
      <c r="Q75" s="2"/>
      <c r="S75" s="2"/>
    </row>
    <row r="76" spans="1:19" x14ac:dyDescent="0.15">
      <c r="B76" s="340" t="s">
        <v>690</v>
      </c>
      <c r="C76" s="354" t="s">
        <v>690</v>
      </c>
      <c r="D76" s="67">
        <f t="shared" si="56"/>
        <v>0</v>
      </c>
      <c r="E76" s="67">
        <f>E160</f>
        <v>0</v>
      </c>
      <c r="F76" s="67">
        <f t="shared" ref="F76:N76" si="59">F160</f>
        <v>0</v>
      </c>
      <c r="G76" s="67">
        <f t="shared" si="59"/>
        <v>0</v>
      </c>
      <c r="H76" s="67">
        <f t="shared" si="59"/>
        <v>0</v>
      </c>
      <c r="I76" s="67">
        <f t="shared" si="59"/>
        <v>0</v>
      </c>
      <c r="J76" s="67">
        <f t="shared" si="59"/>
        <v>0</v>
      </c>
      <c r="K76" s="67">
        <f t="shared" si="59"/>
        <v>0</v>
      </c>
      <c r="L76" s="67">
        <f t="shared" si="59"/>
        <v>0</v>
      </c>
      <c r="M76" s="67">
        <f t="shared" si="59"/>
        <v>0</v>
      </c>
      <c r="N76" s="67">
        <f t="shared" si="59"/>
        <v>0</v>
      </c>
      <c r="O76" s="294"/>
      <c r="P76" s="326">
        <f>SUM(D76:N76)</f>
        <v>0</v>
      </c>
      <c r="Q76" s="2"/>
      <c r="S76" s="2"/>
    </row>
    <row r="77" spans="1:19" x14ac:dyDescent="0.15">
      <c r="B77" s="355" t="s">
        <v>691</v>
      </c>
      <c r="C77" s="362" t="s">
        <v>691</v>
      </c>
      <c r="D77" s="331">
        <f t="shared" si="56"/>
        <v>0</v>
      </c>
      <c r="E77" s="331">
        <f>E161*0.85</f>
        <v>0</v>
      </c>
      <c r="F77" s="331">
        <f t="shared" ref="F77:N77" si="60">F161*0.85</f>
        <v>0</v>
      </c>
      <c r="G77" s="331">
        <f t="shared" si="60"/>
        <v>0</v>
      </c>
      <c r="H77" s="331">
        <f t="shared" si="60"/>
        <v>0</v>
      </c>
      <c r="I77" s="331">
        <f t="shared" si="60"/>
        <v>0</v>
      </c>
      <c r="J77" s="331">
        <f t="shared" si="60"/>
        <v>0</v>
      </c>
      <c r="K77" s="331">
        <f t="shared" si="60"/>
        <v>0</v>
      </c>
      <c r="L77" s="331">
        <f t="shared" si="60"/>
        <v>0</v>
      </c>
      <c r="M77" s="331">
        <f t="shared" si="60"/>
        <v>0</v>
      </c>
      <c r="N77" s="331">
        <f t="shared" si="60"/>
        <v>0</v>
      </c>
      <c r="O77" s="331"/>
      <c r="P77" s="356">
        <f>SUM(D77:N77)</f>
        <v>0</v>
      </c>
      <c r="Q77" s="460"/>
      <c r="S77" s="2"/>
    </row>
    <row r="78" spans="1:19" x14ac:dyDescent="0.15">
      <c r="B78" s="340" t="s">
        <v>695</v>
      </c>
      <c r="C78" s="12"/>
      <c r="D78" s="67">
        <f t="shared" si="56"/>
        <v>0</v>
      </c>
      <c r="E78" s="67">
        <f>E77+E76+E75</f>
        <v>300000000</v>
      </c>
      <c r="F78" s="67">
        <f t="shared" ref="F78:N78" si="61">F77+F76+F75</f>
        <v>313500000.00000006</v>
      </c>
      <c r="G78" s="67">
        <f t="shared" si="61"/>
        <v>327607500.00000006</v>
      </c>
      <c r="H78" s="67">
        <f t="shared" si="61"/>
        <v>342349837.50000012</v>
      </c>
      <c r="I78" s="67">
        <f t="shared" si="61"/>
        <v>357755580.18750012</v>
      </c>
      <c r="J78" s="67">
        <f t="shared" si="61"/>
        <v>0</v>
      </c>
      <c r="K78" s="67">
        <f t="shared" si="61"/>
        <v>0</v>
      </c>
      <c r="L78" s="67">
        <f t="shared" si="61"/>
        <v>0</v>
      </c>
      <c r="M78" s="67">
        <f t="shared" si="61"/>
        <v>0</v>
      </c>
      <c r="N78" s="67">
        <f t="shared" si="61"/>
        <v>0</v>
      </c>
      <c r="O78" s="67"/>
      <c r="P78" s="326">
        <f>SUM(D78:N78)</f>
        <v>1641212917.6875</v>
      </c>
      <c r="Q78" s="2"/>
      <c r="S78" s="2"/>
    </row>
    <row r="79" spans="1:19" x14ac:dyDescent="0.15">
      <c r="B79" s="340" t="s">
        <v>696</v>
      </c>
      <c r="C79" s="12" t="s">
        <v>289</v>
      </c>
      <c r="D79" s="67">
        <f t="shared" si="56"/>
        <v>0</v>
      </c>
      <c r="E79" s="67">
        <f t="shared" ref="E79:N79" si="62">E163</f>
        <v>230170000</v>
      </c>
      <c r="F79" s="67">
        <f t="shared" si="62"/>
        <v>253018375.00000003</v>
      </c>
      <c r="G79" s="67">
        <f t="shared" si="62"/>
        <v>278725718.45125008</v>
      </c>
      <c r="H79" s="67">
        <f t="shared" si="62"/>
        <v>307665975.06072807</v>
      </c>
      <c r="I79" s="67">
        <f t="shared" si="62"/>
        <v>340262566.36057305</v>
      </c>
      <c r="J79" s="67">
        <f t="shared" si="62"/>
        <v>0</v>
      </c>
      <c r="K79" s="67">
        <f t="shared" si="62"/>
        <v>0</v>
      </c>
      <c r="L79" s="67">
        <f t="shared" si="62"/>
        <v>0</v>
      </c>
      <c r="M79" s="67">
        <f t="shared" si="62"/>
        <v>0</v>
      </c>
      <c r="N79" s="67">
        <f t="shared" si="62"/>
        <v>0</v>
      </c>
      <c r="O79" s="67">
        <v>0</v>
      </c>
      <c r="P79" s="326">
        <f t="shared" ref="P79:P97" si="63">SUM(D79:N79)</f>
        <v>1409842634.8725512</v>
      </c>
      <c r="Q79" s="2"/>
      <c r="S79" s="2"/>
    </row>
    <row r="80" spans="1:19" x14ac:dyDescent="0.15">
      <c r="B80" s="340">
        <v>3</v>
      </c>
      <c r="C80" s="12" t="s">
        <v>290</v>
      </c>
      <c r="D80" s="67">
        <f t="shared" si="56"/>
        <v>0</v>
      </c>
      <c r="E80" s="67">
        <f>E78-E79</f>
        <v>69830000</v>
      </c>
      <c r="F80" s="67">
        <f t="shared" ref="F80:N80" si="64">F78-F79</f>
        <v>60481625.00000003</v>
      </c>
      <c r="G80" s="67">
        <f t="shared" si="64"/>
        <v>48881781.548749983</v>
      </c>
      <c r="H80" s="67">
        <f t="shared" si="64"/>
        <v>34683862.439272046</v>
      </c>
      <c r="I80" s="67">
        <f t="shared" si="64"/>
        <v>17493013.826927066</v>
      </c>
      <c r="J80" s="67">
        <f t="shared" si="64"/>
        <v>0</v>
      </c>
      <c r="K80" s="67">
        <f t="shared" si="64"/>
        <v>0</v>
      </c>
      <c r="L80" s="67">
        <f t="shared" si="64"/>
        <v>0</v>
      </c>
      <c r="M80" s="67">
        <f t="shared" si="64"/>
        <v>0</v>
      </c>
      <c r="N80" s="67">
        <f t="shared" si="64"/>
        <v>0</v>
      </c>
      <c r="O80" s="67">
        <v>0</v>
      </c>
      <c r="P80" s="326">
        <f t="shared" si="63"/>
        <v>231370282.81494913</v>
      </c>
      <c r="Q80" s="2"/>
      <c r="S80" s="2"/>
    </row>
    <row r="81" spans="2:19" x14ac:dyDescent="0.15">
      <c r="B81" s="340" t="s">
        <v>697</v>
      </c>
      <c r="C81" s="12" t="s">
        <v>292</v>
      </c>
      <c r="D81" s="67">
        <f t="shared" si="56"/>
        <v>0</v>
      </c>
      <c r="E81" s="67">
        <f>E165</f>
        <v>3772500</v>
      </c>
      <c r="F81" s="67">
        <f t="shared" ref="F81:N81" si="65">F165</f>
        <v>6218850</v>
      </c>
      <c r="G81" s="67">
        <f t="shared" si="65"/>
        <v>4083150</v>
      </c>
      <c r="H81" s="67">
        <f t="shared" si="65"/>
        <v>2775510</v>
      </c>
      <c r="I81" s="67">
        <f t="shared" si="65"/>
        <v>1352955</v>
      </c>
      <c r="J81" s="67">
        <f t="shared" si="65"/>
        <v>0</v>
      </c>
      <c r="K81" s="67">
        <f t="shared" si="65"/>
        <v>0</v>
      </c>
      <c r="L81" s="67">
        <f t="shared" si="65"/>
        <v>0</v>
      </c>
      <c r="M81" s="67">
        <f t="shared" si="65"/>
        <v>0</v>
      </c>
      <c r="N81" s="67">
        <f t="shared" si="65"/>
        <v>0</v>
      </c>
      <c r="O81" s="67">
        <v>0</v>
      </c>
      <c r="P81" s="326">
        <f t="shared" si="63"/>
        <v>18202965</v>
      </c>
      <c r="Q81" s="2"/>
      <c r="S81" s="2"/>
    </row>
    <row r="82" spans="2:19" x14ac:dyDescent="0.15">
      <c r="B82" s="340">
        <v>5</v>
      </c>
      <c r="C82" s="12" t="s">
        <v>293</v>
      </c>
      <c r="D82" s="67">
        <f t="shared" si="56"/>
        <v>0</v>
      </c>
      <c r="E82" s="67">
        <f>E80-E81</f>
        <v>66057500</v>
      </c>
      <c r="F82" s="67">
        <f t="shared" ref="F82:N82" si="66">F80-F81</f>
        <v>54262775.00000003</v>
      </c>
      <c r="G82" s="67">
        <f t="shared" si="66"/>
        <v>44798631.548749983</v>
      </c>
      <c r="H82" s="67">
        <f t="shared" si="66"/>
        <v>31908352.439272046</v>
      </c>
      <c r="I82" s="67">
        <f t="shared" si="66"/>
        <v>16140058.826927066</v>
      </c>
      <c r="J82" s="67">
        <f t="shared" si="66"/>
        <v>0</v>
      </c>
      <c r="K82" s="67">
        <f t="shared" si="66"/>
        <v>0</v>
      </c>
      <c r="L82" s="67">
        <f t="shared" si="66"/>
        <v>0</v>
      </c>
      <c r="M82" s="67">
        <f t="shared" si="66"/>
        <v>0</v>
      </c>
      <c r="N82" s="67">
        <f t="shared" si="66"/>
        <v>0</v>
      </c>
      <c r="O82" s="67">
        <v>0</v>
      </c>
      <c r="P82" s="326">
        <f t="shared" si="63"/>
        <v>213167317.81494913</v>
      </c>
      <c r="Q82" s="2"/>
      <c r="S82" s="2"/>
    </row>
    <row r="83" spans="2:19" x14ac:dyDescent="0.15">
      <c r="B83" s="340" t="s">
        <v>698</v>
      </c>
      <c r="C83" s="12" t="s">
        <v>295</v>
      </c>
      <c r="D83" s="67">
        <f t="shared" si="56"/>
        <v>0</v>
      </c>
      <c r="E83" s="67">
        <f>E167</f>
        <v>0</v>
      </c>
      <c r="F83" s="67">
        <f t="shared" ref="F83:N83" si="67">F167</f>
        <v>0</v>
      </c>
      <c r="G83" s="67">
        <f t="shared" si="67"/>
        <v>0</v>
      </c>
      <c r="H83" s="67">
        <f t="shared" si="67"/>
        <v>0</v>
      </c>
      <c r="I83" s="67">
        <f t="shared" si="67"/>
        <v>0</v>
      </c>
      <c r="J83" s="67">
        <f t="shared" si="67"/>
        <v>0</v>
      </c>
      <c r="K83" s="67">
        <f t="shared" si="67"/>
        <v>0</v>
      </c>
      <c r="L83" s="67">
        <f t="shared" si="67"/>
        <v>0</v>
      </c>
      <c r="M83" s="67">
        <f t="shared" si="67"/>
        <v>0</v>
      </c>
      <c r="N83" s="67">
        <f t="shared" si="67"/>
        <v>0</v>
      </c>
      <c r="O83" s="67">
        <v>0</v>
      </c>
      <c r="P83" s="326">
        <f t="shared" si="63"/>
        <v>0</v>
      </c>
      <c r="Q83" s="2"/>
      <c r="S83" s="2"/>
    </row>
    <row r="84" spans="2:19" x14ac:dyDescent="0.15">
      <c r="B84" s="340">
        <v>7</v>
      </c>
      <c r="C84" s="12" t="s">
        <v>296</v>
      </c>
      <c r="D84" s="67">
        <f t="shared" si="56"/>
        <v>0</v>
      </c>
      <c r="E84" s="67">
        <f>E82-E83</f>
        <v>66057500</v>
      </c>
      <c r="F84" s="67">
        <f t="shared" ref="F84:N84" si="68">F82-F83</f>
        <v>54262775.00000003</v>
      </c>
      <c r="G84" s="67">
        <f t="shared" si="68"/>
        <v>44798631.548749983</v>
      </c>
      <c r="H84" s="67">
        <f t="shared" si="68"/>
        <v>31908352.439272046</v>
      </c>
      <c r="I84" s="67">
        <f t="shared" si="68"/>
        <v>16140058.826927066</v>
      </c>
      <c r="J84" s="67">
        <f t="shared" si="68"/>
        <v>0</v>
      </c>
      <c r="K84" s="67">
        <f t="shared" si="68"/>
        <v>0</v>
      </c>
      <c r="L84" s="67">
        <f t="shared" si="68"/>
        <v>0</v>
      </c>
      <c r="M84" s="67">
        <f t="shared" si="68"/>
        <v>0</v>
      </c>
      <c r="N84" s="67">
        <f t="shared" si="68"/>
        <v>0</v>
      </c>
      <c r="O84" s="67">
        <v>0</v>
      </c>
      <c r="P84" s="326">
        <f t="shared" si="63"/>
        <v>213167317.81494913</v>
      </c>
      <c r="Q84" s="2"/>
      <c r="S84" s="2"/>
    </row>
    <row r="85" spans="2:19" x14ac:dyDescent="0.15">
      <c r="B85" s="340">
        <v>8</v>
      </c>
      <c r="C85" s="12" t="s">
        <v>297</v>
      </c>
      <c r="D85" s="67">
        <f t="shared" si="56"/>
        <v>0</v>
      </c>
      <c r="E85" s="67">
        <f>-E84*$D$3</f>
        <v>-19817250</v>
      </c>
      <c r="F85" s="67">
        <f t="shared" ref="F85:N85" si="69">-F84*$D$3</f>
        <v>-16278832.500000007</v>
      </c>
      <c r="G85" s="67">
        <f t="shared" si="69"/>
        <v>-13439589.464624995</v>
      </c>
      <c r="H85" s="67">
        <f t="shared" si="69"/>
        <v>-9572505.7317816131</v>
      </c>
      <c r="I85" s="67">
        <f t="shared" si="69"/>
        <v>-4842017.6480781194</v>
      </c>
      <c r="J85" s="67">
        <f t="shared" si="69"/>
        <v>0</v>
      </c>
      <c r="K85" s="67">
        <f t="shared" si="69"/>
        <v>0</v>
      </c>
      <c r="L85" s="67">
        <f t="shared" si="69"/>
        <v>0</v>
      </c>
      <c r="M85" s="67">
        <f t="shared" si="69"/>
        <v>0</v>
      </c>
      <c r="N85" s="67">
        <f t="shared" si="69"/>
        <v>0</v>
      </c>
      <c r="O85" s="67">
        <v>0</v>
      </c>
      <c r="P85" s="326">
        <f t="shared" si="63"/>
        <v>-63950195.344484739</v>
      </c>
      <c r="Q85" s="2"/>
      <c r="S85" s="2"/>
    </row>
    <row r="86" spans="2:19" x14ac:dyDescent="0.15">
      <c r="B86" s="340">
        <v>9</v>
      </c>
      <c r="C86" s="12" t="s">
        <v>298</v>
      </c>
      <c r="D86" s="67">
        <f t="shared" si="56"/>
        <v>0</v>
      </c>
      <c r="E86" s="67">
        <f>E170</f>
        <v>0</v>
      </c>
      <c r="F86" s="67">
        <f t="shared" ref="F86:N86" si="70">F170</f>
        <v>0</v>
      </c>
      <c r="G86" s="67">
        <f t="shared" si="70"/>
        <v>0</v>
      </c>
      <c r="H86" s="67">
        <f t="shared" si="70"/>
        <v>0</v>
      </c>
      <c r="I86" s="67">
        <f t="shared" si="70"/>
        <v>0</v>
      </c>
      <c r="J86" s="67">
        <f t="shared" si="70"/>
        <v>0</v>
      </c>
      <c r="K86" s="67">
        <f t="shared" si="70"/>
        <v>0</v>
      </c>
      <c r="L86" s="67">
        <f t="shared" si="70"/>
        <v>0</v>
      </c>
      <c r="M86" s="67">
        <f t="shared" si="70"/>
        <v>0</v>
      </c>
      <c r="N86" s="67">
        <f t="shared" si="70"/>
        <v>0</v>
      </c>
      <c r="O86" s="67">
        <v>0</v>
      </c>
      <c r="P86" s="326">
        <f t="shared" si="63"/>
        <v>0</v>
      </c>
      <c r="Q86" s="2"/>
      <c r="S86" s="2"/>
    </row>
    <row r="87" spans="2:19" x14ac:dyDescent="0.15">
      <c r="B87" s="340">
        <v>10</v>
      </c>
      <c r="C87" s="12" t="s">
        <v>299</v>
      </c>
      <c r="D87" s="67">
        <f t="shared" si="56"/>
        <v>0</v>
      </c>
      <c r="E87" s="67">
        <f>E84+E85+E86</f>
        <v>46240250</v>
      </c>
      <c r="F87" s="67">
        <f t="shared" ref="F87:N87" si="71">F84+F85+F86</f>
        <v>37983942.500000022</v>
      </c>
      <c r="G87" s="67">
        <f t="shared" si="71"/>
        <v>31359042.08412499</v>
      </c>
      <c r="H87" s="67">
        <f t="shared" si="71"/>
        <v>22335846.707490433</v>
      </c>
      <c r="I87" s="67">
        <f t="shared" si="71"/>
        <v>11298041.178848946</v>
      </c>
      <c r="J87" s="67">
        <f t="shared" si="71"/>
        <v>0</v>
      </c>
      <c r="K87" s="67">
        <f t="shared" si="71"/>
        <v>0</v>
      </c>
      <c r="L87" s="67">
        <f t="shared" si="71"/>
        <v>0</v>
      </c>
      <c r="M87" s="67">
        <f t="shared" si="71"/>
        <v>0</v>
      </c>
      <c r="N87" s="67">
        <f t="shared" si="71"/>
        <v>0</v>
      </c>
      <c r="O87" s="67">
        <v>0</v>
      </c>
      <c r="P87" s="326">
        <f t="shared" si="63"/>
        <v>149217122.47046441</v>
      </c>
      <c r="Q87" s="2"/>
      <c r="S87" s="2"/>
    </row>
    <row r="88" spans="2:19" x14ac:dyDescent="0.15">
      <c r="B88" s="340" t="s">
        <v>699</v>
      </c>
      <c r="C88" s="12" t="s">
        <v>292</v>
      </c>
      <c r="D88" s="67">
        <f t="shared" si="56"/>
        <v>0</v>
      </c>
      <c r="E88" s="67">
        <f>E172</f>
        <v>3772500</v>
      </c>
      <c r="F88" s="67">
        <f t="shared" ref="F88:N88" si="72">F172</f>
        <v>6218850</v>
      </c>
      <c r="G88" s="67">
        <f t="shared" si="72"/>
        <v>4083150</v>
      </c>
      <c r="H88" s="67">
        <f t="shared" si="72"/>
        <v>2775510</v>
      </c>
      <c r="I88" s="67">
        <f t="shared" si="72"/>
        <v>1352955</v>
      </c>
      <c r="J88" s="67">
        <f t="shared" si="72"/>
        <v>0</v>
      </c>
      <c r="K88" s="67">
        <f t="shared" si="72"/>
        <v>0</v>
      </c>
      <c r="L88" s="67">
        <f t="shared" si="72"/>
        <v>0</v>
      </c>
      <c r="M88" s="67">
        <f t="shared" si="72"/>
        <v>0</v>
      </c>
      <c r="N88" s="67">
        <f t="shared" si="72"/>
        <v>0</v>
      </c>
      <c r="O88" s="67">
        <v>0</v>
      </c>
      <c r="P88" s="326">
        <f t="shared" si="63"/>
        <v>18202965</v>
      </c>
      <c r="Q88" s="2"/>
      <c r="S88" s="2"/>
    </row>
    <row r="89" spans="2:19" x14ac:dyDescent="0.15">
      <c r="B89" s="340">
        <v>12</v>
      </c>
      <c r="C89" s="12" t="s">
        <v>301</v>
      </c>
      <c r="D89" s="67">
        <f t="shared" si="56"/>
        <v>0</v>
      </c>
      <c r="E89" s="67">
        <f>E87+E88</f>
        <v>50012750</v>
      </c>
      <c r="F89" s="67">
        <f t="shared" ref="F89:N89" si="73">F87+F88</f>
        <v>44202792.500000022</v>
      </c>
      <c r="G89" s="67">
        <f t="shared" si="73"/>
        <v>35442192.08412499</v>
      </c>
      <c r="H89" s="67">
        <f t="shared" si="73"/>
        <v>25111356.707490433</v>
      </c>
      <c r="I89" s="67">
        <f t="shared" si="73"/>
        <v>12650996.178848946</v>
      </c>
      <c r="J89" s="67">
        <f t="shared" si="73"/>
        <v>0</v>
      </c>
      <c r="K89" s="67">
        <f t="shared" si="73"/>
        <v>0</v>
      </c>
      <c r="L89" s="67">
        <f t="shared" si="73"/>
        <v>0</v>
      </c>
      <c r="M89" s="67">
        <f t="shared" si="73"/>
        <v>0</v>
      </c>
      <c r="N89" s="67">
        <f t="shared" si="73"/>
        <v>0</v>
      </c>
      <c r="O89" s="67">
        <v>0</v>
      </c>
      <c r="P89" s="326">
        <f t="shared" si="63"/>
        <v>167420087.47046441</v>
      </c>
      <c r="Q89" s="2"/>
      <c r="S89" s="2"/>
    </row>
    <row r="90" spans="2:19" x14ac:dyDescent="0.15">
      <c r="B90" s="340" t="s">
        <v>700</v>
      </c>
      <c r="C90" s="12" t="s">
        <v>303</v>
      </c>
      <c r="D90" s="67">
        <v>0</v>
      </c>
      <c r="E90" s="67">
        <f t="shared" ref="E90:N90" si="74">E174</f>
        <v>0</v>
      </c>
      <c r="F90" s="67">
        <f t="shared" si="74"/>
        <v>0</v>
      </c>
      <c r="G90" s="67">
        <f t="shared" si="74"/>
        <v>0</v>
      </c>
      <c r="H90" s="67">
        <f t="shared" si="74"/>
        <v>0</v>
      </c>
      <c r="I90" s="67">
        <f t="shared" si="74"/>
        <v>0</v>
      </c>
      <c r="J90" s="67">
        <f t="shared" si="74"/>
        <v>0</v>
      </c>
      <c r="K90" s="67">
        <f t="shared" si="74"/>
        <v>0</v>
      </c>
      <c r="L90" s="67">
        <f t="shared" si="74"/>
        <v>0</v>
      </c>
      <c r="M90" s="67">
        <f t="shared" si="74"/>
        <v>0</v>
      </c>
      <c r="N90" s="67">
        <f t="shared" si="74"/>
        <v>0</v>
      </c>
      <c r="O90" s="67">
        <v>0</v>
      </c>
      <c r="P90" s="326">
        <f t="shared" si="63"/>
        <v>0</v>
      </c>
      <c r="Q90" s="2"/>
      <c r="S90" s="2"/>
    </row>
    <row r="91" spans="2:19" x14ac:dyDescent="0.15">
      <c r="B91" s="340">
        <v>14</v>
      </c>
      <c r="C91" s="12" t="s">
        <v>304</v>
      </c>
      <c r="D91" s="67">
        <f t="shared" ref="D91:D97" si="75">D175</f>
        <v>-32550000</v>
      </c>
      <c r="E91" s="67">
        <f t="shared" ref="E91:N91" si="76">E175</f>
        <v>0</v>
      </c>
      <c r="F91" s="67">
        <f t="shared" si="76"/>
        <v>0</v>
      </c>
      <c r="G91" s="67">
        <f t="shared" si="76"/>
        <v>0</v>
      </c>
      <c r="H91" s="67">
        <f t="shared" si="76"/>
        <v>0</v>
      </c>
      <c r="I91" s="67">
        <f t="shared" si="76"/>
        <v>14347035</v>
      </c>
      <c r="J91" s="67">
        <f t="shared" si="76"/>
        <v>0</v>
      </c>
      <c r="K91" s="67">
        <f t="shared" si="76"/>
        <v>0</v>
      </c>
      <c r="L91" s="67">
        <f t="shared" si="76"/>
        <v>0</v>
      </c>
      <c r="M91" s="67">
        <f t="shared" si="76"/>
        <v>0</v>
      </c>
      <c r="N91" s="67">
        <f t="shared" si="76"/>
        <v>0</v>
      </c>
      <c r="O91" s="67">
        <v>0</v>
      </c>
      <c r="P91" s="326">
        <f t="shared" si="63"/>
        <v>-18202965</v>
      </c>
      <c r="Q91" s="2"/>
      <c r="S91" s="2"/>
    </row>
    <row r="92" spans="2:19" x14ac:dyDescent="0.15">
      <c r="B92" s="340" t="s">
        <v>701</v>
      </c>
      <c r="C92" s="12" t="s">
        <v>207</v>
      </c>
      <c r="D92" s="67">
        <f t="shared" si="75"/>
        <v>-31050000</v>
      </c>
      <c r="E92" s="67">
        <f t="shared" ref="E92:N92" si="77">E176</f>
        <v>0</v>
      </c>
      <c r="F92" s="67">
        <f t="shared" si="77"/>
        <v>0</v>
      </c>
      <c r="G92" s="67">
        <f t="shared" si="77"/>
        <v>0</v>
      </c>
      <c r="H92" s="67">
        <f t="shared" si="77"/>
        <v>0</v>
      </c>
      <c r="I92" s="67">
        <f t="shared" si="77"/>
        <v>12847035</v>
      </c>
      <c r="J92" s="67">
        <f t="shared" si="77"/>
        <v>0</v>
      </c>
      <c r="K92" s="67">
        <f t="shared" si="77"/>
        <v>0</v>
      </c>
      <c r="L92" s="67">
        <f t="shared" si="77"/>
        <v>0</v>
      </c>
      <c r="M92" s="67">
        <f t="shared" si="77"/>
        <v>0</v>
      </c>
      <c r="N92" s="67">
        <f t="shared" si="77"/>
        <v>0</v>
      </c>
      <c r="O92" s="67">
        <v>0</v>
      </c>
      <c r="P92" s="326">
        <f t="shared" si="63"/>
        <v>-18202965</v>
      </c>
      <c r="Q92" s="2"/>
      <c r="S92" s="2"/>
    </row>
    <row r="93" spans="2:19" x14ac:dyDescent="0.15">
      <c r="B93" s="340" t="s">
        <v>702</v>
      </c>
      <c r="C93" s="12" t="s">
        <v>307</v>
      </c>
      <c r="D93" s="67">
        <f t="shared" si="75"/>
        <v>-1500000</v>
      </c>
      <c r="E93" s="67">
        <f t="shared" ref="E93:N93" si="78">E177</f>
        <v>0</v>
      </c>
      <c r="F93" s="67">
        <f t="shared" si="78"/>
        <v>0</v>
      </c>
      <c r="G93" s="67">
        <f t="shared" si="78"/>
        <v>0</v>
      </c>
      <c r="H93" s="67">
        <f t="shared" si="78"/>
        <v>0</v>
      </c>
      <c r="I93" s="67">
        <f t="shared" si="78"/>
        <v>1500000</v>
      </c>
      <c r="J93" s="67">
        <f t="shared" si="78"/>
        <v>0</v>
      </c>
      <c r="K93" s="67">
        <f t="shared" si="78"/>
        <v>0</v>
      </c>
      <c r="L93" s="67">
        <f t="shared" si="78"/>
        <v>0</v>
      </c>
      <c r="M93" s="67">
        <f t="shared" si="78"/>
        <v>0</v>
      </c>
      <c r="N93" s="67">
        <f t="shared" si="78"/>
        <v>0</v>
      </c>
      <c r="O93" s="67">
        <v>0</v>
      </c>
      <c r="P93" s="326">
        <f t="shared" si="63"/>
        <v>0</v>
      </c>
      <c r="Q93" s="2"/>
      <c r="S93" s="2"/>
    </row>
    <row r="94" spans="2:19" x14ac:dyDescent="0.15">
      <c r="B94" s="340" t="s">
        <v>703</v>
      </c>
      <c r="C94" s="12" t="s">
        <v>309</v>
      </c>
      <c r="D94" s="67">
        <f t="shared" si="75"/>
        <v>0</v>
      </c>
      <c r="E94" s="67">
        <f t="shared" ref="E94:N94" si="79">E178</f>
        <v>0</v>
      </c>
      <c r="F94" s="67">
        <f t="shared" si="79"/>
        <v>0</v>
      </c>
      <c r="G94" s="67">
        <f t="shared" si="79"/>
        <v>0</v>
      </c>
      <c r="H94" s="67">
        <f t="shared" si="79"/>
        <v>0</v>
      </c>
      <c r="I94" s="67">
        <f t="shared" si="79"/>
        <v>0</v>
      </c>
      <c r="J94" s="67">
        <f t="shared" si="79"/>
        <v>0</v>
      </c>
      <c r="K94" s="67">
        <f t="shared" si="79"/>
        <v>0</v>
      </c>
      <c r="L94" s="67">
        <f t="shared" si="79"/>
        <v>0</v>
      </c>
      <c r="M94" s="67">
        <f t="shared" si="79"/>
        <v>0</v>
      </c>
      <c r="N94" s="67">
        <f t="shared" si="79"/>
        <v>0</v>
      </c>
      <c r="O94" s="67">
        <v>0</v>
      </c>
      <c r="P94" s="326">
        <f t="shared" si="63"/>
        <v>0</v>
      </c>
      <c r="Q94" s="2"/>
      <c r="S94" s="2"/>
    </row>
    <row r="95" spans="2:19" x14ac:dyDescent="0.15">
      <c r="B95" s="340" t="s">
        <v>704</v>
      </c>
      <c r="C95" s="12" t="s">
        <v>311</v>
      </c>
      <c r="D95" s="67">
        <f t="shared" si="75"/>
        <v>0</v>
      </c>
      <c r="E95" s="67">
        <f t="shared" ref="E95:N95" si="80">E179</f>
        <v>0</v>
      </c>
      <c r="F95" s="67">
        <f t="shared" si="80"/>
        <v>0</v>
      </c>
      <c r="G95" s="67">
        <f t="shared" si="80"/>
        <v>0</v>
      </c>
      <c r="H95" s="67">
        <f t="shared" si="80"/>
        <v>0</v>
      </c>
      <c r="I95" s="67">
        <f t="shared" si="80"/>
        <v>-2596968.7000000002</v>
      </c>
      <c r="J95" s="67">
        <f t="shared" si="80"/>
        <v>0</v>
      </c>
      <c r="K95" s="67">
        <f t="shared" si="80"/>
        <v>0</v>
      </c>
      <c r="L95" s="67">
        <f t="shared" si="80"/>
        <v>0</v>
      </c>
      <c r="M95" s="67">
        <f t="shared" si="80"/>
        <v>0</v>
      </c>
      <c r="N95" s="67">
        <f t="shared" si="80"/>
        <v>0</v>
      </c>
      <c r="O95" s="67">
        <v>0</v>
      </c>
      <c r="P95" s="326">
        <f t="shared" si="63"/>
        <v>-2596968.7000000002</v>
      </c>
      <c r="Q95" s="2"/>
      <c r="S95" s="2"/>
    </row>
    <row r="96" spans="2:19" ht="14" thickBot="1" x14ac:dyDescent="0.2">
      <c r="B96" s="340" t="s">
        <v>705</v>
      </c>
      <c r="C96" s="12" t="s">
        <v>115</v>
      </c>
      <c r="D96" s="67">
        <f t="shared" si="75"/>
        <v>-60000000</v>
      </c>
      <c r="E96" s="67">
        <f t="shared" ref="E96:N96" si="81">E180</f>
        <v>0</v>
      </c>
      <c r="F96" s="67">
        <f t="shared" si="81"/>
        <v>0</v>
      </c>
      <c r="G96" s="67">
        <f t="shared" si="81"/>
        <v>0</v>
      </c>
      <c r="H96" s="67">
        <f t="shared" si="81"/>
        <v>0</v>
      </c>
      <c r="I96" s="67">
        <f t="shared" si="81"/>
        <v>60000000</v>
      </c>
      <c r="J96" s="67">
        <f t="shared" si="81"/>
        <v>0</v>
      </c>
      <c r="K96" s="67">
        <f t="shared" si="81"/>
        <v>0</v>
      </c>
      <c r="L96" s="67">
        <f t="shared" si="81"/>
        <v>0</v>
      </c>
      <c r="M96" s="67">
        <f t="shared" si="81"/>
        <v>0</v>
      </c>
      <c r="N96" s="67">
        <f t="shared" si="81"/>
        <v>0</v>
      </c>
      <c r="O96" s="67">
        <v>0</v>
      </c>
      <c r="P96" s="326">
        <f t="shared" si="63"/>
        <v>0</v>
      </c>
      <c r="Q96" s="2"/>
      <c r="S96" s="2"/>
    </row>
    <row r="97" spans="1:19" x14ac:dyDescent="0.15">
      <c r="B97" s="340">
        <v>17</v>
      </c>
      <c r="C97" s="12" t="s">
        <v>313</v>
      </c>
      <c r="D97" s="67">
        <f t="shared" si="75"/>
        <v>-92550000</v>
      </c>
      <c r="E97" s="67">
        <f t="shared" ref="E97:N97" si="82">E181</f>
        <v>0</v>
      </c>
      <c r="F97" s="67">
        <f t="shared" si="82"/>
        <v>0</v>
      </c>
      <c r="G97" s="67">
        <f t="shared" si="82"/>
        <v>0</v>
      </c>
      <c r="H97" s="67">
        <f t="shared" si="82"/>
        <v>0</v>
      </c>
      <c r="I97" s="67">
        <f t="shared" si="82"/>
        <v>71750066.299999997</v>
      </c>
      <c r="J97" s="67">
        <f t="shared" si="82"/>
        <v>0</v>
      </c>
      <c r="K97" s="67">
        <f t="shared" si="82"/>
        <v>0</v>
      </c>
      <c r="L97" s="67">
        <f t="shared" si="82"/>
        <v>0</v>
      </c>
      <c r="M97" s="67">
        <f t="shared" si="82"/>
        <v>0</v>
      </c>
      <c r="N97" s="67">
        <f t="shared" si="82"/>
        <v>0</v>
      </c>
      <c r="O97" s="67">
        <v>0</v>
      </c>
      <c r="P97" s="326">
        <f t="shared" si="63"/>
        <v>-20799933.700000003</v>
      </c>
      <c r="Q97" s="461"/>
      <c r="R97" s="357" t="s">
        <v>693</v>
      </c>
      <c r="S97" s="2"/>
    </row>
    <row r="98" spans="1:19" ht="14" thickBot="1" x14ac:dyDescent="0.2">
      <c r="A98" s="1" t="s">
        <v>706</v>
      </c>
      <c r="B98" s="355">
        <v>18</v>
      </c>
      <c r="C98" s="335" t="s">
        <v>314</v>
      </c>
      <c r="D98" s="331">
        <f>D97+D89</f>
        <v>-92550000</v>
      </c>
      <c r="E98" s="331">
        <f t="shared" ref="E98:N98" si="83">E97+E89</f>
        <v>50012750</v>
      </c>
      <c r="F98" s="331">
        <f t="shared" si="83"/>
        <v>44202792.500000022</v>
      </c>
      <c r="G98" s="331">
        <f t="shared" si="83"/>
        <v>35442192.08412499</v>
      </c>
      <c r="H98" s="331">
        <f t="shared" si="83"/>
        <v>25111356.707490433</v>
      </c>
      <c r="I98" s="331">
        <f t="shared" si="83"/>
        <v>84401062.478848949</v>
      </c>
      <c r="J98" s="331">
        <f t="shared" si="83"/>
        <v>0</v>
      </c>
      <c r="K98" s="331">
        <f t="shared" si="83"/>
        <v>0</v>
      </c>
      <c r="L98" s="331">
        <f t="shared" si="83"/>
        <v>0</v>
      </c>
      <c r="M98" s="331">
        <f t="shared" si="83"/>
        <v>0</v>
      </c>
      <c r="N98" s="331">
        <f t="shared" si="83"/>
        <v>0</v>
      </c>
      <c r="O98" s="331">
        <v>0</v>
      </c>
      <c r="P98" s="356">
        <f>SUM(D98:N98)</f>
        <v>146620153.77046439</v>
      </c>
      <c r="Q98" s="463"/>
      <c r="R98" s="358">
        <f>IF(ISNUMBER(IRR(D98:N98)),IRR(D98:N98),"NMF")</f>
        <v>0.40549033935008683</v>
      </c>
      <c r="S98" s="1" t="s">
        <v>706</v>
      </c>
    </row>
    <row r="99" spans="1:19" x14ac:dyDescent="0.15">
      <c r="B99" s="145"/>
      <c r="S99" s="2"/>
    </row>
    <row r="100" spans="1:19" ht="14" thickBot="1" x14ac:dyDescent="0.2">
      <c r="B100" s="145"/>
      <c r="S100" s="2"/>
    </row>
    <row r="101" spans="1:19" ht="14" thickBot="1" x14ac:dyDescent="0.2">
      <c r="B101" s="359" t="s">
        <v>282</v>
      </c>
      <c r="C101" s="360" t="s">
        <v>283</v>
      </c>
      <c r="D101" s="360"/>
      <c r="E101" s="360">
        <v>1</v>
      </c>
      <c r="F101" s="360">
        <v>2</v>
      </c>
      <c r="G101" s="360">
        <v>3</v>
      </c>
      <c r="H101" s="360">
        <v>4</v>
      </c>
      <c r="I101" s="360">
        <v>5</v>
      </c>
      <c r="J101" s="360">
        <v>6</v>
      </c>
      <c r="K101" s="360">
        <v>7</v>
      </c>
      <c r="L101" s="360">
        <v>8</v>
      </c>
      <c r="M101" s="360">
        <v>9</v>
      </c>
      <c r="N101" s="360">
        <v>10</v>
      </c>
      <c r="O101" s="360" t="s">
        <v>284</v>
      </c>
      <c r="P101" s="361" t="s">
        <v>285</v>
      </c>
      <c r="S101" s="2"/>
    </row>
    <row r="102" spans="1:19" x14ac:dyDescent="0.15">
      <c r="B102" s="339" t="s">
        <v>687</v>
      </c>
      <c r="C102" s="302" t="s">
        <v>287</v>
      </c>
      <c r="D102" s="322">
        <f t="shared" ref="D102:D117" si="84">D158</f>
        <v>0</v>
      </c>
      <c r="E102" s="322">
        <f t="shared" ref="E102:N102" si="85">E158</f>
        <v>300000000</v>
      </c>
      <c r="F102" s="322">
        <f t="shared" si="85"/>
        <v>313500000.00000006</v>
      </c>
      <c r="G102" s="322">
        <f t="shared" si="85"/>
        <v>327607500.00000006</v>
      </c>
      <c r="H102" s="322">
        <f t="shared" si="85"/>
        <v>342349837.50000012</v>
      </c>
      <c r="I102" s="322">
        <f t="shared" si="85"/>
        <v>357755580.18750012</v>
      </c>
      <c r="J102" s="322">
        <f t="shared" si="85"/>
        <v>0</v>
      </c>
      <c r="K102" s="322">
        <f t="shared" si="85"/>
        <v>0</v>
      </c>
      <c r="L102" s="322">
        <f t="shared" si="85"/>
        <v>0</v>
      </c>
      <c r="M102" s="322">
        <f t="shared" si="85"/>
        <v>0</v>
      </c>
      <c r="N102" s="322">
        <f t="shared" si="85"/>
        <v>0</v>
      </c>
      <c r="O102" s="322">
        <v>0</v>
      </c>
      <c r="P102" s="325">
        <f>SUM(D102:N102)</f>
        <v>1641212917.6875</v>
      </c>
      <c r="Q102" s="2"/>
      <c r="S102" s="2"/>
    </row>
    <row r="103" spans="1:19" x14ac:dyDescent="0.15">
      <c r="A103" s="1" t="s">
        <v>707</v>
      </c>
      <c r="B103" s="340" t="s">
        <v>689</v>
      </c>
      <c r="C103" s="354" t="s">
        <v>689</v>
      </c>
      <c r="D103" s="67">
        <f t="shared" si="84"/>
        <v>0</v>
      </c>
      <c r="E103" s="67">
        <f>E159</f>
        <v>300000000</v>
      </c>
      <c r="F103" s="67">
        <f t="shared" ref="F103:N103" si="86">F159</f>
        <v>313500000.00000006</v>
      </c>
      <c r="G103" s="67">
        <f t="shared" si="86"/>
        <v>327607500.00000006</v>
      </c>
      <c r="H103" s="67">
        <f t="shared" si="86"/>
        <v>342349837.50000012</v>
      </c>
      <c r="I103" s="67">
        <f t="shared" si="86"/>
        <v>357755580.18750012</v>
      </c>
      <c r="J103" s="67">
        <f t="shared" si="86"/>
        <v>0</v>
      </c>
      <c r="K103" s="67">
        <f t="shared" si="86"/>
        <v>0</v>
      </c>
      <c r="L103" s="67">
        <f t="shared" si="86"/>
        <v>0</v>
      </c>
      <c r="M103" s="67">
        <f t="shared" si="86"/>
        <v>0</v>
      </c>
      <c r="N103" s="67">
        <f t="shared" si="86"/>
        <v>0</v>
      </c>
      <c r="O103" s="67"/>
      <c r="P103" s="326">
        <f>SUM(D103:N103)</f>
        <v>1641212917.6875</v>
      </c>
      <c r="Q103" s="2"/>
      <c r="S103" s="2"/>
    </row>
    <row r="104" spans="1:19" x14ac:dyDescent="0.15">
      <c r="B104" s="340" t="s">
        <v>690</v>
      </c>
      <c r="C104" s="354" t="s">
        <v>690</v>
      </c>
      <c r="D104" s="67">
        <f t="shared" si="84"/>
        <v>0</v>
      </c>
      <c r="E104" s="67">
        <f>E160</f>
        <v>0</v>
      </c>
      <c r="F104" s="67">
        <f t="shared" ref="F104:N104" si="87">F160</f>
        <v>0</v>
      </c>
      <c r="G104" s="67">
        <f t="shared" si="87"/>
        <v>0</v>
      </c>
      <c r="H104" s="67">
        <f t="shared" si="87"/>
        <v>0</v>
      </c>
      <c r="I104" s="67">
        <f t="shared" si="87"/>
        <v>0</v>
      </c>
      <c r="J104" s="67">
        <f t="shared" si="87"/>
        <v>0</v>
      </c>
      <c r="K104" s="67">
        <f t="shared" si="87"/>
        <v>0</v>
      </c>
      <c r="L104" s="67">
        <f t="shared" si="87"/>
        <v>0</v>
      </c>
      <c r="M104" s="67">
        <f t="shared" si="87"/>
        <v>0</v>
      </c>
      <c r="N104" s="67">
        <f t="shared" si="87"/>
        <v>0</v>
      </c>
      <c r="O104" s="294"/>
      <c r="P104" s="326">
        <f>SUM(D104:N104)</f>
        <v>0</v>
      </c>
      <c r="Q104" s="2"/>
      <c r="S104" s="2"/>
    </row>
    <row r="105" spans="1:19" x14ac:dyDescent="0.15">
      <c r="B105" s="355" t="s">
        <v>691</v>
      </c>
      <c r="C105" s="362" t="s">
        <v>691</v>
      </c>
      <c r="D105" s="331">
        <f t="shared" si="84"/>
        <v>0</v>
      </c>
      <c r="E105" s="331">
        <f>E161*0.9</f>
        <v>0</v>
      </c>
      <c r="F105" s="331">
        <f t="shared" ref="F105:N105" si="88">F161*0.9</f>
        <v>0</v>
      </c>
      <c r="G105" s="331">
        <f t="shared" si="88"/>
        <v>0</v>
      </c>
      <c r="H105" s="331">
        <f t="shared" si="88"/>
        <v>0</v>
      </c>
      <c r="I105" s="331">
        <f t="shared" si="88"/>
        <v>0</v>
      </c>
      <c r="J105" s="331">
        <f t="shared" si="88"/>
        <v>0</v>
      </c>
      <c r="K105" s="331">
        <f t="shared" si="88"/>
        <v>0</v>
      </c>
      <c r="L105" s="331">
        <f t="shared" si="88"/>
        <v>0</v>
      </c>
      <c r="M105" s="331">
        <f t="shared" si="88"/>
        <v>0</v>
      </c>
      <c r="N105" s="331">
        <f t="shared" si="88"/>
        <v>0</v>
      </c>
      <c r="O105" s="331"/>
      <c r="P105" s="356">
        <f>SUM(D105:N105)</f>
        <v>0</v>
      </c>
      <c r="Q105" s="460"/>
      <c r="S105" s="2"/>
    </row>
    <row r="106" spans="1:19" x14ac:dyDescent="0.15">
      <c r="B106" s="340" t="s">
        <v>695</v>
      </c>
      <c r="C106" s="12"/>
      <c r="D106" s="67">
        <f t="shared" si="84"/>
        <v>0</v>
      </c>
      <c r="E106" s="67">
        <f>E105+E104+E103</f>
        <v>300000000</v>
      </c>
      <c r="F106" s="67">
        <f t="shared" ref="F106:N106" si="89">F105+F104+F103</f>
        <v>313500000.00000006</v>
      </c>
      <c r="G106" s="67">
        <f t="shared" si="89"/>
        <v>327607500.00000006</v>
      </c>
      <c r="H106" s="67">
        <f t="shared" si="89"/>
        <v>342349837.50000012</v>
      </c>
      <c r="I106" s="67">
        <f t="shared" si="89"/>
        <v>357755580.18750012</v>
      </c>
      <c r="J106" s="67">
        <f t="shared" si="89"/>
        <v>0</v>
      </c>
      <c r="K106" s="67">
        <f t="shared" si="89"/>
        <v>0</v>
      </c>
      <c r="L106" s="67">
        <f t="shared" si="89"/>
        <v>0</v>
      </c>
      <c r="M106" s="67">
        <f t="shared" si="89"/>
        <v>0</v>
      </c>
      <c r="N106" s="67">
        <f t="shared" si="89"/>
        <v>0</v>
      </c>
      <c r="O106" s="67"/>
      <c r="P106" s="326">
        <f>SUM(D106:N106)</f>
        <v>1641212917.6875</v>
      </c>
      <c r="Q106" s="2"/>
      <c r="S106" s="2"/>
    </row>
    <row r="107" spans="1:19" x14ac:dyDescent="0.15">
      <c r="B107" s="340" t="s">
        <v>696</v>
      </c>
      <c r="C107" s="12" t="s">
        <v>289</v>
      </c>
      <c r="D107" s="67">
        <f t="shared" si="84"/>
        <v>0</v>
      </c>
      <c r="E107" s="67">
        <f t="shared" ref="E107:N107" si="90">E163</f>
        <v>230170000</v>
      </c>
      <c r="F107" s="67">
        <f t="shared" si="90"/>
        <v>253018375.00000003</v>
      </c>
      <c r="G107" s="67">
        <f t="shared" si="90"/>
        <v>278725718.45125008</v>
      </c>
      <c r="H107" s="67">
        <f t="shared" si="90"/>
        <v>307665975.06072807</v>
      </c>
      <c r="I107" s="67">
        <f t="shared" si="90"/>
        <v>340262566.36057305</v>
      </c>
      <c r="J107" s="67">
        <f t="shared" si="90"/>
        <v>0</v>
      </c>
      <c r="K107" s="67">
        <f t="shared" si="90"/>
        <v>0</v>
      </c>
      <c r="L107" s="67">
        <f t="shared" si="90"/>
        <v>0</v>
      </c>
      <c r="M107" s="67">
        <f t="shared" si="90"/>
        <v>0</v>
      </c>
      <c r="N107" s="67">
        <f t="shared" si="90"/>
        <v>0</v>
      </c>
      <c r="O107" s="67">
        <v>0</v>
      </c>
      <c r="P107" s="326">
        <f t="shared" ref="P107:P125" si="91">SUM(D107:N107)</f>
        <v>1409842634.8725512</v>
      </c>
      <c r="Q107" s="2"/>
      <c r="S107" s="2"/>
    </row>
    <row r="108" spans="1:19" x14ac:dyDescent="0.15">
      <c r="B108" s="340">
        <v>3</v>
      </c>
      <c r="C108" s="12" t="s">
        <v>290</v>
      </c>
      <c r="D108" s="67">
        <f t="shared" si="84"/>
        <v>0</v>
      </c>
      <c r="E108" s="67">
        <f>E106-E107</f>
        <v>69830000</v>
      </c>
      <c r="F108" s="67">
        <f t="shared" ref="F108:N108" si="92">F106-F107</f>
        <v>60481625.00000003</v>
      </c>
      <c r="G108" s="67">
        <f t="shared" si="92"/>
        <v>48881781.548749983</v>
      </c>
      <c r="H108" s="67">
        <f t="shared" si="92"/>
        <v>34683862.439272046</v>
      </c>
      <c r="I108" s="67">
        <f t="shared" si="92"/>
        <v>17493013.826927066</v>
      </c>
      <c r="J108" s="67">
        <f t="shared" si="92"/>
        <v>0</v>
      </c>
      <c r="K108" s="67">
        <f t="shared" si="92"/>
        <v>0</v>
      </c>
      <c r="L108" s="67">
        <f t="shared" si="92"/>
        <v>0</v>
      </c>
      <c r="M108" s="67">
        <f t="shared" si="92"/>
        <v>0</v>
      </c>
      <c r="N108" s="67">
        <f t="shared" si="92"/>
        <v>0</v>
      </c>
      <c r="O108" s="67">
        <v>0</v>
      </c>
      <c r="P108" s="326">
        <f t="shared" si="91"/>
        <v>231370282.81494913</v>
      </c>
      <c r="Q108" s="2"/>
      <c r="S108" s="2"/>
    </row>
    <row r="109" spans="1:19" x14ac:dyDescent="0.15">
      <c r="B109" s="340" t="s">
        <v>697</v>
      </c>
      <c r="C109" s="12" t="s">
        <v>292</v>
      </c>
      <c r="D109" s="67">
        <f t="shared" si="84"/>
        <v>0</v>
      </c>
      <c r="E109" s="67">
        <f>E165</f>
        <v>3772500</v>
      </c>
      <c r="F109" s="67">
        <f t="shared" ref="F109:N109" si="93">F165</f>
        <v>6218850</v>
      </c>
      <c r="G109" s="67">
        <f t="shared" si="93"/>
        <v>4083150</v>
      </c>
      <c r="H109" s="67">
        <f t="shared" si="93"/>
        <v>2775510</v>
      </c>
      <c r="I109" s="67">
        <f t="shared" si="93"/>
        <v>1352955</v>
      </c>
      <c r="J109" s="67">
        <f t="shared" si="93"/>
        <v>0</v>
      </c>
      <c r="K109" s="67">
        <f t="shared" si="93"/>
        <v>0</v>
      </c>
      <c r="L109" s="67">
        <f t="shared" si="93"/>
        <v>0</v>
      </c>
      <c r="M109" s="67">
        <f t="shared" si="93"/>
        <v>0</v>
      </c>
      <c r="N109" s="67">
        <f t="shared" si="93"/>
        <v>0</v>
      </c>
      <c r="O109" s="67">
        <v>0</v>
      </c>
      <c r="P109" s="326">
        <f t="shared" si="91"/>
        <v>18202965</v>
      </c>
      <c r="Q109" s="2"/>
      <c r="S109" s="2"/>
    </row>
    <row r="110" spans="1:19" x14ac:dyDescent="0.15">
      <c r="B110" s="340">
        <v>5</v>
      </c>
      <c r="C110" s="12" t="s">
        <v>293</v>
      </c>
      <c r="D110" s="67">
        <f t="shared" si="84"/>
        <v>0</v>
      </c>
      <c r="E110" s="67">
        <f>E108-E109</f>
        <v>66057500</v>
      </c>
      <c r="F110" s="67">
        <f t="shared" ref="F110:N110" si="94">F108-F109</f>
        <v>54262775.00000003</v>
      </c>
      <c r="G110" s="67">
        <f t="shared" si="94"/>
        <v>44798631.548749983</v>
      </c>
      <c r="H110" s="67">
        <f t="shared" si="94"/>
        <v>31908352.439272046</v>
      </c>
      <c r="I110" s="67">
        <f t="shared" si="94"/>
        <v>16140058.826927066</v>
      </c>
      <c r="J110" s="67">
        <f t="shared" si="94"/>
        <v>0</v>
      </c>
      <c r="K110" s="67">
        <f t="shared" si="94"/>
        <v>0</v>
      </c>
      <c r="L110" s="67">
        <f t="shared" si="94"/>
        <v>0</v>
      </c>
      <c r="M110" s="67">
        <f t="shared" si="94"/>
        <v>0</v>
      </c>
      <c r="N110" s="67">
        <f t="shared" si="94"/>
        <v>0</v>
      </c>
      <c r="O110" s="67">
        <v>0</v>
      </c>
      <c r="P110" s="326">
        <f t="shared" si="91"/>
        <v>213167317.81494913</v>
      </c>
      <c r="Q110" s="2"/>
      <c r="S110" s="2"/>
    </row>
    <row r="111" spans="1:19" x14ac:dyDescent="0.15">
      <c r="B111" s="340" t="s">
        <v>698</v>
      </c>
      <c r="C111" s="12" t="s">
        <v>295</v>
      </c>
      <c r="D111" s="67">
        <f t="shared" si="84"/>
        <v>0</v>
      </c>
      <c r="E111" s="67">
        <f>E167</f>
        <v>0</v>
      </c>
      <c r="F111" s="67">
        <f t="shared" ref="F111:N111" si="95">F167</f>
        <v>0</v>
      </c>
      <c r="G111" s="67">
        <f t="shared" si="95"/>
        <v>0</v>
      </c>
      <c r="H111" s="67">
        <f t="shared" si="95"/>
        <v>0</v>
      </c>
      <c r="I111" s="67">
        <f t="shared" si="95"/>
        <v>0</v>
      </c>
      <c r="J111" s="67">
        <f t="shared" si="95"/>
        <v>0</v>
      </c>
      <c r="K111" s="67">
        <f t="shared" si="95"/>
        <v>0</v>
      </c>
      <c r="L111" s="67">
        <f t="shared" si="95"/>
        <v>0</v>
      </c>
      <c r="M111" s="67">
        <f t="shared" si="95"/>
        <v>0</v>
      </c>
      <c r="N111" s="67">
        <f t="shared" si="95"/>
        <v>0</v>
      </c>
      <c r="O111" s="67">
        <v>0</v>
      </c>
      <c r="P111" s="326">
        <f t="shared" si="91"/>
        <v>0</v>
      </c>
      <c r="Q111" s="2"/>
      <c r="S111" s="2"/>
    </row>
    <row r="112" spans="1:19" x14ac:dyDescent="0.15">
      <c r="B112" s="340">
        <v>7</v>
      </c>
      <c r="C112" s="12" t="s">
        <v>296</v>
      </c>
      <c r="D112" s="67">
        <f t="shared" si="84"/>
        <v>0</v>
      </c>
      <c r="E112" s="67">
        <f>E110-E111</f>
        <v>66057500</v>
      </c>
      <c r="F112" s="67">
        <f t="shared" ref="F112:N112" si="96">F110-F111</f>
        <v>54262775.00000003</v>
      </c>
      <c r="G112" s="67">
        <f t="shared" si="96"/>
        <v>44798631.548749983</v>
      </c>
      <c r="H112" s="67">
        <f t="shared" si="96"/>
        <v>31908352.439272046</v>
      </c>
      <c r="I112" s="67">
        <f t="shared" si="96"/>
        <v>16140058.826927066</v>
      </c>
      <c r="J112" s="67">
        <f t="shared" si="96"/>
        <v>0</v>
      </c>
      <c r="K112" s="67">
        <f t="shared" si="96"/>
        <v>0</v>
      </c>
      <c r="L112" s="67">
        <f t="shared" si="96"/>
        <v>0</v>
      </c>
      <c r="M112" s="67">
        <f t="shared" si="96"/>
        <v>0</v>
      </c>
      <c r="N112" s="67">
        <f t="shared" si="96"/>
        <v>0</v>
      </c>
      <c r="O112" s="67">
        <v>0</v>
      </c>
      <c r="P112" s="326">
        <f t="shared" si="91"/>
        <v>213167317.81494913</v>
      </c>
      <c r="Q112" s="2"/>
      <c r="S112" s="2"/>
    </row>
    <row r="113" spans="1:19" x14ac:dyDescent="0.15">
      <c r="B113" s="340">
        <v>8</v>
      </c>
      <c r="C113" s="12" t="s">
        <v>297</v>
      </c>
      <c r="D113" s="67">
        <f t="shared" si="84"/>
        <v>0</v>
      </c>
      <c r="E113" s="67">
        <f>-E112*$D$3</f>
        <v>-19817250</v>
      </c>
      <c r="F113" s="67">
        <f t="shared" ref="F113:N113" si="97">-F112*$D$3</f>
        <v>-16278832.500000007</v>
      </c>
      <c r="G113" s="67">
        <f t="shared" si="97"/>
        <v>-13439589.464624995</v>
      </c>
      <c r="H113" s="67">
        <f t="shared" si="97"/>
        <v>-9572505.7317816131</v>
      </c>
      <c r="I113" s="67">
        <f t="shared" si="97"/>
        <v>-4842017.6480781194</v>
      </c>
      <c r="J113" s="67">
        <f t="shared" si="97"/>
        <v>0</v>
      </c>
      <c r="K113" s="67">
        <f t="shared" si="97"/>
        <v>0</v>
      </c>
      <c r="L113" s="67">
        <f t="shared" si="97"/>
        <v>0</v>
      </c>
      <c r="M113" s="67">
        <f t="shared" si="97"/>
        <v>0</v>
      </c>
      <c r="N113" s="67">
        <f t="shared" si="97"/>
        <v>0</v>
      </c>
      <c r="O113" s="67">
        <v>0</v>
      </c>
      <c r="P113" s="326">
        <f t="shared" si="91"/>
        <v>-63950195.344484739</v>
      </c>
      <c r="Q113" s="2"/>
      <c r="S113" s="2"/>
    </row>
    <row r="114" spans="1:19" x14ac:dyDescent="0.15">
      <c r="B114" s="340">
        <v>9</v>
      </c>
      <c r="C114" s="12" t="s">
        <v>298</v>
      </c>
      <c r="D114" s="67">
        <f t="shared" si="84"/>
        <v>0</v>
      </c>
      <c r="E114" s="67">
        <f>E170</f>
        <v>0</v>
      </c>
      <c r="F114" s="67">
        <f t="shared" ref="F114:N114" si="98">F170</f>
        <v>0</v>
      </c>
      <c r="G114" s="67">
        <f t="shared" si="98"/>
        <v>0</v>
      </c>
      <c r="H114" s="67">
        <f t="shared" si="98"/>
        <v>0</v>
      </c>
      <c r="I114" s="67">
        <f t="shared" si="98"/>
        <v>0</v>
      </c>
      <c r="J114" s="67">
        <f t="shared" si="98"/>
        <v>0</v>
      </c>
      <c r="K114" s="67">
        <f t="shared" si="98"/>
        <v>0</v>
      </c>
      <c r="L114" s="67">
        <f t="shared" si="98"/>
        <v>0</v>
      </c>
      <c r="M114" s="67">
        <f t="shared" si="98"/>
        <v>0</v>
      </c>
      <c r="N114" s="67">
        <f t="shared" si="98"/>
        <v>0</v>
      </c>
      <c r="O114" s="67">
        <v>0</v>
      </c>
      <c r="P114" s="326">
        <f t="shared" si="91"/>
        <v>0</v>
      </c>
      <c r="Q114" s="2"/>
      <c r="S114" s="2"/>
    </row>
    <row r="115" spans="1:19" x14ac:dyDescent="0.15">
      <c r="B115" s="340">
        <v>10</v>
      </c>
      <c r="C115" s="12" t="s">
        <v>299</v>
      </c>
      <c r="D115" s="67">
        <f t="shared" si="84"/>
        <v>0</v>
      </c>
      <c r="E115" s="67">
        <f>E112+E113+E114</f>
        <v>46240250</v>
      </c>
      <c r="F115" s="67">
        <f t="shared" ref="F115:N115" si="99">F112+F113+F114</f>
        <v>37983942.500000022</v>
      </c>
      <c r="G115" s="67">
        <f t="shared" si="99"/>
        <v>31359042.08412499</v>
      </c>
      <c r="H115" s="67">
        <f t="shared" si="99"/>
        <v>22335846.707490433</v>
      </c>
      <c r="I115" s="67">
        <f t="shared" si="99"/>
        <v>11298041.178848946</v>
      </c>
      <c r="J115" s="67">
        <f t="shared" si="99"/>
        <v>0</v>
      </c>
      <c r="K115" s="67">
        <f t="shared" si="99"/>
        <v>0</v>
      </c>
      <c r="L115" s="67">
        <f t="shared" si="99"/>
        <v>0</v>
      </c>
      <c r="M115" s="67">
        <f t="shared" si="99"/>
        <v>0</v>
      </c>
      <c r="N115" s="67">
        <f t="shared" si="99"/>
        <v>0</v>
      </c>
      <c r="O115" s="67">
        <v>0</v>
      </c>
      <c r="P115" s="326">
        <f t="shared" si="91"/>
        <v>149217122.47046441</v>
      </c>
      <c r="Q115" s="2"/>
      <c r="S115" s="2"/>
    </row>
    <row r="116" spans="1:19" x14ac:dyDescent="0.15">
      <c r="B116" s="340" t="s">
        <v>699</v>
      </c>
      <c r="C116" s="12" t="s">
        <v>292</v>
      </c>
      <c r="D116" s="67">
        <f t="shared" si="84"/>
        <v>0</v>
      </c>
      <c r="E116" s="67">
        <f>E172</f>
        <v>3772500</v>
      </c>
      <c r="F116" s="67">
        <f t="shared" ref="F116:N116" si="100">F172</f>
        <v>6218850</v>
      </c>
      <c r="G116" s="67">
        <f t="shared" si="100"/>
        <v>4083150</v>
      </c>
      <c r="H116" s="67">
        <f t="shared" si="100"/>
        <v>2775510</v>
      </c>
      <c r="I116" s="67">
        <f t="shared" si="100"/>
        <v>1352955</v>
      </c>
      <c r="J116" s="67">
        <f t="shared" si="100"/>
        <v>0</v>
      </c>
      <c r="K116" s="67">
        <f t="shared" si="100"/>
        <v>0</v>
      </c>
      <c r="L116" s="67">
        <f t="shared" si="100"/>
        <v>0</v>
      </c>
      <c r="M116" s="67">
        <f t="shared" si="100"/>
        <v>0</v>
      </c>
      <c r="N116" s="67">
        <f t="shared" si="100"/>
        <v>0</v>
      </c>
      <c r="O116" s="67">
        <v>0</v>
      </c>
      <c r="P116" s="326">
        <f t="shared" si="91"/>
        <v>18202965</v>
      </c>
      <c r="Q116" s="2"/>
      <c r="S116" s="2"/>
    </row>
    <row r="117" spans="1:19" x14ac:dyDescent="0.15">
      <c r="B117" s="340">
        <v>12</v>
      </c>
      <c r="C117" s="12" t="s">
        <v>301</v>
      </c>
      <c r="D117" s="67">
        <f t="shared" si="84"/>
        <v>0</v>
      </c>
      <c r="E117" s="67">
        <f>E115+E116</f>
        <v>50012750</v>
      </c>
      <c r="F117" s="67">
        <f t="shared" ref="F117:N117" si="101">F115+F116</f>
        <v>44202792.500000022</v>
      </c>
      <c r="G117" s="67">
        <f t="shared" si="101"/>
        <v>35442192.08412499</v>
      </c>
      <c r="H117" s="67">
        <f t="shared" si="101"/>
        <v>25111356.707490433</v>
      </c>
      <c r="I117" s="67">
        <f t="shared" si="101"/>
        <v>12650996.178848946</v>
      </c>
      <c r="J117" s="67">
        <f t="shared" si="101"/>
        <v>0</v>
      </c>
      <c r="K117" s="67">
        <f t="shared" si="101"/>
        <v>0</v>
      </c>
      <c r="L117" s="67">
        <f t="shared" si="101"/>
        <v>0</v>
      </c>
      <c r="M117" s="67">
        <f t="shared" si="101"/>
        <v>0</v>
      </c>
      <c r="N117" s="67">
        <f t="shared" si="101"/>
        <v>0</v>
      </c>
      <c r="O117" s="67">
        <v>0</v>
      </c>
      <c r="P117" s="326">
        <f t="shared" si="91"/>
        <v>167420087.47046441</v>
      </c>
      <c r="Q117" s="2"/>
      <c r="S117" s="2"/>
    </row>
    <row r="118" spans="1:19" x14ac:dyDescent="0.15">
      <c r="B118" s="340" t="s">
        <v>700</v>
      </c>
      <c r="C118" s="12" t="s">
        <v>303</v>
      </c>
      <c r="D118" s="67">
        <v>0</v>
      </c>
      <c r="E118" s="67">
        <f t="shared" ref="E118:N118" si="102">E174</f>
        <v>0</v>
      </c>
      <c r="F118" s="67">
        <f t="shared" si="102"/>
        <v>0</v>
      </c>
      <c r="G118" s="67">
        <f t="shared" si="102"/>
        <v>0</v>
      </c>
      <c r="H118" s="67">
        <f t="shared" si="102"/>
        <v>0</v>
      </c>
      <c r="I118" s="67">
        <f t="shared" si="102"/>
        <v>0</v>
      </c>
      <c r="J118" s="67">
        <f t="shared" si="102"/>
        <v>0</v>
      </c>
      <c r="K118" s="67">
        <f t="shared" si="102"/>
        <v>0</v>
      </c>
      <c r="L118" s="67">
        <f t="shared" si="102"/>
        <v>0</v>
      </c>
      <c r="M118" s="67">
        <f t="shared" si="102"/>
        <v>0</v>
      </c>
      <c r="N118" s="67">
        <f t="shared" si="102"/>
        <v>0</v>
      </c>
      <c r="O118" s="67">
        <v>0</v>
      </c>
      <c r="P118" s="326">
        <f t="shared" si="91"/>
        <v>0</v>
      </c>
      <c r="Q118" s="2"/>
      <c r="S118" s="2"/>
    </row>
    <row r="119" spans="1:19" x14ac:dyDescent="0.15">
      <c r="B119" s="340">
        <v>14</v>
      </c>
      <c r="C119" s="12" t="s">
        <v>304</v>
      </c>
      <c r="D119" s="67">
        <f t="shared" ref="D119:D125" si="103">D175</f>
        <v>-32550000</v>
      </c>
      <c r="E119" s="67">
        <f t="shared" ref="E119:N119" si="104">E175</f>
        <v>0</v>
      </c>
      <c r="F119" s="67">
        <f t="shared" si="104"/>
        <v>0</v>
      </c>
      <c r="G119" s="67">
        <f t="shared" si="104"/>
        <v>0</v>
      </c>
      <c r="H119" s="67">
        <f t="shared" si="104"/>
        <v>0</v>
      </c>
      <c r="I119" s="67">
        <f t="shared" si="104"/>
        <v>14347035</v>
      </c>
      <c r="J119" s="67">
        <f t="shared" si="104"/>
        <v>0</v>
      </c>
      <c r="K119" s="67">
        <f t="shared" si="104"/>
        <v>0</v>
      </c>
      <c r="L119" s="67">
        <f t="shared" si="104"/>
        <v>0</v>
      </c>
      <c r="M119" s="67">
        <f t="shared" si="104"/>
        <v>0</v>
      </c>
      <c r="N119" s="67">
        <f t="shared" si="104"/>
        <v>0</v>
      </c>
      <c r="O119" s="67">
        <v>0</v>
      </c>
      <c r="P119" s="326">
        <f t="shared" si="91"/>
        <v>-18202965</v>
      </c>
      <c r="Q119" s="2"/>
      <c r="S119" s="2"/>
    </row>
    <row r="120" spans="1:19" x14ac:dyDescent="0.15">
      <c r="B120" s="340" t="s">
        <v>701</v>
      </c>
      <c r="C120" s="12" t="s">
        <v>207</v>
      </c>
      <c r="D120" s="67">
        <f t="shared" si="103"/>
        <v>-31050000</v>
      </c>
      <c r="E120" s="67">
        <f t="shared" ref="E120:N120" si="105">E176</f>
        <v>0</v>
      </c>
      <c r="F120" s="67">
        <f t="shared" si="105"/>
        <v>0</v>
      </c>
      <c r="G120" s="67">
        <f t="shared" si="105"/>
        <v>0</v>
      </c>
      <c r="H120" s="67">
        <f t="shared" si="105"/>
        <v>0</v>
      </c>
      <c r="I120" s="67">
        <f t="shared" si="105"/>
        <v>12847035</v>
      </c>
      <c r="J120" s="67">
        <f t="shared" si="105"/>
        <v>0</v>
      </c>
      <c r="K120" s="67">
        <f t="shared" si="105"/>
        <v>0</v>
      </c>
      <c r="L120" s="67">
        <f t="shared" si="105"/>
        <v>0</v>
      </c>
      <c r="M120" s="67">
        <f t="shared" si="105"/>
        <v>0</v>
      </c>
      <c r="N120" s="67">
        <f t="shared" si="105"/>
        <v>0</v>
      </c>
      <c r="O120" s="67">
        <v>0</v>
      </c>
      <c r="P120" s="326">
        <f t="shared" si="91"/>
        <v>-18202965</v>
      </c>
      <c r="Q120" s="2"/>
      <c r="S120" s="2"/>
    </row>
    <row r="121" spans="1:19" x14ac:dyDescent="0.15">
      <c r="B121" s="340" t="s">
        <v>702</v>
      </c>
      <c r="C121" s="12" t="s">
        <v>307</v>
      </c>
      <c r="D121" s="67">
        <f t="shared" si="103"/>
        <v>-1500000</v>
      </c>
      <c r="E121" s="67">
        <f t="shared" ref="E121:N121" si="106">E177</f>
        <v>0</v>
      </c>
      <c r="F121" s="67">
        <f t="shared" si="106"/>
        <v>0</v>
      </c>
      <c r="G121" s="67">
        <f t="shared" si="106"/>
        <v>0</v>
      </c>
      <c r="H121" s="67">
        <f t="shared" si="106"/>
        <v>0</v>
      </c>
      <c r="I121" s="67">
        <f t="shared" si="106"/>
        <v>1500000</v>
      </c>
      <c r="J121" s="67">
        <f t="shared" si="106"/>
        <v>0</v>
      </c>
      <c r="K121" s="67">
        <f t="shared" si="106"/>
        <v>0</v>
      </c>
      <c r="L121" s="67">
        <f t="shared" si="106"/>
        <v>0</v>
      </c>
      <c r="M121" s="67">
        <f t="shared" si="106"/>
        <v>0</v>
      </c>
      <c r="N121" s="67">
        <f t="shared" si="106"/>
        <v>0</v>
      </c>
      <c r="O121" s="67">
        <v>0</v>
      </c>
      <c r="P121" s="326">
        <f t="shared" si="91"/>
        <v>0</v>
      </c>
      <c r="Q121" s="2"/>
      <c r="S121" s="2"/>
    </row>
    <row r="122" spans="1:19" x14ac:dyDescent="0.15">
      <c r="B122" s="340" t="s">
        <v>703</v>
      </c>
      <c r="C122" s="12" t="s">
        <v>309</v>
      </c>
      <c r="D122" s="67">
        <f t="shared" si="103"/>
        <v>0</v>
      </c>
      <c r="E122" s="67">
        <f t="shared" ref="E122:N122" si="107">E178</f>
        <v>0</v>
      </c>
      <c r="F122" s="67">
        <f t="shared" si="107"/>
        <v>0</v>
      </c>
      <c r="G122" s="67">
        <f t="shared" si="107"/>
        <v>0</v>
      </c>
      <c r="H122" s="67">
        <f t="shared" si="107"/>
        <v>0</v>
      </c>
      <c r="I122" s="67">
        <f t="shared" si="107"/>
        <v>0</v>
      </c>
      <c r="J122" s="67">
        <f t="shared" si="107"/>
        <v>0</v>
      </c>
      <c r="K122" s="67">
        <f t="shared" si="107"/>
        <v>0</v>
      </c>
      <c r="L122" s="67">
        <f t="shared" si="107"/>
        <v>0</v>
      </c>
      <c r="M122" s="67">
        <f t="shared" si="107"/>
        <v>0</v>
      </c>
      <c r="N122" s="67">
        <f t="shared" si="107"/>
        <v>0</v>
      </c>
      <c r="O122" s="67">
        <v>0</v>
      </c>
      <c r="P122" s="326">
        <f t="shared" si="91"/>
        <v>0</v>
      </c>
      <c r="Q122" s="2"/>
      <c r="S122" s="2"/>
    </row>
    <row r="123" spans="1:19" x14ac:dyDescent="0.15">
      <c r="B123" s="340" t="s">
        <v>704</v>
      </c>
      <c r="C123" s="12" t="s">
        <v>311</v>
      </c>
      <c r="D123" s="67">
        <f t="shared" si="103"/>
        <v>0</v>
      </c>
      <c r="E123" s="67">
        <f t="shared" ref="E123:N123" si="108">E179</f>
        <v>0</v>
      </c>
      <c r="F123" s="67">
        <f t="shared" si="108"/>
        <v>0</v>
      </c>
      <c r="G123" s="67">
        <f t="shared" si="108"/>
        <v>0</v>
      </c>
      <c r="H123" s="67">
        <f t="shared" si="108"/>
        <v>0</v>
      </c>
      <c r="I123" s="67">
        <f t="shared" si="108"/>
        <v>-2596968.7000000002</v>
      </c>
      <c r="J123" s="67">
        <f t="shared" si="108"/>
        <v>0</v>
      </c>
      <c r="K123" s="67">
        <f t="shared" si="108"/>
        <v>0</v>
      </c>
      <c r="L123" s="67">
        <f t="shared" si="108"/>
        <v>0</v>
      </c>
      <c r="M123" s="67">
        <f t="shared" si="108"/>
        <v>0</v>
      </c>
      <c r="N123" s="67">
        <f t="shared" si="108"/>
        <v>0</v>
      </c>
      <c r="O123" s="67">
        <v>0</v>
      </c>
      <c r="P123" s="326">
        <f t="shared" si="91"/>
        <v>-2596968.7000000002</v>
      </c>
      <c r="Q123" s="2"/>
      <c r="S123" s="2"/>
    </row>
    <row r="124" spans="1:19" ht="14" thickBot="1" x14ac:dyDescent="0.2">
      <c r="B124" s="340" t="s">
        <v>705</v>
      </c>
      <c r="C124" s="12" t="s">
        <v>115</v>
      </c>
      <c r="D124" s="67">
        <f t="shared" si="103"/>
        <v>-60000000</v>
      </c>
      <c r="E124" s="67">
        <f t="shared" ref="E124:N124" si="109">E180</f>
        <v>0</v>
      </c>
      <c r="F124" s="67">
        <f t="shared" si="109"/>
        <v>0</v>
      </c>
      <c r="G124" s="67">
        <f t="shared" si="109"/>
        <v>0</v>
      </c>
      <c r="H124" s="67">
        <f t="shared" si="109"/>
        <v>0</v>
      </c>
      <c r="I124" s="67">
        <f t="shared" si="109"/>
        <v>60000000</v>
      </c>
      <c r="J124" s="67">
        <f t="shared" si="109"/>
        <v>0</v>
      </c>
      <c r="K124" s="67">
        <f t="shared" si="109"/>
        <v>0</v>
      </c>
      <c r="L124" s="67">
        <f t="shared" si="109"/>
        <v>0</v>
      </c>
      <c r="M124" s="67">
        <f t="shared" si="109"/>
        <v>0</v>
      </c>
      <c r="N124" s="67">
        <f t="shared" si="109"/>
        <v>0</v>
      </c>
      <c r="O124" s="67">
        <v>0</v>
      </c>
      <c r="P124" s="326">
        <f t="shared" si="91"/>
        <v>0</v>
      </c>
      <c r="Q124" s="2"/>
      <c r="S124" s="2"/>
    </row>
    <row r="125" spans="1:19" x14ac:dyDescent="0.15">
      <c r="B125" s="340">
        <v>17</v>
      </c>
      <c r="C125" s="12" t="s">
        <v>313</v>
      </c>
      <c r="D125" s="67">
        <f t="shared" si="103"/>
        <v>-92550000</v>
      </c>
      <c r="E125" s="67">
        <f t="shared" ref="E125:N125" si="110">E181</f>
        <v>0</v>
      </c>
      <c r="F125" s="67">
        <f t="shared" si="110"/>
        <v>0</v>
      </c>
      <c r="G125" s="67">
        <f t="shared" si="110"/>
        <v>0</v>
      </c>
      <c r="H125" s="67">
        <f t="shared" si="110"/>
        <v>0</v>
      </c>
      <c r="I125" s="67">
        <f t="shared" si="110"/>
        <v>71750066.299999997</v>
      </c>
      <c r="J125" s="67">
        <f t="shared" si="110"/>
        <v>0</v>
      </c>
      <c r="K125" s="67">
        <f t="shared" si="110"/>
        <v>0</v>
      </c>
      <c r="L125" s="67">
        <f t="shared" si="110"/>
        <v>0</v>
      </c>
      <c r="M125" s="67">
        <f t="shared" si="110"/>
        <v>0</v>
      </c>
      <c r="N125" s="67">
        <f t="shared" si="110"/>
        <v>0</v>
      </c>
      <c r="O125" s="67">
        <v>0</v>
      </c>
      <c r="P125" s="326">
        <f t="shared" si="91"/>
        <v>-20799933.700000003</v>
      </c>
      <c r="Q125" s="461"/>
      <c r="R125" s="357" t="s">
        <v>693</v>
      </c>
      <c r="S125" s="2"/>
    </row>
    <row r="126" spans="1:19" ht="14" thickBot="1" x14ac:dyDescent="0.2">
      <c r="A126" s="1" t="s">
        <v>707</v>
      </c>
      <c r="B126" s="355">
        <v>18</v>
      </c>
      <c r="C126" s="335" t="s">
        <v>314</v>
      </c>
      <c r="D126" s="331">
        <f>D125+D117</f>
        <v>-92550000</v>
      </c>
      <c r="E126" s="331">
        <f t="shared" ref="E126:N126" si="111">E125+E117</f>
        <v>50012750</v>
      </c>
      <c r="F126" s="331">
        <f t="shared" si="111"/>
        <v>44202792.500000022</v>
      </c>
      <c r="G126" s="331">
        <f t="shared" si="111"/>
        <v>35442192.08412499</v>
      </c>
      <c r="H126" s="331">
        <f t="shared" si="111"/>
        <v>25111356.707490433</v>
      </c>
      <c r="I126" s="331">
        <f t="shared" si="111"/>
        <v>84401062.478848949</v>
      </c>
      <c r="J126" s="331">
        <f t="shared" si="111"/>
        <v>0</v>
      </c>
      <c r="K126" s="331">
        <f t="shared" si="111"/>
        <v>0</v>
      </c>
      <c r="L126" s="331">
        <f t="shared" si="111"/>
        <v>0</v>
      </c>
      <c r="M126" s="331">
        <f t="shared" si="111"/>
        <v>0</v>
      </c>
      <c r="N126" s="331">
        <f t="shared" si="111"/>
        <v>0</v>
      </c>
      <c r="O126" s="331">
        <v>0</v>
      </c>
      <c r="P126" s="356">
        <f>SUM(D126:N126)</f>
        <v>146620153.77046439</v>
      </c>
      <c r="Q126" s="463"/>
      <c r="R126" s="358">
        <f>IF(ISNUMBER(IRR(D126:N126)),IRR(D126:N126),"NMF")</f>
        <v>0.40549033935008683</v>
      </c>
      <c r="S126" s="1" t="s">
        <v>707</v>
      </c>
    </row>
    <row r="127" spans="1:19" x14ac:dyDescent="0.15">
      <c r="S127" s="2"/>
    </row>
    <row r="128" spans="1:19" ht="14" thickBot="1" x14ac:dyDescent="0.2">
      <c r="S128" s="2"/>
    </row>
    <row r="129" spans="1:19" ht="14" thickBot="1" x14ac:dyDescent="0.2">
      <c r="B129" s="359" t="s">
        <v>282</v>
      </c>
      <c r="C129" s="360" t="s">
        <v>283</v>
      </c>
      <c r="D129" s="360"/>
      <c r="E129" s="360">
        <v>1</v>
      </c>
      <c r="F129" s="360">
        <v>2</v>
      </c>
      <c r="G129" s="360">
        <v>3</v>
      </c>
      <c r="H129" s="360">
        <v>4</v>
      </c>
      <c r="I129" s="360">
        <v>5</v>
      </c>
      <c r="J129" s="360">
        <v>6</v>
      </c>
      <c r="K129" s="360">
        <v>7</v>
      </c>
      <c r="L129" s="360">
        <v>8</v>
      </c>
      <c r="M129" s="360">
        <v>9</v>
      </c>
      <c r="N129" s="360">
        <v>10</v>
      </c>
      <c r="O129" s="360" t="s">
        <v>284</v>
      </c>
      <c r="P129" s="361" t="s">
        <v>285</v>
      </c>
      <c r="S129" s="2"/>
    </row>
    <row r="130" spans="1:19" x14ac:dyDescent="0.15">
      <c r="B130" s="339" t="s">
        <v>687</v>
      </c>
      <c r="C130" s="302" t="s">
        <v>287</v>
      </c>
      <c r="D130" s="322">
        <f t="shared" ref="D130:D145" si="112">D158</f>
        <v>0</v>
      </c>
      <c r="E130" s="322">
        <f t="shared" ref="E130:N130" si="113">E158</f>
        <v>300000000</v>
      </c>
      <c r="F130" s="322">
        <f t="shared" si="113"/>
        <v>313500000.00000006</v>
      </c>
      <c r="G130" s="322">
        <f t="shared" si="113"/>
        <v>327607500.00000006</v>
      </c>
      <c r="H130" s="322">
        <f t="shared" si="113"/>
        <v>342349837.50000012</v>
      </c>
      <c r="I130" s="322">
        <f t="shared" si="113"/>
        <v>357755580.18750012</v>
      </c>
      <c r="J130" s="322">
        <f t="shared" si="113"/>
        <v>0</v>
      </c>
      <c r="K130" s="322">
        <f t="shared" si="113"/>
        <v>0</v>
      </c>
      <c r="L130" s="322">
        <f t="shared" si="113"/>
        <v>0</v>
      </c>
      <c r="M130" s="322">
        <f t="shared" si="113"/>
        <v>0</v>
      </c>
      <c r="N130" s="322">
        <f t="shared" si="113"/>
        <v>0</v>
      </c>
      <c r="O130" s="322">
        <v>0</v>
      </c>
      <c r="P130" s="325">
        <f>SUM(D130:N130)</f>
        <v>1641212917.6875</v>
      </c>
      <c r="Q130" s="2"/>
      <c r="S130" s="2"/>
    </row>
    <row r="131" spans="1:19" x14ac:dyDescent="0.15">
      <c r="A131" s="1" t="s">
        <v>708</v>
      </c>
      <c r="B131" s="340" t="s">
        <v>689</v>
      </c>
      <c r="C131" s="354" t="s">
        <v>689</v>
      </c>
      <c r="D131" s="67">
        <f t="shared" si="112"/>
        <v>0</v>
      </c>
      <c r="E131" s="67">
        <f>E159</f>
        <v>300000000</v>
      </c>
      <c r="F131" s="67">
        <f t="shared" ref="F131:N131" si="114">F159</f>
        <v>313500000.00000006</v>
      </c>
      <c r="G131" s="67">
        <f t="shared" si="114"/>
        <v>327607500.00000006</v>
      </c>
      <c r="H131" s="67">
        <f t="shared" si="114"/>
        <v>342349837.50000012</v>
      </c>
      <c r="I131" s="67">
        <f t="shared" si="114"/>
        <v>357755580.18750012</v>
      </c>
      <c r="J131" s="67">
        <f t="shared" si="114"/>
        <v>0</v>
      </c>
      <c r="K131" s="67">
        <f t="shared" si="114"/>
        <v>0</v>
      </c>
      <c r="L131" s="67">
        <f t="shared" si="114"/>
        <v>0</v>
      </c>
      <c r="M131" s="67">
        <f t="shared" si="114"/>
        <v>0</v>
      </c>
      <c r="N131" s="67">
        <f t="shared" si="114"/>
        <v>0</v>
      </c>
      <c r="O131" s="67"/>
      <c r="P131" s="326">
        <f>SUM(D131:N131)</f>
        <v>1641212917.6875</v>
      </c>
      <c r="Q131" s="2"/>
      <c r="S131" s="2"/>
    </row>
    <row r="132" spans="1:19" x14ac:dyDescent="0.15">
      <c r="B132" s="340" t="s">
        <v>690</v>
      </c>
      <c r="C132" s="354" t="s">
        <v>690</v>
      </c>
      <c r="D132" s="67">
        <f t="shared" si="112"/>
        <v>0</v>
      </c>
      <c r="E132" s="67">
        <f>E160</f>
        <v>0</v>
      </c>
      <c r="F132" s="67">
        <f t="shared" ref="F132:N132" si="115">F160</f>
        <v>0</v>
      </c>
      <c r="G132" s="67">
        <f t="shared" si="115"/>
        <v>0</v>
      </c>
      <c r="H132" s="67">
        <f t="shared" si="115"/>
        <v>0</v>
      </c>
      <c r="I132" s="67">
        <f t="shared" si="115"/>
        <v>0</v>
      </c>
      <c r="J132" s="67">
        <f t="shared" si="115"/>
        <v>0</v>
      </c>
      <c r="K132" s="67">
        <f t="shared" si="115"/>
        <v>0</v>
      </c>
      <c r="L132" s="67">
        <f t="shared" si="115"/>
        <v>0</v>
      </c>
      <c r="M132" s="67">
        <f t="shared" si="115"/>
        <v>0</v>
      </c>
      <c r="N132" s="67">
        <f t="shared" si="115"/>
        <v>0</v>
      </c>
      <c r="O132" s="294"/>
      <c r="P132" s="326">
        <f>SUM(D132:N132)</f>
        <v>0</v>
      </c>
      <c r="Q132" s="2"/>
      <c r="S132" s="2"/>
    </row>
    <row r="133" spans="1:19" x14ac:dyDescent="0.15">
      <c r="B133" s="355" t="s">
        <v>691</v>
      </c>
      <c r="C133" s="362" t="s">
        <v>691</v>
      </c>
      <c r="D133" s="331">
        <f t="shared" si="112"/>
        <v>0</v>
      </c>
      <c r="E133" s="331">
        <f>E161*0.95</f>
        <v>0</v>
      </c>
      <c r="F133" s="331">
        <f t="shared" ref="F133:N133" si="116">F161*0.95</f>
        <v>0</v>
      </c>
      <c r="G133" s="331">
        <f t="shared" si="116"/>
        <v>0</v>
      </c>
      <c r="H133" s="331">
        <f t="shared" si="116"/>
        <v>0</v>
      </c>
      <c r="I133" s="331">
        <f t="shared" si="116"/>
        <v>0</v>
      </c>
      <c r="J133" s="331">
        <f t="shared" si="116"/>
        <v>0</v>
      </c>
      <c r="K133" s="331">
        <f t="shared" si="116"/>
        <v>0</v>
      </c>
      <c r="L133" s="331">
        <f t="shared" si="116"/>
        <v>0</v>
      </c>
      <c r="M133" s="331">
        <f t="shared" si="116"/>
        <v>0</v>
      </c>
      <c r="N133" s="331">
        <f t="shared" si="116"/>
        <v>0</v>
      </c>
      <c r="O133" s="331"/>
      <c r="P133" s="356">
        <f>SUM(D133:N133)</f>
        <v>0</v>
      </c>
      <c r="Q133" s="460"/>
      <c r="S133" s="2"/>
    </row>
    <row r="134" spans="1:19" x14ac:dyDescent="0.15">
      <c r="B134" s="340" t="s">
        <v>695</v>
      </c>
      <c r="C134" s="12"/>
      <c r="D134" s="67">
        <f t="shared" si="112"/>
        <v>0</v>
      </c>
      <c r="E134" s="67">
        <f>E133+E132+E131</f>
        <v>300000000</v>
      </c>
      <c r="F134" s="67">
        <f t="shared" ref="F134:N134" si="117">F133+F132+F131</f>
        <v>313500000.00000006</v>
      </c>
      <c r="G134" s="67">
        <f t="shared" si="117"/>
        <v>327607500.00000006</v>
      </c>
      <c r="H134" s="67">
        <f t="shared" si="117"/>
        <v>342349837.50000012</v>
      </c>
      <c r="I134" s="67">
        <f t="shared" si="117"/>
        <v>357755580.18750012</v>
      </c>
      <c r="J134" s="67">
        <f t="shared" si="117"/>
        <v>0</v>
      </c>
      <c r="K134" s="67">
        <f t="shared" si="117"/>
        <v>0</v>
      </c>
      <c r="L134" s="67">
        <f t="shared" si="117"/>
        <v>0</v>
      </c>
      <c r="M134" s="67">
        <f t="shared" si="117"/>
        <v>0</v>
      </c>
      <c r="N134" s="67">
        <f t="shared" si="117"/>
        <v>0</v>
      </c>
      <c r="O134" s="67"/>
      <c r="P134" s="326">
        <f>SUM(D134:N134)</f>
        <v>1641212917.6875</v>
      </c>
      <c r="Q134" s="2"/>
      <c r="S134" s="2"/>
    </row>
    <row r="135" spans="1:19" x14ac:dyDescent="0.15">
      <c r="B135" s="340" t="s">
        <v>696</v>
      </c>
      <c r="C135" s="12" t="s">
        <v>289</v>
      </c>
      <c r="D135" s="67">
        <f t="shared" si="112"/>
        <v>0</v>
      </c>
      <c r="E135" s="67">
        <f t="shared" ref="E135:N135" si="118">E163</f>
        <v>230170000</v>
      </c>
      <c r="F135" s="67">
        <f t="shared" si="118"/>
        <v>253018375.00000003</v>
      </c>
      <c r="G135" s="67">
        <f t="shared" si="118"/>
        <v>278725718.45125008</v>
      </c>
      <c r="H135" s="67">
        <f t="shared" si="118"/>
        <v>307665975.06072807</v>
      </c>
      <c r="I135" s="67">
        <f t="shared" si="118"/>
        <v>340262566.36057305</v>
      </c>
      <c r="J135" s="67">
        <f t="shared" si="118"/>
        <v>0</v>
      </c>
      <c r="K135" s="67">
        <f t="shared" si="118"/>
        <v>0</v>
      </c>
      <c r="L135" s="67">
        <f t="shared" si="118"/>
        <v>0</v>
      </c>
      <c r="M135" s="67">
        <f t="shared" si="118"/>
        <v>0</v>
      </c>
      <c r="N135" s="67">
        <f t="shared" si="118"/>
        <v>0</v>
      </c>
      <c r="O135" s="67">
        <v>0</v>
      </c>
      <c r="P135" s="326">
        <f t="shared" ref="P135:P153" si="119">SUM(D135:N135)</f>
        <v>1409842634.8725512</v>
      </c>
      <c r="Q135" s="2"/>
      <c r="S135" s="2"/>
    </row>
    <row r="136" spans="1:19" x14ac:dyDescent="0.15">
      <c r="B136" s="340">
        <v>3</v>
      </c>
      <c r="C136" s="12" t="s">
        <v>290</v>
      </c>
      <c r="D136" s="67">
        <f t="shared" si="112"/>
        <v>0</v>
      </c>
      <c r="E136" s="67">
        <f>E134-E135</f>
        <v>69830000</v>
      </c>
      <c r="F136" s="67">
        <f t="shared" ref="F136:N136" si="120">F134-F135</f>
        <v>60481625.00000003</v>
      </c>
      <c r="G136" s="67">
        <f t="shared" si="120"/>
        <v>48881781.548749983</v>
      </c>
      <c r="H136" s="67">
        <f t="shared" si="120"/>
        <v>34683862.439272046</v>
      </c>
      <c r="I136" s="67">
        <f t="shared" si="120"/>
        <v>17493013.826927066</v>
      </c>
      <c r="J136" s="67">
        <f t="shared" si="120"/>
        <v>0</v>
      </c>
      <c r="K136" s="67">
        <f t="shared" si="120"/>
        <v>0</v>
      </c>
      <c r="L136" s="67">
        <f t="shared" si="120"/>
        <v>0</v>
      </c>
      <c r="M136" s="67">
        <f t="shared" si="120"/>
        <v>0</v>
      </c>
      <c r="N136" s="67">
        <f t="shared" si="120"/>
        <v>0</v>
      </c>
      <c r="O136" s="67">
        <v>0</v>
      </c>
      <c r="P136" s="326">
        <f t="shared" si="119"/>
        <v>231370282.81494913</v>
      </c>
      <c r="Q136" s="2"/>
      <c r="S136" s="2"/>
    </row>
    <row r="137" spans="1:19" x14ac:dyDescent="0.15">
      <c r="B137" s="340" t="s">
        <v>697</v>
      </c>
      <c r="C137" s="12" t="s">
        <v>292</v>
      </c>
      <c r="D137" s="67">
        <f t="shared" si="112"/>
        <v>0</v>
      </c>
      <c r="E137" s="67">
        <f>E165</f>
        <v>3772500</v>
      </c>
      <c r="F137" s="67">
        <f t="shared" ref="F137:N137" si="121">F165</f>
        <v>6218850</v>
      </c>
      <c r="G137" s="67">
        <f t="shared" si="121"/>
        <v>4083150</v>
      </c>
      <c r="H137" s="67">
        <f t="shared" si="121"/>
        <v>2775510</v>
      </c>
      <c r="I137" s="67">
        <f t="shared" si="121"/>
        <v>1352955</v>
      </c>
      <c r="J137" s="67">
        <f t="shared" si="121"/>
        <v>0</v>
      </c>
      <c r="K137" s="67">
        <f t="shared" si="121"/>
        <v>0</v>
      </c>
      <c r="L137" s="67">
        <f t="shared" si="121"/>
        <v>0</v>
      </c>
      <c r="M137" s="67">
        <f t="shared" si="121"/>
        <v>0</v>
      </c>
      <c r="N137" s="67">
        <f t="shared" si="121"/>
        <v>0</v>
      </c>
      <c r="O137" s="67">
        <v>0</v>
      </c>
      <c r="P137" s="326">
        <f t="shared" si="119"/>
        <v>18202965</v>
      </c>
      <c r="Q137" s="2"/>
      <c r="S137" s="2"/>
    </row>
    <row r="138" spans="1:19" x14ac:dyDescent="0.15">
      <c r="B138" s="340">
        <v>5</v>
      </c>
      <c r="C138" s="12" t="s">
        <v>293</v>
      </c>
      <c r="D138" s="67">
        <f t="shared" si="112"/>
        <v>0</v>
      </c>
      <c r="E138" s="67">
        <f>E136-E137</f>
        <v>66057500</v>
      </c>
      <c r="F138" s="67">
        <f t="shared" ref="F138:N138" si="122">F136-F137</f>
        <v>54262775.00000003</v>
      </c>
      <c r="G138" s="67">
        <f t="shared" si="122"/>
        <v>44798631.548749983</v>
      </c>
      <c r="H138" s="67">
        <f t="shared" si="122"/>
        <v>31908352.439272046</v>
      </c>
      <c r="I138" s="67">
        <f t="shared" si="122"/>
        <v>16140058.826927066</v>
      </c>
      <c r="J138" s="67">
        <f t="shared" si="122"/>
        <v>0</v>
      </c>
      <c r="K138" s="67">
        <f t="shared" si="122"/>
        <v>0</v>
      </c>
      <c r="L138" s="67">
        <f t="shared" si="122"/>
        <v>0</v>
      </c>
      <c r="M138" s="67">
        <f t="shared" si="122"/>
        <v>0</v>
      </c>
      <c r="N138" s="67">
        <f t="shared" si="122"/>
        <v>0</v>
      </c>
      <c r="O138" s="67">
        <v>0</v>
      </c>
      <c r="P138" s="326">
        <f t="shared" si="119"/>
        <v>213167317.81494913</v>
      </c>
      <c r="Q138" s="2"/>
      <c r="S138" s="2"/>
    </row>
    <row r="139" spans="1:19" x14ac:dyDescent="0.15">
      <c r="B139" s="340" t="s">
        <v>698</v>
      </c>
      <c r="C139" s="12" t="s">
        <v>295</v>
      </c>
      <c r="D139" s="67">
        <f t="shared" si="112"/>
        <v>0</v>
      </c>
      <c r="E139" s="67">
        <f>E167</f>
        <v>0</v>
      </c>
      <c r="F139" s="67">
        <f t="shared" ref="F139:N139" si="123">F167</f>
        <v>0</v>
      </c>
      <c r="G139" s="67">
        <f t="shared" si="123"/>
        <v>0</v>
      </c>
      <c r="H139" s="67">
        <f t="shared" si="123"/>
        <v>0</v>
      </c>
      <c r="I139" s="67">
        <f t="shared" si="123"/>
        <v>0</v>
      </c>
      <c r="J139" s="67">
        <f t="shared" si="123"/>
        <v>0</v>
      </c>
      <c r="K139" s="67">
        <f t="shared" si="123"/>
        <v>0</v>
      </c>
      <c r="L139" s="67">
        <f t="shared" si="123"/>
        <v>0</v>
      </c>
      <c r="M139" s="67">
        <f t="shared" si="123"/>
        <v>0</v>
      </c>
      <c r="N139" s="67">
        <f t="shared" si="123"/>
        <v>0</v>
      </c>
      <c r="O139" s="67">
        <v>0</v>
      </c>
      <c r="P139" s="326">
        <f t="shared" si="119"/>
        <v>0</v>
      </c>
      <c r="Q139" s="2"/>
      <c r="S139" s="2"/>
    </row>
    <row r="140" spans="1:19" x14ac:dyDescent="0.15">
      <c r="B140" s="340">
        <v>7</v>
      </c>
      <c r="C140" s="12" t="s">
        <v>296</v>
      </c>
      <c r="D140" s="67">
        <f t="shared" si="112"/>
        <v>0</v>
      </c>
      <c r="E140" s="67">
        <f>E138-E139</f>
        <v>66057500</v>
      </c>
      <c r="F140" s="67">
        <f t="shared" ref="F140:N140" si="124">F138-F139</f>
        <v>54262775.00000003</v>
      </c>
      <c r="G140" s="67">
        <f t="shared" si="124"/>
        <v>44798631.548749983</v>
      </c>
      <c r="H140" s="67">
        <f t="shared" si="124"/>
        <v>31908352.439272046</v>
      </c>
      <c r="I140" s="67">
        <f t="shared" si="124"/>
        <v>16140058.826927066</v>
      </c>
      <c r="J140" s="67">
        <f t="shared" si="124"/>
        <v>0</v>
      </c>
      <c r="K140" s="67">
        <f t="shared" si="124"/>
        <v>0</v>
      </c>
      <c r="L140" s="67">
        <f t="shared" si="124"/>
        <v>0</v>
      </c>
      <c r="M140" s="67">
        <f t="shared" si="124"/>
        <v>0</v>
      </c>
      <c r="N140" s="67">
        <f t="shared" si="124"/>
        <v>0</v>
      </c>
      <c r="O140" s="67">
        <v>0</v>
      </c>
      <c r="P140" s="326">
        <f t="shared" si="119"/>
        <v>213167317.81494913</v>
      </c>
      <c r="Q140" s="2"/>
      <c r="S140" s="2"/>
    </row>
    <row r="141" spans="1:19" x14ac:dyDescent="0.15">
      <c r="B141" s="340">
        <v>8</v>
      </c>
      <c r="C141" s="12" t="s">
        <v>297</v>
      </c>
      <c r="D141" s="67">
        <f t="shared" si="112"/>
        <v>0</v>
      </c>
      <c r="E141" s="67">
        <f>-E140*$D$3</f>
        <v>-19817250</v>
      </c>
      <c r="F141" s="67">
        <f t="shared" ref="F141:N141" si="125">-F140*$D$3</f>
        <v>-16278832.500000007</v>
      </c>
      <c r="G141" s="67">
        <f t="shared" si="125"/>
        <v>-13439589.464624995</v>
      </c>
      <c r="H141" s="67">
        <f t="shared" si="125"/>
        <v>-9572505.7317816131</v>
      </c>
      <c r="I141" s="67">
        <f t="shared" si="125"/>
        <v>-4842017.6480781194</v>
      </c>
      <c r="J141" s="67">
        <f t="shared" si="125"/>
        <v>0</v>
      </c>
      <c r="K141" s="67">
        <f t="shared" si="125"/>
        <v>0</v>
      </c>
      <c r="L141" s="67">
        <f t="shared" si="125"/>
        <v>0</v>
      </c>
      <c r="M141" s="67">
        <f t="shared" si="125"/>
        <v>0</v>
      </c>
      <c r="N141" s="67">
        <f t="shared" si="125"/>
        <v>0</v>
      </c>
      <c r="O141" s="67">
        <v>0</v>
      </c>
      <c r="P141" s="326">
        <f t="shared" si="119"/>
        <v>-63950195.344484739</v>
      </c>
      <c r="Q141" s="2"/>
      <c r="S141" s="2"/>
    </row>
    <row r="142" spans="1:19" x14ac:dyDescent="0.15">
      <c r="B142" s="340">
        <v>9</v>
      </c>
      <c r="C142" s="12" t="s">
        <v>298</v>
      </c>
      <c r="D142" s="67">
        <f t="shared" si="112"/>
        <v>0</v>
      </c>
      <c r="E142" s="67">
        <f>E170</f>
        <v>0</v>
      </c>
      <c r="F142" s="67">
        <f t="shared" ref="F142:N142" si="126">F170</f>
        <v>0</v>
      </c>
      <c r="G142" s="67">
        <f t="shared" si="126"/>
        <v>0</v>
      </c>
      <c r="H142" s="67">
        <f t="shared" si="126"/>
        <v>0</v>
      </c>
      <c r="I142" s="67">
        <f t="shared" si="126"/>
        <v>0</v>
      </c>
      <c r="J142" s="67">
        <f t="shared" si="126"/>
        <v>0</v>
      </c>
      <c r="K142" s="67">
        <f t="shared" si="126"/>
        <v>0</v>
      </c>
      <c r="L142" s="67">
        <f t="shared" si="126"/>
        <v>0</v>
      </c>
      <c r="M142" s="67">
        <f t="shared" si="126"/>
        <v>0</v>
      </c>
      <c r="N142" s="67">
        <f t="shared" si="126"/>
        <v>0</v>
      </c>
      <c r="O142" s="67">
        <v>0</v>
      </c>
      <c r="P142" s="326">
        <f t="shared" si="119"/>
        <v>0</v>
      </c>
      <c r="Q142" s="2"/>
      <c r="S142" s="2"/>
    </row>
    <row r="143" spans="1:19" x14ac:dyDescent="0.15">
      <c r="B143" s="340">
        <v>10</v>
      </c>
      <c r="C143" s="12" t="s">
        <v>299</v>
      </c>
      <c r="D143" s="67">
        <f t="shared" si="112"/>
        <v>0</v>
      </c>
      <c r="E143" s="67">
        <f>E140+E141+E142</f>
        <v>46240250</v>
      </c>
      <c r="F143" s="67">
        <f t="shared" ref="F143:N143" si="127">F140+F141+F142</f>
        <v>37983942.500000022</v>
      </c>
      <c r="G143" s="67">
        <f t="shared" si="127"/>
        <v>31359042.08412499</v>
      </c>
      <c r="H143" s="67">
        <f t="shared" si="127"/>
        <v>22335846.707490433</v>
      </c>
      <c r="I143" s="67">
        <f t="shared" si="127"/>
        <v>11298041.178848946</v>
      </c>
      <c r="J143" s="67">
        <f t="shared" si="127"/>
        <v>0</v>
      </c>
      <c r="K143" s="67">
        <f t="shared" si="127"/>
        <v>0</v>
      </c>
      <c r="L143" s="67">
        <f t="shared" si="127"/>
        <v>0</v>
      </c>
      <c r="M143" s="67">
        <f t="shared" si="127"/>
        <v>0</v>
      </c>
      <c r="N143" s="67">
        <f t="shared" si="127"/>
        <v>0</v>
      </c>
      <c r="O143" s="67">
        <v>0</v>
      </c>
      <c r="P143" s="326">
        <f t="shared" si="119"/>
        <v>149217122.47046441</v>
      </c>
      <c r="Q143" s="2"/>
      <c r="S143" s="2"/>
    </row>
    <row r="144" spans="1:19" x14ac:dyDescent="0.15">
      <c r="B144" s="340" t="s">
        <v>699</v>
      </c>
      <c r="C144" s="12" t="s">
        <v>292</v>
      </c>
      <c r="D144" s="67">
        <f t="shared" si="112"/>
        <v>0</v>
      </c>
      <c r="E144" s="67">
        <f>E172</f>
        <v>3772500</v>
      </c>
      <c r="F144" s="67">
        <f t="shared" ref="F144:N144" si="128">F172</f>
        <v>6218850</v>
      </c>
      <c r="G144" s="67">
        <f t="shared" si="128"/>
        <v>4083150</v>
      </c>
      <c r="H144" s="67">
        <f t="shared" si="128"/>
        <v>2775510</v>
      </c>
      <c r="I144" s="67">
        <f t="shared" si="128"/>
        <v>1352955</v>
      </c>
      <c r="J144" s="67">
        <f t="shared" si="128"/>
        <v>0</v>
      </c>
      <c r="K144" s="67">
        <f t="shared" si="128"/>
        <v>0</v>
      </c>
      <c r="L144" s="67">
        <f t="shared" si="128"/>
        <v>0</v>
      </c>
      <c r="M144" s="67">
        <f t="shared" si="128"/>
        <v>0</v>
      </c>
      <c r="N144" s="67">
        <f t="shared" si="128"/>
        <v>0</v>
      </c>
      <c r="O144" s="67">
        <v>0</v>
      </c>
      <c r="P144" s="326">
        <f t="shared" si="119"/>
        <v>18202965</v>
      </c>
      <c r="Q144" s="2"/>
      <c r="S144" s="2"/>
    </row>
    <row r="145" spans="1:19" x14ac:dyDescent="0.15">
      <c r="B145" s="340">
        <v>12</v>
      </c>
      <c r="C145" s="12" t="s">
        <v>301</v>
      </c>
      <c r="D145" s="67">
        <f t="shared" si="112"/>
        <v>0</v>
      </c>
      <c r="E145" s="67">
        <f>E143+E144</f>
        <v>50012750</v>
      </c>
      <c r="F145" s="67">
        <f t="shared" ref="F145:N145" si="129">F143+F144</f>
        <v>44202792.500000022</v>
      </c>
      <c r="G145" s="67">
        <f t="shared" si="129"/>
        <v>35442192.08412499</v>
      </c>
      <c r="H145" s="67">
        <f t="shared" si="129"/>
        <v>25111356.707490433</v>
      </c>
      <c r="I145" s="67">
        <f t="shared" si="129"/>
        <v>12650996.178848946</v>
      </c>
      <c r="J145" s="67">
        <f t="shared" si="129"/>
        <v>0</v>
      </c>
      <c r="K145" s="67">
        <f t="shared" si="129"/>
        <v>0</v>
      </c>
      <c r="L145" s="67">
        <f t="shared" si="129"/>
        <v>0</v>
      </c>
      <c r="M145" s="67">
        <f t="shared" si="129"/>
        <v>0</v>
      </c>
      <c r="N145" s="67">
        <f t="shared" si="129"/>
        <v>0</v>
      </c>
      <c r="O145" s="67">
        <v>0</v>
      </c>
      <c r="P145" s="326">
        <f t="shared" si="119"/>
        <v>167420087.47046441</v>
      </c>
      <c r="Q145" s="2"/>
      <c r="S145" s="2"/>
    </row>
    <row r="146" spans="1:19" x14ac:dyDescent="0.15">
      <c r="B146" s="340" t="s">
        <v>700</v>
      </c>
      <c r="C146" s="12" t="s">
        <v>303</v>
      </c>
      <c r="D146" s="67">
        <v>0</v>
      </c>
      <c r="E146" s="67">
        <f t="shared" ref="E146:N146" si="130">E174</f>
        <v>0</v>
      </c>
      <c r="F146" s="67">
        <f t="shared" si="130"/>
        <v>0</v>
      </c>
      <c r="G146" s="67">
        <f t="shared" si="130"/>
        <v>0</v>
      </c>
      <c r="H146" s="67">
        <f t="shared" si="130"/>
        <v>0</v>
      </c>
      <c r="I146" s="67">
        <f t="shared" si="130"/>
        <v>0</v>
      </c>
      <c r="J146" s="67">
        <f t="shared" si="130"/>
        <v>0</v>
      </c>
      <c r="K146" s="67">
        <f t="shared" si="130"/>
        <v>0</v>
      </c>
      <c r="L146" s="67">
        <f t="shared" si="130"/>
        <v>0</v>
      </c>
      <c r="M146" s="67">
        <f t="shared" si="130"/>
        <v>0</v>
      </c>
      <c r="N146" s="67">
        <f t="shared" si="130"/>
        <v>0</v>
      </c>
      <c r="O146" s="67">
        <v>0</v>
      </c>
      <c r="P146" s="326">
        <f t="shared" si="119"/>
        <v>0</v>
      </c>
      <c r="Q146" s="2"/>
      <c r="S146" s="2"/>
    </row>
    <row r="147" spans="1:19" x14ac:dyDescent="0.15">
      <c r="B147" s="340">
        <v>14</v>
      </c>
      <c r="C147" s="12" t="s">
        <v>304</v>
      </c>
      <c r="D147" s="67">
        <f t="shared" ref="D147:D153" si="131">D175</f>
        <v>-32550000</v>
      </c>
      <c r="E147" s="67">
        <f t="shared" ref="E147:N147" si="132">E175</f>
        <v>0</v>
      </c>
      <c r="F147" s="67">
        <f t="shared" si="132"/>
        <v>0</v>
      </c>
      <c r="G147" s="67">
        <f t="shared" si="132"/>
        <v>0</v>
      </c>
      <c r="H147" s="67">
        <f t="shared" si="132"/>
        <v>0</v>
      </c>
      <c r="I147" s="67">
        <f t="shared" si="132"/>
        <v>14347035</v>
      </c>
      <c r="J147" s="67">
        <f t="shared" si="132"/>
        <v>0</v>
      </c>
      <c r="K147" s="67">
        <f t="shared" si="132"/>
        <v>0</v>
      </c>
      <c r="L147" s="67">
        <f t="shared" si="132"/>
        <v>0</v>
      </c>
      <c r="M147" s="67">
        <f t="shared" si="132"/>
        <v>0</v>
      </c>
      <c r="N147" s="67">
        <f t="shared" si="132"/>
        <v>0</v>
      </c>
      <c r="O147" s="67">
        <v>0</v>
      </c>
      <c r="P147" s="326">
        <f t="shared" si="119"/>
        <v>-18202965</v>
      </c>
      <c r="Q147" s="2"/>
      <c r="S147" s="2"/>
    </row>
    <row r="148" spans="1:19" x14ac:dyDescent="0.15">
      <c r="B148" s="340" t="s">
        <v>701</v>
      </c>
      <c r="C148" s="12" t="s">
        <v>207</v>
      </c>
      <c r="D148" s="67">
        <f t="shared" si="131"/>
        <v>-31050000</v>
      </c>
      <c r="E148" s="67">
        <f t="shared" ref="E148:N148" si="133">E176</f>
        <v>0</v>
      </c>
      <c r="F148" s="67">
        <f t="shared" si="133"/>
        <v>0</v>
      </c>
      <c r="G148" s="67">
        <f t="shared" si="133"/>
        <v>0</v>
      </c>
      <c r="H148" s="67">
        <f t="shared" si="133"/>
        <v>0</v>
      </c>
      <c r="I148" s="67">
        <f t="shared" si="133"/>
        <v>12847035</v>
      </c>
      <c r="J148" s="67">
        <f t="shared" si="133"/>
        <v>0</v>
      </c>
      <c r="K148" s="67">
        <f t="shared" si="133"/>
        <v>0</v>
      </c>
      <c r="L148" s="67">
        <f t="shared" si="133"/>
        <v>0</v>
      </c>
      <c r="M148" s="67">
        <f t="shared" si="133"/>
        <v>0</v>
      </c>
      <c r="N148" s="67">
        <f t="shared" si="133"/>
        <v>0</v>
      </c>
      <c r="O148" s="67">
        <v>0</v>
      </c>
      <c r="P148" s="326">
        <f t="shared" si="119"/>
        <v>-18202965</v>
      </c>
      <c r="Q148" s="2"/>
      <c r="S148" s="2"/>
    </row>
    <row r="149" spans="1:19" x14ac:dyDescent="0.15">
      <c r="B149" s="340" t="s">
        <v>702</v>
      </c>
      <c r="C149" s="12" t="s">
        <v>307</v>
      </c>
      <c r="D149" s="67">
        <f t="shared" si="131"/>
        <v>-1500000</v>
      </c>
      <c r="E149" s="67">
        <f t="shared" ref="E149:N149" si="134">E177</f>
        <v>0</v>
      </c>
      <c r="F149" s="67">
        <f t="shared" si="134"/>
        <v>0</v>
      </c>
      <c r="G149" s="67">
        <f t="shared" si="134"/>
        <v>0</v>
      </c>
      <c r="H149" s="67">
        <f t="shared" si="134"/>
        <v>0</v>
      </c>
      <c r="I149" s="67">
        <f t="shared" si="134"/>
        <v>1500000</v>
      </c>
      <c r="J149" s="67">
        <f t="shared" si="134"/>
        <v>0</v>
      </c>
      <c r="K149" s="67">
        <f t="shared" si="134"/>
        <v>0</v>
      </c>
      <c r="L149" s="67">
        <f t="shared" si="134"/>
        <v>0</v>
      </c>
      <c r="M149" s="67">
        <f t="shared" si="134"/>
        <v>0</v>
      </c>
      <c r="N149" s="67">
        <f t="shared" si="134"/>
        <v>0</v>
      </c>
      <c r="O149" s="67">
        <v>0</v>
      </c>
      <c r="P149" s="326">
        <f t="shared" si="119"/>
        <v>0</v>
      </c>
      <c r="Q149" s="2"/>
      <c r="S149" s="2"/>
    </row>
    <row r="150" spans="1:19" x14ac:dyDescent="0.15">
      <c r="B150" s="340" t="s">
        <v>703</v>
      </c>
      <c r="C150" s="12" t="s">
        <v>309</v>
      </c>
      <c r="D150" s="67">
        <f t="shared" si="131"/>
        <v>0</v>
      </c>
      <c r="E150" s="67">
        <f t="shared" ref="E150:N150" si="135">E178</f>
        <v>0</v>
      </c>
      <c r="F150" s="67">
        <f t="shared" si="135"/>
        <v>0</v>
      </c>
      <c r="G150" s="67">
        <f t="shared" si="135"/>
        <v>0</v>
      </c>
      <c r="H150" s="67">
        <f t="shared" si="135"/>
        <v>0</v>
      </c>
      <c r="I150" s="67">
        <f t="shared" si="135"/>
        <v>0</v>
      </c>
      <c r="J150" s="67">
        <f t="shared" si="135"/>
        <v>0</v>
      </c>
      <c r="K150" s="67">
        <f t="shared" si="135"/>
        <v>0</v>
      </c>
      <c r="L150" s="67">
        <f t="shared" si="135"/>
        <v>0</v>
      </c>
      <c r="M150" s="67">
        <f t="shared" si="135"/>
        <v>0</v>
      </c>
      <c r="N150" s="67">
        <f t="shared" si="135"/>
        <v>0</v>
      </c>
      <c r="O150" s="67">
        <v>0</v>
      </c>
      <c r="P150" s="326">
        <f t="shared" si="119"/>
        <v>0</v>
      </c>
      <c r="Q150" s="2"/>
      <c r="S150" s="2"/>
    </row>
    <row r="151" spans="1:19" x14ac:dyDescent="0.15">
      <c r="B151" s="340" t="s">
        <v>704</v>
      </c>
      <c r="C151" s="12" t="s">
        <v>311</v>
      </c>
      <c r="D151" s="67">
        <f t="shared" si="131"/>
        <v>0</v>
      </c>
      <c r="E151" s="67">
        <f t="shared" ref="E151:N151" si="136">E179</f>
        <v>0</v>
      </c>
      <c r="F151" s="67">
        <f t="shared" si="136"/>
        <v>0</v>
      </c>
      <c r="G151" s="67">
        <f t="shared" si="136"/>
        <v>0</v>
      </c>
      <c r="H151" s="67">
        <f t="shared" si="136"/>
        <v>0</v>
      </c>
      <c r="I151" s="67">
        <f t="shared" si="136"/>
        <v>-2596968.7000000002</v>
      </c>
      <c r="J151" s="67">
        <f t="shared" si="136"/>
        <v>0</v>
      </c>
      <c r="K151" s="67">
        <f t="shared" si="136"/>
        <v>0</v>
      </c>
      <c r="L151" s="67">
        <f t="shared" si="136"/>
        <v>0</v>
      </c>
      <c r="M151" s="67">
        <f t="shared" si="136"/>
        <v>0</v>
      </c>
      <c r="N151" s="67">
        <f t="shared" si="136"/>
        <v>0</v>
      </c>
      <c r="O151" s="67">
        <v>0</v>
      </c>
      <c r="P151" s="326">
        <f t="shared" si="119"/>
        <v>-2596968.7000000002</v>
      </c>
      <c r="Q151" s="2"/>
      <c r="S151" s="2"/>
    </row>
    <row r="152" spans="1:19" ht="14" thickBot="1" x14ac:dyDescent="0.2">
      <c r="B152" s="340" t="s">
        <v>705</v>
      </c>
      <c r="C152" s="12" t="s">
        <v>115</v>
      </c>
      <c r="D152" s="67">
        <f t="shared" si="131"/>
        <v>-60000000</v>
      </c>
      <c r="E152" s="67">
        <f t="shared" ref="E152:N152" si="137">E180</f>
        <v>0</v>
      </c>
      <c r="F152" s="67">
        <f t="shared" si="137"/>
        <v>0</v>
      </c>
      <c r="G152" s="67">
        <f t="shared" si="137"/>
        <v>0</v>
      </c>
      <c r="H152" s="67">
        <f t="shared" si="137"/>
        <v>0</v>
      </c>
      <c r="I152" s="67">
        <f t="shared" si="137"/>
        <v>60000000</v>
      </c>
      <c r="J152" s="67">
        <f t="shared" si="137"/>
        <v>0</v>
      </c>
      <c r="K152" s="67">
        <f t="shared" si="137"/>
        <v>0</v>
      </c>
      <c r="L152" s="67">
        <f t="shared" si="137"/>
        <v>0</v>
      </c>
      <c r="M152" s="67">
        <f t="shared" si="137"/>
        <v>0</v>
      </c>
      <c r="N152" s="67">
        <f t="shared" si="137"/>
        <v>0</v>
      </c>
      <c r="O152" s="67">
        <v>0</v>
      </c>
      <c r="P152" s="326">
        <f t="shared" si="119"/>
        <v>0</v>
      </c>
      <c r="Q152" s="2"/>
      <c r="S152" s="2"/>
    </row>
    <row r="153" spans="1:19" x14ac:dyDescent="0.15">
      <c r="B153" s="340">
        <v>17</v>
      </c>
      <c r="C153" s="12" t="s">
        <v>313</v>
      </c>
      <c r="D153" s="67">
        <f t="shared" si="131"/>
        <v>-92550000</v>
      </c>
      <c r="E153" s="67">
        <f t="shared" ref="E153:N153" si="138">E181</f>
        <v>0</v>
      </c>
      <c r="F153" s="67">
        <f t="shared" si="138"/>
        <v>0</v>
      </c>
      <c r="G153" s="67">
        <f t="shared" si="138"/>
        <v>0</v>
      </c>
      <c r="H153" s="67">
        <f t="shared" si="138"/>
        <v>0</v>
      </c>
      <c r="I153" s="67">
        <f t="shared" si="138"/>
        <v>71750066.299999997</v>
      </c>
      <c r="J153" s="67">
        <f t="shared" si="138"/>
        <v>0</v>
      </c>
      <c r="K153" s="67">
        <f t="shared" si="138"/>
        <v>0</v>
      </c>
      <c r="L153" s="67">
        <f t="shared" si="138"/>
        <v>0</v>
      </c>
      <c r="M153" s="67">
        <f t="shared" si="138"/>
        <v>0</v>
      </c>
      <c r="N153" s="67">
        <f t="shared" si="138"/>
        <v>0</v>
      </c>
      <c r="O153" s="67">
        <v>0</v>
      </c>
      <c r="P153" s="326">
        <f t="shared" si="119"/>
        <v>-20799933.700000003</v>
      </c>
      <c r="Q153" s="461"/>
      <c r="R153" s="357" t="s">
        <v>693</v>
      </c>
      <c r="S153" s="2"/>
    </row>
    <row r="154" spans="1:19" ht="14" thickBot="1" x14ac:dyDescent="0.2">
      <c r="A154" s="1" t="s">
        <v>708</v>
      </c>
      <c r="B154" s="355">
        <v>18</v>
      </c>
      <c r="C154" s="335" t="s">
        <v>314</v>
      </c>
      <c r="D154" s="331">
        <f>D153+D145</f>
        <v>-92550000</v>
      </c>
      <c r="E154" s="331">
        <f t="shared" ref="E154:N154" si="139">E153+E145</f>
        <v>50012750</v>
      </c>
      <c r="F154" s="331">
        <f t="shared" si="139"/>
        <v>44202792.500000022</v>
      </c>
      <c r="G154" s="331">
        <f t="shared" si="139"/>
        <v>35442192.08412499</v>
      </c>
      <c r="H154" s="331">
        <f t="shared" si="139"/>
        <v>25111356.707490433</v>
      </c>
      <c r="I154" s="331">
        <f t="shared" si="139"/>
        <v>84401062.478848949</v>
      </c>
      <c r="J154" s="331">
        <f t="shared" si="139"/>
        <v>0</v>
      </c>
      <c r="K154" s="331">
        <f t="shared" si="139"/>
        <v>0</v>
      </c>
      <c r="L154" s="331">
        <f t="shared" si="139"/>
        <v>0</v>
      </c>
      <c r="M154" s="331">
        <f t="shared" si="139"/>
        <v>0</v>
      </c>
      <c r="N154" s="331">
        <f t="shared" si="139"/>
        <v>0</v>
      </c>
      <c r="O154" s="331">
        <v>0</v>
      </c>
      <c r="P154" s="356">
        <f>SUM(D154:N154)</f>
        <v>146620153.77046439</v>
      </c>
      <c r="Q154" s="463"/>
      <c r="R154" s="358">
        <f>IF(ISNUMBER(IRR(D154:N154)),IRR(D154:N154),"NMF")</f>
        <v>0.40549033935008683</v>
      </c>
      <c r="S154" s="1" t="s">
        <v>708</v>
      </c>
    </row>
    <row r="155" spans="1:19" x14ac:dyDescent="0.15">
      <c r="S155" s="2"/>
    </row>
    <row r="156" spans="1:19" ht="14" thickBot="1" x14ac:dyDescent="0.2">
      <c r="S156" s="2"/>
    </row>
    <row r="157" spans="1:19" ht="14" thickBot="1" x14ac:dyDescent="0.2">
      <c r="B157" s="339" t="s">
        <v>282</v>
      </c>
      <c r="C157" s="302" t="s">
        <v>283</v>
      </c>
      <c r="D157" s="302"/>
      <c r="E157" s="302">
        <v>1</v>
      </c>
      <c r="F157" s="302">
        <v>2</v>
      </c>
      <c r="G157" s="302">
        <v>3</v>
      </c>
      <c r="H157" s="302">
        <v>4</v>
      </c>
      <c r="I157" s="302">
        <v>5</v>
      </c>
      <c r="J157" s="302">
        <v>6</v>
      </c>
      <c r="K157" s="302">
        <v>7</v>
      </c>
      <c r="L157" s="302">
        <v>8</v>
      </c>
      <c r="M157" s="302">
        <v>9</v>
      </c>
      <c r="N157" s="302">
        <v>10</v>
      </c>
      <c r="O157" s="302" t="s">
        <v>284</v>
      </c>
      <c r="P157" s="290" t="s">
        <v>285</v>
      </c>
      <c r="S157" s="2"/>
    </row>
    <row r="158" spans="1:19" x14ac:dyDescent="0.15">
      <c r="B158" s="340" t="s">
        <v>687</v>
      </c>
      <c r="C158" s="12" t="s">
        <v>287</v>
      </c>
      <c r="D158" s="321">
        <f>'After Tax Analysis'!D8</f>
        <v>0</v>
      </c>
      <c r="E158" s="321">
        <f>'After Tax Analysis'!E8</f>
        <v>300000000</v>
      </c>
      <c r="F158" s="321">
        <f>'After Tax Analysis'!F8</f>
        <v>313500000.00000006</v>
      </c>
      <c r="G158" s="321">
        <f>'After Tax Analysis'!G8</f>
        <v>327607500.00000006</v>
      </c>
      <c r="H158" s="321">
        <f>'After Tax Analysis'!H8</f>
        <v>342349837.50000012</v>
      </c>
      <c r="I158" s="321">
        <f>'After Tax Analysis'!I8</f>
        <v>357755580.18750012</v>
      </c>
      <c r="J158" s="321">
        <f>'After Tax Analysis'!J8</f>
        <v>0</v>
      </c>
      <c r="K158" s="321">
        <f>'After Tax Analysis'!K8</f>
        <v>0</v>
      </c>
      <c r="L158" s="321">
        <f>'After Tax Analysis'!L8</f>
        <v>0</v>
      </c>
      <c r="M158" s="321">
        <f>'After Tax Analysis'!M8</f>
        <v>0</v>
      </c>
      <c r="N158" s="321">
        <f>'After Tax Analysis'!N8</f>
        <v>0</v>
      </c>
      <c r="O158" s="67">
        <v>0</v>
      </c>
      <c r="P158" s="326">
        <f>SUM(D158:N158)</f>
        <v>1641212917.6875</v>
      </c>
      <c r="Q158" s="2"/>
      <c r="S158" s="2"/>
    </row>
    <row r="159" spans="1:19" x14ac:dyDescent="0.15">
      <c r="A159" s="1" t="s">
        <v>417</v>
      </c>
      <c r="B159" s="340" t="s">
        <v>689</v>
      </c>
      <c r="C159" s="340" t="s">
        <v>689</v>
      </c>
      <c r="D159" s="329"/>
      <c r="E159" s="329">
        <f>Revenues!D9</f>
        <v>300000000</v>
      </c>
      <c r="F159" s="329">
        <f>Revenues!E9</f>
        <v>313500000.00000006</v>
      </c>
      <c r="G159" s="329">
        <f>Revenues!F9</f>
        <v>327607500.00000006</v>
      </c>
      <c r="H159" s="329">
        <f>Revenues!G9</f>
        <v>342349837.50000012</v>
      </c>
      <c r="I159" s="329">
        <f>Revenues!H9</f>
        <v>357755580.18750012</v>
      </c>
      <c r="J159" s="329">
        <f>Revenues!I9</f>
        <v>0</v>
      </c>
      <c r="K159" s="329">
        <f>Revenues!J9</f>
        <v>0</v>
      </c>
      <c r="L159" s="329">
        <f>Revenues!K9</f>
        <v>0</v>
      </c>
      <c r="M159" s="329">
        <f>Revenues!L9</f>
        <v>0</v>
      </c>
      <c r="N159" s="329">
        <f>Revenues!M9</f>
        <v>0</v>
      </c>
      <c r="O159" s="67"/>
      <c r="P159" s="326">
        <f t="shared" ref="P159:P185" si="140">SUM(D159:N159)</f>
        <v>1641212917.6875</v>
      </c>
      <c r="Q159" s="2"/>
      <c r="S159" s="2"/>
    </row>
    <row r="160" spans="1:19" x14ac:dyDescent="0.15">
      <c r="B160" s="340" t="s">
        <v>690</v>
      </c>
      <c r="C160" s="340" t="s">
        <v>690</v>
      </c>
      <c r="D160" s="329"/>
      <c r="E160" s="329">
        <f>Revenues!D16</f>
        <v>0</v>
      </c>
      <c r="F160" s="329">
        <f>Revenues!E16</f>
        <v>0</v>
      </c>
      <c r="G160" s="329">
        <f>Revenues!F16</f>
        <v>0</v>
      </c>
      <c r="H160" s="329">
        <f>Revenues!G16</f>
        <v>0</v>
      </c>
      <c r="I160" s="329">
        <f>Revenues!H16</f>
        <v>0</v>
      </c>
      <c r="J160" s="329">
        <f>Revenues!I16</f>
        <v>0</v>
      </c>
      <c r="K160" s="329">
        <f>Revenues!J16</f>
        <v>0</v>
      </c>
      <c r="L160" s="329">
        <f>Revenues!K16</f>
        <v>0</v>
      </c>
      <c r="M160" s="329">
        <f>Revenues!L16</f>
        <v>0</v>
      </c>
      <c r="N160" s="329">
        <f>Revenues!M16</f>
        <v>0</v>
      </c>
      <c r="O160" s="67"/>
      <c r="P160" s="326">
        <f t="shared" si="140"/>
        <v>0</v>
      </c>
      <c r="Q160" s="2"/>
      <c r="S160" s="2"/>
    </row>
    <row r="161" spans="2:19" x14ac:dyDescent="0.15">
      <c r="B161" s="355" t="s">
        <v>691</v>
      </c>
      <c r="C161" s="355" t="s">
        <v>691</v>
      </c>
      <c r="D161" s="337"/>
      <c r="E161" s="337">
        <f>Revenues!D23</f>
        <v>0</v>
      </c>
      <c r="F161" s="337">
        <f>Revenues!E23</f>
        <v>0</v>
      </c>
      <c r="G161" s="337">
        <f>Revenues!F23</f>
        <v>0</v>
      </c>
      <c r="H161" s="337">
        <f>Revenues!G23</f>
        <v>0</v>
      </c>
      <c r="I161" s="337">
        <f>Revenues!H23</f>
        <v>0</v>
      </c>
      <c r="J161" s="337">
        <f>Revenues!I23</f>
        <v>0</v>
      </c>
      <c r="K161" s="337">
        <f>Revenues!J23</f>
        <v>0</v>
      </c>
      <c r="L161" s="337">
        <f>Revenues!K23</f>
        <v>0</v>
      </c>
      <c r="M161" s="337">
        <f>Revenues!L23</f>
        <v>0</v>
      </c>
      <c r="N161" s="337">
        <f>Revenues!M23</f>
        <v>0</v>
      </c>
      <c r="O161" s="331"/>
      <c r="P161" s="326">
        <f t="shared" si="140"/>
        <v>0</v>
      </c>
      <c r="Q161" s="460"/>
      <c r="S161" s="2"/>
    </row>
    <row r="162" spans="2:19" x14ac:dyDescent="0.15">
      <c r="B162" s="340" t="s">
        <v>695</v>
      </c>
      <c r="C162" s="12"/>
      <c r="D162" s="67">
        <f>SUM(D159:D161)</f>
        <v>0</v>
      </c>
      <c r="E162" s="67">
        <f>SUM(E159:E161)</f>
        <v>300000000</v>
      </c>
      <c r="F162" s="67">
        <f t="shared" ref="F162:N162" si="141">SUM(F159:F161)</f>
        <v>313500000.00000006</v>
      </c>
      <c r="G162" s="67">
        <f t="shared" si="141"/>
        <v>327607500.00000006</v>
      </c>
      <c r="H162" s="67">
        <f t="shared" si="141"/>
        <v>342349837.50000012</v>
      </c>
      <c r="I162" s="67">
        <f t="shared" si="141"/>
        <v>357755580.18750012</v>
      </c>
      <c r="J162" s="67">
        <f t="shared" si="141"/>
        <v>0</v>
      </c>
      <c r="K162" s="67">
        <f t="shared" si="141"/>
        <v>0</v>
      </c>
      <c r="L162" s="67">
        <f t="shared" si="141"/>
        <v>0</v>
      </c>
      <c r="M162" s="67">
        <f t="shared" si="141"/>
        <v>0</v>
      </c>
      <c r="N162" s="67">
        <f t="shared" si="141"/>
        <v>0</v>
      </c>
      <c r="O162" s="67"/>
      <c r="P162" s="326">
        <f t="shared" si="140"/>
        <v>1641212917.6875</v>
      </c>
      <c r="Q162" s="2"/>
      <c r="S162" s="2"/>
    </row>
    <row r="163" spans="2:19" x14ac:dyDescent="0.15">
      <c r="B163" s="340" t="s">
        <v>696</v>
      </c>
      <c r="C163" s="12" t="s">
        <v>289</v>
      </c>
      <c r="D163" s="388">
        <f>'After Tax Analysis'!D9</f>
        <v>0</v>
      </c>
      <c r="E163" s="388">
        <f>'After Tax Analysis'!E9</f>
        <v>230170000</v>
      </c>
      <c r="F163" s="388">
        <f>'After Tax Analysis'!F9</f>
        <v>253018375.00000003</v>
      </c>
      <c r="G163" s="388">
        <f>'After Tax Analysis'!G9</f>
        <v>278725718.45125008</v>
      </c>
      <c r="H163" s="388">
        <f>'After Tax Analysis'!H9</f>
        <v>307665975.06072807</v>
      </c>
      <c r="I163" s="388">
        <f>'After Tax Analysis'!I9</f>
        <v>340262566.36057305</v>
      </c>
      <c r="J163" s="388">
        <f>'After Tax Analysis'!J9</f>
        <v>0</v>
      </c>
      <c r="K163" s="388">
        <f>'After Tax Analysis'!K9</f>
        <v>0</v>
      </c>
      <c r="L163" s="388">
        <f>'After Tax Analysis'!L9</f>
        <v>0</v>
      </c>
      <c r="M163" s="388">
        <f>'After Tax Analysis'!M9</f>
        <v>0</v>
      </c>
      <c r="N163" s="388">
        <f>'After Tax Analysis'!N9</f>
        <v>0</v>
      </c>
      <c r="O163" s="67">
        <v>0</v>
      </c>
      <c r="P163" s="326">
        <f t="shared" si="140"/>
        <v>1409842634.8725512</v>
      </c>
      <c r="Q163" s="2"/>
      <c r="S163" s="2"/>
    </row>
    <row r="164" spans="2:19" x14ac:dyDescent="0.15">
      <c r="B164" s="340">
        <v>3</v>
      </c>
      <c r="C164" s="12" t="s">
        <v>290</v>
      </c>
      <c r="D164" s="67">
        <f t="shared" ref="D164:N164" si="142">D162-D163</f>
        <v>0</v>
      </c>
      <c r="E164" s="67">
        <f t="shared" si="142"/>
        <v>69830000</v>
      </c>
      <c r="F164" s="67">
        <f t="shared" si="142"/>
        <v>60481625.00000003</v>
      </c>
      <c r="G164" s="67">
        <f t="shared" si="142"/>
        <v>48881781.548749983</v>
      </c>
      <c r="H164" s="67">
        <f t="shared" si="142"/>
        <v>34683862.439272046</v>
      </c>
      <c r="I164" s="67">
        <f t="shared" si="142"/>
        <v>17493013.826927066</v>
      </c>
      <c r="J164" s="67">
        <f t="shared" si="142"/>
        <v>0</v>
      </c>
      <c r="K164" s="67">
        <f t="shared" si="142"/>
        <v>0</v>
      </c>
      <c r="L164" s="67">
        <f t="shared" si="142"/>
        <v>0</v>
      </c>
      <c r="M164" s="67">
        <f t="shared" si="142"/>
        <v>0</v>
      </c>
      <c r="N164" s="67">
        <f t="shared" si="142"/>
        <v>0</v>
      </c>
      <c r="O164" s="67">
        <v>0</v>
      </c>
      <c r="P164" s="326">
        <f t="shared" si="140"/>
        <v>231370282.81494913</v>
      </c>
      <c r="Q164" s="2"/>
      <c r="S164" s="2"/>
    </row>
    <row r="165" spans="2:19" x14ac:dyDescent="0.15">
      <c r="B165" s="340" t="s">
        <v>697</v>
      </c>
      <c r="C165" s="12" t="s">
        <v>292</v>
      </c>
      <c r="D165" s="388">
        <f>'After Tax Analysis'!D11</f>
        <v>0</v>
      </c>
      <c r="E165" s="388">
        <f>'After Tax Analysis'!E11</f>
        <v>3772500</v>
      </c>
      <c r="F165" s="388">
        <f>'After Tax Analysis'!F11</f>
        <v>6218850</v>
      </c>
      <c r="G165" s="388">
        <f>'After Tax Analysis'!G11</f>
        <v>4083150</v>
      </c>
      <c r="H165" s="388">
        <f>'After Tax Analysis'!H11</f>
        <v>2775510</v>
      </c>
      <c r="I165" s="388">
        <f>'After Tax Analysis'!I11</f>
        <v>1352955</v>
      </c>
      <c r="J165" s="388">
        <f>'After Tax Analysis'!J11</f>
        <v>0</v>
      </c>
      <c r="K165" s="388">
        <f>'After Tax Analysis'!K11</f>
        <v>0</v>
      </c>
      <c r="L165" s="388">
        <f>'After Tax Analysis'!L11</f>
        <v>0</v>
      </c>
      <c r="M165" s="388">
        <f>'After Tax Analysis'!M11</f>
        <v>0</v>
      </c>
      <c r="N165" s="388">
        <f>'After Tax Analysis'!N11</f>
        <v>0</v>
      </c>
      <c r="O165" s="67">
        <v>0</v>
      </c>
      <c r="P165" s="326">
        <f t="shared" si="140"/>
        <v>18202965</v>
      </c>
      <c r="Q165" s="2"/>
      <c r="S165" s="2"/>
    </row>
    <row r="166" spans="2:19" x14ac:dyDescent="0.15">
      <c r="B166" s="340">
        <v>5</v>
      </c>
      <c r="C166" s="12" t="s">
        <v>293</v>
      </c>
      <c r="D166" s="67">
        <f t="shared" ref="D166:N166" si="143">D164-D165</f>
        <v>0</v>
      </c>
      <c r="E166" s="67">
        <f t="shared" si="143"/>
        <v>66057500</v>
      </c>
      <c r="F166" s="67">
        <f t="shared" si="143"/>
        <v>54262775.00000003</v>
      </c>
      <c r="G166" s="67">
        <f t="shared" si="143"/>
        <v>44798631.548749983</v>
      </c>
      <c r="H166" s="67">
        <f t="shared" si="143"/>
        <v>31908352.439272046</v>
      </c>
      <c r="I166" s="67">
        <f t="shared" si="143"/>
        <v>16140058.826927066</v>
      </c>
      <c r="J166" s="67">
        <f t="shared" si="143"/>
        <v>0</v>
      </c>
      <c r="K166" s="67">
        <f t="shared" si="143"/>
        <v>0</v>
      </c>
      <c r="L166" s="67">
        <f t="shared" si="143"/>
        <v>0</v>
      </c>
      <c r="M166" s="67">
        <f t="shared" si="143"/>
        <v>0</v>
      </c>
      <c r="N166" s="67">
        <f t="shared" si="143"/>
        <v>0</v>
      </c>
      <c r="O166" s="67">
        <v>0</v>
      </c>
      <c r="P166" s="326">
        <f t="shared" si="140"/>
        <v>213167317.81494913</v>
      </c>
      <c r="Q166" s="2"/>
      <c r="S166" s="2"/>
    </row>
    <row r="167" spans="2:19" x14ac:dyDescent="0.15">
      <c r="B167" s="340" t="s">
        <v>698</v>
      </c>
      <c r="C167" s="12" t="s">
        <v>295</v>
      </c>
      <c r="D167" s="388">
        <f>'After Tax Analysis'!D13</f>
        <v>0</v>
      </c>
      <c r="E167" s="388">
        <f>'After Tax Analysis'!E13</f>
        <v>0</v>
      </c>
      <c r="F167" s="388">
        <f>'After Tax Analysis'!F13</f>
        <v>0</v>
      </c>
      <c r="G167" s="388">
        <f>'After Tax Analysis'!G13</f>
        <v>0</v>
      </c>
      <c r="H167" s="388">
        <f>'After Tax Analysis'!H13</f>
        <v>0</v>
      </c>
      <c r="I167" s="388">
        <f>'After Tax Analysis'!I13</f>
        <v>0</v>
      </c>
      <c r="J167" s="388">
        <f>'After Tax Analysis'!J13</f>
        <v>0</v>
      </c>
      <c r="K167" s="388">
        <f>'After Tax Analysis'!K13</f>
        <v>0</v>
      </c>
      <c r="L167" s="388">
        <f>'After Tax Analysis'!L13</f>
        <v>0</v>
      </c>
      <c r="M167" s="388">
        <f>'After Tax Analysis'!M13</f>
        <v>0</v>
      </c>
      <c r="N167" s="388">
        <f>'After Tax Analysis'!N13</f>
        <v>0</v>
      </c>
      <c r="O167" s="67">
        <v>0</v>
      </c>
      <c r="P167" s="326">
        <f t="shared" si="140"/>
        <v>0</v>
      </c>
      <c r="Q167" s="2"/>
      <c r="S167" s="2"/>
    </row>
    <row r="168" spans="2:19" x14ac:dyDescent="0.15">
      <c r="B168" s="340">
        <v>7</v>
      </c>
      <c r="C168" s="12" t="s">
        <v>296</v>
      </c>
      <c r="D168" s="387">
        <f>D166-D167</f>
        <v>0</v>
      </c>
      <c r="E168" s="387">
        <f t="shared" ref="E168:N168" si="144">E166-E167</f>
        <v>66057500</v>
      </c>
      <c r="F168" s="387">
        <f t="shared" si="144"/>
        <v>54262775.00000003</v>
      </c>
      <c r="G168" s="387">
        <f t="shared" si="144"/>
        <v>44798631.548749983</v>
      </c>
      <c r="H168" s="387">
        <f t="shared" si="144"/>
        <v>31908352.439272046</v>
      </c>
      <c r="I168" s="387">
        <f t="shared" si="144"/>
        <v>16140058.826927066</v>
      </c>
      <c r="J168" s="387">
        <f t="shared" si="144"/>
        <v>0</v>
      </c>
      <c r="K168" s="387">
        <f t="shared" si="144"/>
        <v>0</v>
      </c>
      <c r="L168" s="387">
        <f t="shared" si="144"/>
        <v>0</v>
      </c>
      <c r="M168" s="387">
        <f t="shared" si="144"/>
        <v>0</v>
      </c>
      <c r="N168" s="387">
        <f t="shared" si="144"/>
        <v>0</v>
      </c>
      <c r="O168" s="67">
        <v>0</v>
      </c>
      <c r="P168" s="326">
        <f t="shared" si="140"/>
        <v>213167317.81494913</v>
      </c>
      <c r="Q168" s="2"/>
      <c r="S168" s="2"/>
    </row>
    <row r="169" spans="2:19" x14ac:dyDescent="0.15">
      <c r="B169" s="340">
        <v>8</v>
      </c>
      <c r="C169" s="12" t="s">
        <v>297</v>
      </c>
      <c r="D169" s="67">
        <f t="shared" ref="D169:N169" si="145">D168*$D$3</f>
        <v>0</v>
      </c>
      <c r="E169" s="67">
        <f t="shared" si="145"/>
        <v>19817250</v>
      </c>
      <c r="F169" s="67">
        <f t="shared" si="145"/>
        <v>16278832.500000007</v>
      </c>
      <c r="G169" s="67">
        <f t="shared" si="145"/>
        <v>13439589.464624995</v>
      </c>
      <c r="H169" s="67">
        <f t="shared" si="145"/>
        <v>9572505.7317816131</v>
      </c>
      <c r="I169" s="67">
        <f t="shared" si="145"/>
        <v>4842017.6480781194</v>
      </c>
      <c r="J169" s="67">
        <f t="shared" si="145"/>
        <v>0</v>
      </c>
      <c r="K169" s="67">
        <f t="shared" si="145"/>
        <v>0</v>
      </c>
      <c r="L169" s="67">
        <f t="shared" si="145"/>
        <v>0</v>
      </c>
      <c r="M169" s="67">
        <f t="shared" si="145"/>
        <v>0</v>
      </c>
      <c r="N169" s="67">
        <f t="shared" si="145"/>
        <v>0</v>
      </c>
      <c r="O169" s="67">
        <v>0</v>
      </c>
      <c r="P169" s="326">
        <f t="shared" si="140"/>
        <v>63950195.344484739</v>
      </c>
      <c r="Q169" s="2"/>
      <c r="S169" s="2"/>
    </row>
    <row r="170" spans="2:19" x14ac:dyDescent="0.15">
      <c r="B170" s="340">
        <v>9</v>
      </c>
      <c r="C170" s="12" t="s">
        <v>298</v>
      </c>
      <c r="D170" s="387">
        <f>'After Tax Analysis'!D16</f>
        <v>0</v>
      </c>
      <c r="E170" s="387">
        <f>'After Tax Analysis'!E16</f>
        <v>0</v>
      </c>
      <c r="F170" s="387">
        <f>'After Tax Analysis'!F16</f>
        <v>0</v>
      </c>
      <c r="G170" s="387">
        <f>'After Tax Analysis'!G16</f>
        <v>0</v>
      </c>
      <c r="H170" s="387">
        <f>'After Tax Analysis'!H16</f>
        <v>0</v>
      </c>
      <c r="I170" s="387">
        <f>'After Tax Analysis'!I16</f>
        <v>0</v>
      </c>
      <c r="J170" s="387">
        <f>'After Tax Analysis'!J16</f>
        <v>0</v>
      </c>
      <c r="K170" s="387">
        <f>'After Tax Analysis'!K16</f>
        <v>0</v>
      </c>
      <c r="L170" s="387">
        <f>'After Tax Analysis'!L16</f>
        <v>0</v>
      </c>
      <c r="M170" s="387">
        <f>'After Tax Analysis'!M16</f>
        <v>0</v>
      </c>
      <c r="N170" s="387">
        <f>'After Tax Analysis'!N16</f>
        <v>0</v>
      </c>
      <c r="O170" s="67">
        <v>0</v>
      </c>
      <c r="P170" s="326">
        <f t="shared" si="140"/>
        <v>0</v>
      </c>
      <c r="Q170" s="2"/>
      <c r="S170" s="2"/>
    </row>
    <row r="171" spans="2:19" x14ac:dyDescent="0.15">
      <c r="B171" s="340">
        <v>10</v>
      </c>
      <c r="C171" s="12" t="s">
        <v>299</v>
      </c>
      <c r="D171" s="387">
        <f>D168-D169+D170</f>
        <v>0</v>
      </c>
      <c r="E171" s="387">
        <f t="shared" ref="E171:N171" si="146">E168-E169+E170</f>
        <v>46240250</v>
      </c>
      <c r="F171" s="387">
        <f t="shared" si="146"/>
        <v>37983942.500000022</v>
      </c>
      <c r="G171" s="387">
        <f t="shared" si="146"/>
        <v>31359042.08412499</v>
      </c>
      <c r="H171" s="387">
        <f t="shared" si="146"/>
        <v>22335846.707490433</v>
      </c>
      <c r="I171" s="387">
        <f t="shared" si="146"/>
        <v>11298041.178848946</v>
      </c>
      <c r="J171" s="387">
        <f t="shared" si="146"/>
        <v>0</v>
      </c>
      <c r="K171" s="387">
        <f t="shared" si="146"/>
        <v>0</v>
      </c>
      <c r="L171" s="387">
        <f t="shared" si="146"/>
        <v>0</v>
      </c>
      <c r="M171" s="387">
        <f t="shared" si="146"/>
        <v>0</v>
      </c>
      <c r="N171" s="387">
        <f t="shared" si="146"/>
        <v>0</v>
      </c>
      <c r="O171" s="67">
        <v>0</v>
      </c>
      <c r="P171" s="326">
        <f t="shared" si="140"/>
        <v>149217122.47046441</v>
      </c>
      <c r="Q171" s="2"/>
      <c r="S171" s="2"/>
    </row>
    <row r="172" spans="2:19" x14ac:dyDescent="0.15">
      <c r="B172" s="340" t="s">
        <v>699</v>
      </c>
      <c r="C172" s="12" t="s">
        <v>292</v>
      </c>
      <c r="D172" s="388">
        <f>'After Tax Analysis'!D18</f>
        <v>0</v>
      </c>
      <c r="E172" s="388">
        <f>'After Tax Analysis'!E18</f>
        <v>3772500</v>
      </c>
      <c r="F172" s="388">
        <f>'After Tax Analysis'!F18</f>
        <v>6218850</v>
      </c>
      <c r="G172" s="388">
        <f>'After Tax Analysis'!G18</f>
        <v>4083150</v>
      </c>
      <c r="H172" s="388">
        <f>'After Tax Analysis'!H18</f>
        <v>2775510</v>
      </c>
      <c r="I172" s="388">
        <f>'After Tax Analysis'!I18</f>
        <v>1352955</v>
      </c>
      <c r="J172" s="388">
        <f>'After Tax Analysis'!J18</f>
        <v>0</v>
      </c>
      <c r="K172" s="388">
        <f>'After Tax Analysis'!K18</f>
        <v>0</v>
      </c>
      <c r="L172" s="388">
        <f>'After Tax Analysis'!L18</f>
        <v>0</v>
      </c>
      <c r="M172" s="388">
        <f>'After Tax Analysis'!M18</f>
        <v>0</v>
      </c>
      <c r="N172" s="388">
        <f>'After Tax Analysis'!N18</f>
        <v>0</v>
      </c>
      <c r="O172" s="67">
        <v>0</v>
      </c>
      <c r="P172" s="326">
        <f t="shared" si="140"/>
        <v>18202965</v>
      </c>
      <c r="Q172" s="2"/>
      <c r="S172" s="2"/>
    </row>
    <row r="173" spans="2:19" x14ac:dyDescent="0.15">
      <c r="B173" s="340">
        <v>12</v>
      </c>
      <c r="C173" s="12" t="s">
        <v>301</v>
      </c>
      <c r="D173" s="387">
        <f>D171+D172</f>
        <v>0</v>
      </c>
      <c r="E173" s="387">
        <f t="shared" ref="E173:N173" si="147">E171+E172</f>
        <v>50012750</v>
      </c>
      <c r="F173" s="387">
        <f t="shared" si="147"/>
        <v>44202792.500000022</v>
      </c>
      <c r="G173" s="387">
        <f t="shared" si="147"/>
        <v>35442192.08412499</v>
      </c>
      <c r="H173" s="387">
        <f t="shared" si="147"/>
        <v>25111356.707490433</v>
      </c>
      <c r="I173" s="387">
        <f t="shared" si="147"/>
        <v>12650996.178848946</v>
      </c>
      <c r="J173" s="387">
        <f t="shared" si="147"/>
        <v>0</v>
      </c>
      <c r="K173" s="387">
        <f t="shared" si="147"/>
        <v>0</v>
      </c>
      <c r="L173" s="387">
        <f t="shared" si="147"/>
        <v>0</v>
      </c>
      <c r="M173" s="387">
        <f t="shared" si="147"/>
        <v>0</v>
      </c>
      <c r="N173" s="387">
        <f t="shared" si="147"/>
        <v>0</v>
      </c>
      <c r="O173" s="67">
        <v>0</v>
      </c>
      <c r="P173" s="326">
        <f t="shared" si="140"/>
        <v>167420087.47046441</v>
      </c>
      <c r="Q173" s="2"/>
      <c r="S173" s="2"/>
    </row>
    <row r="174" spans="2:19" x14ac:dyDescent="0.15">
      <c r="B174" s="340" t="s">
        <v>700</v>
      </c>
      <c r="C174" s="12" t="s">
        <v>303</v>
      </c>
      <c r="D174" s="67">
        <f>'After Tax Analysis'!D20</f>
        <v>0</v>
      </c>
      <c r="E174" s="67">
        <f>'After Tax Analysis'!E20</f>
        <v>0</v>
      </c>
      <c r="F174" s="67">
        <f>'After Tax Analysis'!F20</f>
        <v>0</v>
      </c>
      <c r="G174" s="67">
        <f>'After Tax Analysis'!G20</f>
        <v>0</v>
      </c>
      <c r="H174" s="67">
        <f>'After Tax Analysis'!H20</f>
        <v>0</v>
      </c>
      <c r="I174" s="67">
        <f>'After Tax Analysis'!I20</f>
        <v>0</v>
      </c>
      <c r="J174" s="67">
        <f>'After Tax Analysis'!J20</f>
        <v>0</v>
      </c>
      <c r="K174" s="67">
        <f>'After Tax Analysis'!K20</f>
        <v>0</v>
      </c>
      <c r="L174" s="67">
        <f>'After Tax Analysis'!L20</f>
        <v>0</v>
      </c>
      <c r="M174" s="67">
        <f>'After Tax Analysis'!M20</f>
        <v>0</v>
      </c>
      <c r="N174" s="67">
        <f>'After Tax Analysis'!N20</f>
        <v>0</v>
      </c>
      <c r="O174" s="67">
        <v>0</v>
      </c>
      <c r="P174" s="326">
        <f t="shared" si="140"/>
        <v>0</v>
      </c>
      <c r="Q174" s="2"/>
      <c r="S174" s="2"/>
    </row>
    <row r="175" spans="2:19" x14ac:dyDescent="0.15">
      <c r="B175" s="340">
        <v>14</v>
      </c>
      <c r="C175" s="12" t="s">
        <v>304</v>
      </c>
      <c r="D175" s="67">
        <f>D176+D177++D178</f>
        <v>-32550000</v>
      </c>
      <c r="E175" s="67">
        <f t="shared" ref="E175:N175" si="148">E176+E177++E178</f>
        <v>0</v>
      </c>
      <c r="F175" s="67">
        <f t="shared" si="148"/>
        <v>0</v>
      </c>
      <c r="G175" s="67">
        <f t="shared" si="148"/>
        <v>0</v>
      </c>
      <c r="H175" s="67">
        <f t="shared" si="148"/>
        <v>0</v>
      </c>
      <c r="I175" s="67">
        <f t="shared" si="148"/>
        <v>14347035</v>
      </c>
      <c r="J175" s="67">
        <f t="shared" si="148"/>
        <v>0</v>
      </c>
      <c r="K175" s="67">
        <f t="shared" si="148"/>
        <v>0</v>
      </c>
      <c r="L175" s="67">
        <f t="shared" si="148"/>
        <v>0</v>
      </c>
      <c r="M175" s="67">
        <f t="shared" si="148"/>
        <v>0</v>
      </c>
      <c r="N175" s="67">
        <f t="shared" si="148"/>
        <v>0</v>
      </c>
      <c r="O175" s="67">
        <v>0</v>
      </c>
      <c r="P175" s="326">
        <f t="shared" si="140"/>
        <v>-18202965</v>
      </c>
      <c r="Q175" s="2"/>
      <c r="S175" s="2"/>
    </row>
    <row r="176" spans="2:19" x14ac:dyDescent="0.15">
      <c r="B176" s="340" t="s">
        <v>701</v>
      </c>
      <c r="C176" s="12" t="s">
        <v>207</v>
      </c>
      <c r="D176" s="67">
        <f>'After Tax Analysis'!D22</f>
        <v>-31050000</v>
      </c>
      <c r="E176" s="67">
        <f>'After Tax Analysis'!E22</f>
        <v>0</v>
      </c>
      <c r="F176" s="67">
        <f>'After Tax Analysis'!F22</f>
        <v>0</v>
      </c>
      <c r="G176" s="67">
        <f>'After Tax Analysis'!G22</f>
        <v>0</v>
      </c>
      <c r="H176" s="67">
        <f>'After Tax Analysis'!H22</f>
        <v>0</v>
      </c>
      <c r="I176" s="67">
        <f>'After Tax Analysis'!I22</f>
        <v>12847035</v>
      </c>
      <c r="J176" s="67">
        <f>'After Tax Analysis'!J22</f>
        <v>0</v>
      </c>
      <c r="K176" s="67">
        <f>'After Tax Analysis'!K22</f>
        <v>0</v>
      </c>
      <c r="L176" s="67">
        <f>'After Tax Analysis'!L22</f>
        <v>0</v>
      </c>
      <c r="M176" s="67">
        <f>'After Tax Analysis'!M22</f>
        <v>0</v>
      </c>
      <c r="N176" s="67">
        <f>'After Tax Analysis'!N22</f>
        <v>0</v>
      </c>
      <c r="O176" s="67">
        <v>0</v>
      </c>
      <c r="P176" s="326">
        <f t="shared" si="140"/>
        <v>-18202965</v>
      </c>
      <c r="Q176" s="2"/>
      <c r="S176" s="2"/>
    </row>
    <row r="177" spans="1:19" x14ac:dyDescent="0.15">
      <c r="B177" s="340" t="s">
        <v>702</v>
      </c>
      <c r="C177" s="12" t="s">
        <v>307</v>
      </c>
      <c r="D177" s="67">
        <f>'After Tax Analysis'!D23</f>
        <v>-1500000</v>
      </c>
      <c r="E177" s="67">
        <f>'After Tax Analysis'!E23</f>
        <v>0</v>
      </c>
      <c r="F177" s="67">
        <f>'After Tax Analysis'!F23</f>
        <v>0</v>
      </c>
      <c r="G177" s="67">
        <f>'After Tax Analysis'!G23</f>
        <v>0</v>
      </c>
      <c r="H177" s="67">
        <f>'After Tax Analysis'!H23</f>
        <v>0</v>
      </c>
      <c r="I177" s="67">
        <f>'After Tax Analysis'!I23</f>
        <v>1500000</v>
      </c>
      <c r="J177" s="67">
        <f>'After Tax Analysis'!J23</f>
        <v>0</v>
      </c>
      <c r="K177" s="67">
        <f>'After Tax Analysis'!K23</f>
        <v>0</v>
      </c>
      <c r="L177" s="67">
        <f>'After Tax Analysis'!L23</f>
        <v>0</v>
      </c>
      <c r="M177" s="67">
        <f>'After Tax Analysis'!M23</f>
        <v>0</v>
      </c>
      <c r="N177" s="67">
        <f>'After Tax Analysis'!N23</f>
        <v>0</v>
      </c>
      <c r="O177" s="67">
        <v>0</v>
      </c>
      <c r="P177" s="326">
        <f t="shared" si="140"/>
        <v>0</v>
      </c>
      <c r="Q177" s="2"/>
      <c r="S177" s="2"/>
    </row>
    <row r="178" spans="1:19" x14ac:dyDescent="0.15">
      <c r="B178" s="340" t="s">
        <v>703</v>
      </c>
      <c r="C178" s="12" t="s">
        <v>309</v>
      </c>
      <c r="D178" s="67">
        <f>'After Tax Analysis'!D24</f>
        <v>0</v>
      </c>
      <c r="E178" s="67">
        <f>'After Tax Analysis'!E24</f>
        <v>0</v>
      </c>
      <c r="F178" s="67">
        <f>'After Tax Analysis'!F24</f>
        <v>0</v>
      </c>
      <c r="G178" s="67">
        <f>'After Tax Analysis'!G24</f>
        <v>0</v>
      </c>
      <c r="H178" s="67">
        <f>'After Tax Analysis'!H24</f>
        <v>0</v>
      </c>
      <c r="I178" s="67">
        <f>'After Tax Analysis'!I24</f>
        <v>0</v>
      </c>
      <c r="J178" s="67">
        <f>'After Tax Analysis'!J24</f>
        <v>0</v>
      </c>
      <c r="K178" s="67">
        <f>'After Tax Analysis'!K24</f>
        <v>0</v>
      </c>
      <c r="L178" s="67">
        <f>'After Tax Analysis'!L24</f>
        <v>0</v>
      </c>
      <c r="M178" s="67">
        <f>'After Tax Analysis'!M24</f>
        <v>0</v>
      </c>
      <c r="N178" s="67">
        <f>'After Tax Analysis'!N24</f>
        <v>0</v>
      </c>
      <c r="O178" s="67">
        <v>0</v>
      </c>
      <c r="P178" s="326">
        <f t="shared" si="140"/>
        <v>0</v>
      </c>
      <c r="Q178" s="2"/>
      <c r="S178" s="2"/>
    </row>
    <row r="179" spans="1:19" x14ac:dyDescent="0.15">
      <c r="B179" s="340" t="s">
        <v>704</v>
      </c>
      <c r="C179" s="12" t="s">
        <v>311</v>
      </c>
      <c r="D179" s="67">
        <f>'After Tax Analysis'!D25</f>
        <v>0</v>
      </c>
      <c r="E179" s="67">
        <f>'After Tax Analysis'!E25</f>
        <v>0</v>
      </c>
      <c r="F179" s="67">
        <f>'After Tax Analysis'!F25</f>
        <v>0</v>
      </c>
      <c r="G179" s="67">
        <f>'After Tax Analysis'!G25</f>
        <v>0</v>
      </c>
      <c r="H179" s="67">
        <f>'After Tax Analysis'!H25</f>
        <v>0</v>
      </c>
      <c r="I179" s="67">
        <f>'After Tax Analysis'!I25</f>
        <v>-2596968.7000000002</v>
      </c>
      <c r="J179" s="67">
        <f>'After Tax Analysis'!J25</f>
        <v>0</v>
      </c>
      <c r="K179" s="67">
        <f>'After Tax Analysis'!K25</f>
        <v>0</v>
      </c>
      <c r="L179" s="67">
        <f>'After Tax Analysis'!L25</f>
        <v>0</v>
      </c>
      <c r="M179" s="67">
        <f>'After Tax Analysis'!M25</f>
        <v>0</v>
      </c>
      <c r="N179" s="67">
        <f>'After Tax Analysis'!N25</f>
        <v>0</v>
      </c>
      <c r="O179" s="67">
        <v>0</v>
      </c>
      <c r="P179" s="326">
        <f t="shared" si="140"/>
        <v>-2596968.7000000002</v>
      </c>
      <c r="Q179" s="2"/>
      <c r="S179" s="2"/>
    </row>
    <row r="180" spans="1:19" ht="14" thickBot="1" x14ac:dyDescent="0.2">
      <c r="B180" s="340" t="s">
        <v>705</v>
      </c>
      <c r="C180" s="12" t="s">
        <v>115</v>
      </c>
      <c r="D180" s="67">
        <f>'After Tax Analysis'!D26</f>
        <v>-60000000</v>
      </c>
      <c r="E180" s="67">
        <f>'After Tax Analysis'!E26</f>
        <v>0</v>
      </c>
      <c r="F180" s="67">
        <f>'After Tax Analysis'!F26</f>
        <v>0</v>
      </c>
      <c r="G180" s="67">
        <f>'After Tax Analysis'!G26</f>
        <v>0</v>
      </c>
      <c r="H180" s="67">
        <f>'After Tax Analysis'!H26</f>
        <v>0</v>
      </c>
      <c r="I180" s="67">
        <f>'After Tax Analysis'!I26</f>
        <v>60000000</v>
      </c>
      <c r="J180" s="67">
        <f>'After Tax Analysis'!J26</f>
        <v>0</v>
      </c>
      <c r="K180" s="67">
        <f>'After Tax Analysis'!K26</f>
        <v>0</v>
      </c>
      <c r="L180" s="67">
        <f>'After Tax Analysis'!L26</f>
        <v>0</v>
      </c>
      <c r="M180" s="67">
        <f>'After Tax Analysis'!M26</f>
        <v>0</v>
      </c>
      <c r="N180" s="67">
        <f>'After Tax Analysis'!N26</f>
        <v>0</v>
      </c>
      <c r="O180" s="67">
        <v>0</v>
      </c>
      <c r="P180" s="326">
        <f t="shared" si="140"/>
        <v>0</v>
      </c>
      <c r="Q180" s="2"/>
      <c r="S180" s="2"/>
    </row>
    <row r="181" spans="1:19" x14ac:dyDescent="0.15">
      <c r="B181" s="340">
        <v>17</v>
      </c>
      <c r="C181" s="12" t="s">
        <v>313</v>
      </c>
      <c r="D181" s="67">
        <f>D174+D175+D179+D180</f>
        <v>-92550000</v>
      </c>
      <c r="E181" s="67">
        <f t="shared" ref="E181:N181" si="149">E174+E175+E179+E180</f>
        <v>0</v>
      </c>
      <c r="F181" s="67">
        <f t="shared" si="149"/>
        <v>0</v>
      </c>
      <c r="G181" s="67">
        <f t="shared" si="149"/>
        <v>0</v>
      </c>
      <c r="H181" s="67">
        <f t="shared" si="149"/>
        <v>0</v>
      </c>
      <c r="I181" s="67">
        <f t="shared" si="149"/>
        <v>71750066.299999997</v>
      </c>
      <c r="J181" s="67">
        <f t="shared" si="149"/>
        <v>0</v>
      </c>
      <c r="K181" s="67">
        <f t="shared" si="149"/>
        <v>0</v>
      </c>
      <c r="L181" s="67">
        <f t="shared" si="149"/>
        <v>0</v>
      </c>
      <c r="M181" s="67">
        <f t="shared" si="149"/>
        <v>0</v>
      </c>
      <c r="N181" s="67">
        <f t="shared" si="149"/>
        <v>0</v>
      </c>
      <c r="O181" s="67">
        <v>0</v>
      </c>
      <c r="P181" s="326">
        <f t="shared" si="140"/>
        <v>-20799933.700000003</v>
      </c>
      <c r="Q181" s="149"/>
      <c r="R181" s="333" t="s">
        <v>693</v>
      </c>
      <c r="S181" s="2"/>
    </row>
    <row r="182" spans="1:19" ht="14" thickBot="1" x14ac:dyDescent="0.2">
      <c r="A182" s="1" t="s">
        <v>417</v>
      </c>
      <c r="B182" s="355">
        <v>18</v>
      </c>
      <c r="C182" s="335" t="s">
        <v>314</v>
      </c>
      <c r="D182" s="331">
        <f>D173+D181</f>
        <v>-92550000</v>
      </c>
      <c r="E182" s="331">
        <f t="shared" ref="E182:N182" si="150">E173+E181</f>
        <v>50012750</v>
      </c>
      <c r="F182" s="331">
        <f t="shared" si="150"/>
        <v>44202792.500000022</v>
      </c>
      <c r="G182" s="331">
        <f t="shared" si="150"/>
        <v>35442192.08412499</v>
      </c>
      <c r="H182" s="331">
        <f t="shared" si="150"/>
        <v>25111356.707490433</v>
      </c>
      <c r="I182" s="331">
        <f t="shared" si="150"/>
        <v>84401062.478848949</v>
      </c>
      <c r="J182" s="331">
        <f t="shared" si="150"/>
        <v>0</v>
      </c>
      <c r="K182" s="331">
        <f t="shared" si="150"/>
        <v>0</v>
      </c>
      <c r="L182" s="331">
        <f t="shared" si="150"/>
        <v>0</v>
      </c>
      <c r="M182" s="331">
        <f t="shared" si="150"/>
        <v>0</v>
      </c>
      <c r="N182" s="331">
        <f t="shared" si="150"/>
        <v>0</v>
      </c>
      <c r="O182" s="331">
        <v>0</v>
      </c>
      <c r="P182" s="326">
        <f t="shared" si="140"/>
        <v>146620153.77046439</v>
      </c>
      <c r="Q182" s="464"/>
      <c r="R182" s="338">
        <f>IF(ISNUMBER(IRR(D182:N182)),IRR(D182:N182),"NMF")</f>
        <v>0.40549033935008683</v>
      </c>
      <c r="S182" s="353" t="str">
        <f>A159</f>
        <v>Base Case</v>
      </c>
    </row>
    <row r="183" spans="1:19" x14ac:dyDescent="0.15">
      <c r="B183" s="340">
        <v>19</v>
      </c>
      <c r="C183" s="12" t="s">
        <v>315</v>
      </c>
      <c r="D183" s="53">
        <v>1</v>
      </c>
      <c r="E183" s="53">
        <v>0.86956521739130443</v>
      </c>
      <c r="F183" s="53">
        <v>0.7561436672967865</v>
      </c>
      <c r="G183" s="53">
        <v>0.65751623243198831</v>
      </c>
      <c r="H183" s="53">
        <v>0.57175324559303342</v>
      </c>
      <c r="I183" s="53">
        <v>0.49717673529828987</v>
      </c>
      <c r="J183" s="53">
        <v>0.43232759591155645</v>
      </c>
      <c r="K183" s="53">
        <v>0.37593703992309269</v>
      </c>
      <c r="L183" s="53">
        <v>0.32690177384616753</v>
      </c>
      <c r="M183" s="53">
        <v>0.28426241204014574</v>
      </c>
      <c r="N183" s="53">
        <v>0.24718470612186585</v>
      </c>
      <c r="O183" s="67">
        <v>0</v>
      </c>
      <c r="P183" s="326">
        <f t="shared" si="140"/>
        <v>6.0187686258542321</v>
      </c>
      <c r="Q183" s="2"/>
      <c r="S183" s="2"/>
    </row>
    <row r="184" spans="1:19" x14ac:dyDescent="0.15">
      <c r="B184" s="340">
        <v>20</v>
      </c>
      <c r="C184" s="12" t="s">
        <v>316</v>
      </c>
      <c r="D184" s="67">
        <f>D183*D182</f>
        <v>-92550000</v>
      </c>
      <c r="E184" s="67">
        <f>E183*E182</f>
        <v>43489347.826086961</v>
      </c>
      <c r="F184" s="67">
        <f t="shared" ref="F184:N184" si="151">F183*F182</f>
        <v>33423661.625708908</v>
      </c>
      <c r="G184" s="67">
        <f t="shared" si="151"/>
        <v>23303816.608284704</v>
      </c>
      <c r="H184" s="67">
        <f t="shared" si="151"/>
        <v>14357499.698752044</v>
      </c>
      <c r="I184" s="67">
        <f t="shared" si="151"/>
        <v>41962244.698941112</v>
      </c>
      <c r="J184" s="67">
        <f t="shared" si="151"/>
        <v>0</v>
      </c>
      <c r="K184" s="67">
        <f t="shared" si="151"/>
        <v>0</v>
      </c>
      <c r="L184" s="67">
        <f t="shared" si="151"/>
        <v>0</v>
      </c>
      <c r="M184" s="67">
        <f t="shared" si="151"/>
        <v>0</v>
      </c>
      <c r="N184" s="67">
        <f t="shared" si="151"/>
        <v>0</v>
      </c>
      <c r="O184" s="67">
        <v>0</v>
      </c>
      <c r="P184" s="326">
        <f t="shared" si="140"/>
        <v>63986570.45777373</v>
      </c>
      <c r="Q184" s="2"/>
      <c r="S184" s="2"/>
    </row>
    <row r="185" spans="1:19" ht="14" thickBot="1" x14ac:dyDescent="0.2">
      <c r="B185" s="341">
        <v>21</v>
      </c>
      <c r="C185" s="201" t="s">
        <v>317</v>
      </c>
      <c r="D185" s="327">
        <f>D184</f>
        <v>-92550000</v>
      </c>
      <c r="E185" s="327">
        <f>E184+D185</f>
        <v>-49060652.173913039</v>
      </c>
      <c r="F185" s="327">
        <f t="shared" ref="F185:N185" si="152">F184+E185</f>
        <v>-15636990.548204131</v>
      </c>
      <c r="G185" s="327">
        <f t="shared" si="152"/>
        <v>7666826.060080573</v>
      </c>
      <c r="H185" s="327">
        <f t="shared" si="152"/>
        <v>22024325.758832619</v>
      </c>
      <c r="I185" s="327">
        <f t="shared" si="152"/>
        <v>63986570.45777373</v>
      </c>
      <c r="J185" s="327">
        <f t="shared" si="152"/>
        <v>63986570.45777373</v>
      </c>
      <c r="K185" s="327">
        <f t="shared" si="152"/>
        <v>63986570.45777373</v>
      </c>
      <c r="L185" s="327">
        <f t="shared" si="152"/>
        <v>63986570.45777373</v>
      </c>
      <c r="M185" s="327">
        <f t="shared" si="152"/>
        <v>63986570.45777373</v>
      </c>
      <c r="N185" s="327">
        <f t="shared" si="152"/>
        <v>63986570.45777373</v>
      </c>
      <c r="O185" s="327">
        <v>0</v>
      </c>
      <c r="P185" s="326">
        <f t="shared" si="140"/>
        <v>256362931.84343839</v>
      </c>
      <c r="Q185" s="2"/>
      <c r="S185" s="2"/>
    </row>
    <row r="186" spans="1:19" x14ac:dyDescent="0.15">
      <c r="S186" s="2"/>
    </row>
    <row r="187" spans="1:19" ht="14" thickBot="1" x14ac:dyDescent="0.2">
      <c r="S187" s="2"/>
    </row>
    <row r="188" spans="1:19" ht="14" thickBot="1" x14ac:dyDescent="0.2">
      <c r="B188" s="359" t="s">
        <v>282</v>
      </c>
      <c r="C188" s="360" t="s">
        <v>283</v>
      </c>
      <c r="D188" s="360"/>
      <c r="E188" s="360">
        <v>1</v>
      </c>
      <c r="F188" s="360">
        <v>2</v>
      </c>
      <c r="G188" s="360">
        <v>3</v>
      </c>
      <c r="H188" s="360">
        <v>4</v>
      </c>
      <c r="I188" s="360">
        <v>5</v>
      </c>
      <c r="J188" s="360">
        <v>6</v>
      </c>
      <c r="K188" s="360">
        <v>7</v>
      </c>
      <c r="L188" s="360">
        <v>8</v>
      </c>
      <c r="M188" s="360">
        <v>9</v>
      </c>
      <c r="N188" s="360">
        <v>10</v>
      </c>
      <c r="O188" s="360" t="s">
        <v>284</v>
      </c>
      <c r="P188" s="361" t="s">
        <v>285</v>
      </c>
      <c r="S188" s="2"/>
    </row>
    <row r="189" spans="1:19" x14ac:dyDescent="0.15">
      <c r="B189" s="339" t="s">
        <v>687</v>
      </c>
      <c r="C189" s="302" t="s">
        <v>287</v>
      </c>
      <c r="D189" s="322">
        <f t="shared" ref="D189:D204" si="153">D158</f>
        <v>0</v>
      </c>
      <c r="E189" s="322">
        <f t="shared" ref="E189:N189" si="154">E158</f>
        <v>300000000</v>
      </c>
      <c r="F189" s="322">
        <f t="shared" si="154"/>
        <v>313500000.00000006</v>
      </c>
      <c r="G189" s="322">
        <f t="shared" si="154"/>
        <v>327607500.00000006</v>
      </c>
      <c r="H189" s="322">
        <f t="shared" si="154"/>
        <v>342349837.50000012</v>
      </c>
      <c r="I189" s="322">
        <f t="shared" si="154"/>
        <v>357755580.18750012</v>
      </c>
      <c r="J189" s="322">
        <f t="shared" si="154"/>
        <v>0</v>
      </c>
      <c r="K189" s="322">
        <f t="shared" si="154"/>
        <v>0</v>
      </c>
      <c r="L189" s="322">
        <f t="shared" si="154"/>
        <v>0</v>
      </c>
      <c r="M189" s="322">
        <f t="shared" si="154"/>
        <v>0</v>
      </c>
      <c r="N189" s="322">
        <f t="shared" si="154"/>
        <v>0</v>
      </c>
      <c r="O189" s="322">
        <v>0</v>
      </c>
      <c r="P189" s="325">
        <f>SUM(D189:N189)</f>
        <v>1641212917.6875</v>
      </c>
      <c r="Q189" s="2"/>
      <c r="S189" s="2"/>
    </row>
    <row r="190" spans="1:19" x14ac:dyDescent="0.15">
      <c r="A190" s="1" t="s">
        <v>709</v>
      </c>
      <c r="B190" s="340" t="s">
        <v>689</v>
      </c>
      <c r="C190" s="354" t="s">
        <v>689</v>
      </c>
      <c r="D190" s="67">
        <f t="shared" si="153"/>
        <v>0</v>
      </c>
      <c r="E190" s="67">
        <f>E159</f>
        <v>300000000</v>
      </c>
      <c r="F190" s="67">
        <f t="shared" ref="F190:N190" si="155">F159</f>
        <v>313500000.00000006</v>
      </c>
      <c r="G190" s="67">
        <f t="shared" si="155"/>
        <v>327607500.00000006</v>
      </c>
      <c r="H190" s="67">
        <f t="shared" si="155"/>
        <v>342349837.50000012</v>
      </c>
      <c r="I190" s="67">
        <f t="shared" si="155"/>
        <v>357755580.18750012</v>
      </c>
      <c r="J190" s="67">
        <f t="shared" si="155"/>
        <v>0</v>
      </c>
      <c r="K190" s="67">
        <f t="shared" si="155"/>
        <v>0</v>
      </c>
      <c r="L190" s="67">
        <f t="shared" si="155"/>
        <v>0</v>
      </c>
      <c r="M190" s="67">
        <f t="shared" si="155"/>
        <v>0</v>
      </c>
      <c r="N190" s="67">
        <f t="shared" si="155"/>
        <v>0</v>
      </c>
      <c r="O190" s="67"/>
      <c r="P190" s="326">
        <f>SUM(D190:N190)</f>
        <v>1641212917.6875</v>
      </c>
      <c r="Q190" s="2"/>
      <c r="S190" s="2"/>
    </row>
    <row r="191" spans="1:19" x14ac:dyDescent="0.15">
      <c r="B191" s="340" t="s">
        <v>690</v>
      </c>
      <c r="C191" s="354" t="s">
        <v>690</v>
      </c>
      <c r="D191" s="67">
        <f t="shared" si="153"/>
        <v>0</v>
      </c>
      <c r="E191" s="67">
        <f>E160</f>
        <v>0</v>
      </c>
      <c r="F191" s="67">
        <f t="shared" ref="F191:N191" si="156">F160</f>
        <v>0</v>
      </c>
      <c r="G191" s="67">
        <f t="shared" si="156"/>
        <v>0</v>
      </c>
      <c r="H191" s="67">
        <f t="shared" si="156"/>
        <v>0</v>
      </c>
      <c r="I191" s="67">
        <f t="shared" si="156"/>
        <v>0</v>
      </c>
      <c r="J191" s="67">
        <f t="shared" si="156"/>
        <v>0</v>
      </c>
      <c r="K191" s="67">
        <f t="shared" si="156"/>
        <v>0</v>
      </c>
      <c r="L191" s="67">
        <f t="shared" si="156"/>
        <v>0</v>
      </c>
      <c r="M191" s="67">
        <f t="shared" si="156"/>
        <v>0</v>
      </c>
      <c r="N191" s="67">
        <f t="shared" si="156"/>
        <v>0</v>
      </c>
      <c r="O191" s="294"/>
      <c r="P191" s="326">
        <f>SUM(D191:N191)</f>
        <v>0</v>
      </c>
      <c r="Q191" s="2"/>
      <c r="S191" s="2"/>
    </row>
    <row r="192" spans="1:19" x14ac:dyDescent="0.15">
      <c r="B192" s="355" t="s">
        <v>691</v>
      </c>
      <c r="C192" s="362" t="s">
        <v>691</v>
      </c>
      <c r="D192" s="331">
        <f t="shared" si="153"/>
        <v>0</v>
      </c>
      <c r="E192" s="331">
        <f>E161*1.05</f>
        <v>0</v>
      </c>
      <c r="F192" s="331">
        <f t="shared" ref="F192:N192" si="157">F161*1.05</f>
        <v>0</v>
      </c>
      <c r="G192" s="331">
        <f t="shared" si="157"/>
        <v>0</v>
      </c>
      <c r="H192" s="331">
        <f t="shared" si="157"/>
        <v>0</v>
      </c>
      <c r="I192" s="331">
        <f t="shared" si="157"/>
        <v>0</v>
      </c>
      <c r="J192" s="331">
        <f t="shared" si="157"/>
        <v>0</v>
      </c>
      <c r="K192" s="331">
        <f t="shared" si="157"/>
        <v>0</v>
      </c>
      <c r="L192" s="331">
        <f t="shared" si="157"/>
        <v>0</v>
      </c>
      <c r="M192" s="331">
        <f t="shared" si="157"/>
        <v>0</v>
      </c>
      <c r="N192" s="331">
        <f t="shared" si="157"/>
        <v>0</v>
      </c>
      <c r="O192" s="331"/>
      <c r="P192" s="356">
        <f>SUM(D192:N192)</f>
        <v>0</v>
      </c>
      <c r="Q192" s="460"/>
      <c r="S192" s="2"/>
    </row>
    <row r="193" spans="2:19" x14ac:dyDescent="0.15">
      <c r="B193" s="340" t="s">
        <v>695</v>
      </c>
      <c r="C193" s="12"/>
      <c r="D193" s="67">
        <f t="shared" si="153"/>
        <v>0</v>
      </c>
      <c r="E193" s="67">
        <f>E192+E191+E190</f>
        <v>300000000</v>
      </c>
      <c r="F193" s="67">
        <f t="shared" ref="F193:N193" si="158">F192+F191+F190</f>
        <v>313500000.00000006</v>
      </c>
      <c r="G193" s="67">
        <f t="shared" si="158"/>
        <v>327607500.00000006</v>
      </c>
      <c r="H193" s="67">
        <f t="shared" si="158"/>
        <v>342349837.50000012</v>
      </c>
      <c r="I193" s="67">
        <f t="shared" si="158"/>
        <v>357755580.18750012</v>
      </c>
      <c r="J193" s="67">
        <f t="shared" si="158"/>
        <v>0</v>
      </c>
      <c r="K193" s="67">
        <f t="shared" si="158"/>
        <v>0</v>
      </c>
      <c r="L193" s="67">
        <f t="shared" si="158"/>
        <v>0</v>
      </c>
      <c r="M193" s="67">
        <f t="shared" si="158"/>
        <v>0</v>
      </c>
      <c r="N193" s="67">
        <f t="shared" si="158"/>
        <v>0</v>
      </c>
      <c r="O193" s="67"/>
      <c r="P193" s="326">
        <f>SUM(D193:N193)</f>
        <v>1641212917.6875</v>
      </c>
      <c r="Q193" s="2"/>
      <c r="S193" s="2"/>
    </row>
    <row r="194" spans="2:19" x14ac:dyDescent="0.15">
      <c r="B194" s="340" t="s">
        <v>696</v>
      </c>
      <c r="C194" s="12" t="s">
        <v>289</v>
      </c>
      <c r="D194" s="67">
        <f t="shared" si="153"/>
        <v>0</v>
      </c>
      <c r="E194" s="67">
        <f t="shared" ref="E194:N194" si="159">E163</f>
        <v>230170000</v>
      </c>
      <c r="F194" s="67">
        <f t="shared" si="159"/>
        <v>253018375.00000003</v>
      </c>
      <c r="G194" s="67">
        <f t="shared" si="159"/>
        <v>278725718.45125008</v>
      </c>
      <c r="H194" s="67">
        <f t="shared" si="159"/>
        <v>307665975.06072807</v>
      </c>
      <c r="I194" s="67">
        <f t="shared" si="159"/>
        <v>340262566.36057305</v>
      </c>
      <c r="J194" s="67">
        <f t="shared" si="159"/>
        <v>0</v>
      </c>
      <c r="K194" s="67">
        <f t="shared" si="159"/>
        <v>0</v>
      </c>
      <c r="L194" s="67">
        <f t="shared" si="159"/>
        <v>0</v>
      </c>
      <c r="M194" s="67">
        <f t="shared" si="159"/>
        <v>0</v>
      </c>
      <c r="N194" s="67">
        <f t="shared" si="159"/>
        <v>0</v>
      </c>
      <c r="O194" s="67">
        <v>0</v>
      </c>
      <c r="P194" s="326">
        <f t="shared" ref="P194:P212" si="160">SUM(D194:N194)</f>
        <v>1409842634.8725512</v>
      </c>
      <c r="Q194" s="2"/>
      <c r="S194" s="2"/>
    </row>
    <row r="195" spans="2:19" x14ac:dyDescent="0.15">
      <c r="B195" s="340">
        <v>3</v>
      </c>
      <c r="C195" s="12" t="s">
        <v>290</v>
      </c>
      <c r="D195" s="67">
        <f t="shared" si="153"/>
        <v>0</v>
      </c>
      <c r="E195" s="67">
        <f>E193-E194</f>
        <v>69830000</v>
      </c>
      <c r="F195" s="67">
        <f t="shared" ref="F195:N195" si="161">F193-F194</f>
        <v>60481625.00000003</v>
      </c>
      <c r="G195" s="67">
        <f t="shared" si="161"/>
        <v>48881781.548749983</v>
      </c>
      <c r="H195" s="67">
        <f t="shared" si="161"/>
        <v>34683862.439272046</v>
      </c>
      <c r="I195" s="67">
        <f t="shared" si="161"/>
        <v>17493013.826927066</v>
      </c>
      <c r="J195" s="67">
        <f t="shared" si="161"/>
        <v>0</v>
      </c>
      <c r="K195" s="67">
        <f t="shared" si="161"/>
        <v>0</v>
      </c>
      <c r="L195" s="67">
        <f t="shared" si="161"/>
        <v>0</v>
      </c>
      <c r="M195" s="67">
        <f t="shared" si="161"/>
        <v>0</v>
      </c>
      <c r="N195" s="67">
        <f t="shared" si="161"/>
        <v>0</v>
      </c>
      <c r="O195" s="67">
        <v>0</v>
      </c>
      <c r="P195" s="326">
        <f t="shared" si="160"/>
        <v>231370282.81494913</v>
      </c>
      <c r="Q195" s="2"/>
      <c r="S195" s="2"/>
    </row>
    <row r="196" spans="2:19" x14ac:dyDescent="0.15">
      <c r="B196" s="340" t="s">
        <v>697</v>
      </c>
      <c r="C196" s="12" t="s">
        <v>292</v>
      </c>
      <c r="D196" s="67">
        <f t="shared" si="153"/>
        <v>0</v>
      </c>
      <c r="E196" s="67">
        <f>E165</f>
        <v>3772500</v>
      </c>
      <c r="F196" s="67">
        <f t="shared" ref="F196:N196" si="162">F165</f>
        <v>6218850</v>
      </c>
      <c r="G196" s="67">
        <f t="shared" si="162"/>
        <v>4083150</v>
      </c>
      <c r="H196" s="67">
        <f t="shared" si="162"/>
        <v>2775510</v>
      </c>
      <c r="I196" s="67">
        <f t="shared" si="162"/>
        <v>1352955</v>
      </c>
      <c r="J196" s="67">
        <f t="shared" si="162"/>
        <v>0</v>
      </c>
      <c r="K196" s="67">
        <f t="shared" si="162"/>
        <v>0</v>
      </c>
      <c r="L196" s="67">
        <f t="shared" si="162"/>
        <v>0</v>
      </c>
      <c r="M196" s="67">
        <f t="shared" si="162"/>
        <v>0</v>
      </c>
      <c r="N196" s="67">
        <f t="shared" si="162"/>
        <v>0</v>
      </c>
      <c r="O196" s="67">
        <v>0</v>
      </c>
      <c r="P196" s="326">
        <f t="shared" si="160"/>
        <v>18202965</v>
      </c>
      <c r="Q196" s="2"/>
      <c r="S196" s="2"/>
    </row>
    <row r="197" spans="2:19" x14ac:dyDescent="0.15">
      <c r="B197" s="340">
        <v>5</v>
      </c>
      <c r="C197" s="12" t="s">
        <v>293</v>
      </c>
      <c r="D197" s="67">
        <f t="shared" si="153"/>
        <v>0</v>
      </c>
      <c r="E197" s="67">
        <f>E195-E196</f>
        <v>66057500</v>
      </c>
      <c r="F197" s="67">
        <f t="shared" ref="F197:N197" si="163">F195-F196</f>
        <v>54262775.00000003</v>
      </c>
      <c r="G197" s="67">
        <f t="shared" si="163"/>
        <v>44798631.548749983</v>
      </c>
      <c r="H197" s="67">
        <f t="shared" si="163"/>
        <v>31908352.439272046</v>
      </c>
      <c r="I197" s="67">
        <f t="shared" si="163"/>
        <v>16140058.826927066</v>
      </c>
      <c r="J197" s="67">
        <f t="shared" si="163"/>
        <v>0</v>
      </c>
      <c r="K197" s="67">
        <f t="shared" si="163"/>
        <v>0</v>
      </c>
      <c r="L197" s="67">
        <f t="shared" si="163"/>
        <v>0</v>
      </c>
      <c r="M197" s="67">
        <f t="shared" si="163"/>
        <v>0</v>
      </c>
      <c r="N197" s="67">
        <f t="shared" si="163"/>
        <v>0</v>
      </c>
      <c r="O197" s="67">
        <v>0</v>
      </c>
      <c r="P197" s="326">
        <f t="shared" si="160"/>
        <v>213167317.81494913</v>
      </c>
      <c r="Q197" s="2"/>
      <c r="S197" s="2"/>
    </row>
    <row r="198" spans="2:19" x14ac:dyDescent="0.15">
      <c r="B198" s="340" t="s">
        <v>698</v>
      </c>
      <c r="C198" s="12" t="s">
        <v>295</v>
      </c>
      <c r="D198" s="67">
        <f t="shared" si="153"/>
        <v>0</v>
      </c>
      <c r="E198" s="67">
        <f>E167</f>
        <v>0</v>
      </c>
      <c r="F198" s="67">
        <f t="shared" ref="F198:N198" si="164">F167</f>
        <v>0</v>
      </c>
      <c r="G198" s="67">
        <f t="shared" si="164"/>
        <v>0</v>
      </c>
      <c r="H198" s="67">
        <f t="shared" si="164"/>
        <v>0</v>
      </c>
      <c r="I198" s="67">
        <f t="shared" si="164"/>
        <v>0</v>
      </c>
      <c r="J198" s="67">
        <f t="shared" si="164"/>
        <v>0</v>
      </c>
      <c r="K198" s="67">
        <f t="shared" si="164"/>
        <v>0</v>
      </c>
      <c r="L198" s="67">
        <f t="shared" si="164"/>
        <v>0</v>
      </c>
      <c r="M198" s="67">
        <f t="shared" si="164"/>
        <v>0</v>
      </c>
      <c r="N198" s="67">
        <f t="shared" si="164"/>
        <v>0</v>
      </c>
      <c r="O198" s="67">
        <v>0</v>
      </c>
      <c r="P198" s="326">
        <f t="shared" si="160"/>
        <v>0</v>
      </c>
      <c r="Q198" s="2"/>
      <c r="S198" s="2"/>
    </row>
    <row r="199" spans="2:19" x14ac:dyDescent="0.15">
      <c r="B199" s="340">
        <v>7</v>
      </c>
      <c r="C199" s="12" t="s">
        <v>296</v>
      </c>
      <c r="D199" s="67">
        <f t="shared" si="153"/>
        <v>0</v>
      </c>
      <c r="E199" s="67">
        <f>E197-E198</f>
        <v>66057500</v>
      </c>
      <c r="F199" s="67">
        <f t="shared" ref="F199:N199" si="165">F197-F198</f>
        <v>54262775.00000003</v>
      </c>
      <c r="G199" s="67">
        <f t="shared" si="165"/>
        <v>44798631.548749983</v>
      </c>
      <c r="H199" s="67">
        <f t="shared" si="165"/>
        <v>31908352.439272046</v>
      </c>
      <c r="I199" s="67">
        <f t="shared" si="165"/>
        <v>16140058.826927066</v>
      </c>
      <c r="J199" s="67">
        <f t="shared" si="165"/>
        <v>0</v>
      </c>
      <c r="K199" s="67">
        <f t="shared" si="165"/>
        <v>0</v>
      </c>
      <c r="L199" s="67">
        <f t="shared" si="165"/>
        <v>0</v>
      </c>
      <c r="M199" s="67">
        <f t="shared" si="165"/>
        <v>0</v>
      </c>
      <c r="N199" s="67">
        <f t="shared" si="165"/>
        <v>0</v>
      </c>
      <c r="O199" s="67">
        <v>0</v>
      </c>
      <c r="P199" s="326">
        <f t="shared" si="160"/>
        <v>213167317.81494913</v>
      </c>
      <c r="Q199" s="2"/>
      <c r="S199" s="2"/>
    </row>
    <row r="200" spans="2:19" x14ac:dyDescent="0.15">
      <c r="B200" s="340">
        <v>8</v>
      </c>
      <c r="C200" s="12" t="s">
        <v>297</v>
      </c>
      <c r="D200" s="67">
        <f t="shared" si="153"/>
        <v>0</v>
      </c>
      <c r="E200" s="67">
        <f>-E199*$D$3</f>
        <v>-19817250</v>
      </c>
      <c r="F200" s="67">
        <f t="shared" ref="F200:N200" si="166">-F199*$D$3</f>
        <v>-16278832.500000007</v>
      </c>
      <c r="G200" s="67">
        <f t="shared" si="166"/>
        <v>-13439589.464624995</v>
      </c>
      <c r="H200" s="67">
        <f t="shared" si="166"/>
        <v>-9572505.7317816131</v>
      </c>
      <c r="I200" s="67">
        <f t="shared" si="166"/>
        <v>-4842017.6480781194</v>
      </c>
      <c r="J200" s="67">
        <f t="shared" si="166"/>
        <v>0</v>
      </c>
      <c r="K200" s="67">
        <f t="shared" si="166"/>
        <v>0</v>
      </c>
      <c r="L200" s="67">
        <f t="shared" si="166"/>
        <v>0</v>
      </c>
      <c r="M200" s="67">
        <f t="shared" si="166"/>
        <v>0</v>
      </c>
      <c r="N200" s="67">
        <f t="shared" si="166"/>
        <v>0</v>
      </c>
      <c r="O200" s="67">
        <v>0</v>
      </c>
      <c r="P200" s="326">
        <f t="shared" si="160"/>
        <v>-63950195.344484739</v>
      </c>
      <c r="Q200" s="2"/>
      <c r="S200" s="2"/>
    </row>
    <row r="201" spans="2:19" x14ac:dyDescent="0.15">
      <c r="B201" s="340">
        <v>9</v>
      </c>
      <c r="C201" s="12" t="s">
        <v>298</v>
      </c>
      <c r="D201" s="67">
        <f t="shared" si="153"/>
        <v>0</v>
      </c>
      <c r="E201" s="67">
        <f>E170</f>
        <v>0</v>
      </c>
      <c r="F201" s="67">
        <f t="shared" ref="F201:N201" si="167">F170</f>
        <v>0</v>
      </c>
      <c r="G201" s="67">
        <f t="shared" si="167"/>
        <v>0</v>
      </c>
      <c r="H201" s="67">
        <f t="shared" si="167"/>
        <v>0</v>
      </c>
      <c r="I201" s="67">
        <f t="shared" si="167"/>
        <v>0</v>
      </c>
      <c r="J201" s="67">
        <f t="shared" si="167"/>
        <v>0</v>
      </c>
      <c r="K201" s="67">
        <f t="shared" si="167"/>
        <v>0</v>
      </c>
      <c r="L201" s="67">
        <f t="shared" si="167"/>
        <v>0</v>
      </c>
      <c r="M201" s="67">
        <f t="shared" si="167"/>
        <v>0</v>
      </c>
      <c r="N201" s="67">
        <f t="shared" si="167"/>
        <v>0</v>
      </c>
      <c r="O201" s="67">
        <v>0</v>
      </c>
      <c r="P201" s="326">
        <f t="shared" si="160"/>
        <v>0</v>
      </c>
      <c r="Q201" s="2"/>
      <c r="S201" s="2"/>
    </row>
    <row r="202" spans="2:19" x14ac:dyDescent="0.15">
      <c r="B202" s="340">
        <v>10</v>
      </c>
      <c r="C202" s="12" t="s">
        <v>299</v>
      </c>
      <c r="D202" s="67">
        <f t="shared" si="153"/>
        <v>0</v>
      </c>
      <c r="E202" s="67">
        <f>E199+E200+E201</f>
        <v>46240250</v>
      </c>
      <c r="F202" s="67">
        <f t="shared" ref="F202:N202" si="168">F199+F200+F201</f>
        <v>37983942.500000022</v>
      </c>
      <c r="G202" s="67">
        <f t="shared" si="168"/>
        <v>31359042.08412499</v>
      </c>
      <c r="H202" s="67">
        <f t="shared" si="168"/>
        <v>22335846.707490433</v>
      </c>
      <c r="I202" s="67">
        <f t="shared" si="168"/>
        <v>11298041.178848946</v>
      </c>
      <c r="J202" s="67">
        <f t="shared" si="168"/>
        <v>0</v>
      </c>
      <c r="K202" s="67">
        <f t="shared" si="168"/>
        <v>0</v>
      </c>
      <c r="L202" s="67">
        <f t="shared" si="168"/>
        <v>0</v>
      </c>
      <c r="M202" s="67">
        <f t="shared" si="168"/>
        <v>0</v>
      </c>
      <c r="N202" s="67">
        <f t="shared" si="168"/>
        <v>0</v>
      </c>
      <c r="O202" s="67">
        <v>0</v>
      </c>
      <c r="P202" s="326">
        <f t="shared" si="160"/>
        <v>149217122.47046441</v>
      </c>
      <c r="Q202" s="2"/>
      <c r="S202" s="2"/>
    </row>
    <row r="203" spans="2:19" x14ac:dyDescent="0.15">
      <c r="B203" s="340" t="s">
        <v>699</v>
      </c>
      <c r="C203" s="12" t="s">
        <v>292</v>
      </c>
      <c r="D203" s="67">
        <f t="shared" si="153"/>
        <v>0</v>
      </c>
      <c r="E203" s="67">
        <f>E172</f>
        <v>3772500</v>
      </c>
      <c r="F203" s="67">
        <f t="shared" ref="F203:N203" si="169">F172</f>
        <v>6218850</v>
      </c>
      <c r="G203" s="67">
        <f t="shared" si="169"/>
        <v>4083150</v>
      </c>
      <c r="H203" s="67">
        <f t="shared" si="169"/>
        <v>2775510</v>
      </c>
      <c r="I203" s="67">
        <f t="shared" si="169"/>
        <v>1352955</v>
      </c>
      <c r="J203" s="67">
        <f t="shared" si="169"/>
        <v>0</v>
      </c>
      <c r="K203" s="67">
        <f t="shared" si="169"/>
        <v>0</v>
      </c>
      <c r="L203" s="67">
        <f t="shared" si="169"/>
        <v>0</v>
      </c>
      <c r="M203" s="67">
        <f t="shared" si="169"/>
        <v>0</v>
      </c>
      <c r="N203" s="67">
        <f t="shared" si="169"/>
        <v>0</v>
      </c>
      <c r="O203" s="67">
        <v>0</v>
      </c>
      <c r="P203" s="326">
        <f t="shared" si="160"/>
        <v>18202965</v>
      </c>
      <c r="Q203" s="2"/>
      <c r="S203" s="2"/>
    </row>
    <row r="204" spans="2:19" x14ac:dyDescent="0.15">
      <c r="B204" s="340">
        <v>12</v>
      </c>
      <c r="C204" s="12" t="s">
        <v>301</v>
      </c>
      <c r="D204" s="67">
        <f t="shared" si="153"/>
        <v>0</v>
      </c>
      <c r="E204" s="67">
        <f>E202+E203</f>
        <v>50012750</v>
      </c>
      <c r="F204" s="67">
        <f t="shared" ref="F204:N204" si="170">F202+F203</f>
        <v>44202792.500000022</v>
      </c>
      <c r="G204" s="67">
        <f t="shared" si="170"/>
        <v>35442192.08412499</v>
      </c>
      <c r="H204" s="67">
        <f t="shared" si="170"/>
        <v>25111356.707490433</v>
      </c>
      <c r="I204" s="67">
        <f t="shared" si="170"/>
        <v>12650996.178848946</v>
      </c>
      <c r="J204" s="67">
        <f t="shared" si="170"/>
        <v>0</v>
      </c>
      <c r="K204" s="67">
        <f t="shared" si="170"/>
        <v>0</v>
      </c>
      <c r="L204" s="67">
        <f t="shared" si="170"/>
        <v>0</v>
      </c>
      <c r="M204" s="67">
        <f t="shared" si="170"/>
        <v>0</v>
      </c>
      <c r="N204" s="67">
        <f t="shared" si="170"/>
        <v>0</v>
      </c>
      <c r="O204" s="67">
        <v>0</v>
      </c>
      <c r="P204" s="326">
        <f t="shared" si="160"/>
        <v>167420087.47046441</v>
      </c>
      <c r="Q204" s="2"/>
      <c r="S204" s="2"/>
    </row>
    <row r="205" spans="2:19" x14ac:dyDescent="0.15">
      <c r="B205" s="340" t="s">
        <v>700</v>
      </c>
      <c r="C205" s="12" t="s">
        <v>303</v>
      </c>
      <c r="D205" s="67">
        <v>0</v>
      </c>
      <c r="E205" s="67">
        <f t="shared" ref="E205:N205" si="171">E174</f>
        <v>0</v>
      </c>
      <c r="F205" s="67">
        <f t="shared" si="171"/>
        <v>0</v>
      </c>
      <c r="G205" s="67">
        <f t="shared" si="171"/>
        <v>0</v>
      </c>
      <c r="H205" s="67">
        <f t="shared" si="171"/>
        <v>0</v>
      </c>
      <c r="I205" s="67">
        <f t="shared" si="171"/>
        <v>0</v>
      </c>
      <c r="J205" s="67">
        <f t="shared" si="171"/>
        <v>0</v>
      </c>
      <c r="K205" s="67">
        <f t="shared" si="171"/>
        <v>0</v>
      </c>
      <c r="L205" s="67">
        <f t="shared" si="171"/>
        <v>0</v>
      </c>
      <c r="M205" s="67">
        <f t="shared" si="171"/>
        <v>0</v>
      </c>
      <c r="N205" s="67">
        <f t="shared" si="171"/>
        <v>0</v>
      </c>
      <c r="O205" s="67">
        <v>0</v>
      </c>
      <c r="P205" s="326">
        <f t="shared" si="160"/>
        <v>0</v>
      </c>
      <c r="Q205" s="2"/>
      <c r="S205" s="2"/>
    </row>
    <row r="206" spans="2:19" x14ac:dyDescent="0.15">
      <c r="B206" s="340">
        <v>14</v>
      </c>
      <c r="C206" s="12" t="s">
        <v>304</v>
      </c>
      <c r="D206" s="67">
        <f t="shared" ref="D206:N212" si="172">D175</f>
        <v>-32550000</v>
      </c>
      <c r="E206" s="67">
        <f t="shared" si="172"/>
        <v>0</v>
      </c>
      <c r="F206" s="67">
        <f t="shared" si="172"/>
        <v>0</v>
      </c>
      <c r="G206" s="67">
        <f t="shared" si="172"/>
        <v>0</v>
      </c>
      <c r="H206" s="67">
        <f t="shared" si="172"/>
        <v>0</v>
      </c>
      <c r="I206" s="67">
        <f t="shared" si="172"/>
        <v>14347035</v>
      </c>
      <c r="J206" s="67">
        <f t="shared" si="172"/>
        <v>0</v>
      </c>
      <c r="K206" s="67">
        <f t="shared" si="172"/>
        <v>0</v>
      </c>
      <c r="L206" s="67">
        <f t="shared" si="172"/>
        <v>0</v>
      </c>
      <c r="M206" s="67">
        <f t="shared" si="172"/>
        <v>0</v>
      </c>
      <c r="N206" s="67">
        <f t="shared" si="172"/>
        <v>0</v>
      </c>
      <c r="O206" s="67">
        <v>0</v>
      </c>
      <c r="P206" s="326">
        <f t="shared" si="160"/>
        <v>-18202965</v>
      </c>
      <c r="Q206" s="2"/>
      <c r="S206" s="2"/>
    </row>
    <row r="207" spans="2:19" x14ac:dyDescent="0.15">
      <c r="B207" s="340" t="s">
        <v>701</v>
      </c>
      <c r="C207" s="12" t="s">
        <v>207</v>
      </c>
      <c r="D207" s="67">
        <f t="shared" si="172"/>
        <v>-31050000</v>
      </c>
      <c r="E207" s="67">
        <f t="shared" si="172"/>
        <v>0</v>
      </c>
      <c r="F207" s="67">
        <f t="shared" si="172"/>
        <v>0</v>
      </c>
      <c r="G207" s="67">
        <f t="shared" si="172"/>
        <v>0</v>
      </c>
      <c r="H207" s="67">
        <f t="shared" si="172"/>
        <v>0</v>
      </c>
      <c r="I207" s="67">
        <f t="shared" si="172"/>
        <v>12847035</v>
      </c>
      <c r="J207" s="67">
        <f t="shared" si="172"/>
        <v>0</v>
      </c>
      <c r="K207" s="67">
        <f t="shared" si="172"/>
        <v>0</v>
      </c>
      <c r="L207" s="67">
        <f t="shared" si="172"/>
        <v>0</v>
      </c>
      <c r="M207" s="67">
        <f t="shared" si="172"/>
        <v>0</v>
      </c>
      <c r="N207" s="67">
        <f t="shared" si="172"/>
        <v>0</v>
      </c>
      <c r="O207" s="67">
        <v>0</v>
      </c>
      <c r="P207" s="326">
        <f t="shared" si="160"/>
        <v>-18202965</v>
      </c>
      <c r="Q207" s="2"/>
      <c r="S207" s="2"/>
    </row>
    <row r="208" spans="2:19" x14ac:dyDescent="0.15">
      <c r="B208" s="340" t="s">
        <v>702</v>
      </c>
      <c r="C208" s="12" t="s">
        <v>307</v>
      </c>
      <c r="D208" s="67">
        <f t="shared" si="172"/>
        <v>-1500000</v>
      </c>
      <c r="E208" s="67">
        <f t="shared" si="172"/>
        <v>0</v>
      </c>
      <c r="F208" s="67">
        <f t="shared" si="172"/>
        <v>0</v>
      </c>
      <c r="G208" s="67">
        <f t="shared" si="172"/>
        <v>0</v>
      </c>
      <c r="H208" s="67">
        <f t="shared" si="172"/>
        <v>0</v>
      </c>
      <c r="I208" s="67">
        <f t="shared" si="172"/>
        <v>1500000</v>
      </c>
      <c r="J208" s="67">
        <f t="shared" si="172"/>
        <v>0</v>
      </c>
      <c r="K208" s="67">
        <f t="shared" si="172"/>
        <v>0</v>
      </c>
      <c r="L208" s="67">
        <f t="shared" si="172"/>
        <v>0</v>
      </c>
      <c r="M208" s="67">
        <f t="shared" si="172"/>
        <v>0</v>
      </c>
      <c r="N208" s="67">
        <f t="shared" si="172"/>
        <v>0</v>
      </c>
      <c r="O208" s="67">
        <v>0</v>
      </c>
      <c r="P208" s="326">
        <f t="shared" si="160"/>
        <v>0</v>
      </c>
      <c r="Q208" s="2"/>
      <c r="S208" s="2"/>
    </row>
    <row r="209" spans="1:19" x14ac:dyDescent="0.15">
      <c r="B209" s="340" t="s">
        <v>703</v>
      </c>
      <c r="C209" s="12" t="s">
        <v>309</v>
      </c>
      <c r="D209" s="67">
        <f t="shared" si="172"/>
        <v>0</v>
      </c>
      <c r="E209" s="67">
        <f t="shared" si="172"/>
        <v>0</v>
      </c>
      <c r="F209" s="67">
        <f t="shared" si="172"/>
        <v>0</v>
      </c>
      <c r="G209" s="67">
        <f t="shared" si="172"/>
        <v>0</v>
      </c>
      <c r="H209" s="67">
        <f t="shared" si="172"/>
        <v>0</v>
      </c>
      <c r="I209" s="67">
        <f t="shared" si="172"/>
        <v>0</v>
      </c>
      <c r="J209" s="67">
        <f t="shared" si="172"/>
        <v>0</v>
      </c>
      <c r="K209" s="67">
        <f t="shared" si="172"/>
        <v>0</v>
      </c>
      <c r="L209" s="67">
        <f t="shared" si="172"/>
        <v>0</v>
      </c>
      <c r="M209" s="67">
        <f t="shared" si="172"/>
        <v>0</v>
      </c>
      <c r="N209" s="67">
        <f t="shared" si="172"/>
        <v>0</v>
      </c>
      <c r="O209" s="67">
        <v>0</v>
      </c>
      <c r="P209" s="326">
        <f t="shared" si="160"/>
        <v>0</v>
      </c>
      <c r="Q209" s="2"/>
      <c r="S209" s="2"/>
    </row>
    <row r="210" spans="1:19" x14ac:dyDescent="0.15">
      <c r="B210" s="340" t="s">
        <v>704</v>
      </c>
      <c r="C210" s="12" t="s">
        <v>311</v>
      </c>
      <c r="D210" s="67">
        <f t="shared" si="172"/>
        <v>0</v>
      </c>
      <c r="E210" s="67">
        <f t="shared" si="172"/>
        <v>0</v>
      </c>
      <c r="F210" s="67">
        <f t="shared" si="172"/>
        <v>0</v>
      </c>
      <c r="G210" s="67">
        <f t="shared" si="172"/>
        <v>0</v>
      </c>
      <c r="H210" s="67">
        <f t="shared" si="172"/>
        <v>0</v>
      </c>
      <c r="I210" s="67">
        <f t="shared" si="172"/>
        <v>-2596968.7000000002</v>
      </c>
      <c r="J210" s="67">
        <f t="shared" si="172"/>
        <v>0</v>
      </c>
      <c r="K210" s="67">
        <f t="shared" si="172"/>
        <v>0</v>
      </c>
      <c r="L210" s="67">
        <f t="shared" si="172"/>
        <v>0</v>
      </c>
      <c r="M210" s="67">
        <f t="shared" si="172"/>
        <v>0</v>
      </c>
      <c r="N210" s="67">
        <f t="shared" si="172"/>
        <v>0</v>
      </c>
      <c r="O210" s="67">
        <v>0</v>
      </c>
      <c r="P210" s="326">
        <f t="shared" si="160"/>
        <v>-2596968.7000000002</v>
      </c>
      <c r="Q210" s="2"/>
      <c r="S210" s="2"/>
    </row>
    <row r="211" spans="1:19" ht="14" thickBot="1" x14ac:dyDescent="0.2">
      <c r="B211" s="340" t="s">
        <v>705</v>
      </c>
      <c r="C211" s="12" t="s">
        <v>115</v>
      </c>
      <c r="D211" s="67">
        <f t="shared" si="172"/>
        <v>-60000000</v>
      </c>
      <c r="E211" s="67">
        <f t="shared" si="172"/>
        <v>0</v>
      </c>
      <c r="F211" s="67">
        <f t="shared" si="172"/>
        <v>0</v>
      </c>
      <c r="G211" s="67">
        <f t="shared" si="172"/>
        <v>0</v>
      </c>
      <c r="H211" s="67">
        <f t="shared" si="172"/>
        <v>0</v>
      </c>
      <c r="I211" s="67">
        <f t="shared" si="172"/>
        <v>60000000</v>
      </c>
      <c r="J211" s="67">
        <f t="shared" si="172"/>
        <v>0</v>
      </c>
      <c r="K211" s="67">
        <f t="shared" si="172"/>
        <v>0</v>
      </c>
      <c r="L211" s="67">
        <f t="shared" si="172"/>
        <v>0</v>
      </c>
      <c r="M211" s="67">
        <f t="shared" si="172"/>
        <v>0</v>
      </c>
      <c r="N211" s="67">
        <f t="shared" si="172"/>
        <v>0</v>
      </c>
      <c r="O211" s="67">
        <v>0</v>
      </c>
      <c r="P211" s="326">
        <f t="shared" si="160"/>
        <v>0</v>
      </c>
      <c r="Q211" s="2"/>
      <c r="S211" s="2"/>
    </row>
    <row r="212" spans="1:19" x14ac:dyDescent="0.15">
      <c r="B212" s="340">
        <v>17</v>
      </c>
      <c r="C212" s="12" t="s">
        <v>313</v>
      </c>
      <c r="D212" s="67">
        <f t="shared" si="172"/>
        <v>-92550000</v>
      </c>
      <c r="E212" s="67">
        <f t="shared" si="172"/>
        <v>0</v>
      </c>
      <c r="F212" s="67">
        <f t="shared" si="172"/>
        <v>0</v>
      </c>
      <c r="G212" s="67">
        <f t="shared" si="172"/>
        <v>0</v>
      </c>
      <c r="H212" s="67">
        <f t="shared" si="172"/>
        <v>0</v>
      </c>
      <c r="I212" s="67">
        <f t="shared" si="172"/>
        <v>71750066.299999997</v>
      </c>
      <c r="J212" s="67">
        <f t="shared" si="172"/>
        <v>0</v>
      </c>
      <c r="K212" s="67">
        <f t="shared" si="172"/>
        <v>0</v>
      </c>
      <c r="L212" s="67">
        <f t="shared" si="172"/>
        <v>0</v>
      </c>
      <c r="M212" s="67">
        <f t="shared" si="172"/>
        <v>0</v>
      </c>
      <c r="N212" s="67">
        <f t="shared" si="172"/>
        <v>0</v>
      </c>
      <c r="O212" s="67">
        <v>0</v>
      </c>
      <c r="P212" s="326">
        <f t="shared" si="160"/>
        <v>-20799933.700000003</v>
      </c>
      <c r="Q212" s="461"/>
      <c r="R212" s="357" t="s">
        <v>693</v>
      </c>
      <c r="S212" s="2"/>
    </row>
    <row r="213" spans="1:19" ht="14" thickBot="1" x14ac:dyDescent="0.2">
      <c r="A213" s="1" t="s">
        <v>709</v>
      </c>
      <c r="B213" s="355">
        <v>18</v>
      </c>
      <c r="C213" s="335" t="s">
        <v>314</v>
      </c>
      <c r="D213" s="331">
        <f>D212+D204</f>
        <v>-92550000</v>
      </c>
      <c r="E213" s="331">
        <f t="shared" ref="E213:N213" si="173">E212+E204</f>
        <v>50012750</v>
      </c>
      <c r="F213" s="331">
        <f t="shared" si="173"/>
        <v>44202792.500000022</v>
      </c>
      <c r="G213" s="331">
        <f t="shared" si="173"/>
        <v>35442192.08412499</v>
      </c>
      <c r="H213" s="331">
        <f t="shared" si="173"/>
        <v>25111356.707490433</v>
      </c>
      <c r="I213" s="331">
        <f t="shared" si="173"/>
        <v>84401062.478848949</v>
      </c>
      <c r="J213" s="331">
        <f t="shared" si="173"/>
        <v>0</v>
      </c>
      <c r="K213" s="331">
        <f t="shared" si="173"/>
        <v>0</v>
      </c>
      <c r="L213" s="331">
        <f t="shared" si="173"/>
        <v>0</v>
      </c>
      <c r="M213" s="331">
        <f t="shared" si="173"/>
        <v>0</v>
      </c>
      <c r="N213" s="331">
        <f t="shared" si="173"/>
        <v>0</v>
      </c>
      <c r="O213" s="331">
        <v>0</v>
      </c>
      <c r="P213" s="356">
        <f>SUM(D213:N213)</f>
        <v>146620153.77046439</v>
      </c>
      <c r="Q213" s="463"/>
      <c r="R213" s="358">
        <f>IF(ISNUMBER(IRR(D213:N213)),IRR(D213:N213),"NMF")</f>
        <v>0.40549033935008683</v>
      </c>
      <c r="S213" s="1" t="s">
        <v>709</v>
      </c>
    </row>
    <row r="214" spans="1:19" x14ac:dyDescent="0.15">
      <c r="S214" s="2"/>
    </row>
    <row r="215" spans="1:19" ht="14" thickBot="1" x14ac:dyDescent="0.2">
      <c r="S215" s="2"/>
    </row>
    <row r="216" spans="1:19" ht="14" thickBot="1" x14ac:dyDescent="0.2">
      <c r="B216" s="359" t="s">
        <v>282</v>
      </c>
      <c r="C216" s="360" t="s">
        <v>283</v>
      </c>
      <c r="D216" s="360"/>
      <c r="E216" s="360">
        <v>1</v>
      </c>
      <c r="F216" s="360">
        <v>2</v>
      </c>
      <c r="G216" s="360">
        <v>3</v>
      </c>
      <c r="H216" s="360">
        <v>4</v>
      </c>
      <c r="I216" s="360">
        <v>5</v>
      </c>
      <c r="J216" s="360">
        <v>6</v>
      </c>
      <c r="K216" s="360">
        <v>7</v>
      </c>
      <c r="L216" s="360">
        <v>8</v>
      </c>
      <c r="M216" s="360">
        <v>9</v>
      </c>
      <c r="N216" s="360">
        <v>10</v>
      </c>
      <c r="O216" s="360" t="s">
        <v>284</v>
      </c>
      <c r="P216" s="361" t="s">
        <v>285</v>
      </c>
      <c r="S216" s="2"/>
    </row>
    <row r="217" spans="1:19" x14ac:dyDescent="0.15">
      <c r="B217" s="339" t="s">
        <v>687</v>
      </c>
      <c r="C217" s="302" t="s">
        <v>287</v>
      </c>
      <c r="D217" s="322">
        <f t="shared" ref="D217:D232" si="174">D158</f>
        <v>0</v>
      </c>
      <c r="E217" s="322">
        <f t="shared" ref="E217:N217" si="175">E158</f>
        <v>300000000</v>
      </c>
      <c r="F217" s="322">
        <f t="shared" si="175"/>
        <v>313500000.00000006</v>
      </c>
      <c r="G217" s="322">
        <f t="shared" si="175"/>
        <v>327607500.00000006</v>
      </c>
      <c r="H217" s="322">
        <f t="shared" si="175"/>
        <v>342349837.50000012</v>
      </c>
      <c r="I217" s="322">
        <f t="shared" si="175"/>
        <v>357755580.18750012</v>
      </c>
      <c r="J217" s="322">
        <f t="shared" si="175"/>
        <v>0</v>
      </c>
      <c r="K217" s="322">
        <f t="shared" si="175"/>
        <v>0</v>
      </c>
      <c r="L217" s="322">
        <f t="shared" si="175"/>
        <v>0</v>
      </c>
      <c r="M217" s="322">
        <f t="shared" si="175"/>
        <v>0</v>
      </c>
      <c r="N217" s="322">
        <f t="shared" si="175"/>
        <v>0</v>
      </c>
      <c r="O217" s="322">
        <v>0</v>
      </c>
      <c r="P217" s="325">
        <f>SUM(D217:N217)</f>
        <v>1641212917.6875</v>
      </c>
      <c r="Q217" s="2"/>
      <c r="S217" s="2"/>
    </row>
    <row r="218" spans="1:19" x14ac:dyDescent="0.15">
      <c r="A218" s="1" t="s">
        <v>710</v>
      </c>
      <c r="B218" s="340" t="s">
        <v>689</v>
      </c>
      <c r="C218" s="354" t="s">
        <v>689</v>
      </c>
      <c r="D218" s="67">
        <f t="shared" si="174"/>
        <v>0</v>
      </c>
      <c r="E218" s="67">
        <f>E159</f>
        <v>300000000</v>
      </c>
      <c r="F218" s="67">
        <f t="shared" ref="F218:N218" si="176">F159</f>
        <v>313500000.00000006</v>
      </c>
      <c r="G218" s="67">
        <f t="shared" si="176"/>
        <v>327607500.00000006</v>
      </c>
      <c r="H218" s="67">
        <f t="shared" si="176"/>
        <v>342349837.50000012</v>
      </c>
      <c r="I218" s="67">
        <f t="shared" si="176"/>
        <v>357755580.18750012</v>
      </c>
      <c r="J218" s="67">
        <f t="shared" si="176"/>
        <v>0</v>
      </c>
      <c r="K218" s="67">
        <f t="shared" si="176"/>
        <v>0</v>
      </c>
      <c r="L218" s="67">
        <f t="shared" si="176"/>
        <v>0</v>
      </c>
      <c r="M218" s="67">
        <f t="shared" si="176"/>
        <v>0</v>
      </c>
      <c r="N218" s="67">
        <f t="shared" si="176"/>
        <v>0</v>
      </c>
      <c r="O218" s="67"/>
      <c r="P218" s="326">
        <f>SUM(D218:N218)</f>
        <v>1641212917.6875</v>
      </c>
      <c r="Q218" s="2"/>
      <c r="S218" s="2"/>
    </row>
    <row r="219" spans="1:19" x14ac:dyDescent="0.15">
      <c r="B219" s="340" t="s">
        <v>690</v>
      </c>
      <c r="C219" s="354" t="s">
        <v>690</v>
      </c>
      <c r="D219" s="67">
        <f t="shared" si="174"/>
        <v>0</v>
      </c>
      <c r="E219" s="67">
        <f>E160</f>
        <v>0</v>
      </c>
      <c r="F219" s="67">
        <f t="shared" ref="F219:N219" si="177">F160</f>
        <v>0</v>
      </c>
      <c r="G219" s="67">
        <f t="shared" si="177"/>
        <v>0</v>
      </c>
      <c r="H219" s="67">
        <f t="shared" si="177"/>
        <v>0</v>
      </c>
      <c r="I219" s="67">
        <f t="shared" si="177"/>
        <v>0</v>
      </c>
      <c r="J219" s="67">
        <f t="shared" si="177"/>
        <v>0</v>
      </c>
      <c r="K219" s="67">
        <f t="shared" si="177"/>
        <v>0</v>
      </c>
      <c r="L219" s="67">
        <f t="shared" si="177"/>
        <v>0</v>
      </c>
      <c r="M219" s="67">
        <f t="shared" si="177"/>
        <v>0</v>
      </c>
      <c r="N219" s="67">
        <f t="shared" si="177"/>
        <v>0</v>
      </c>
      <c r="O219" s="289"/>
      <c r="P219" s="326">
        <f>SUM(D219:N219)</f>
        <v>0</v>
      </c>
      <c r="Q219" s="2"/>
      <c r="S219" s="2"/>
    </row>
    <row r="220" spans="1:19" x14ac:dyDescent="0.15">
      <c r="B220" s="355" t="s">
        <v>691</v>
      </c>
      <c r="C220" s="362" t="s">
        <v>691</v>
      </c>
      <c r="D220" s="331">
        <f t="shared" si="174"/>
        <v>0</v>
      </c>
      <c r="E220" s="331">
        <f>E161*1.1</f>
        <v>0</v>
      </c>
      <c r="F220" s="331">
        <f t="shared" ref="F220:N220" si="178">F161*1.1</f>
        <v>0</v>
      </c>
      <c r="G220" s="331">
        <f t="shared" si="178"/>
        <v>0</v>
      </c>
      <c r="H220" s="331">
        <f t="shared" si="178"/>
        <v>0</v>
      </c>
      <c r="I220" s="331">
        <f t="shared" si="178"/>
        <v>0</v>
      </c>
      <c r="J220" s="331">
        <f t="shared" si="178"/>
        <v>0</v>
      </c>
      <c r="K220" s="331">
        <f t="shared" si="178"/>
        <v>0</v>
      </c>
      <c r="L220" s="331">
        <f t="shared" si="178"/>
        <v>0</v>
      </c>
      <c r="M220" s="331">
        <f t="shared" si="178"/>
        <v>0</v>
      </c>
      <c r="N220" s="331">
        <f t="shared" si="178"/>
        <v>0</v>
      </c>
      <c r="O220" s="331"/>
      <c r="P220" s="356">
        <f>SUM(D220:N220)</f>
        <v>0</v>
      </c>
      <c r="Q220" s="460"/>
      <c r="S220" s="2"/>
    </row>
    <row r="221" spans="1:19" x14ac:dyDescent="0.15">
      <c r="B221" s="340" t="s">
        <v>695</v>
      </c>
      <c r="C221" s="12"/>
      <c r="D221" s="67">
        <f t="shared" si="174"/>
        <v>0</v>
      </c>
      <c r="E221" s="67">
        <f>E220+E219+E218</f>
        <v>300000000</v>
      </c>
      <c r="F221" s="67">
        <f t="shared" ref="F221:N221" si="179">F220+F219+F218</f>
        <v>313500000.00000006</v>
      </c>
      <c r="G221" s="67">
        <f t="shared" si="179"/>
        <v>327607500.00000006</v>
      </c>
      <c r="H221" s="67">
        <f t="shared" si="179"/>
        <v>342349837.50000012</v>
      </c>
      <c r="I221" s="67">
        <f t="shared" si="179"/>
        <v>357755580.18750012</v>
      </c>
      <c r="J221" s="67">
        <f t="shared" si="179"/>
        <v>0</v>
      </c>
      <c r="K221" s="67">
        <f t="shared" si="179"/>
        <v>0</v>
      </c>
      <c r="L221" s="67">
        <f t="shared" si="179"/>
        <v>0</v>
      </c>
      <c r="M221" s="67">
        <f t="shared" si="179"/>
        <v>0</v>
      </c>
      <c r="N221" s="67">
        <f t="shared" si="179"/>
        <v>0</v>
      </c>
      <c r="O221" s="67"/>
      <c r="P221" s="326">
        <f>SUM(D221:N221)</f>
        <v>1641212917.6875</v>
      </c>
      <c r="Q221" s="2"/>
      <c r="S221" s="2"/>
    </row>
    <row r="222" spans="1:19" x14ac:dyDescent="0.15">
      <c r="B222" s="340" t="s">
        <v>696</v>
      </c>
      <c r="C222" s="12" t="s">
        <v>289</v>
      </c>
      <c r="D222" s="67">
        <f t="shared" si="174"/>
        <v>0</v>
      </c>
      <c r="E222" s="67">
        <f t="shared" ref="E222:N222" si="180">E163</f>
        <v>230170000</v>
      </c>
      <c r="F222" s="67">
        <f t="shared" si="180"/>
        <v>253018375.00000003</v>
      </c>
      <c r="G222" s="67">
        <f t="shared" si="180"/>
        <v>278725718.45125008</v>
      </c>
      <c r="H222" s="67">
        <f t="shared" si="180"/>
        <v>307665975.06072807</v>
      </c>
      <c r="I222" s="67">
        <f t="shared" si="180"/>
        <v>340262566.36057305</v>
      </c>
      <c r="J222" s="67">
        <f t="shared" si="180"/>
        <v>0</v>
      </c>
      <c r="K222" s="67">
        <f t="shared" si="180"/>
        <v>0</v>
      </c>
      <c r="L222" s="67">
        <f t="shared" si="180"/>
        <v>0</v>
      </c>
      <c r="M222" s="67">
        <f t="shared" si="180"/>
        <v>0</v>
      </c>
      <c r="N222" s="67">
        <f t="shared" si="180"/>
        <v>0</v>
      </c>
      <c r="O222" s="67">
        <v>0</v>
      </c>
      <c r="P222" s="326">
        <f t="shared" ref="P222:P240" si="181">SUM(D222:N222)</f>
        <v>1409842634.8725512</v>
      </c>
      <c r="Q222" s="2"/>
      <c r="S222" s="2"/>
    </row>
    <row r="223" spans="1:19" x14ac:dyDescent="0.15">
      <c r="B223" s="340">
        <v>3</v>
      </c>
      <c r="C223" s="12" t="s">
        <v>290</v>
      </c>
      <c r="D223" s="67">
        <f t="shared" si="174"/>
        <v>0</v>
      </c>
      <c r="E223" s="67">
        <f>E221-E222</f>
        <v>69830000</v>
      </c>
      <c r="F223" s="67">
        <f t="shared" ref="F223:N223" si="182">F221-F222</f>
        <v>60481625.00000003</v>
      </c>
      <c r="G223" s="67">
        <f t="shared" si="182"/>
        <v>48881781.548749983</v>
      </c>
      <c r="H223" s="67">
        <f t="shared" si="182"/>
        <v>34683862.439272046</v>
      </c>
      <c r="I223" s="67">
        <f t="shared" si="182"/>
        <v>17493013.826927066</v>
      </c>
      <c r="J223" s="67">
        <f t="shared" si="182"/>
        <v>0</v>
      </c>
      <c r="K223" s="67">
        <f t="shared" si="182"/>
        <v>0</v>
      </c>
      <c r="L223" s="67">
        <f t="shared" si="182"/>
        <v>0</v>
      </c>
      <c r="M223" s="67">
        <f t="shared" si="182"/>
        <v>0</v>
      </c>
      <c r="N223" s="67">
        <f t="shared" si="182"/>
        <v>0</v>
      </c>
      <c r="O223" s="67">
        <v>0</v>
      </c>
      <c r="P223" s="326">
        <f t="shared" si="181"/>
        <v>231370282.81494913</v>
      </c>
      <c r="Q223" s="2"/>
      <c r="S223" s="2"/>
    </row>
    <row r="224" spans="1:19" x14ac:dyDescent="0.15">
      <c r="B224" s="340" t="s">
        <v>697</v>
      </c>
      <c r="C224" s="12" t="s">
        <v>292</v>
      </c>
      <c r="D224" s="67">
        <f t="shared" si="174"/>
        <v>0</v>
      </c>
      <c r="E224" s="67">
        <f>E165</f>
        <v>3772500</v>
      </c>
      <c r="F224" s="67">
        <f t="shared" ref="F224:N224" si="183">F165</f>
        <v>6218850</v>
      </c>
      <c r="G224" s="67">
        <f t="shared" si="183"/>
        <v>4083150</v>
      </c>
      <c r="H224" s="67">
        <f t="shared" si="183"/>
        <v>2775510</v>
      </c>
      <c r="I224" s="67">
        <f t="shared" si="183"/>
        <v>1352955</v>
      </c>
      <c r="J224" s="67">
        <f t="shared" si="183"/>
        <v>0</v>
      </c>
      <c r="K224" s="67">
        <f t="shared" si="183"/>
        <v>0</v>
      </c>
      <c r="L224" s="67">
        <f t="shared" si="183"/>
        <v>0</v>
      </c>
      <c r="M224" s="67">
        <f t="shared" si="183"/>
        <v>0</v>
      </c>
      <c r="N224" s="67">
        <f t="shared" si="183"/>
        <v>0</v>
      </c>
      <c r="O224" s="67">
        <v>0</v>
      </c>
      <c r="P224" s="326">
        <f t="shared" si="181"/>
        <v>18202965</v>
      </c>
      <c r="Q224" s="2"/>
      <c r="S224" s="2"/>
    </row>
    <row r="225" spans="2:19" x14ac:dyDescent="0.15">
      <c r="B225" s="340">
        <v>5</v>
      </c>
      <c r="C225" s="12" t="s">
        <v>293</v>
      </c>
      <c r="D225" s="67">
        <f t="shared" si="174"/>
        <v>0</v>
      </c>
      <c r="E225" s="67">
        <f>E223-E224</f>
        <v>66057500</v>
      </c>
      <c r="F225" s="67">
        <f t="shared" ref="F225:N225" si="184">F223-F224</f>
        <v>54262775.00000003</v>
      </c>
      <c r="G225" s="67">
        <f t="shared" si="184"/>
        <v>44798631.548749983</v>
      </c>
      <c r="H225" s="67">
        <f t="shared" si="184"/>
        <v>31908352.439272046</v>
      </c>
      <c r="I225" s="67">
        <f t="shared" si="184"/>
        <v>16140058.826927066</v>
      </c>
      <c r="J225" s="67">
        <f t="shared" si="184"/>
        <v>0</v>
      </c>
      <c r="K225" s="67">
        <f t="shared" si="184"/>
        <v>0</v>
      </c>
      <c r="L225" s="67">
        <f t="shared" si="184"/>
        <v>0</v>
      </c>
      <c r="M225" s="67">
        <f t="shared" si="184"/>
        <v>0</v>
      </c>
      <c r="N225" s="67">
        <f t="shared" si="184"/>
        <v>0</v>
      </c>
      <c r="O225" s="67">
        <v>0</v>
      </c>
      <c r="P225" s="326">
        <f t="shared" si="181"/>
        <v>213167317.81494913</v>
      </c>
      <c r="Q225" s="2"/>
      <c r="S225" s="2"/>
    </row>
    <row r="226" spans="2:19" x14ac:dyDescent="0.15">
      <c r="B226" s="340" t="s">
        <v>698</v>
      </c>
      <c r="C226" s="12" t="s">
        <v>295</v>
      </c>
      <c r="D226" s="67">
        <f t="shared" si="174"/>
        <v>0</v>
      </c>
      <c r="E226" s="67">
        <f>E167</f>
        <v>0</v>
      </c>
      <c r="F226" s="67">
        <f t="shared" ref="F226:N226" si="185">F167</f>
        <v>0</v>
      </c>
      <c r="G226" s="67">
        <f t="shared" si="185"/>
        <v>0</v>
      </c>
      <c r="H226" s="67">
        <f t="shared" si="185"/>
        <v>0</v>
      </c>
      <c r="I226" s="67">
        <f t="shared" si="185"/>
        <v>0</v>
      </c>
      <c r="J226" s="67">
        <f t="shared" si="185"/>
        <v>0</v>
      </c>
      <c r="K226" s="67">
        <f t="shared" si="185"/>
        <v>0</v>
      </c>
      <c r="L226" s="67">
        <f t="shared" si="185"/>
        <v>0</v>
      </c>
      <c r="M226" s="67">
        <f t="shared" si="185"/>
        <v>0</v>
      </c>
      <c r="N226" s="67">
        <f t="shared" si="185"/>
        <v>0</v>
      </c>
      <c r="O226" s="67">
        <v>0</v>
      </c>
      <c r="P226" s="326">
        <f t="shared" si="181"/>
        <v>0</v>
      </c>
      <c r="Q226" s="2"/>
      <c r="S226" s="2"/>
    </row>
    <row r="227" spans="2:19" x14ac:dyDescent="0.15">
      <c r="B227" s="340">
        <v>7</v>
      </c>
      <c r="C227" s="12" t="s">
        <v>296</v>
      </c>
      <c r="D227" s="67">
        <f t="shared" si="174"/>
        <v>0</v>
      </c>
      <c r="E227" s="67">
        <f>E225-E226</f>
        <v>66057500</v>
      </c>
      <c r="F227" s="67">
        <f t="shared" ref="F227:N227" si="186">F225-F226</f>
        <v>54262775.00000003</v>
      </c>
      <c r="G227" s="67">
        <f t="shared" si="186"/>
        <v>44798631.548749983</v>
      </c>
      <c r="H227" s="67">
        <f t="shared" si="186"/>
        <v>31908352.439272046</v>
      </c>
      <c r="I227" s="67">
        <f t="shared" si="186"/>
        <v>16140058.826927066</v>
      </c>
      <c r="J227" s="67">
        <f t="shared" si="186"/>
        <v>0</v>
      </c>
      <c r="K227" s="67">
        <f t="shared" si="186"/>
        <v>0</v>
      </c>
      <c r="L227" s="67">
        <f t="shared" si="186"/>
        <v>0</v>
      </c>
      <c r="M227" s="67">
        <f t="shared" si="186"/>
        <v>0</v>
      </c>
      <c r="N227" s="67">
        <f t="shared" si="186"/>
        <v>0</v>
      </c>
      <c r="O227" s="67">
        <v>0</v>
      </c>
      <c r="P227" s="326">
        <f t="shared" si="181"/>
        <v>213167317.81494913</v>
      </c>
      <c r="Q227" s="2"/>
      <c r="S227" s="2"/>
    </row>
    <row r="228" spans="2:19" x14ac:dyDescent="0.15">
      <c r="B228" s="340">
        <v>8</v>
      </c>
      <c r="C228" s="12" t="s">
        <v>297</v>
      </c>
      <c r="D228" s="67">
        <f t="shared" si="174"/>
        <v>0</v>
      </c>
      <c r="E228" s="67">
        <f>-E227*$D$3</f>
        <v>-19817250</v>
      </c>
      <c r="F228" s="67">
        <f t="shared" ref="F228:N228" si="187">-F227*$D$3</f>
        <v>-16278832.500000007</v>
      </c>
      <c r="G228" s="67">
        <f t="shared" si="187"/>
        <v>-13439589.464624995</v>
      </c>
      <c r="H228" s="67">
        <f t="shared" si="187"/>
        <v>-9572505.7317816131</v>
      </c>
      <c r="I228" s="67">
        <f t="shared" si="187"/>
        <v>-4842017.6480781194</v>
      </c>
      <c r="J228" s="67">
        <f t="shared" si="187"/>
        <v>0</v>
      </c>
      <c r="K228" s="67">
        <f t="shared" si="187"/>
        <v>0</v>
      </c>
      <c r="L228" s="67">
        <f t="shared" si="187"/>
        <v>0</v>
      </c>
      <c r="M228" s="67">
        <f t="shared" si="187"/>
        <v>0</v>
      </c>
      <c r="N228" s="67">
        <f t="shared" si="187"/>
        <v>0</v>
      </c>
      <c r="O228" s="67">
        <v>0</v>
      </c>
      <c r="P228" s="326">
        <f t="shared" si="181"/>
        <v>-63950195.344484739</v>
      </c>
      <c r="Q228" s="2"/>
      <c r="S228" s="2"/>
    </row>
    <row r="229" spans="2:19" x14ac:dyDescent="0.15">
      <c r="B229" s="340">
        <v>9</v>
      </c>
      <c r="C229" s="12" t="s">
        <v>298</v>
      </c>
      <c r="D229" s="67">
        <f t="shared" si="174"/>
        <v>0</v>
      </c>
      <c r="E229" s="67">
        <f>E170</f>
        <v>0</v>
      </c>
      <c r="F229" s="67">
        <f t="shared" ref="F229:N229" si="188">F170</f>
        <v>0</v>
      </c>
      <c r="G229" s="67">
        <f t="shared" si="188"/>
        <v>0</v>
      </c>
      <c r="H229" s="67">
        <f t="shared" si="188"/>
        <v>0</v>
      </c>
      <c r="I229" s="67">
        <f t="shared" si="188"/>
        <v>0</v>
      </c>
      <c r="J229" s="67">
        <f t="shared" si="188"/>
        <v>0</v>
      </c>
      <c r="K229" s="67">
        <f t="shared" si="188"/>
        <v>0</v>
      </c>
      <c r="L229" s="67">
        <f t="shared" si="188"/>
        <v>0</v>
      </c>
      <c r="M229" s="67">
        <f t="shared" si="188"/>
        <v>0</v>
      </c>
      <c r="N229" s="67">
        <f t="shared" si="188"/>
        <v>0</v>
      </c>
      <c r="O229" s="67">
        <v>0</v>
      </c>
      <c r="P229" s="326">
        <f t="shared" si="181"/>
        <v>0</v>
      </c>
      <c r="Q229" s="2"/>
      <c r="S229" s="2"/>
    </row>
    <row r="230" spans="2:19" x14ac:dyDescent="0.15">
      <c r="B230" s="340">
        <v>10</v>
      </c>
      <c r="C230" s="12" t="s">
        <v>299</v>
      </c>
      <c r="D230" s="67">
        <f t="shared" si="174"/>
        <v>0</v>
      </c>
      <c r="E230" s="67">
        <f>E227+E228+E229</f>
        <v>46240250</v>
      </c>
      <c r="F230" s="67">
        <f t="shared" ref="F230:N230" si="189">F227+F228+F229</f>
        <v>37983942.500000022</v>
      </c>
      <c r="G230" s="67">
        <f t="shared" si="189"/>
        <v>31359042.08412499</v>
      </c>
      <c r="H230" s="67">
        <f t="shared" si="189"/>
        <v>22335846.707490433</v>
      </c>
      <c r="I230" s="67">
        <f t="shared" si="189"/>
        <v>11298041.178848946</v>
      </c>
      <c r="J230" s="67">
        <f t="shared" si="189"/>
        <v>0</v>
      </c>
      <c r="K230" s="67">
        <f t="shared" si="189"/>
        <v>0</v>
      </c>
      <c r="L230" s="67">
        <f t="shared" si="189"/>
        <v>0</v>
      </c>
      <c r="M230" s="67">
        <f t="shared" si="189"/>
        <v>0</v>
      </c>
      <c r="N230" s="67">
        <f t="shared" si="189"/>
        <v>0</v>
      </c>
      <c r="O230" s="67">
        <v>0</v>
      </c>
      <c r="P230" s="326">
        <f t="shared" si="181"/>
        <v>149217122.47046441</v>
      </c>
      <c r="Q230" s="2"/>
      <c r="S230" s="2"/>
    </row>
    <row r="231" spans="2:19" x14ac:dyDescent="0.15">
      <c r="B231" s="340" t="s">
        <v>699</v>
      </c>
      <c r="C231" s="12" t="s">
        <v>292</v>
      </c>
      <c r="D231" s="67">
        <f t="shared" si="174"/>
        <v>0</v>
      </c>
      <c r="E231" s="67">
        <f>E172</f>
        <v>3772500</v>
      </c>
      <c r="F231" s="67">
        <f t="shared" ref="F231:N231" si="190">F172</f>
        <v>6218850</v>
      </c>
      <c r="G231" s="67">
        <f t="shared" si="190"/>
        <v>4083150</v>
      </c>
      <c r="H231" s="67">
        <f t="shared" si="190"/>
        <v>2775510</v>
      </c>
      <c r="I231" s="67">
        <f t="shared" si="190"/>
        <v>1352955</v>
      </c>
      <c r="J231" s="67">
        <f t="shared" si="190"/>
        <v>0</v>
      </c>
      <c r="K231" s="67">
        <f t="shared" si="190"/>
        <v>0</v>
      </c>
      <c r="L231" s="67">
        <f t="shared" si="190"/>
        <v>0</v>
      </c>
      <c r="M231" s="67">
        <f t="shared" si="190"/>
        <v>0</v>
      </c>
      <c r="N231" s="67">
        <f t="shared" si="190"/>
        <v>0</v>
      </c>
      <c r="O231" s="67">
        <v>0</v>
      </c>
      <c r="P231" s="326">
        <f t="shared" si="181"/>
        <v>18202965</v>
      </c>
      <c r="Q231" s="2"/>
      <c r="S231" s="2"/>
    </row>
    <row r="232" spans="2:19" x14ac:dyDescent="0.15">
      <c r="B232" s="340">
        <v>12</v>
      </c>
      <c r="C232" s="12" t="s">
        <v>301</v>
      </c>
      <c r="D232" s="67">
        <f t="shared" si="174"/>
        <v>0</v>
      </c>
      <c r="E232" s="67">
        <f>E230+E231</f>
        <v>50012750</v>
      </c>
      <c r="F232" s="67">
        <f t="shared" ref="F232:N232" si="191">F230+F231</f>
        <v>44202792.500000022</v>
      </c>
      <c r="G232" s="67">
        <f t="shared" si="191"/>
        <v>35442192.08412499</v>
      </c>
      <c r="H232" s="67">
        <f t="shared" si="191"/>
        <v>25111356.707490433</v>
      </c>
      <c r="I232" s="67">
        <f t="shared" si="191"/>
        <v>12650996.178848946</v>
      </c>
      <c r="J232" s="67">
        <f t="shared" si="191"/>
        <v>0</v>
      </c>
      <c r="K232" s="67">
        <f t="shared" si="191"/>
        <v>0</v>
      </c>
      <c r="L232" s="67">
        <f t="shared" si="191"/>
        <v>0</v>
      </c>
      <c r="M232" s="67">
        <f t="shared" si="191"/>
        <v>0</v>
      </c>
      <c r="N232" s="67">
        <f t="shared" si="191"/>
        <v>0</v>
      </c>
      <c r="O232" s="67">
        <v>0</v>
      </c>
      <c r="P232" s="326">
        <f t="shared" si="181"/>
        <v>167420087.47046441</v>
      </c>
      <c r="Q232" s="2"/>
      <c r="S232" s="2"/>
    </row>
    <row r="233" spans="2:19" x14ac:dyDescent="0.15">
      <c r="B233" s="340" t="s">
        <v>700</v>
      </c>
      <c r="C233" s="12" t="s">
        <v>303</v>
      </c>
      <c r="D233" s="67">
        <v>0</v>
      </c>
      <c r="E233" s="67">
        <f t="shared" ref="E233:N233" si="192">E174</f>
        <v>0</v>
      </c>
      <c r="F233" s="67">
        <f t="shared" si="192"/>
        <v>0</v>
      </c>
      <c r="G233" s="67">
        <f t="shared" si="192"/>
        <v>0</v>
      </c>
      <c r="H233" s="67">
        <f t="shared" si="192"/>
        <v>0</v>
      </c>
      <c r="I233" s="67">
        <f t="shared" si="192"/>
        <v>0</v>
      </c>
      <c r="J233" s="67">
        <f t="shared" si="192"/>
        <v>0</v>
      </c>
      <c r="K233" s="67">
        <f t="shared" si="192"/>
        <v>0</v>
      </c>
      <c r="L233" s="67">
        <f t="shared" si="192"/>
        <v>0</v>
      </c>
      <c r="M233" s="67">
        <f t="shared" si="192"/>
        <v>0</v>
      </c>
      <c r="N233" s="67">
        <f t="shared" si="192"/>
        <v>0</v>
      </c>
      <c r="O233" s="67">
        <v>0</v>
      </c>
      <c r="P233" s="326">
        <f t="shared" si="181"/>
        <v>0</v>
      </c>
      <c r="Q233" s="2"/>
      <c r="S233" s="2"/>
    </row>
    <row r="234" spans="2:19" x14ac:dyDescent="0.15">
      <c r="B234" s="340">
        <v>14</v>
      </c>
      <c r="C234" s="12" t="s">
        <v>304</v>
      </c>
      <c r="D234" s="67">
        <f t="shared" ref="D234:N240" si="193">D175</f>
        <v>-32550000</v>
      </c>
      <c r="E234" s="67">
        <f t="shared" si="193"/>
        <v>0</v>
      </c>
      <c r="F234" s="67">
        <f t="shared" si="193"/>
        <v>0</v>
      </c>
      <c r="G234" s="67">
        <f t="shared" si="193"/>
        <v>0</v>
      </c>
      <c r="H234" s="67">
        <f t="shared" si="193"/>
        <v>0</v>
      </c>
      <c r="I234" s="67">
        <f t="shared" si="193"/>
        <v>14347035</v>
      </c>
      <c r="J234" s="67">
        <f t="shared" si="193"/>
        <v>0</v>
      </c>
      <c r="K234" s="67">
        <f t="shared" si="193"/>
        <v>0</v>
      </c>
      <c r="L234" s="67">
        <f t="shared" si="193"/>
        <v>0</v>
      </c>
      <c r="M234" s="67">
        <f t="shared" si="193"/>
        <v>0</v>
      </c>
      <c r="N234" s="67">
        <f t="shared" si="193"/>
        <v>0</v>
      </c>
      <c r="O234" s="67">
        <v>0</v>
      </c>
      <c r="P234" s="326">
        <f t="shared" si="181"/>
        <v>-18202965</v>
      </c>
      <c r="Q234" s="2"/>
      <c r="S234" s="2"/>
    </row>
    <row r="235" spans="2:19" x14ac:dyDescent="0.15">
      <c r="B235" s="340" t="s">
        <v>701</v>
      </c>
      <c r="C235" s="12" t="s">
        <v>207</v>
      </c>
      <c r="D235" s="67">
        <f t="shared" si="193"/>
        <v>-31050000</v>
      </c>
      <c r="E235" s="67">
        <f t="shared" si="193"/>
        <v>0</v>
      </c>
      <c r="F235" s="67">
        <f t="shared" si="193"/>
        <v>0</v>
      </c>
      <c r="G235" s="67">
        <f t="shared" si="193"/>
        <v>0</v>
      </c>
      <c r="H235" s="67">
        <f t="shared" si="193"/>
        <v>0</v>
      </c>
      <c r="I235" s="67">
        <f t="shared" si="193"/>
        <v>12847035</v>
      </c>
      <c r="J235" s="67">
        <f t="shared" si="193"/>
        <v>0</v>
      </c>
      <c r="K235" s="67">
        <f t="shared" si="193"/>
        <v>0</v>
      </c>
      <c r="L235" s="67">
        <f t="shared" si="193"/>
        <v>0</v>
      </c>
      <c r="M235" s="67">
        <f t="shared" si="193"/>
        <v>0</v>
      </c>
      <c r="N235" s="67">
        <f t="shared" si="193"/>
        <v>0</v>
      </c>
      <c r="O235" s="67">
        <v>0</v>
      </c>
      <c r="P235" s="326">
        <f t="shared" si="181"/>
        <v>-18202965</v>
      </c>
      <c r="Q235" s="2"/>
      <c r="S235" s="2"/>
    </row>
    <row r="236" spans="2:19" x14ac:dyDescent="0.15">
      <c r="B236" s="340" t="s">
        <v>702</v>
      </c>
      <c r="C236" s="12" t="s">
        <v>307</v>
      </c>
      <c r="D236" s="67">
        <f t="shared" si="193"/>
        <v>-1500000</v>
      </c>
      <c r="E236" s="67">
        <f t="shared" si="193"/>
        <v>0</v>
      </c>
      <c r="F236" s="67">
        <f t="shared" si="193"/>
        <v>0</v>
      </c>
      <c r="G236" s="67">
        <f t="shared" si="193"/>
        <v>0</v>
      </c>
      <c r="H236" s="67">
        <f t="shared" si="193"/>
        <v>0</v>
      </c>
      <c r="I236" s="67">
        <f t="shared" si="193"/>
        <v>1500000</v>
      </c>
      <c r="J236" s="67">
        <f t="shared" si="193"/>
        <v>0</v>
      </c>
      <c r="K236" s="67">
        <f t="shared" si="193"/>
        <v>0</v>
      </c>
      <c r="L236" s="67">
        <f t="shared" si="193"/>
        <v>0</v>
      </c>
      <c r="M236" s="67">
        <f t="shared" si="193"/>
        <v>0</v>
      </c>
      <c r="N236" s="67">
        <f t="shared" si="193"/>
        <v>0</v>
      </c>
      <c r="O236" s="67">
        <v>0</v>
      </c>
      <c r="P236" s="326">
        <f t="shared" si="181"/>
        <v>0</v>
      </c>
      <c r="Q236" s="2"/>
      <c r="S236" s="2"/>
    </row>
    <row r="237" spans="2:19" x14ac:dyDescent="0.15">
      <c r="B237" s="340" t="s">
        <v>703</v>
      </c>
      <c r="C237" s="12" t="s">
        <v>309</v>
      </c>
      <c r="D237" s="67">
        <f t="shared" si="193"/>
        <v>0</v>
      </c>
      <c r="E237" s="67">
        <f t="shared" si="193"/>
        <v>0</v>
      </c>
      <c r="F237" s="67">
        <f t="shared" si="193"/>
        <v>0</v>
      </c>
      <c r="G237" s="67">
        <f t="shared" si="193"/>
        <v>0</v>
      </c>
      <c r="H237" s="67">
        <f t="shared" si="193"/>
        <v>0</v>
      </c>
      <c r="I237" s="67">
        <f t="shared" si="193"/>
        <v>0</v>
      </c>
      <c r="J237" s="67">
        <f t="shared" si="193"/>
        <v>0</v>
      </c>
      <c r="K237" s="67">
        <f t="shared" si="193"/>
        <v>0</v>
      </c>
      <c r="L237" s="67">
        <f t="shared" si="193"/>
        <v>0</v>
      </c>
      <c r="M237" s="67">
        <f t="shared" si="193"/>
        <v>0</v>
      </c>
      <c r="N237" s="67">
        <f t="shared" si="193"/>
        <v>0</v>
      </c>
      <c r="O237" s="67">
        <v>0</v>
      </c>
      <c r="P237" s="326">
        <f t="shared" si="181"/>
        <v>0</v>
      </c>
      <c r="Q237" s="2"/>
      <c r="S237" s="2"/>
    </row>
    <row r="238" spans="2:19" x14ac:dyDescent="0.15">
      <c r="B238" s="340" t="s">
        <v>704</v>
      </c>
      <c r="C238" s="12" t="s">
        <v>311</v>
      </c>
      <c r="D238" s="67">
        <f t="shared" si="193"/>
        <v>0</v>
      </c>
      <c r="E238" s="67">
        <f t="shared" si="193"/>
        <v>0</v>
      </c>
      <c r="F238" s="67">
        <f t="shared" si="193"/>
        <v>0</v>
      </c>
      <c r="G238" s="67">
        <f t="shared" si="193"/>
        <v>0</v>
      </c>
      <c r="H238" s="67">
        <f t="shared" si="193"/>
        <v>0</v>
      </c>
      <c r="I238" s="67">
        <f t="shared" si="193"/>
        <v>-2596968.7000000002</v>
      </c>
      <c r="J238" s="67">
        <f t="shared" si="193"/>
        <v>0</v>
      </c>
      <c r="K238" s="67">
        <f t="shared" si="193"/>
        <v>0</v>
      </c>
      <c r="L238" s="67">
        <f t="shared" si="193"/>
        <v>0</v>
      </c>
      <c r="M238" s="67">
        <f t="shared" si="193"/>
        <v>0</v>
      </c>
      <c r="N238" s="67">
        <f t="shared" si="193"/>
        <v>0</v>
      </c>
      <c r="O238" s="67">
        <v>0</v>
      </c>
      <c r="P238" s="326">
        <f t="shared" si="181"/>
        <v>-2596968.7000000002</v>
      </c>
      <c r="Q238" s="2"/>
      <c r="S238" s="2"/>
    </row>
    <row r="239" spans="2:19" ht="14" thickBot="1" x14ac:dyDescent="0.2">
      <c r="B239" s="340" t="s">
        <v>705</v>
      </c>
      <c r="C239" s="12" t="s">
        <v>115</v>
      </c>
      <c r="D239" s="67">
        <f t="shared" si="193"/>
        <v>-60000000</v>
      </c>
      <c r="E239" s="67">
        <f t="shared" si="193"/>
        <v>0</v>
      </c>
      <c r="F239" s="67">
        <f t="shared" si="193"/>
        <v>0</v>
      </c>
      <c r="G239" s="67">
        <f t="shared" si="193"/>
        <v>0</v>
      </c>
      <c r="H239" s="67">
        <f t="shared" si="193"/>
        <v>0</v>
      </c>
      <c r="I239" s="67">
        <f t="shared" si="193"/>
        <v>60000000</v>
      </c>
      <c r="J239" s="67">
        <f t="shared" si="193"/>
        <v>0</v>
      </c>
      <c r="K239" s="67">
        <f t="shared" si="193"/>
        <v>0</v>
      </c>
      <c r="L239" s="67">
        <f t="shared" si="193"/>
        <v>0</v>
      </c>
      <c r="M239" s="67">
        <f t="shared" si="193"/>
        <v>0</v>
      </c>
      <c r="N239" s="67">
        <f t="shared" si="193"/>
        <v>0</v>
      </c>
      <c r="O239" s="67">
        <v>0</v>
      </c>
      <c r="P239" s="326">
        <f t="shared" si="181"/>
        <v>0</v>
      </c>
      <c r="Q239" s="2"/>
      <c r="S239" s="2"/>
    </row>
    <row r="240" spans="2:19" x14ac:dyDescent="0.15">
      <c r="B240" s="340">
        <v>17</v>
      </c>
      <c r="C240" s="12" t="s">
        <v>313</v>
      </c>
      <c r="D240" s="67">
        <f t="shared" si="193"/>
        <v>-92550000</v>
      </c>
      <c r="E240" s="67">
        <f t="shared" si="193"/>
        <v>0</v>
      </c>
      <c r="F240" s="67">
        <f t="shared" si="193"/>
        <v>0</v>
      </c>
      <c r="G240" s="67">
        <f t="shared" si="193"/>
        <v>0</v>
      </c>
      <c r="H240" s="67">
        <f t="shared" si="193"/>
        <v>0</v>
      </c>
      <c r="I240" s="67">
        <f t="shared" si="193"/>
        <v>71750066.299999997</v>
      </c>
      <c r="J240" s="67">
        <f t="shared" si="193"/>
        <v>0</v>
      </c>
      <c r="K240" s="67">
        <f t="shared" si="193"/>
        <v>0</v>
      </c>
      <c r="L240" s="67">
        <f t="shared" si="193"/>
        <v>0</v>
      </c>
      <c r="M240" s="67">
        <f t="shared" si="193"/>
        <v>0</v>
      </c>
      <c r="N240" s="67">
        <f t="shared" si="193"/>
        <v>0</v>
      </c>
      <c r="O240" s="67">
        <v>0</v>
      </c>
      <c r="P240" s="326">
        <f t="shared" si="181"/>
        <v>-20799933.700000003</v>
      </c>
      <c r="Q240" s="461"/>
      <c r="R240" s="357" t="s">
        <v>693</v>
      </c>
      <c r="S240" s="2"/>
    </row>
    <row r="241" spans="1:19" ht="14" thickBot="1" x14ac:dyDescent="0.2">
      <c r="A241" s="1" t="s">
        <v>710</v>
      </c>
      <c r="B241" s="355">
        <v>18</v>
      </c>
      <c r="C241" s="335" t="s">
        <v>314</v>
      </c>
      <c r="D241" s="331">
        <f>D240+D232</f>
        <v>-92550000</v>
      </c>
      <c r="E241" s="331">
        <f t="shared" ref="E241:N241" si="194">E240+E232</f>
        <v>50012750</v>
      </c>
      <c r="F241" s="331">
        <f t="shared" si="194"/>
        <v>44202792.500000022</v>
      </c>
      <c r="G241" s="331">
        <f t="shared" si="194"/>
        <v>35442192.08412499</v>
      </c>
      <c r="H241" s="331">
        <f t="shared" si="194"/>
        <v>25111356.707490433</v>
      </c>
      <c r="I241" s="331">
        <f t="shared" si="194"/>
        <v>84401062.478848949</v>
      </c>
      <c r="J241" s="331">
        <f t="shared" si="194"/>
        <v>0</v>
      </c>
      <c r="K241" s="331">
        <f t="shared" si="194"/>
        <v>0</v>
      </c>
      <c r="L241" s="331">
        <f t="shared" si="194"/>
        <v>0</v>
      </c>
      <c r="M241" s="331">
        <f t="shared" si="194"/>
        <v>0</v>
      </c>
      <c r="N241" s="331">
        <f t="shared" si="194"/>
        <v>0</v>
      </c>
      <c r="O241" s="331">
        <v>0</v>
      </c>
      <c r="P241" s="356">
        <f>SUM(D241:N241)</f>
        <v>146620153.77046439</v>
      </c>
      <c r="Q241" s="463"/>
      <c r="R241" s="358">
        <f>IF(ISNUMBER(IRR(D241:N241)),IRR(D241:N241),"NMF")</f>
        <v>0.40549033935008683</v>
      </c>
      <c r="S241" s="1" t="s">
        <v>710</v>
      </c>
    </row>
    <row r="242" spans="1:19" x14ac:dyDescent="0.15">
      <c r="S242" s="2"/>
    </row>
    <row r="243" spans="1:19" ht="14" thickBot="1" x14ac:dyDescent="0.2">
      <c r="S243" s="2"/>
    </row>
    <row r="244" spans="1:19" ht="14" thickBot="1" x14ac:dyDescent="0.2">
      <c r="B244" s="359" t="s">
        <v>282</v>
      </c>
      <c r="C244" s="360" t="s">
        <v>283</v>
      </c>
      <c r="D244" s="360"/>
      <c r="E244" s="360">
        <v>1</v>
      </c>
      <c r="F244" s="360">
        <v>2</v>
      </c>
      <c r="G244" s="360">
        <v>3</v>
      </c>
      <c r="H244" s="360">
        <v>4</v>
      </c>
      <c r="I244" s="360">
        <v>5</v>
      </c>
      <c r="J244" s="360">
        <v>6</v>
      </c>
      <c r="K244" s="360">
        <v>7</v>
      </c>
      <c r="L244" s="360">
        <v>8</v>
      </c>
      <c r="M244" s="360">
        <v>9</v>
      </c>
      <c r="N244" s="360">
        <v>10</v>
      </c>
      <c r="O244" s="360" t="s">
        <v>284</v>
      </c>
      <c r="P244" s="361" t="s">
        <v>285</v>
      </c>
      <c r="S244" s="2"/>
    </row>
    <row r="245" spans="1:19" x14ac:dyDescent="0.15">
      <c r="B245" s="339" t="s">
        <v>687</v>
      </c>
      <c r="C245" s="302" t="s">
        <v>287</v>
      </c>
      <c r="D245" s="322">
        <f t="shared" ref="D245:D260" si="195">D158</f>
        <v>0</v>
      </c>
      <c r="E245" s="322">
        <f t="shared" ref="E245:N245" si="196">E158</f>
        <v>300000000</v>
      </c>
      <c r="F245" s="322">
        <f t="shared" si="196"/>
        <v>313500000.00000006</v>
      </c>
      <c r="G245" s="322">
        <f t="shared" si="196"/>
        <v>327607500.00000006</v>
      </c>
      <c r="H245" s="322">
        <f t="shared" si="196"/>
        <v>342349837.50000012</v>
      </c>
      <c r="I245" s="322">
        <f t="shared" si="196"/>
        <v>357755580.18750012</v>
      </c>
      <c r="J245" s="322">
        <f t="shared" si="196"/>
        <v>0</v>
      </c>
      <c r="K245" s="322">
        <f t="shared" si="196"/>
        <v>0</v>
      </c>
      <c r="L245" s="322">
        <f t="shared" si="196"/>
        <v>0</v>
      </c>
      <c r="M245" s="322">
        <f t="shared" si="196"/>
        <v>0</v>
      </c>
      <c r="N245" s="322">
        <f t="shared" si="196"/>
        <v>0</v>
      </c>
      <c r="O245" s="322">
        <v>0</v>
      </c>
      <c r="P245" s="325">
        <f>SUM(D245:N245)</f>
        <v>1641212917.6875</v>
      </c>
      <c r="Q245" s="2"/>
      <c r="S245" s="2"/>
    </row>
    <row r="246" spans="1:19" x14ac:dyDescent="0.15">
      <c r="A246" s="1" t="s">
        <v>711</v>
      </c>
      <c r="B246" s="340" t="s">
        <v>689</v>
      </c>
      <c r="C246" s="354" t="s">
        <v>689</v>
      </c>
      <c r="D246" s="67">
        <f t="shared" si="195"/>
        <v>0</v>
      </c>
      <c r="E246" s="67">
        <f>E159</f>
        <v>300000000</v>
      </c>
      <c r="F246" s="67">
        <f t="shared" ref="F246:N246" si="197">F159</f>
        <v>313500000.00000006</v>
      </c>
      <c r="G246" s="67">
        <f t="shared" si="197"/>
        <v>327607500.00000006</v>
      </c>
      <c r="H246" s="67">
        <f t="shared" si="197"/>
        <v>342349837.50000012</v>
      </c>
      <c r="I246" s="67">
        <f t="shared" si="197"/>
        <v>357755580.18750012</v>
      </c>
      <c r="J246" s="67">
        <f t="shared" si="197"/>
        <v>0</v>
      </c>
      <c r="K246" s="67">
        <f t="shared" si="197"/>
        <v>0</v>
      </c>
      <c r="L246" s="67">
        <f t="shared" si="197"/>
        <v>0</v>
      </c>
      <c r="M246" s="67">
        <f t="shared" si="197"/>
        <v>0</v>
      </c>
      <c r="N246" s="67">
        <f t="shared" si="197"/>
        <v>0</v>
      </c>
      <c r="O246" s="67"/>
      <c r="P246" s="326">
        <f>SUM(D246:N246)</f>
        <v>1641212917.6875</v>
      </c>
      <c r="Q246" s="2"/>
      <c r="S246" s="2"/>
    </row>
    <row r="247" spans="1:19" x14ac:dyDescent="0.15">
      <c r="B247" s="340" t="s">
        <v>690</v>
      </c>
      <c r="C247" s="354" t="s">
        <v>690</v>
      </c>
      <c r="D247" s="67">
        <f t="shared" si="195"/>
        <v>0</v>
      </c>
      <c r="E247" s="67">
        <f>E160</f>
        <v>0</v>
      </c>
      <c r="F247" s="67">
        <f t="shared" ref="F247:N247" si="198">F160</f>
        <v>0</v>
      </c>
      <c r="G247" s="67">
        <f t="shared" si="198"/>
        <v>0</v>
      </c>
      <c r="H247" s="67">
        <f t="shared" si="198"/>
        <v>0</v>
      </c>
      <c r="I247" s="67">
        <f t="shared" si="198"/>
        <v>0</v>
      </c>
      <c r="J247" s="67">
        <f t="shared" si="198"/>
        <v>0</v>
      </c>
      <c r="K247" s="67">
        <f t="shared" si="198"/>
        <v>0</v>
      </c>
      <c r="L247" s="67">
        <f t="shared" si="198"/>
        <v>0</v>
      </c>
      <c r="M247" s="67">
        <f t="shared" si="198"/>
        <v>0</v>
      </c>
      <c r="N247" s="67">
        <f t="shared" si="198"/>
        <v>0</v>
      </c>
      <c r="O247" s="289"/>
      <c r="P247" s="326">
        <f>SUM(D247:N247)</f>
        <v>0</v>
      </c>
      <c r="Q247" s="2"/>
      <c r="S247" s="2"/>
    </row>
    <row r="248" spans="1:19" x14ac:dyDescent="0.15">
      <c r="B248" s="355" t="s">
        <v>691</v>
      </c>
      <c r="C248" s="362" t="s">
        <v>691</v>
      </c>
      <c r="D248" s="331">
        <f t="shared" si="195"/>
        <v>0</v>
      </c>
      <c r="E248" s="331">
        <f>E161*1.15</f>
        <v>0</v>
      </c>
      <c r="F248" s="331">
        <f t="shared" ref="F248:N248" si="199">F161*1.15</f>
        <v>0</v>
      </c>
      <c r="G248" s="331">
        <f t="shared" si="199"/>
        <v>0</v>
      </c>
      <c r="H248" s="331">
        <f t="shared" si="199"/>
        <v>0</v>
      </c>
      <c r="I248" s="331">
        <f t="shared" si="199"/>
        <v>0</v>
      </c>
      <c r="J248" s="331">
        <f t="shared" si="199"/>
        <v>0</v>
      </c>
      <c r="K248" s="331">
        <f t="shared" si="199"/>
        <v>0</v>
      </c>
      <c r="L248" s="331">
        <f t="shared" si="199"/>
        <v>0</v>
      </c>
      <c r="M248" s="331">
        <f t="shared" si="199"/>
        <v>0</v>
      </c>
      <c r="N248" s="331">
        <f t="shared" si="199"/>
        <v>0</v>
      </c>
      <c r="O248" s="331"/>
      <c r="P248" s="356">
        <f>SUM(D248:N248)</f>
        <v>0</v>
      </c>
      <c r="Q248" s="460"/>
      <c r="S248" s="2"/>
    </row>
    <row r="249" spans="1:19" x14ac:dyDescent="0.15">
      <c r="B249" s="340" t="s">
        <v>695</v>
      </c>
      <c r="C249" s="12"/>
      <c r="D249" s="67">
        <f t="shared" si="195"/>
        <v>0</v>
      </c>
      <c r="E249" s="67">
        <f>E248+E247+E246</f>
        <v>300000000</v>
      </c>
      <c r="F249" s="67">
        <f t="shared" ref="F249:N249" si="200">F248+F247+F246</f>
        <v>313500000.00000006</v>
      </c>
      <c r="G249" s="67">
        <f t="shared" si="200"/>
        <v>327607500.00000006</v>
      </c>
      <c r="H249" s="67">
        <f t="shared" si="200"/>
        <v>342349837.50000012</v>
      </c>
      <c r="I249" s="67">
        <f t="shared" si="200"/>
        <v>357755580.18750012</v>
      </c>
      <c r="J249" s="67">
        <f t="shared" si="200"/>
        <v>0</v>
      </c>
      <c r="K249" s="67">
        <f t="shared" si="200"/>
        <v>0</v>
      </c>
      <c r="L249" s="67">
        <f t="shared" si="200"/>
        <v>0</v>
      </c>
      <c r="M249" s="67">
        <f t="shared" si="200"/>
        <v>0</v>
      </c>
      <c r="N249" s="67">
        <f t="shared" si="200"/>
        <v>0</v>
      </c>
      <c r="O249" s="67"/>
      <c r="P249" s="326">
        <f>SUM(D249:N249)</f>
        <v>1641212917.6875</v>
      </c>
      <c r="Q249" s="2"/>
      <c r="S249" s="2"/>
    </row>
    <row r="250" spans="1:19" x14ac:dyDescent="0.15">
      <c r="B250" s="340" t="s">
        <v>696</v>
      </c>
      <c r="C250" s="12" t="s">
        <v>289</v>
      </c>
      <c r="D250" s="67">
        <f t="shared" si="195"/>
        <v>0</v>
      </c>
      <c r="E250" s="67">
        <f t="shared" ref="E250:N250" si="201">E163</f>
        <v>230170000</v>
      </c>
      <c r="F250" s="67">
        <f t="shared" si="201"/>
        <v>253018375.00000003</v>
      </c>
      <c r="G250" s="67">
        <f t="shared" si="201"/>
        <v>278725718.45125008</v>
      </c>
      <c r="H250" s="67">
        <f t="shared" si="201"/>
        <v>307665975.06072807</v>
      </c>
      <c r="I250" s="67">
        <f t="shared" si="201"/>
        <v>340262566.36057305</v>
      </c>
      <c r="J250" s="67">
        <f t="shared" si="201"/>
        <v>0</v>
      </c>
      <c r="K250" s="67">
        <f t="shared" si="201"/>
        <v>0</v>
      </c>
      <c r="L250" s="67">
        <f t="shared" si="201"/>
        <v>0</v>
      </c>
      <c r="M250" s="67">
        <f t="shared" si="201"/>
        <v>0</v>
      </c>
      <c r="N250" s="67">
        <f t="shared" si="201"/>
        <v>0</v>
      </c>
      <c r="O250" s="67">
        <v>0</v>
      </c>
      <c r="P250" s="326">
        <f t="shared" ref="P250:P268" si="202">SUM(D250:N250)</f>
        <v>1409842634.8725512</v>
      </c>
      <c r="Q250" s="2"/>
      <c r="S250" s="2"/>
    </row>
    <row r="251" spans="1:19" x14ac:dyDescent="0.15">
      <c r="B251" s="340">
        <v>3</v>
      </c>
      <c r="C251" s="12" t="s">
        <v>290</v>
      </c>
      <c r="D251" s="67">
        <f t="shared" si="195"/>
        <v>0</v>
      </c>
      <c r="E251" s="67">
        <f>E249-E250</f>
        <v>69830000</v>
      </c>
      <c r="F251" s="67">
        <f t="shared" ref="F251:N251" si="203">F249-F250</f>
        <v>60481625.00000003</v>
      </c>
      <c r="G251" s="67">
        <f t="shared" si="203"/>
        <v>48881781.548749983</v>
      </c>
      <c r="H251" s="67">
        <f t="shared" si="203"/>
        <v>34683862.439272046</v>
      </c>
      <c r="I251" s="67">
        <f t="shared" si="203"/>
        <v>17493013.826927066</v>
      </c>
      <c r="J251" s="67">
        <f t="shared" si="203"/>
        <v>0</v>
      </c>
      <c r="K251" s="67">
        <f t="shared" si="203"/>
        <v>0</v>
      </c>
      <c r="L251" s="67">
        <f t="shared" si="203"/>
        <v>0</v>
      </c>
      <c r="M251" s="67">
        <f t="shared" si="203"/>
        <v>0</v>
      </c>
      <c r="N251" s="67">
        <f t="shared" si="203"/>
        <v>0</v>
      </c>
      <c r="O251" s="67">
        <v>0</v>
      </c>
      <c r="P251" s="326">
        <f t="shared" si="202"/>
        <v>231370282.81494913</v>
      </c>
      <c r="Q251" s="2"/>
      <c r="S251" s="2"/>
    </row>
    <row r="252" spans="1:19" x14ac:dyDescent="0.15">
      <c r="B252" s="340" t="s">
        <v>697</v>
      </c>
      <c r="C252" s="12" t="s">
        <v>292</v>
      </c>
      <c r="D252" s="67">
        <f t="shared" si="195"/>
        <v>0</v>
      </c>
      <c r="E252" s="67">
        <f>E165</f>
        <v>3772500</v>
      </c>
      <c r="F252" s="67">
        <f t="shared" ref="F252:N252" si="204">F165</f>
        <v>6218850</v>
      </c>
      <c r="G252" s="67">
        <f t="shared" si="204"/>
        <v>4083150</v>
      </c>
      <c r="H252" s="67">
        <f t="shared" si="204"/>
        <v>2775510</v>
      </c>
      <c r="I252" s="67">
        <f t="shared" si="204"/>
        <v>1352955</v>
      </c>
      <c r="J252" s="67">
        <f t="shared" si="204"/>
        <v>0</v>
      </c>
      <c r="K252" s="67">
        <f t="shared" si="204"/>
        <v>0</v>
      </c>
      <c r="L252" s="67">
        <f t="shared" si="204"/>
        <v>0</v>
      </c>
      <c r="M252" s="67">
        <f t="shared" si="204"/>
        <v>0</v>
      </c>
      <c r="N252" s="67">
        <f t="shared" si="204"/>
        <v>0</v>
      </c>
      <c r="O252" s="67">
        <v>0</v>
      </c>
      <c r="P252" s="326">
        <f t="shared" si="202"/>
        <v>18202965</v>
      </c>
      <c r="Q252" s="2"/>
      <c r="S252" s="2"/>
    </row>
    <row r="253" spans="1:19" x14ac:dyDescent="0.15">
      <c r="B253" s="340">
        <v>5</v>
      </c>
      <c r="C253" s="12" t="s">
        <v>293</v>
      </c>
      <c r="D253" s="67">
        <f t="shared" si="195"/>
        <v>0</v>
      </c>
      <c r="E253" s="67">
        <f>E251-E252</f>
        <v>66057500</v>
      </c>
      <c r="F253" s="67">
        <f t="shared" ref="F253:N253" si="205">F251-F252</f>
        <v>54262775.00000003</v>
      </c>
      <c r="G253" s="67">
        <f t="shared" si="205"/>
        <v>44798631.548749983</v>
      </c>
      <c r="H253" s="67">
        <f t="shared" si="205"/>
        <v>31908352.439272046</v>
      </c>
      <c r="I253" s="67">
        <f t="shared" si="205"/>
        <v>16140058.826927066</v>
      </c>
      <c r="J253" s="67">
        <f t="shared" si="205"/>
        <v>0</v>
      </c>
      <c r="K253" s="67">
        <f t="shared" si="205"/>
        <v>0</v>
      </c>
      <c r="L253" s="67">
        <f t="shared" si="205"/>
        <v>0</v>
      </c>
      <c r="M253" s="67">
        <f t="shared" si="205"/>
        <v>0</v>
      </c>
      <c r="N253" s="67">
        <f t="shared" si="205"/>
        <v>0</v>
      </c>
      <c r="O253" s="67">
        <v>0</v>
      </c>
      <c r="P253" s="326">
        <f t="shared" si="202"/>
        <v>213167317.81494913</v>
      </c>
      <c r="Q253" s="2"/>
      <c r="S253" s="2"/>
    </row>
    <row r="254" spans="1:19" x14ac:dyDescent="0.15">
      <c r="B254" s="340" t="s">
        <v>698</v>
      </c>
      <c r="C254" s="12" t="s">
        <v>295</v>
      </c>
      <c r="D254" s="67">
        <f t="shared" si="195"/>
        <v>0</v>
      </c>
      <c r="E254" s="67">
        <f>E167</f>
        <v>0</v>
      </c>
      <c r="F254" s="67">
        <f t="shared" ref="F254:N254" si="206">F167</f>
        <v>0</v>
      </c>
      <c r="G254" s="67">
        <f t="shared" si="206"/>
        <v>0</v>
      </c>
      <c r="H254" s="67">
        <f t="shared" si="206"/>
        <v>0</v>
      </c>
      <c r="I254" s="67">
        <f t="shared" si="206"/>
        <v>0</v>
      </c>
      <c r="J254" s="67">
        <f t="shared" si="206"/>
        <v>0</v>
      </c>
      <c r="K254" s="67">
        <f t="shared" si="206"/>
        <v>0</v>
      </c>
      <c r="L254" s="67">
        <f t="shared" si="206"/>
        <v>0</v>
      </c>
      <c r="M254" s="67">
        <f t="shared" si="206"/>
        <v>0</v>
      </c>
      <c r="N254" s="67">
        <f t="shared" si="206"/>
        <v>0</v>
      </c>
      <c r="O254" s="67">
        <v>0</v>
      </c>
      <c r="P254" s="326">
        <f t="shared" si="202"/>
        <v>0</v>
      </c>
      <c r="Q254" s="2"/>
      <c r="S254" s="2"/>
    </row>
    <row r="255" spans="1:19" x14ac:dyDescent="0.15">
      <c r="B255" s="340">
        <v>7</v>
      </c>
      <c r="C255" s="12" t="s">
        <v>296</v>
      </c>
      <c r="D255" s="67">
        <f t="shared" si="195"/>
        <v>0</v>
      </c>
      <c r="E255" s="67">
        <f>E253-E254</f>
        <v>66057500</v>
      </c>
      <c r="F255" s="67">
        <f t="shared" ref="F255:N255" si="207">F253-F254</f>
        <v>54262775.00000003</v>
      </c>
      <c r="G255" s="67">
        <f t="shared" si="207"/>
        <v>44798631.548749983</v>
      </c>
      <c r="H255" s="67">
        <f t="shared" si="207"/>
        <v>31908352.439272046</v>
      </c>
      <c r="I255" s="67">
        <f t="shared" si="207"/>
        <v>16140058.826927066</v>
      </c>
      <c r="J255" s="67">
        <f t="shared" si="207"/>
        <v>0</v>
      </c>
      <c r="K255" s="67">
        <f t="shared" si="207"/>
        <v>0</v>
      </c>
      <c r="L255" s="67">
        <f t="shared" si="207"/>
        <v>0</v>
      </c>
      <c r="M255" s="67">
        <f t="shared" si="207"/>
        <v>0</v>
      </c>
      <c r="N255" s="67">
        <f t="shared" si="207"/>
        <v>0</v>
      </c>
      <c r="O255" s="67">
        <v>0</v>
      </c>
      <c r="P255" s="326">
        <f t="shared" si="202"/>
        <v>213167317.81494913</v>
      </c>
      <c r="Q255" s="2"/>
      <c r="S255" s="2"/>
    </row>
    <row r="256" spans="1:19" x14ac:dyDescent="0.15">
      <c r="B256" s="340">
        <v>8</v>
      </c>
      <c r="C256" s="12" t="s">
        <v>297</v>
      </c>
      <c r="D256" s="67">
        <f t="shared" si="195"/>
        <v>0</v>
      </c>
      <c r="E256" s="67">
        <f>-E255*$D$3</f>
        <v>-19817250</v>
      </c>
      <c r="F256" s="67">
        <f t="shared" ref="F256:N256" si="208">-F255*$D$3</f>
        <v>-16278832.500000007</v>
      </c>
      <c r="G256" s="67">
        <f t="shared" si="208"/>
        <v>-13439589.464624995</v>
      </c>
      <c r="H256" s="67">
        <f t="shared" si="208"/>
        <v>-9572505.7317816131</v>
      </c>
      <c r="I256" s="67">
        <f t="shared" si="208"/>
        <v>-4842017.6480781194</v>
      </c>
      <c r="J256" s="67">
        <f t="shared" si="208"/>
        <v>0</v>
      </c>
      <c r="K256" s="67">
        <f t="shared" si="208"/>
        <v>0</v>
      </c>
      <c r="L256" s="67">
        <f t="shared" si="208"/>
        <v>0</v>
      </c>
      <c r="M256" s="67">
        <f t="shared" si="208"/>
        <v>0</v>
      </c>
      <c r="N256" s="67">
        <f t="shared" si="208"/>
        <v>0</v>
      </c>
      <c r="O256" s="67">
        <v>0</v>
      </c>
      <c r="P256" s="326">
        <f t="shared" si="202"/>
        <v>-63950195.344484739</v>
      </c>
      <c r="Q256" s="2"/>
      <c r="S256" s="2"/>
    </row>
    <row r="257" spans="1:19" x14ac:dyDescent="0.15">
      <c r="B257" s="340">
        <v>9</v>
      </c>
      <c r="C257" s="12" t="s">
        <v>298</v>
      </c>
      <c r="D257" s="67">
        <f t="shared" si="195"/>
        <v>0</v>
      </c>
      <c r="E257" s="67">
        <f>E170</f>
        <v>0</v>
      </c>
      <c r="F257" s="67">
        <f t="shared" ref="F257:N257" si="209">F170</f>
        <v>0</v>
      </c>
      <c r="G257" s="67">
        <f t="shared" si="209"/>
        <v>0</v>
      </c>
      <c r="H257" s="67">
        <f t="shared" si="209"/>
        <v>0</v>
      </c>
      <c r="I257" s="67">
        <f t="shared" si="209"/>
        <v>0</v>
      </c>
      <c r="J257" s="67">
        <f t="shared" si="209"/>
        <v>0</v>
      </c>
      <c r="K257" s="67">
        <f t="shared" si="209"/>
        <v>0</v>
      </c>
      <c r="L257" s="67">
        <f t="shared" si="209"/>
        <v>0</v>
      </c>
      <c r="M257" s="67">
        <f t="shared" si="209"/>
        <v>0</v>
      </c>
      <c r="N257" s="67">
        <f t="shared" si="209"/>
        <v>0</v>
      </c>
      <c r="O257" s="67">
        <v>0</v>
      </c>
      <c r="P257" s="326">
        <f t="shared" si="202"/>
        <v>0</v>
      </c>
      <c r="Q257" s="2"/>
      <c r="S257" s="2"/>
    </row>
    <row r="258" spans="1:19" x14ac:dyDescent="0.15">
      <c r="B258" s="340">
        <v>10</v>
      </c>
      <c r="C258" s="12" t="s">
        <v>299</v>
      </c>
      <c r="D258" s="67">
        <f t="shared" si="195"/>
        <v>0</v>
      </c>
      <c r="E258" s="67">
        <f>E255+E256+E257</f>
        <v>46240250</v>
      </c>
      <c r="F258" s="67">
        <f t="shared" ref="F258:N258" si="210">F255+F256+F257</f>
        <v>37983942.500000022</v>
      </c>
      <c r="G258" s="67">
        <f t="shared" si="210"/>
        <v>31359042.08412499</v>
      </c>
      <c r="H258" s="67">
        <f t="shared" si="210"/>
        <v>22335846.707490433</v>
      </c>
      <c r="I258" s="67">
        <f t="shared" si="210"/>
        <v>11298041.178848946</v>
      </c>
      <c r="J258" s="67">
        <f t="shared" si="210"/>
        <v>0</v>
      </c>
      <c r="K258" s="67">
        <f t="shared" si="210"/>
        <v>0</v>
      </c>
      <c r="L258" s="67">
        <f t="shared" si="210"/>
        <v>0</v>
      </c>
      <c r="M258" s="67">
        <f t="shared" si="210"/>
        <v>0</v>
      </c>
      <c r="N258" s="67">
        <f t="shared" si="210"/>
        <v>0</v>
      </c>
      <c r="O258" s="67">
        <v>0</v>
      </c>
      <c r="P258" s="326">
        <f t="shared" si="202"/>
        <v>149217122.47046441</v>
      </c>
      <c r="Q258" s="2"/>
      <c r="S258" s="2"/>
    </row>
    <row r="259" spans="1:19" x14ac:dyDescent="0.15">
      <c r="B259" s="340" t="s">
        <v>699</v>
      </c>
      <c r="C259" s="12" t="s">
        <v>292</v>
      </c>
      <c r="D259" s="67">
        <f t="shared" si="195"/>
        <v>0</v>
      </c>
      <c r="E259" s="67">
        <f>E172</f>
        <v>3772500</v>
      </c>
      <c r="F259" s="67">
        <f t="shared" ref="F259:N259" si="211">F172</f>
        <v>6218850</v>
      </c>
      <c r="G259" s="67">
        <f t="shared" si="211"/>
        <v>4083150</v>
      </c>
      <c r="H259" s="67">
        <f t="shared" si="211"/>
        <v>2775510</v>
      </c>
      <c r="I259" s="67">
        <f t="shared" si="211"/>
        <v>1352955</v>
      </c>
      <c r="J259" s="67">
        <f t="shared" si="211"/>
        <v>0</v>
      </c>
      <c r="K259" s="67">
        <f t="shared" si="211"/>
        <v>0</v>
      </c>
      <c r="L259" s="67">
        <f t="shared" si="211"/>
        <v>0</v>
      </c>
      <c r="M259" s="67">
        <f t="shared" si="211"/>
        <v>0</v>
      </c>
      <c r="N259" s="67">
        <f t="shared" si="211"/>
        <v>0</v>
      </c>
      <c r="O259" s="67">
        <v>0</v>
      </c>
      <c r="P259" s="326">
        <f t="shared" si="202"/>
        <v>18202965</v>
      </c>
      <c r="Q259" s="2"/>
      <c r="S259" s="2"/>
    </row>
    <row r="260" spans="1:19" x14ac:dyDescent="0.15">
      <c r="B260" s="340">
        <v>12</v>
      </c>
      <c r="C260" s="12" t="s">
        <v>301</v>
      </c>
      <c r="D260" s="67">
        <f t="shared" si="195"/>
        <v>0</v>
      </c>
      <c r="E260" s="67">
        <f>E258+E259</f>
        <v>50012750</v>
      </c>
      <c r="F260" s="67">
        <f t="shared" ref="F260:N260" si="212">F258+F259</f>
        <v>44202792.500000022</v>
      </c>
      <c r="G260" s="67">
        <f t="shared" si="212"/>
        <v>35442192.08412499</v>
      </c>
      <c r="H260" s="67">
        <f t="shared" si="212"/>
        <v>25111356.707490433</v>
      </c>
      <c r="I260" s="67">
        <f t="shared" si="212"/>
        <v>12650996.178848946</v>
      </c>
      <c r="J260" s="67">
        <f t="shared" si="212"/>
        <v>0</v>
      </c>
      <c r="K260" s="67">
        <f t="shared" si="212"/>
        <v>0</v>
      </c>
      <c r="L260" s="67">
        <f t="shared" si="212"/>
        <v>0</v>
      </c>
      <c r="M260" s="67">
        <f t="shared" si="212"/>
        <v>0</v>
      </c>
      <c r="N260" s="67">
        <f t="shared" si="212"/>
        <v>0</v>
      </c>
      <c r="O260" s="67">
        <v>0</v>
      </c>
      <c r="P260" s="326">
        <f t="shared" si="202"/>
        <v>167420087.47046441</v>
      </c>
      <c r="Q260" s="2"/>
      <c r="S260" s="2"/>
    </row>
    <row r="261" spans="1:19" x14ac:dyDescent="0.15">
      <c r="B261" s="340" t="s">
        <v>700</v>
      </c>
      <c r="C261" s="12" t="s">
        <v>303</v>
      </c>
      <c r="D261" s="67">
        <v>0</v>
      </c>
      <c r="E261" s="67">
        <f t="shared" ref="E261:N261" si="213">E174</f>
        <v>0</v>
      </c>
      <c r="F261" s="67">
        <f t="shared" si="213"/>
        <v>0</v>
      </c>
      <c r="G261" s="67">
        <f t="shared" si="213"/>
        <v>0</v>
      </c>
      <c r="H261" s="67">
        <f t="shared" si="213"/>
        <v>0</v>
      </c>
      <c r="I261" s="67">
        <f t="shared" si="213"/>
        <v>0</v>
      </c>
      <c r="J261" s="67">
        <f t="shared" si="213"/>
        <v>0</v>
      </c>
      <c r="K261" s="67">
        <f t="shared" si="213"/>
        <v>0</v>
      </c>
      <c r="L261" s="67">
        <f t="shared" si="213"/>
        <v>0</v>
      </c>
      <c r="M261" s="67">
        <f t="shared" si="213"/>
        <v>0</v>
      </c>
      <c r="N261" s="67">
        <f t="shared" si="213"/>
        <v>0</v>
      </c>
      <c r="O261" s="67">
        <v>0</v>
      </c>
      <c r="P261" s="326">
        <f t="shared" si="202"/>
        <v>0</v>
      </c>
      <c r="Q261" s="2"/>
      <c r="S261" s="2"/>
    </row>
    <row r="262" spans="1:19" x14ac:dyDescent="0.15">
      <c r="B262" s="340">
        <v>14</v>
      </c>
      <c r="C262" s="12" t="s">
        <v>304</v>
      </c>
      <c r="D262" s="67">
        <f t="shared" ref="D262:N268" si="214">D175</f>
        <v>-32550000</v>
      </c>
      <c r="E262" s="67">
        <f t="shared" si="214"/>
        <v>0</v>
      </c>
      <c r="F262" s="67">
        <f t="shared" si="214"/>
        <v>0</v>
      </c>
      <c r="G262" s="67">
        <f t="shared" si="214"/>
        <v>0</v>
      </c>
      <c r="H262" s="67">
        <f t="shared" si="214"/>
        <v>0</v>
      </c>
      <c r="I262" s="67">
        <f t="shared" si="214"/>
        <v>14347035</v>
      </c>
      <c r="J262" s="67">
        <f t="shared" si="214"/>
        <v>0</v>
      </c>
      <c r="K262" s="67">
        <f t="shared" si="214"/>
        <v>0</v>
      </c>
      <c r="L262" s="67">
        <f t="shared" si="214"/>
        <v>0</v>
      </c>
      <c r="M262" s="67">
        <f t="shared" si="214"/>
        <v>0</v>
      </c>
      <c r="N262" s="67">
        <f t="shared" si="214"/>
        <v>0</v>
      </c>
      <c r="O262" s="67">
        <v>0</v>
      </c>
      <c r="P262" s="326">
        <f t="shared" si="202"/>
        <v>-18202965</v>
      </c>
      <c r="Q262" s="2"/>
      <c r="S262" s="2"/>
    </row>
    <row r="263" spans="1:19" x14ac:dyDescent="0.15">
      <c r="B263" s="340" t="s">
        <v>701</v>
      </c>
      <c r="C263" s="12" t="s">
        <v>207</v>
      </c>
      <c r="D263" s="67">
        <f t="shared" si="214"/>
        <v>-31050000</v>
      </c>
      <c r="E263" s="67">
        <f t="shared" si="214"/>
        <v>0</v>
      </c>
      <c r="F263" s="67">
        <f t="shared" si="214"/>
        <v>0</v>
      </c>
      <c r="G263" s="67">
        <f t="shared" si="214"/>
        <v>0</v>
      </c>
      <c r="H263" s="67">
        <f t="shared" si="214"/>
        <v>0</v>
      </c>
      <c r="I263" s="67">
        <f t="shared" si="214"/>
        <v>12847035</v>
      </c>
      <c r="J263" s="67">
        <f t="shared" si="214"/>
        <v>0</v>
      </c>
      <c r="K263" s="67">
        <f t="shared" si="214"/>
        <v>0</v>
      </c>
      <c r="L263" s="67">
        <f t="shared" si="214"/>
        <v>0</v>
      </c>
      <c r="M263" s="67">
        <f t="shared" si="214"/>
        <v>0</v>
      </c>
      <c r="N263" s="67">
        <f t="shared" si="214"/>
        <v>0</v>
      </c>
      <c r="O263" s="67">
        <v>0</v>
      </c>
      <c r="P263" s="326">
        <f t="shared" si="202"/>
        <v>-18202965</v>
      </c>
      <c r="Q263" s="2"/>
      <c r="S263" s="2"/>
    </row>
    <row r="264" spans="1:19" x14ac:dyDescent="0.15">
      <c r="B264" s="340" t="s">
        <v>702</v>
      </c>
      <c r="C264" s="12" t="s">
        <v>307</v>
      </c>
      <c r="D264" s="67">
        <f t="shared" si="214"/>
        <v>-1500000</v>
      </c>
      <c r="E264" s="67">
        <f t="shared" si="214"/>
        <v>0</v>
      </c>
      <c r="F264" s="67">
        <f t="shared" si="214"/>
        <v>0</v>
      </c>
      <c r="G264" s="67">
        <f t="shared" si="214"/>
        <v>0</v>
      </c>
      <c r="H264" s="67">
        <f t="shared" si="214"/>
        <v>0</v>
      </c>
      <c r="I264" s="67">
        <f t="shared" si="214"/>
        <v>1500000</v>
      </c>
      <c r="J264" s="67">
        <f t="shared" si="214"/>
        <v>0</v>
      </c>
      <c r="K264" s="67">
        <f t="shared" si="214"/>
        <v>0</v>
      </c>
      <c r="L264" s="67">
        <f t="shared" si="214"/>
        <v>0</v>
      </c>
      <c r="M264" s="67">
        <f t="shared" si="214"/>
        <v>0</v>
      </c>
      <c r="N264" s="67">
        <f t="shared" si="214"/>
        <v>0</v>
      </c>
      <c r="O264" s="67">
        <v>0</v>
      </c>
      <c r="P264" s="326">
        <f t="shared" si="202"/>
        <v>0</v>
      </c>
      <c r="Q264" s="2"/>
      <c r="S264" s="2"/>
    </row>
    <row r="265" spans="1:19" x14ac:dyDescent="0.15">
      <c r="B265" s="340" t="s">
        <v>703</v>
      </c>
      <c r="C265" s="12" t="s">
        <v>309</v>
      </c>
      <c r="D265" s="67">
        <f t="shared" si="214"/>
        <v>0</v>
      </c>
      <c r="E265" s="67">
        <f t="shared" si="214"/>
        <v>0</v>
      </c>
      <c r="F265" s="67">
        <f t="shared" si="214"/>
        <v>0</v>
      </c>
      <c r="G265" s="67">
        <f t="shared" si="214"/>
        <v>0</v>
      </c>
      <c r="H265" s="67">
        <f t="shared" si="214"/>
        <v>0</v>
      </c>
      <c r="I265" s="67">
        <f t="shared" si="214"/>
        <v>0</v>
      </c>
      <c r="J265" s="67">
        <f t="shared" si="214"/>
        <v>0</v>
      </c>
      <c r="K265" s="67">
        <f t="shared" si="214"/>
        <v>0</v>
      </c>
      <c r="L265" s="67">
        <f t="shared" si="214"/>
        <v>0</v>
      </c>
      <c r="M265" s="67">
        <f t="shared" si="214"/>
        <v>0</v>
      </c>
      <c r="N265" s="67">
        <f t="shared" si="214"/>
        <v>0</v>
      </c>
      <c r="O265" s="67">
        <v>0</v>
      </c>
      <c r="P265" s="326">
        <f t="shared" si="202"/>
        <v>0</v>
      </c>
      <c r="Q265" s="2"/>
      <c r="S265" s="2"/>
    </row>
    <row r="266" spans="1:19" x14ac:dyDescent="0.15">
      <c r="B266" s="340" t="s">
        <v>704</v>
      </c>
      <c r="C266" s="12" t="s">
        <v>311</v>
      </c>
      <c r="D266" s="67">
        <f t="shared" si="214"/>
        <v>0</v>
      </c>
      <c r="E266" s="67">
        <f t="shared" si="214"/>
        <v>0</v>
      </c>
      <c r="F266" s="67">
        <f t="shared" si="214"/>
        <v>0</v>
      </c>
      <c r="G266" s="67">
        <f t="shared" si="214"/>
        <v>0</v>
      </c>
      <c r="H266" s="67">
        <f t="shared" si="214"/>
        <v>0</v>
      </c>
      <c r="I266" s="67">
        <f t="shared" si="214"/>
        <v>-2596968.7000000002</v>
      </c>
      <c r="J266" s="67">
        <f t="shared" si="214"/>
        <v>0</v>
      </c>
      <c r="K266" s="67">
        <f t="shared" si="214"/>
        <v>0</v>
      </c>
      <c r="L266" s="67">
        <f t="shared" si="214"/>
        <v>0</v>
      </c>
      <c r="M266" s="67">
        <f t="shared" si="214"/>
        <v>0</v>
      </c>
      <c r="N266" s="67">
        <f t="shared" si="214"/>
        <v>0</v>
      </c>
      <c r="O266" s="67">
        <v>0</v>
      </c>
      <c r="P266" s="326">
        <f t="shared" si="202"/>
        <v>-2596968.7000000002</v>
      </c>
      <c r="Q266" s="2"/>
      <c r="S266" s="2"/>
    </row>
    <row r="267" spans="1:19" ht="14" thickBot="1" x14ac:dyDescent="0.2">
      <c r="B267" s="340" t="s">
        <v>705</v>
      </c>
      <c r="C267" s="12" t="s">
        <v>115</v>
      </c>
      <c r="D267" s="67">
        <f t="shared" si="214"/>
        <v>-60000000</v>
      </c>
      <c r="E267" s="67">
        <f t="shared" si="214"/>
        <v>0</v>
      </c>
      <c r="F267" s="67">
        <f t="shared" si="214"/>
        <v>0</v>
      </c>
      <c r="G267" s="67">
        <f t="shared" si="214"/>
        <v>0</v>
      </c>
      <c r="H267" s="67">
        <f t="shared" si="214"/>
        <v>0</v>
      </c>
      <c r="I267" s="67">
        <f t="shared" si="214"/>
        <v>60000000</v>
      </c>
      <c r="J267" s="67">
        <f t="shared" si="214"/>
        <v>0</v>
      </c>
      <c r="K267" s="67">
        <f t="shared" si="214"/>
        <v>0</v>
      </c>
      <c r="L267" s="67">
        <f t="shared" si="214"/>
        <v>0</v>
      </c>
      <c r="M267" s="67">
        <f t="shared" si="214"/>
        <v>0</v>
      </c>
      <c r="N267" s="67">
        <f t="shared" si="214"/>
        <v>0</v>
      </c>
      <c r="O267" s="67">
        <v>0</v>
      </c>
      <c r="P267" s="326">
        <f t="shared" si="202"/>
        <v>0</v>
      </c>
      <c r="Q267" s="2"/>
      <c r="S267" s="2"/>
    </row>
    <row r="268" spans="1:19" x14ac:dyDescent="0.15">
      <c r="B268" s="340">
        <v>17</v>
      </c>
      <c r="C268" s="12" t="s">
        <v>313</v>
      </c>
      <c r="D268" s="67">
        <f t="shared" si="214"/>
        <v>-92550000</v>
      </c>
      <c r="E268" s="67">
        <f t="shared" si="214"/>
        <v>0</v>
      </c>
      <c r="F268" s="67">
        <f t="shared" si="214"/>
        <v>0</v>
      </c>
      <c r="G268" s="67">
        <f t="shared" si="214"/>
        <v>0</v>
      </c>
      <c r="H268" s="67">
        <f t="shared" si="214"/>
        <v>0</v>
      </c>
      <c r="I268" s="67">
        <f t="shared" si="214"/>
        <v>71750066.299999997</v>
      </c>
      <c r="J268" s="67">
        <f t="shared" si="214"/>
        <v>0</v>
      </c>
      <c r="K268" s="67">
        <f t="shared" si="214"/>
        <v>0</v>
      </c>
      <c r="L268" s="67">
        <f t="shared" si="214"/>
        <v>0</v>
      </c>
      <c r="M268" s="67">
        <f t="shared" si="214"/>
        <v>0</v>
      </c>
      <c r="N268" s="67">
        <f t="shared" si="214"/>
        <v>0</v>
      </c>
      <c r="O268" s="67">
        <v>0</v>
      </c>
      <c r="P268" s="326">
        <f t="shared" si="202"/>
        <v>-20799933.700000003</v>
      </c>
      <c r="Q268" s="461"/>
      <c r="R268" s="357" t="s">
        <v>693</v>
      </c>
      <c r="S268" s="2"/>
    </row>
    <row r="269" spans="1:19" ht="14" thickBot="1" x14ac:dyDescent="0.2">
      <c r="A269" s="1" t="s">
        <v>711</v>
      </c>
      <c r="B269" s="355">
        <v>18</v>
      </c>
      <c r="C269" s="335" t="s">
        <v>314</v>
      </c>
      <c r="D269" s="331">
        <f>D268+D260</f>
        <v>-92550000</v>
      </c>
      <c r="E269" s="331">
        <f t="shared" ref="E269:N269" si="215">E268+E260</f>
        <v>50012750</v>
      </c>
      <c r="F269" s="331">
        <f t="shared" si="215"/>
        <v>44202792.500000022</v>
      </c>
      <c r="G269" s="331">
        <f t="shared" si="215"/>
        <v>35442192.08412499</v>
      </c>
      <c r="H269" s="331">
        <f t="shared" si="215"/>
        <v>25111356.707490433</v>
      </c>
      <c r="I269" s="331">
        <f t="shared" si="215"/>
        <v>84401062.478848949</v>
      </c>
      <c r="J269" s="331">
        <f t="shared" si="215"/>
        <v>0</v>
      </c>
      <c r="K269" s="331">
        <f t="shared" si="215"/>
        <v>0</v>
      </c>
      <c r="L269" s="331">
        <f t="shared" si="215"/>
        <v>0</v>
      </c>
      <c r="M269" s="331">
        <f t="shared" si="215"/>
        <v>0</v>
      </c>
      <c r="N269" s="331">
        <f t="shared" si="215"/>
        <v>0</v>
      </c>
      <c r="O269" s="331">
        <v>0</v>
      </c>
      <c r="P269" s="356">
        <f>SUM(D269:N269)</f>
        <v>146620153.77046439</v>
      </c>
      <c r="Q269" s="463"/>
      <c r="R269" s="358">
        <f>IF(ISNUMBER(IRR(D269:N269)),IRR(D269:N269),"NMF")</f>
        <v>0.40549033935008683</v>
      </c>
      <c r="S269" s="1" t="s">
        <v>711</v>
      </c>
    </row>
    <row r="270" spans="1:19" x14ac:dyDescent="0.15">
      <c r="S270" s="2"/>
    </row>
    <row r="271" spans="1:19" ht="14" thickBot="1" x14ac:dyDescent="0.2">
      <c r="S271" s="2"/>
    </row>
    <row r="272" spans="1:19" ht="14" thickBot="1" x14ac:dyDescent="0.2">
      <c r="B272" s="359" t="s">
        <v>282</v>
      </c>
      <c r="C272" s="360" t="s">
        <v>283</v>
      </c>
      <c r="D272" s="360"/>
      <c r="E272" s="360">
        <v>1</v>
      </c>
      <c r="F272" s="360">
        <v>2</v>
      </c>
      <c r="G272" s="360">
        <v>3</v>
      </c>
      <c r="H272" s="360">
        <v>4</v>
      </c>
      <c r="I272" s="360">
        <v>5</v>
      </c>
      <c r="J272" s="360">
        <v>6</v>
      </c>
      <c r="K272" s="360">
        <v>7</v>
      </c>
      <c r="L272" s="360">
        <v>8</v>
      </c>
      <c r="M272" s="360">
        <v>9</v>
      </c>
      <c r="N272" s="360">
        <v>10</v>
      </c>
      <c r="O272" s="360" t="s">
        <v>284</v>
      </c>
      <c r="P272" s="361" t="s">
        <v>285</v>
      </c>
      <c r="S272" s="2"/>
    </row>
    <row r="273" spans="1:19" x14ac:dyDescent="0.15">
      <c r="B273" s="339" t="s">
        <v>687</v>
      </c>
      <c r="C273" s="302" t="s">
        <v>287</v>
      </c>
      <c r="D273" s="322">
        <f t="shared" ref="D273:D288" si="216">D158</f>
        <v>0</v>
      </c>
      <c r="E273" s="322">
        <f t="shared" ref="E273:N273" si="217">E158</f>
        <v>300000000</v>
      </c>
      <c r="F273" s="322">
        <f t="shared" si="217"/>
        <v>313500000.00000006</v>
      </c>
      <c r="G273" s="322">
        <f t="shared" si="217"/>
        <v>327607500.00000006</v>
      </c>
      <c r="H273" s="322">
        <f t="shared" si="217"/>
        <v>342349837.50000012</v>
      </c>
      <c r="I273" s="322">
        <f t="shared" si="217"/>
        <v>357755580.18750012</v>
      </c>
      <c r="J273" s="322">
        <f t="shared" si="217"/>
        <v>0</v>
      </c>
      <c r="K273" s="322">
        <f t="shared" si="217"/>
        <v>0</v>
      </c>
      <c r="L273" s="322">
        <f t="shared" si="217"/>
        <v>0</v>
      </c>
      <c r="M273" s="322">
        <f t="shared" si="217"/>
        <v>0</v>
      </c>
      <c r="N273" s="322">
        <f t="shared" si="217"/>
        <v>0</v>
      </c>
      <c r="O273" s="322">
        <v>0</v>
      </c>
      <c r="P273" s="325">
        <f>SUM(D273:N273)</f>
        <v>1641212917.6875</v>
      </c>
      <c r="Q273" s="2"/>
      <c r="S273" s="2"/>
    </row>
    <row r="274" spans="1:19" x14ac:dyDescent="0.15">
      <c r="A274" s="1" t="s">
        <v>712</v>
      </c>
      <c r="B274" s="340" t="s">
        <v>689</v>
      </c>
      <c r="C274" s="354" t="s">
        <v>689</v>
      </c>
      <c r="D274" s="67">
        <f t="shared" si="216"/>
        <v>0</v>
      </c>
      <c r="E274" s="67">
        <f>E159</f>
        <v>300000000</v>
      </c>
      <c r="F274" s="67">
        <f t="shared" ref="F274:N274" si="218">F159</f>
        <v>313500000.00000006</v>
      </c>
      <c r="G274" s="67">
        <f t="shared" si="218"/>
        <v>327607500.00000006</v>
      </c>
      <c r="H274" s="67">
        <f t="shared" si="218"/>
        <v>342349837.50000012</v>
      </c>
      <c r="I274" s="67">
        <f t="shared" si="218"/>
        <v>357755580.18750012</v>
      </c>
      <c r="J274" s="67">
        <f t="shared" si="218"/>
        <v>0</v>
      </c>
      <c r="K274" s="67">
        <f t="shared" si="218"/>
        <v>0</v>
      </c>
      <c r="L274" s="67">
        <f t="shared" si="218"/>
        <v>0</v>
      </c>
      <c r="M274" s="67">
        <f t="shared" si="218"/>
        <v>0</v>
      </c>
      <c r="N274" s="67">
        <f t="shared" si="218"/>
        <v>0</v>
      </c>
      <c r="O274" s="67"/>
      <c r="P274" s="326">
        <f>SUM(D274:N274)</f>
        <v>1641212917.6875</v>
      </c>
      <c r="Q274" s="2"/>
      <c r="S274" s="2"/>
    </row>
    <row r="275" spans="1:19" x14ac:dyDescent="0.15">
      <c r="B275" s="340" t="s">
        <v>690</v>
      </c>
      <c r="C275" s="354" t="s">
        <v>690</v>
      </c>
      <c r="D275" s="67">
        <f t="shared" si="216"/>
        <v>0</v>
      </c>
      <c r="E275" s="67">
        <f>E160</f>
        <v>0</v>
      </c>
      <c r="F275" s="67">
        <f t="shared" ref="F275:N275" si="219">F160</f>
        <v>0</v>
      </c>
      <c r="G275" s="67">
        <f t="shared" si="219"/>
        <v>0</v>
      </c>
      <c r="H275" s="67">
        <f t="shared" si="219"/>
        <v>0</v>
      </c>
      <c r="I275" s="67">
        <f t="shared" si="219"/>
        <v>0</v>
      </c>
      <c r="J275" s="67">
        <f t="shared" si="219"/>
        <v>0</v>
      </c>
      <c r="K275" s="67">
        <f t="shared" si="219"/>
        <v>0</v>
      </c>
      <c r="L275" s="67">
        <f t="shared" si="219"/>
        <v>0</v>
      </c>
      <c r="M275" s="67">
        <f t="shared" si="219"/>
        <v>0</v>
      </c>
      <c r="N275" s="67">
        <f t="shared" si="219"/>
        <v>0</v>
      </c>
      <c r="O275" s="289"/>
      <c r="P275" s="326">
        <f>SUM(D275:N275)</f>
        <v>0</v>
      </c>
      <c r="Q275" s="2"/>
      <c r="S275" s="2"/>
    </row>
    <row r="276" spans="1:19" x14ac:dyDescent="0.15">
      <c r="B276" s="355" t="s">
        <v>691</v>
      </c>
      <c r="C276" s="362" t="s">
        <v>691</v>
      </c>
      <c r="D276" s="331">
        <f t="shared" si="216"/>
        <v>0</v>
      </c>
      <c r="E276" s="331">
        <f>E161*1.2</f>
        <v>0</v>
      </c>
      <c r="F276" s="331">
        <f t="shared" ref="F276:N276" si="220">F161*1.2</f>
        <v>0</v>
      </c>
      <c r="G276" s="331">
        <f t="shared" si="220"/>
        <v>0</v>
      </c>
      <c r="H276" s="331">
        <f t="shared" si="220"/>
        <v>0</v>
      </c>
      <c r="I276" s="331">
        <f t="shared" si="220"/>
        <v>0</v>
      </c>
      <c r="J276" s="331">
        <f t="shared" si="220"/>
        <v>0</v>
      </c>
      <c r="K276" s="331">
        <f t="shared" si="220"/>
        <v>0</v>
      </c>
      <c r="L276" s="331">
        <f t="shared" si="220"/>
        <v>0</v>
      </c>
      <c r="M276" s="331">
        <f t="shared" si="220"/>
        <v>0</v>
      </c>
      <c r="N276" s="331">
        <f t="shared" si="220"/>
        <v>0</v>
      </c>
      <c r="O276" s="331"/>
      <c r="P276" s="356">
        <f>SUM(D276:N276)</f>
        <v>0</v>
      </c>
      <c r="Q276" s="460"/>
      <c r="S276" s="2"/>
    </row>
    <row r="277" spans="1:19" x14ac:dyDescent="0.15">
      <c r="B277" s="340" t="s">
        <v>695</v>
      </c>
      <c r="C277" s="12"/>
      <c r="D277" s="67">
        <f t="shared" si="216"/>
        <v>0</v>
      </c>
      <c r="E277" s="67">
        <f>E276+E275+E274</f>
        <v>300000000</v>
      </c>
      <c r="F277" s="67">
        <f t="shared" ref="F277:N277" si="221">F276+F275+F274</f>
        <v>313500000.00000006</v>
      </c>
      <c r="G277" s="67">
        <f t="shared" si="221"/>
        <v>327607500.00000006</v>
      </c>
      <c r="H277" s="67">
        <f t="shared" si="221"/>
        <v>342349837.50000012</v>
      </c>
      <c r="I277" s="67">
        <f t="shared" si="221"/>
        <v>357755580.18750012</v>
      </c>
      <c r="J277" s="67">
        <f t="shared" si="221"/>
        <v>0</v>
      </c>
      <c r="K277" s="67">
        <f t="shared" si="221"/>
        <v>0</v>
      </c>
      <c r="L277" s="67">
        <f t="shared" si="221"/>
        <v>0</v>
      </c>
      <c r="M277" s="67">
        <f t="shared" si="221"/>
        <v>0</v>
      </c>
      <c r="N277" s="67">
        <f t="shared" si="221"/>
        <v>0</v>
      </c>
      <c r="O277" s="67"/>
      <c r="P277" s="326">
        <f>SUM(D277:N277)</f>
        <v>1641212917.6875</v>
      </c>
      <c r="Q277" s="2"/>
      <c r="S277" s="2"/>
    </row>
    <row r="278" spans="1:19" x14ac:dyDescent="0.15">
      <c r="B278" s="340" t="s">
        <v>696</v>
      </c>
      <c r="C278" s="12" t="s">
        <v>289</v>
      </c>
      <c r="D278" s="67">
        <f t="shared" si="216"/>
        <v>0</v>
      </c>
      <c r="E278" s="67">
        <f t="shared" ref="E278:N278" si="222">E163</f>
        <v>230170000</v>
      </c>
      <c r="F278" s="67">
        <f t="shared" si="222"/>
        <v>253018375.00000003</v>
      </c>
      <c r="G278" s="67">
        <f t="shared" si="222"/>
        <v>278725718.45125008</v>
      </c>
      <c r="H278" s="67">
        <f t="shared" si="222"/>
        <v>307665975.06072807</v>
      </c>
      <c r="I278" s="67">
        <f t="shared" si="222"/>
        <v>340262566.36057305</v>
      </c>
      <c r="J278" s="67">
        <f t="shared" si="222"/>
        <v>0</v>
      </c>
      <c r="K278" s="67">
        <f t="shared" si="222"/>
        <v>0</v>
      </c>
      <c r="L278" s="67">
        <f t="shared" si="222"/>
        <v>0</v>
      </c>
      <c r="M278" s="67">
        <f t="shared" si="222"/>
        <v>0</v>
      </c>
      <c r="N278" s="67">
        <f t="shared" si="222"/>
        <v>0</v>
      </c>
      <c r="O278" s="67">
        <v>0</v>
      </c>
      <c r="P278" s="326">
        <f t="shared" ref="P278:P296" si="223">SUM(D278:N278)</f>
        <v>1409842634.8725512</v>
      </c>
      <c r="Q278" s="2"/>
      <c r="S278" s="2"/>
    </row>
    <row r="279" spans="1:19" x14ac:dyDescent="0.15">
      <c r="B279" s="340">
        <v>3</v>
      </c>
      <c r="C279" s="12" t="s">
        <v>290</v>
      </c>
      <c r="D279" s="67">
        <f t="shared" si="216"/>
        <v>0</v>
      </c>
      <c r="E279" s="67">
        <f>E277-E278</f>
        <v>69830000</v>
      </c>
      <c r="F279" s="67">
        <f t="shared" ref="F279:N279" si="224">F277-F278</f>
        <v>60481625.00000003</v>
      </c>
      <c r="G279" s="67">
        <f t="shared" si="224"/>
        <v>48881781.548749983</v>
      </c>
      <c r="H279" s="67">
        <f t="shared" si="224"/>
        <v>34683862.439272046</v>
      </c>
      <c r="I279" s="67">
        <f t="shared" si="224"/>
        <v>17493013.826927066</v>
      </c>
      <c r="J279" s="67">
        <f t="shared" si="224"/>
        <v>0</v>
      </c>
      <c r="K279" s="67">
        <f t="shared" si="224"/>
        <v>0</v>
      </c>
      <c r="L279" s="67">
        <f t="shared" si="224"/>
        <v>0</v>
      </c>
      <c r="M279" s="67">
        <f t="shared" si="224"/>
        <v>0</v>
      </c>
      <c r="N279" s="67">
        <f t="shared" si="224"/>
        <v>0</v>
      </c>
      <c r="O279" s="67">
        <v>0</v>
      </c>
      <c r="P279" s="326">
        <f t="shared" si="223"/>
        <v>231370282.81494913</v>
      </c>
      <c r="Q279" s="2"/>
      <c r="S279" s="2"/>
    </row>
    <row r="280" spans="1:19" x14ac:dyDescent="0.15">
      <c r="B280" s="340" t="s">
        <v>697</v>
      </c>
      <c r="C280" s="12" t="s">
        <v>292</v>
      </c>
      <c r="D280" s="67">
        <f t="shared" si="216"/>
        <v>0</v>
      </c>
      <c r="E280" s="67">
        <f>E165</f>
        <v>3772500</v>
      </c>
      <c r="F280" s="67">
        <f t="shared" ref="F280:N280" si="225">F165</f>
        <v>6218850</v>
      </c>
      <c r="G280" s="67">
        <f t="shared" si="225"/>
        <v>4083150</v>
      </c>
      <c r="H280" s="67">
        <f t="shared" si="225"/>
        <v>2775510</v>
      </c>
      <c r="I280" s="67">
        <f t="shared" si="225"/>
        <v>1352955</v>
      </c>
      <c r="J280" s="67">
        <f t="shared" si="225"/>
        <v>0</v>
      </c>
      <c r="K280" s="67">
        <f t="shared" si="225"/>
        <v>0</v>
      </c>
      <c r="L280" s="67">
        <f t="shared" si="225"/>
        <v>0</v>
      </c>
      <c r="M280" s="67">
        <f t="shared" si="225"/>
        <v>0</v>
      </c>
      <c r="N280" s="67">
        <f t="shared" si="225"/>
        <v>0</v>
      </c>
      <c r="O280" s="67">
        <v>0</v>
      </c>
      <c r="P280" s="326">
        <f t="shared" si="223"/>
        <v>18202965</v>
      </c>
      <c r="Q280" s="2"/>
      <c r="S280" s="2"/>
    </row>
    <row r="281" spans="1:19" x14ac:dyDescent="0.15">
      <c r="B281" s="340">
        <v>5</v>
      </c>
      <c r="C281" s="12" t="s">
        <v>293</v>
      </c>
      <c r="D281" s="67">
        <f t="shared" si="216"/>
        <v>0</v>
      </c>
      <c r="E281" s="67">
        <f>E279-E280</f>
        <v>66057500</v>
      </c>
      <c r="F281" s="67">
        <f t="shared" ref="F281:N281" si="226">F279-F280</f>
        <v>54262775.00000003</v>
      </c>
      <c r="G281" s="67">
        <f t="shared" si="226"/>
        <v>44798631.548749983</v>
      </c>
      <c r="H281" s="67">
        <f t="shared" si="226"/>
        <v>31908352.439272046</v>
      </c>
      <c r="I281" s="67">
        <f t="shared" si="226"/>
        <v>16140058.826927066</v>
      </c>
      <c r="J281" s="67">
        <f t="shared" si="226"/>
        <v>0</v>
      </c>
      <c r="K281" s="67">
        <f t="shared" si="226"/>
        <v>0</v>
      </c>
      <c r="L281" s="67">
        <f t="shared" si="226"/>
        <v>0</v>
      </c>
      <c r="M281" s="67">
        <f t="shared" si="226"/>
        <v>0</v>
      </c>
      <c r="N281" s="67">
        <f t="shared" si="226"/>
        <v>0</v>
      </c>
      <c r="O281" s="67">
        <v>0</v>
      </c>
      <c r="P281" s="326">
        <f t="shared" si="223"/>
        <v>213167317.81494913</v>
      </c>
      <c r="Q281" s="2"/>
      <c r="S281" s="2"/>
    </row>
    <row r="282" spans="1:19" x14ac:dyDescent="0.15">
      <c r="B282" s="340" t="s">
        <v>698</v>
      </c>
      <c r="C282" s="12" t="s">
        <v>295</v>
      </c>
      <c r="D282" s="67">
        <f t="shared" si="216"/>
        <v>0</v>
      </c>
      <c r="E282" s="67">
        <f>E167</f>
        <v>0</v>
      </c>
      <c r="F282" s="67">
        <f t="shared" ref="F282:N282" si="227">F167</f>
        <v>0</v>
      </c>
      <c r="G282" s="67">
        <f t="shared" si="227"/>
        <v>0</v>
      </c>
      <c r="H282" s="67">
        <f t="shared" si="227"/>
        <v>0</v>
      </c>
      <c r="I282" s="67">
        <f t="shared" si="227"/>
        <v>0</v>
      </c>
      <c r="J282" s="67">
        <f t="shared" si="227"/>
        <v>0</v>
      </c>
      <c r="K282" s="67">
        <f t="shared" si="227"/>
        <v>0</v>
      </c>
      <c r="L282" s="67">
        <f t="shared" si="227"/>
        <v>0</v>
      </c>
      <c r="M282" s="67">
        <f t="shared" si="227"/>
        <v>0</v>
      </c>
      <c r="N282" s="67">
        <f t="shared" si="227"/>
        <v>0</v>
      </c>
      <c r="O282" s="67">
        <v>0</v>
      </c>
      <c r="P282" s="326">
        <f t="shared" si="223"/>
        <v>0</v>
      </c>
      <c r="Q282" s="2"/>
      <c r="S282" s="2"/>
    </row>
    <row r="283" spans="1:19" x14ac:dyDescent="0.15">
      <c r="B283" s="340">
        <v>7</v>
      </c>
      <c r="C283" s="12" t="s">
        <v>296</v>
      </c>
      <c r="D283" s="67">
        <f t="shared" si="216"/>
        <v>0</v>
      </c>
      <c r="E283" s="67">
        <f>E281-E282</f>
        <v>66057500</v>
      </c>
      <c r="F283" s="67">
        <f t="shared" ref="F283:N283" si="228">F281-F282</f>
        <v>54262775.00000003</v>
      </c>
      <c r="G283" s="67">
        <f t="shared" si="228"/>
        <v>44798631.548749983</v>
      </c>
      <c r="H283" s="67">
        <f t="shared" si="228"/>
        <v>31908352.439272046</v>
      </c>
      <c r="I283" s="67">
        <f t="shared" si="228"/>
        <v>16140058.826927066</v>
      </c>
      <c r="J283" s="67">
        <f t="shared" si="228"/>
        <v>0</v>
      </c>
      <c r="K283" s="67">
        <f t="shared" si="228"/>
        <v>0</v>
      </c>
      <c r="L283" s="67">
        <f t="shared" si="228"/>
        <v>0</v>
      </c>
      <c r="M283" s="67">
        <f t="shared" si="228"/>
        <v>0</v>
      </c>
      <c r="N283" s="67">
        <f t="shared" si="228"/>
        <v>0</v>
      </c>
      <c r="O283" s="67">
        <v>0</v>
      </c>
      <c r="P283" s="326">
        <f t="shared" si="223"/>
        <v>213167317.81494913</v>
      </c>
      <c r="Q283" s="2"/>
      <c r="S283" s="2"/>
    </row>
    <row r="284" spans="1:19" x14ac:dyDescent="0.15">
      <c r="B284" s="340">
        <v>8</v>
      </c>
      <c r="C284" s="12" t="s">
        <v>297</v>
      </c>
      <c r="D284" s="67">
        <f t="shared" si="216"/>
        <v>0</v>
      </c>
      <c r="E284" s="67">
        <f>-E283*$D$3</f>
        <v>-19817250</v>
      </c>
      <c r="F284" s="67">
        <f t="shared" ref="F284:N284" si="229">-F283*$D$3</f>
        <v>-16278832.500000007</v>
      </c>
      <c r="G284" s="67">
        <f t="shared" si="229"/>
        <v>-13439589.464624995</v>
      </c>
      <c r="H284" s="67">
        <f t="shared" si="229"/>
        <v>-9572505.7317816131</v>
      </c>
      <c r="I284" s="67">
        <f t="shared" si="229"/>
        <v>-4842017.6480781194</v>
      </c>
      <c r="J284" s="67">
        <f t="shared" si="229"/>
        <v>0</v>
      </c>
      <c r="K284" s="67">
        <f t="shared" si="229"/>
        <v>0</v>
      </c>
      <c r="L284" s="67">
        <f t="shared" si="229"/>
        <v>0</v>
      </c>
      <c r="M284" s="67">
        <f t="shared" si="229"/>
        <v>0</v>
      </c>
      <c r="N284" s="67">
        <f t="shared" si="229"/>
        <v>0</v>
      </c>
      <c r="O284" s="67">
        <v>0</v>
      </c>
      <c r="P284" s="326">
        <f t="shared" si="223"/>
        <v>-63950195.344484739</v>
      </c>
      <c r="Q284" s="2"/>
      <c r="S284" s="2"/>
    </row>
    <row r="285" spans="1:19" x14ac:dyDescent="0.15">
      <c r="B285" s="340">
        <v>9</v>
      </c>
      <c r="C285" s="12" t="s">
        <v>298</v>
      </c>
      <c r="D285" s="67">
        <f t="shared" si="216"/>
        <v>0</v>
      </c>
      <c r="E285" s="67">
        <f>E170</f>
        <v>0</v>
      </c>
      <c r="F285" s="67">
        <f t="shared" ref="F285:N285" si="230">F170</f>
        <v>0</v>
      </c>
      <c r="G285" s="67">
        <f t="shared" si="230"/>
        <v>0</v>
      </c>
      <c r="H285" s="67">
        <f t="shared" si="230"/>
        <v>0</v>
      </c>
      <c r="I285" s="67">
        <f t="shared" si="230"/>
        <v>0</v>
      </c>
      <c r="J285" s="67">
        <f t="shared" si="230"/>
        <v>0</v>
      </c>
      <c r="K285" s="67">
        <f t="shared" si="230"/>
        <v>0</v>
      </c>
      <c r="L285" s="67">
        <f t="shared" si="230"/>
        <v>0</v>
      </c>
      <c r="M285" s="67">
        <f t="shared" si="230"/>
        <v>0</v>
      </c>
      <c r="N285" s="67">
        <f t="shared" si="230"/>
        <v>0</v>
      </c>
      <c r="O285" s="67">
        <v>0</v>
      </c>
      <c r="P285" s="326">
        <f t="shared" si="223"/>
        <v>0</v>
      </c>
      <c r="Q285" s="2"/>
      <c r="S285" s="2"/>
    </row>
    <row r="286" spans="1:19" x14ac:dyDescent="0.15">
      <c r="B286" s="340">
        <v>10</v>
      </c>
      <c r="C286" s="12" t="s">
        <v>299</v>
      </c>
      <c r="D286" s="67">
        <f t="shared" si="216"/>
        <v>0</v>
      </c>
      <c r="E286" s="67">
        <f>E283+E284+E285</f>
        <v>46240250</v>
      </c>
      <c r="F286" s="67">
        <f t="shared" ref="F286:N286" si="231">F283+F284+F285</f>
        <v>37983942.500000022</v>
      </c>
      <c r="G286" s="67">
        <f t="shared" si="231"/>
        <v>31359042.08412499</v>
      </c>
      <c r="H286" s="67">
        <f t="shared" si="231"/>
        <v>22335846.707490433</v>
      </c>
      <c r="I286" s="67">
        <f t="shared" si="231"/>
        <v>11298041.178848946</v>
      </c>
      <c r="J286" s="67">
        <f t="shared" si="231"/>
        <v>0</v>
      </c>
      <c r="K286" s="67">
        <f t="shared" si="231"/>
        <v>0</v>
      </c>
      <c r="L286" s="67">
        <f t="shared" si="231"/>
        <v>0</v>
      </c>
      <c r="M286" s="67">
        <f t="shared" si="231"/>
        <v>0</v>
      </c>
      <c r="N286" s="67">
        <f t="shared" si="231"/>
        <v>0</v>
      </c>
      <c r="O286" s="67">
        <v>0</v>
      </c>
      <c r="P286" s="326">
        <f t="shared" si="223"/>
        <v>149217122.47046441</v>
      </c>
      <c r="Q286" s="2"/>
      <c r="S286" s="2"/>
    </row>
    <row r="287" spans="1:19" x14ac:dyDescent="0.15">
      <c r="B287" s="340" t="s">
        <v>699</v>
      </c>
      <c r="C287" s="12" t="s">
        <v>292</v>
      </c>
      <c r="D287" s="67">
        <f t="shared" si="216"/>
        <v>0</v>
      </c>
      <c r="E287" s="67">
        <f>E172</f>
        <v>3772500</v>
      </c>
      <c r="F287" s="67">
        <f t="shared" ref="F287:N287" si="232">F172</f>
        <v>6218850</v>
      </c>
      <c r="G287" s="67">
        <f t="shared" si="232"/>
        <v>4083150</v>
      </c>
      <c r="H287" s="67">
        <f t="shared" si="232"/>
        <v>2775510</v>
      </c>
      <c r="I287" s="67">
        <f t="shared" si="232"/>
        <v>1352955</v>
      </c>
      <c r="J287" s="67">
        <f t="shared" si="232"/>
        <v>0</v>
      </c>
      <c r="K287" s="67">
        <f t="shared" si="232"/>
        <v>0</v>
      </c>
      <c r="L287" s="67">
        <f t="shared" si="232"/>
        <v>0</v>
      </c>
      <c r="M287" s="67">
        <f t="shared" si="232"/>
        <v>0</v>
      </c>
      <c r="N287" s="67">
        <f t="shared" si="232"/>
        <v>0</v>
      </c>
      <c r="O287" s="67">
        <v>0</v>
      </c>
      <c r="P287" s="326">
        <f t="shared" si="223"/>
        <v>18202965</v>
      </c>
      <c r="Q287" s="2"/>
      <c r="S287" s="2"/>
    </row>
    <row r="288" spans="1:19" x14ac:dyDescent="0.15">
      <c r="B288" s="340">
        <v>12</v>
      </c>
      <c r="C288" s="12" t="s">
        <v>301</v>
      </c>
      <c r="D288" s="67">
        <f t="shared" si="216"/>
        <v>0</v>
      </c>
      <c r="E288" s="67">
        <f>E286+E287</f>
        <v>50012750</v>
      </c>
      <c r="F288" s="67">
        <f t="shared" ref="F288:N288" si="233">F286+F287</f>
        <v>44202792.500000022</v>
      </c>
      <c r="G288" s="67">
        <f t="shared" si="233"/>
        <v>35442192.08412499</v>
      </c>
      <c r="H288" s="67">
        <f t="shared" si="233"/>
        <v>25111356.707490433</v>
      </c>
      <c r="I288" s="67">
        <f t="shared" si="233"/>
        <v>12650996.178848946</v>
      </c>
      <c r="J288" s="67">
        <f t="shared" si="233"/>
        <v>0</v>
      </c>
      <c r="K288" s="67">
        <f t="shared" si="233"/>
        <v>0</v>
      </c>
      <c r="L288" s="67">
        <f t="shared" si="233"/>
        <v>0</v>
      </c>
      <c r="M288" s="67">
        <f t="shared" si="233"/>
        <v>0</v>
      </c>
      <c r="N288" s="67">
        <f t="shared" si="233"/>
        <v>0</v>
      </c>
      <c r="O288" s="67">
        <v>0</v>
      </c>
      <c r="P288" s="326">
        <f t="shared" si="223"/>
        <v>167420087.47046441</v>
      </c>
      <c r="Q288" s="2"/>
      <c r="S288" s="2"/>
    </row>
    <row r="289" spans="1:19" x14ac:dyDescent="0.15">
      <c r="B289" s="340" t="s">
        <v>700</v>
      </c>
      <c r="C289" s="12" t="s">
        <v>303</v>
      </c>
      <c r="D289" s="67">
        <v>0</v>
      </c>
      <c r="E289" s="67">
        <f t="shared" ref="E289:N289" si="234">E174</f>
        <v>0</v>
      </c>
      <c r="F289" s="67">
        <f t="shared" si="234"/>
        <v>0</v>
      </c>
      <c r="G289" s="67">
        <f t="shared" si="234"/>
        <v>0</v>
      </c>
      <c r="H289" s="67">
        <f t="shared" si="234"/>
        <v>0</v>
      </c>
      <c r="I289" s="67">
        <f t="shared" si="234"/>
        <v>0</v>
      </c>
      <c r="J289" s="67">
        <f t="shared" si="234"/>
        <v>0</v>
      </c>
      <c r="K289" s="67">
        <f t="shared" si="234"/>
        <v>0</v>
      </c>
      <c r="L289" s="67">
        <f t="shared" si="234"/>
        <v>0</v>
      </c>
      <c r="M289" s="67">
        <f t="shared" si="234"/>
        <v>0</v>
      </c>
      <c r="N289" s="67">
        <f t="shared" si="234"/>
        <v>0</v>
      </c>
      <c r="O289" s="67">
        <v>0</v>
      </c>
      <c r="P289" s="326">
        <f t="shared" si="223"/>
        <v>0</v>
      </c>
      <c r="Q289" s="2"/>
      <c r="S289" s="2"/>
    </row>
    <row r="290" spans="1:19" x14ac:dyDescent="0.15">
      <c r="B290" s="340">
        <v>14</v>
      </c>
      <c r="C290" s="12" t="s">
        <v>304</v>
      </c>
      <c r="D290" s="67">
        <f t="shared" ref="D290:N296" si="235">D175</f>
        <v>-32550000</v>
      </c>
      <c r="E290" s="67">
        <f t="shared" si="235"/>
        <v>0</v>
      </c>
      <c r="F290" s="67">
        <f t="shared" si="235"/>
        <v>0</v>
      </c>
      <c r="G290" s="67">
        <f t="shared" si="235"/>
        <v>0</v>
      </c>
      <c r="H290" s="67">
        <f t="shared" si="235"/>
        <v>0</v>
      </c>
      <c r="I290" s="67">
        <f t="shared" si="235"/>
        <v>14347035</v>
      </c>
      <c r="J290" s="67">
        <f t="shared" si="235"/>
        <v>0</v>
      </c>
      <c r="K290" s="67">
        <f t="shared" si="235"/>
        <v>0</v>
      </c>
      <c r="L290" s="67">
        <f t="shared" si="235"/>
        <v>0</v>
      </c>
      <c r="M290" s="67">
        <f t="shared" si="235"/>
        <v>0</v>
      </c>
      <c r="N290" s="67">
        <f t="shared" si="235"/>
        <v>0</v>
      </c>
      <c r="O290" s="67">
        <v>0</v>
      </c>
      <c r="P290" s="326">
        <f t="shared" si="223"/>
        <v>-18202965</v>
      </c>
      <c r="Q290" s="2"/>
      <c r="S290" s="2"/>
    </row>
    <row r="291" spans="1:19" x14ac:dyDescent="0.15">
      <c r="B291" s="340" t="s">
        <v>701</v>
      </c>
      <c r="C291" s="12" t="s">
        <v>207</v>
      </c>
      <c r="D291" s="67">
        <f t="shared" si="235"/>
        <v>-31050000</v>
      </c>
      <c r="E291" s="67">
        <f t="shared" si="235"/>
        <v>0</v>
      </c>
      <c r="F291" s="67">
        <f t="shared" si="235"/>
        <v>0</v>
      </c>
      <c r="G291" s="67">
        <f t="shared" si="235"/>
        <v>0</v>
      </c>
      <c r="H291" s="67">
        <f t="shared" si="235"/>
        <v>0</v>
      </c>
      <c r="I291" s="67">
        <f t="shared" si="235"/>
        <v>12847035</v>
      </c>
      <c r="J291" s="67">
        <f t="shared" si="235"/>
        <v>0</v>
      </c>
      <c r="K291" s="67">
        <f t="shared" si="235"/>
        <v>0</v>
      </c>
      <c r="L291" s="67">
        <f t="shared" si="235"/>
        <v>0</v>
      </c>
      <c r="M291" s="67">
        <f t="shared" si="235"/>
        <v>0</v>
      </c>
      <c r="N291" s="67">
        <f t="shared" si="235"/>
        <v>0</v>
      </c>
      <c r="O291" s="67">
        <v>0</v>
      </c>
      <c r="P291" s="326">
        <f t="shared" si="223"/>
        <v>-18202965</v>
      </c>
      <c r="Q291" s="2"/>
      <c r="S291" s="2"/>
    </row>
    <row r="292" spans="1:19" x14ac:dyDescent="0.15">
      <c r="B292" s="340" t="s">
        <v>702</v>
      </c>
      <c r="C292" s="12" t="s">
        <v>307</v>
      </c>
      <c r="D292" s="67">
        <f t="shared" si="235"/>
        <v>-1500000</v>
      </c>
      <c r="E292" s="67">
        <f t="shared" si="235"/>
        <v>0</v>
      </c>
      <c r="F292" s="67">
        <f t="shared" si="235"/>
        <v>0</v>
      </c>
      <c r="G292" s="67">
        <f t="shared" si="235"/>
        <v>0</v>
      </c>
      <c r="H292" s="67">
        <f t="shared" si="235"/>
        <v>0</v>
      </c>
      <c r="I292" s="67">
        <f t="shared" si="235"/>
        <v>1500000</v>
      </c>
      <c r="J292" s="67">
        <f t="shared" si="235"/>
        <v>0</v>
      </c>
      <c r="K292" s="67">
        <f t="shared" si="235"/>
        <v>0</v>
      </c>
      <c r="L292" s="67">
        <f t="shared" si="235"/>
        <v>0</v>
      </c>
      <c r="M292" s="67">
        <f t="shared" si="235"/>
        <v>0</v>
      </c>
      <c r="N292" s="67">
        <f t="shared" si="235"/>
        <v>0</v>
      </c>
      <c r="O292" s="67">
        <v>0</v>
      </c>
      <c r="P292" s="326">
        <f t="shared" si="223"/>
        <v>0</v>
      </c>
      <c r="Q292" s="2"/>
      <c r="S292" s="2"/>
    </row>
    <row r="293" spans="1:19" x14ac:dyDescent="0.15">
      <c r="B293" s="340" t="s">
        <v>703</v>
      </c>
      <c r="C293" s="12" t="s">
        <v>309</v>
      </c>
      <c r="D293" s="67">
        <f t="shared" si="235"/>
        <v>0</v>
      </c>
      <c r="E293" s="67">
        <f t="shared" si="235"/>
        <v>0</v>
      </c>
      <c r="F293" s="67">
        <f t="shared" si="235"/>
        <v>0</v>
      </c>
      <c r="G293" s="67">
        <f t="shared" si="235"/>
        <v>0</v>
      </c>
      <c r="H293" s="67">
        <f t="shared" si="235"/>
        <v>0</v>
      </c>
      <c r="I293" s="67">
        <f t="shared" si="235"/>
        <v>0</v>
      </c>
      <c r="J293" s="67">
        <f t="shared" si="235"/>
        <v>0</v>
      </c>
      <c r="K293" s="67">
        <f t="shared" si="235"/>
        <v>0</v>
      </c>
      <c r="L293" s="67">
        <f t="shared" si="235"/>
        <v>0</v>
      </c>
      <c r="M293" s="67">
        <f t="shared" si="235"/>
        <v>0</v>
      </c>
      <c r="N293" s="67">
        <f t="shared" si="235"/>
        <v>0</v>
      </c>
      <c r="O293" s="67">
        <v>0</v>
      </c>
      <c r="P293" s="326">
        <f t="shared" si="223"/>
        <v>0</v>
      </c>
      <c r="Q293" s="2"/>
      <c r="S293" s="2"/>
    </row>
    <row r="294" spans="1:19" x14ac:dyDescent="0.15">
      <c r="B294" s="340" t="s">
        <v>704</v>
      </c>
      <c r="C294" s="12" t="s">
        <v>311</v>
      </c>
      <c r="D294" s="67">
        <f t="shared" si="235"/>
        <v>0</v>
      </c>
      <c r="E294" s="67">
        <f t="shared" si="235"/>
        <v>0</v>
      </c>
      <c r="F294" s="67">
        <f t="shared" si="235"/>
        <v>0</v>
      </c>
      <c r="G294" s="67">
        <f t="shared" si="235"/>
        <v>0</v>
      </c>
      <c r="H294" s="67">
        <f t="shared" si="235"/>
        <v>0</v>
      </c>
      <c r="I294" s="67">
        <f t="shared" si="235"/>
        <v>-2596968.7000000002</v>
      </c>
      <c r="J294" s="67">
        <f t="shared" si="235"/>
        <v>0</v>
      </c>
      <c r="K294" s="67">
        <f t="shared" si="235"/>
        <v>0</v>
      </c>
      <c r="L294" s="67">
        <f t="shared" si="235"/>
        <v>0</v>
      </c>
      <c r="M294" s="67">
        <f t="shared" si="235"/>
        <v>0</v>
      </c>
      <c r="N294" s="67">
        <f t="shared" si="235"/>
        <v>0</v>
      </c>
      <c r="O294" s="67">
        <v>0</v>
      </c>
      <c r="P294" s="326">
        <f t="shared" si="223"/>
        <v>-2596968.7000000002</v>
      </c>
      <c r="Q294" s="2"/>
      <c r="S294" s="2"/>
    </row>
    <row r="295" spans="1:19" ht="14" thickBot="1" x14ac:dyDescent="0.2">
      <c r="B295" s="340" t="s">
        <v>705</v>
      </c>
      <c r="C295" s="12" t="s">
        <v>115</v>
      </c>
      <c r="D295" s="67">
        <f t="shared" si="235"/>
        <v>-60000000</v>
      </c>
      <c r="E295" s="67">
        <f t="shared" si="235"/>
        <v>0</v>
      </c>
      <c r="F295" s="67">
        <f t="shared" si="235"/>
        <v>0</v>
      </c>
      <c r="G295" s="67">
        <f t="shared" si="235"/>
        <v>0</v>
      </c>
      <c r="H295" s="67">
        <f t="shared" si="235"/>
        <v>0</v>
      </c>
      <c r="I295" s="67">
        <f t="shared" si="235"/>
        <v>60000000</v>
      </c>
      <c r="J295" s="67">
        <f t="shared" si="235"/>
        <v>0</v>
      </c>
      <c r="K295" s="67">
        <f t="shared" si="235"/>
        <v>0</v>
      </c>
      <c r="L295" s="67">
        <f t="shared" si="235"/>
        <v>0</v>
      </c>
      <c r="M295" s="67">
        <f t="shared" si="235"/>
        <v>0</v>
      </c>
      <c r="N295" s="67">
        <f t="shared" si="235"/>
        <v>0</v>
      </c>
      <c r="O295" s="67">
        <v>0</v>
      </c>
      <c r="P295" s="326">
        <f t="shared" si="223"/>
        <v>0</v>
      </c>
      <c r="Q295" s="2"/>
      <c r="S295" s="2"/>
    </row>
    <row r="296" spans="1:19" x14ac:dyDescent="0.15">
      <c r="B296" s="340">
        <v>17</v>
      </c>
      <c r="C296" s="12" t="s">
        <v>313</v>
      </c>
      <c r="D296" s="67">
        <f t="shared" si="235"/>
        <v>-92550000</v>
      </c>
      <c r="E296" s="67">
        <f t="shared" si="235"/>
        <v>0</v>
      </c>
      <c r="F296" s="67">
        <f t="shared" si="235"/>
        <v>0</v>
      </c>
      <c r="G296" s="67">
        <f t="shared" si="235"/>
        <v>0</v>
      </c>
      <c r="H296" s="67">
        <f t="shared" si="235"/>
        <v>0</v>
      </c>
      <c r="I296" s="67">
        <f t="shared" si="235"/>
        <v>71750066.299999997</v>
      </c>
      <c r="J296" s="67">
        <f t="shared" si="235"/>
        <v>0</v>
      </c>
      <c r="K296" s="67">
        <f t="shared" si="235"/>
        <v>0</v>
      </c>
      <c r="L296" s="67">
        <f t="shared" si="235"/>
        <v>0</v>
      </c>
      <c r="M296" s="67">
        <f t="shared" si="235"/>
        <v>0</v>
      </c>
      <c r="N296" s="67">
        <f t="shared" si="235"/>
        <v>0</v>
      </c>
      <c r="O296" s="67">
        <v>0</v>
      </c>
      <c r="P296" s="326">
        <f t="shared" si="223"/>
        <v>-20799933.700000003</v>
      </c>
      <c r="Q296" s="461"/>
      <c r="R296" s="357" t="s">
        <v>693</v>
      </c>
      <c r="S296" s="2"/>
    </row>
    <row r="297" spans="1:19" ht="14" thickBot="1" x14ac:dyDescent="0.2">
      <c r="A297" s="1" t="s">
        <v>712</v>
      </c>
      <c r="B297" s="355">
        <v>18</v>
      </c>
      <c r="C297" s="335" t="s">
        <v>314</v>
      </c>
      <c r="D297" s="331">
        <f>D296+D288</f>
        <v>-92550000</v>
      </c>
      <c r="E297" s="331">
        <f t="shared" ref="E297:N297" si="236">E296+E288</f>
        <v>50012750</v>
      </c>
      <c r="F297" s="331">
        <f t="shared" si="236"/>
        <v>44202792.500000022</v>
      </c>
      <c r="G297" s="331">
        <f t="shared" si="236"/>
        <v>35442192.08412499</v>
      </c>
      <c r="H297" s="331">
        <f t="shared" si="236"/>
        <v>25111356.707490433</v>
      </c>
      <c r="I297" s="331">
        <f t="shared" si="236"/>
        <v>84401062.478848949</v>
      </c>
      <c r="J297" s="331">
        <f t="shared" si="236"/>
        <v>0</v>
      </c>
      <c r="K297" s="331">
        <f t="shared" si="236"/>
        <v>0</v>
      </c>
      <c r="L297" s="331">
        <f t="shared" si="236"/>
        <v>0</v>
      </c>
      <c r="M297" s="331">
        <f t="shared" si="236"/>
        <v>0</v>
      </c>
      <c r="N297" s="331">
        <f t="shared" si="236"/>
        <v>0</v>
      </c>
      <c r="O297" s="331">
        <v>0</v>
      </c>
      <c r="P297" s="356">
        <f>SUM(D297:N297)</f>
        <v>146620153.77046439</v>
      </c>
      <c r="Q297" s="463"/>
      <c r="R297" s="358">
        <f>IF(ISNUMBER(IRR(D297:N297)),IRR(D297:N297),"NMF")</f>
        <v>0.40549033935008683</v>
      </c>
      <c r="S297" s="1" t="s">
        <v>712</v>
      </c>
    </row>
    <row r="298" spans="1:19" x14ac:dyDescent="0.15">
      <c r="S298" s="2"/>
    </row>
    <row r="299" spans="1:19" ht="14" thickBot="1" x14ac:dyDescent="0.2">
      <c r="S299" s="2"/>
    </row>
    <row r="300" spans="1:19" ht="14" thickBot="1" x14ac:dyDescent="0.2">
      <c r="A300" t="s">
        <v>713</v>
      </c>
      <c r="B300" s="359" t="s">
        <v>282</v>
      </c>
      <c r="C300" s="360" t="s">
        <v>283</v>
      </c>
      <c r="D300" s="360"/>
      <c r="E300" s="360">
        <v>1</v>
      </c>
      <c r="F300" s="360">
        <v>2</v>
      </c>
      <c r="G300" s="360">
        <v>3</v>
      </c>
      <c r="H300" s="360">
        <v>4</v>
      </c>
      <c r="I300" s="360">
        <v>5</v>
      </c>
      <c r="J300" s="360">
        <v>6</v>
      </c>
      <c r="K300" s="360">
        <v>7</v>
      </c>
      <c r="L300" s="360">
        <v>8</v>
      </c>
      <c r="M300" s="360">
        <v>9</v>
      </c>
      <c r="N300" s="360">
        <v>10</v>
      </c>
      <c r="O300" s="360" t="s">
        <v>284</v>
      </c>
      <c r="P300" s="361" t="s">
        <v>285</v>
      </c>
    </row>
    <row r="301" spans="1:19" x14ac:dyDescent="0.15">
      <c r="B301" s="339" t="s">
        <v>687</v>
      </c>
      <c r="C301" s="302" t="s">
        <v>287</v>
      </c>
      <c r="D301" s="322">
        <f t="shared" ref="D301:D316" si="237">D158</f>
        <v>0</v>
      </c>
      <c r="E301" s="322">
        <f t="shared" ref="E301:N301" si="238">E158</f>
        <v>300000000</v>
      </c>
      <c r="F301" s="322">
        <f t="shared" si="238"/>
        <v>313500000.00000006</v>
      </c>
      <c r="G301" s="322">
        <f t="shared" si="238"/>
        <v>327607500.00000006</v>
      </c>
      <c r="H301" s="322">
        <f t="shared" si="238"/>
        <v>342349837.50000012</v>
      </c>
      <c r="I301" s="322">
        <f t="shared" si="238"/>
        <v>357755580.18750012</v>
      </c>
      <c r="J301" s="322">
        <f t="shared" si="238"/>
        <v>0</v>
      </c>
      <c r="K301" s="322">
        <f t="shared" si="238"/>
        <v>0</v>
      </c>
      <c r="L301" s="322">
        <f t="shared" si="238"/>
        <v>0</v>
      </c>
      <c r="M301" s="322">
        <f t="shared" si="238"/>
        <v>0</v>
      </c>
      <c r="N301" s="322">
        <f t="shared" si="238"/>
        <v>0</v>
      </c>
      <c r="O301" s="322">
        <v>0</v>
      </c>
      <c r="P301" s="325">
        <f>SUM(D301:N301)</f>
        <v>1641212917.6875</v>
      </c>
      <c r="Q301" s="2"/>
    </row>
    <row r="302" spans="1:19" x14ac:dyDescent="0.15">
      <c r="A302" s="1" t="s">
        <v>714</v>
      </c>
      <c r="B302" s="340" t="s">
        <v>689</v>
      </c>
      <c r="C302" s="354" t="s">
        <v>689</v>
      </c>
      <c r="D302" s="67">
        <f t="shared" si="237"/>
        <v>0</v>
      </c>
      <c r="E302" s="67">
        <f>E159</f>
        <v>300000000</v>
      </c>
      <c r="F302" s="67">
        <f t="shared" ref="F302:N302" si="239">F159</f>
        <v>313500000.00000006</v>
      </c>
      <c r="G302" s="67">
        <f t="shared" si="239"/>
        <v>327607500.00000006</v>
      </c>
      <c r="H302" s="67">
        <f t="shared" si="239"/>
        <v>342349837.50000012</v>
      </c>
      <c r="I302" s="67">
        <f t="shared" si="239"/>
        <v>357755580.18750012</v>
      </c>
      <c r="J302" s="67">
        <f t="shared" si="239"/>
        <v>0</v>
      </c>
      <c r="K302" s="67">
        <f t="shared" si="239"/>
        <v>0</v>
      </c>
      <c r="L302" s="67">
        <f t="shared" si="239"/>
        <v>0</v>
      </c>
      <c r="M302" s="67">
        <f t="shared" si="239"/>
        <v>0</v>
      </c>
      <c r="N302" s="67">
        <f t="shared" si="239"/>
        <v>0</v>
      </c>
      <c r="O302" s="67"/>
      <c r="P302" s="326">
        <f>SUM(D302:N302)</f>
        <v>1641212917.6875</v>
      </c>
      <c r="Q302" s="2"/>
    </row>
    <row r="303" spans="1:19" x14ac:dyDescent="0.15">
      <c r="B303" s="340" t="s">
        <v>690</v>
      </c>
      <c r="C303" s="354" t="s">
        <v>690</v>
      </c>
      <c r="D303" s="67">
        <f t="shared" si="237"/>
        <v>0</v>
      </c>
      <c r="E303" s="67">
        <f>E160</f>
        <v>0</v>
      </c>
      <c r="F303" s="67">
        <f t="shared" ref="F303:N303" si="240">F160</f>
        <v>0</v>
      </c>
      <c r="G303" s="67">
        <f t="shared" si="240"/>
        <v>0</v>
      </c>
      <c r="H303" s="67">
        <f t="shared" si="240"/>
        <v>0</v>
      </c>
      <c r="I303" s="67">
        <f t="shared" si="240"/>
        <v>0</v>
      </c>
      <c r="J303" s="67">
        <f t="shared" si="240"/>
        <v>0</v>
      </c>
      <c r="K303" s="67">
        <f t="shared" si="240"/>
        <v>0</v>
      </c>
      <c r="L303" s="67">
        <f t="shared" si="240"/>
        <v>0</v>
      </c>
      <c r="M303" s="67">
        <f t="shared" si="240"/>
        <v>0</v>
      </c>
      <c r="N303" s="67">
        <f t="shared" si="240"/>
        <v>0</v>
      </c>
      <c r="O303" s="289"/>
      <c r="P303" s="326">
        <f>SUM(D303:N303)</f>
        <v>0</v>
      </c>
      <c r="Q303" s="2"/>
    </row>
    <row r="304" spans="1:19" x14ac:dyDescent="0.15">
      <c r="B304" s="355" t="s">
        <v>691</v>
      </c>
      <c r="C304" s="362" t="s">
        <v>691</v>
      </c>
      <c r="D304" s="331">
        <f t="shared" si="237"/>
        <v>0</v>
      </c>
      <c r="E304" s="331">
        <f>E161*1.25</f>
        <v>0</v>
      </c>
      <c r="F304" s="331">
        <f t="shared" ref="F304:N304" si="241">F161*1.25</f>
        <v>0</v>
      </c>
      <c r="G304" s="331">
        <f t="shared" si="241"/>
        <v>0</v>
      </c>
      <c r="H304" s="331">
        <f t="shared" si="241"/>
        <v>0</v>
      </c>
      <c r="I304" s="331">
        <f t="shared" si="241"/>
        <v>0</v>
      </c>
      <c r="J304" s="331">
        <f t="shared" si="241"/>
        <v>0</v>
      </c>
      <c r="K304" s="331">
        <f t="shared" si="241"/>
        <v>0</v>
      </c>
      <c r="L304" s="331">
        <f t="shared" si="241"/>
        <v>0</v>
      </c>
      <c r="M304" s="331">
        <f t="shared" si="241"/>
        <v>0</v>
      </c>
      <c r="N304" s="331">
        <f t="shared" si="241"/>
        <v>0</v>
      </c>
      <c r="O304" s="331"/>
      <c r="P304" s="356">
        <f>SUM(D304:N304)</f>
        <v>0</v>
      </c>
      <c r="Q304" s="460"/>
    </row>
    <row r="305" spans="2:17" x14ac:dyDescent="0.15">
      <c r="B305" s="340" t="s">
        <v>695</v>
      </c>
      <c r="C305" s="12"/>
      <c r="D305" s="67">
        <f t="shared" si="237"/>
        <v>0</v>
      </c>
      <c r="E305" s="67">
        <f>E304+E303+E302</f>
        <v>300000000</v>
      </c>
      <c r="F305" s="67">
        <f t="shared" ref="F305:N305" si="242">F304+F303+F302</f>
        <v>313500000.00000006</v>
      </c>
      <c r="G305" s="67">
        <f t="shared" si="242"/>
        <v>327607500.00000006</v>
      </c>
      <c r="H305" s="67">
        <f t="shared" si="242"/>
        <v>342349837.50000012</v>
      </c>
      <c r="I305" s="67">
        <f t="shared" si="242"/>
        <v>357755580.18750012</v>
      </c>
      <c r="J305" s="67">
        <f t="shared" si="242"/>
        <v>0</v>
      </c>
      <c r="K305" s="67">
        <f t="shared" si="242"/>
        <v>0</v>
      </c>
      <c r="L305" s="67">
        <f t="shared" si="242"/>
        <v>0</v>
      </c>
      <c r="M305" s="67">
        <f t="shared" si="242"/>
        <v>0</v>
      </c>
      <c r="N305" s="67">
        <f t="shared" si="242"/>
        <v>0</v>
      </c>
      <c r="O305" s="67"/>
      <c r="P305" s="326">
        <f>SUM(D305:N305)</f>
        <v>1641212917.6875</v>
      </c>
      <c r="Q305" s="2"/>
    </row>
    <row r="306" spans="2:17" x14ac:dyDescent="0.15">
      <c r="B306" s="340" t="s">
        <v>696</v>
      </c>
      <c r="C306" s="12" t="s">
        <v>289</v>
      </c>
      <c r="D306" s="67">
        <f t="shared" si="237"/>
        <v>0</v>
      </c>
      <c r="E306" s="67">
        <f t="shared" ref="E306:N306" si="243">E163</f>
        <v>230170000</v>
      </c>
      <c r="F306" s="67">
        <f t="shared" si="243"/>
        <v>253018375.00000003</v>
      </c>
      <c r="G306" s="67">
        <f t="shared" si="243"/>
        <v>278725718.45125008</v>
      </c>
      <c r="H306" s="67">
        <f t="shared" si="243"/>
        <v>307665975.06072807</v>
      </c>
      <c r="I306" s="67">
        <f t="shared" si="243"/>
        <v>340262566.36057305</v>
      </c>
      <c r="J306" s="67">
        <f t="shared" si="243"/>
        <v>0</v>
      </c>
      <c r="K306" s="67">
        <f t="shared" si="243"/>
        <v>0</v>
      </c>
      <c r="L306" s="67">
        <f t="shared" si="243"/>
        <v>0</v>
      </c>
      <c r="M306" s="67">
        <f t="shared" si="243"/>
        <v>0</v>
      </c>
      <c r="N306" s="67">
        <f t="shared" si="243"/>
        <v>0</v>
      </c>
      <c r="O306" s="67">
        <v>0</v>
      </c>
      <c r="P306" s="326">
        <f t="shared" ref="P306:P324" si="244">SUM(D306:N306)</f>
        <v>1409842634.8725512</v>
      </c>
      <c r="Q306" s="2"/>
    </row>
    <row r="307" spans="2:17" x14ac:dyDescent="0.15">
      <c r="B307" s="340">
        <v>3</v>
      </c>
      <c r="C307" s="12" t="s">
        <v>290</v>
      </c>
      <c r="D307" s="67">
        <f t="shared" si="237"/>
        <v>0</v>
      </c>
      <c r="E307" s="67">
        <f>E305-E306</f>
        <v>69830000</v>
      </c>
      <c r="F307" s="67">
        <f t="shared" ref="F307:N307" si="245">F305-F306</f>
        <v>60481625.00000003</v>
      </c>
      <c r="G307" s="67">
        <f t="shared" si="245"/>
        <v>48881781.548749983</v>
      </c>
      <c r="H307" s="67">
        <f t="shared" si="245"/>
        <v>34683862.439272046</v>
      </c>
      <c r="I307" s="67">
        <f t="shared" si="245"/>
        <v>17493013.826927066</v>
      </c>
      <c r="J307" s="67">
        <f t="shared" si="245"/>
        <v>0</v>
      </c>
      <c r="K307" s="67">
        <f t="shared" si="245"/>
        <v>0</v>
      </c>
      <c r="L307" s="67">
        <f t="shared" si="245"/>
        <v>0</v>
      </c>
      <c r="M307" s="67">
        <f t="shared" si="245"/>
        <v>0</v>
      </c>
      <c r="N307" s="67">
        <f t="shared" si="245"/>
        <v>0</v>
      </c>
      <c r="O307" s="67">
        <v>0</v>
      </c>
      <c r="P307" s="326">
        <f t="shared" si="244"/>
        <v>231370282.81494913</v>
      </c>
      <c r="Q307" s="2"/>
    </row>
    <row r="308" spans="2:17" x14ac:dyDescent="0.15">
      <c r="B308" s="340" t="s">
        <v>697</v>
      </c>
      <c r="C308" s="12" t="s">
        <v>292</v>
      </c>
      <c r="D308" s="67">
        <f t="shared" si="237"/>
        <v>0</v>
      </c>
      <c r="E308" s="67">
        <f>E165</f>
        <v>3772500</v>
      </c>
      <c r="F308" s="67">
        <f t="shared" ref="F308:N308" si="246">F165</f>
        <v>6218850</v>
      </c>
      <c r="G308" s="67">
        <f t="shared" si="246"/>
        <v>4083150</v>
      </c>
      <c r="H308" s="67">
        <f t="shared" si="246"/>
        <v>2775510</v>
      </c>
      <c r="I308" s="67">
        <f t="shared" si="246"/>
        <v>1352955</v>
      </c>
      <c r="J308" s="67">
        <f t="shared" si="246"/>
        <v>0</v>
      </c>
      <c r="K308" s="67">
        <f t="shared" si="246"/>
        <v>0</v>
      </c>
      <c r="L308" s="67">
        <f t="shared" si="246"/>
        <v>0</v>
      </c>
      <c r="M308" s="67">
        <f t="shared" si="246"/>
        <v>0</v>
      </c>
      <c r="N308" s="67">
        <f t="shared" si="246"/>
        <v>0</v>
      </c>
      <c r="O308" s="67">
        <v>0</v>
      </c>
      <c r="P308" s="326">
        <f t="shared" si="244"/>
        <v>18202965</v>
      </c>
      <c r="Q308" s="2"/>
    </row>
    <row r="309" spans="2:17" x14ac:dyDescent="0.15">
      <c r="B309" s="340">
        <v>5</v>
      </c>
      <c r="C309" s="12" t="s">
        <v>293</v>
      </c>
      <c r="D309" s="67">
        <f t="shared" si="237"/>
        <v>0</v>
      </c>
      <c r="E309" s="67">
        <f>E307-E308</f>
        <v>66057500</v>
      </c>
      <c r="F309" s="67">
        <f t="shared" ref="F309:N309" si="247">F307-F308</f>
        <v>54262775.00000003</v>
      </c>
      <c r="G309" s="67">
        <f t="shared" si="247"/>
        <v>44798631.548749983</v>
      </c>
      <c r="H309" s="67">
        <f t="shared" si="247"/>
        <v>31908352.439272046</v>
      </c>
      <c r="I309" s="67">
        <f t="shared" si="247"/>
        <v>16140058.826927066</v>
      </c>
      <c r="J309" s="67">
        <f t="shared" si="247"/>
        <v>0</v>
      </c>
      <c r="K309" s="67">
        <f t="shared" si="247"/>
        <v>0</v>
      </c>
      <c r="L309" s="67">
        <f t="shared" si="247"/>
        <v>0</v>
      </c>
      <c r="M309" s="67">
        <f t="shared" si="247"/>
        <v>0</v>
      </c>
      <c r="N309" s="67">
        <f t="shared" si="247"/>
        <v>0</v>
      </c>
      <c r="O309" s="67">
        <v>0</v>
      </c>
      <c r="P309" s="326">
        <f t="shared" si="244"/>
        <v>213167317.81494913</v>
      </c>
      <c r="Q309" s="2"/>
    </row>
    <row r="310" spans="2:17" x14ac:dyDescent="0.15">
      <c r="B310" s="340" t="s">
        <v>698</v>
      </c>
      <c r="C310" s="12" t="s">
        <v>295</v>
      </c>
      <c r="D310" s="67">
        <f t="shared" si="237"/>
        <v>0</v>
      </c>
      <c r="E310" s="67">
        <f>E167</f>
        <v>0</v>
      </c>
      <c r="F310" s="67">
        <f t="shared" ref="F310:N310" si="248">F167</f>
        <v>0</v>
      </c>
      <c r="G310" s="67">
        <f t="shared" si="248"/>
        <v>0</v>
      </c>
      <c r="H310" s="67">
        <f t="shared" si="248"/>
        <v>0</v>
      </c>
      <c r="I310" s="67">
        <f t="shared" si="248"/>
        <v>0</v>
      </c>
      <c r="J310" s="67">
        <f t="shared" si="248"/>
        <v>0</v>
      </c>
      <c r="K310" s="67">
        <f t="shared" si="248"/>
        <v>0</v>
      </c>
      <c r="L310" s="67">
        <f t="shared" si="248"/>
        <v>0</v>
      </c>
      <c r="M310" s="67">
        <f t="shared" si="248"/>
        <v>0</v>
      </c>
      <c r="N310" s="67">
        <f t="shared" si="248"/>
        <v>0</v>
      </c>
      <c r="O310" s="67">
        <v>0</v>
      </c>
      <c r="P310" s="326">
        <f t="shared" si="244"/>
        <v>0</v>
      </c>
      <c r="Q310" s="2"/>
    </row>
    <row r="311" spans="2:17" x14ac:dyDescent="0.15">
      <c r="B311" s="340">
        <v>7</v>
      </c>
      <c r="C311" s="12" t="s">
        <v>296</v>
      </c>
      <c r="D311" s="67">
        <f t="shared" si="237"/>
        <v>0</v>
      </c>
      <c r="E311" s="67">
        <f>E309-E310</f>
        <v>66057500</v>
      </c>
      <c r="F311" s="67">
        <f t="shared" ref="F311:N311" si="249">F309-F310</f>
        <v>54262775.00000003</v>
      </c>
      <c r="G311" s="67">
        <f t="shared" si="249"/>
        <v>44798631.548749983</v>
      </c>
      <c r="H311" s="67">
        <f t="shared" si="249"/>
        <v>31908352.439272046</v>
      </c>
      <c r="I311" s="67">
        <f t="shared" si="249"/>
        <v>16140058.826927066</v>
      </c>
      <c r="J311" s="67">
        <f t="shared" si="249"/>
        <v>0</v>
      </c>
      <c r="K311" s="67">
        <f t="shared" si="249"/>
        <v>0</v>
      </c>
      <c r="L311" s="67">
        <f t="shared" si="249"/>
        <v>0</v>
      </c>
      <c r="M311" s="67">
        <f t="shared" si="249"/>
        <v>0</v>
      </c>
      <c r="N311" s="67">
        <f t="shared" si="249"/>
        <v>0</v>
      </c>
      <c r="O311" s="67">
        <v>0</v>
      </c>
      <c r="P311" s="326">
        <f t="shared" si="244"/>
        <v>213167317.81494913</v>
      </c>
      <c r="Q311" s="2"/>
    </row>
    <row r="312" spans="2:17" x14ac:dyDescent="0.15">
      <c r="B312" s="340">
        <v>8</v>
      </c>
      <c r="C312" s="12" t="s">
        <v>297</v>
      </c>
      <c r="D312" s="67">
        <f t="shared" si="237"/>
        <v>0</v>
      </c>
      <c r="E312" s="67">
        <f>-E311*$D$3</f>
        <v>-19817250</v>
      </c>
      <c r="F312" s="67">
        <f t="shared" ref="F312:N312" si="250">-F311*$D$3</f>
        <v>-16278832.500000007</v>
      </c>
      <c r="G312" s="67">
        <f t="shared" si="250"/>
        <v>-13439589.464624995</v>
      </c>
      <c r="H312" s="67">
        <f t="shared" si="250"/>
        <v>-9572505.7317816131</v>
      </c>
      <c r="I312" s="67">
        <f t="shared" si="250"/>
        <v>-4842017.6480781194</v>
      </c>
      <c r="J312" s="67">
        <f t="shared" si="250"/>
        <v>0</v>
      </c>
      <c r="K312" s="67">
        <f t="shared" si="250"/>
        <v>0</v>
      </c>
      <c r="L312" s="67">
        <f t="shared" si="250"/>
        <v>0</v>
      </c>
      <c r="M312" s="67">
        <f t="shared" si="250"/>
        <v>0</v>
      </c>
      <c r="N312" s="67">
        <f t="shared" si="250"/>
        <v>0</v>
      </c>
      <c r="O312" s="67">
        <v>0</v>
      </c>
      <c r="P312" s="326">
        <f t="shared" si="244"/>
        <v>-63950195.344484739</v>
      </c>
      <c r="Q312" s="2"/>
    </row>
    <row r="313" spans="2:17" x14ac:dyDescent="0.15">
      <c r="B313" s="340">
        <v>9</v>
      </c>
      <c r="C313" s="12" t="s">
        <v>298</v>
      </c>
      <c r="D313" s="67">
        <f t="shared" si="237"/>
        <v>0</v>
      </c>
      <c r="E313" s="67">
        <f>E170</f>
        <v>0</v>
      </c>
      <c r="F313" s="67">
        <f t="shared" ref="F313:N313" si="251">F170</f>
        <v>0</v>
      </c>
      <c r="G313" s="67">
        <f t="shared" si="251"/>
        <v>0</v>
      </c>
      <c r="H313" s="67">
        <f t="shared" si="251"/>
        <v>0</v>
      </c>
      <c r="I313" s="67">
        <f t="shared" si="251"/>
        <v>0</v>
      </c>
      <c r="J313" s="67">
        <f t="shared" si="251"/>
        <v>0</v>
      </c>
      <c r="K313" s="67">
        <f t="shared" si="251"/>
        <v>0</v>
      </c>
      <c r="L313" s="67">
        <f t="shared" si="251"/>
        <v>0</v>
      </c>
      <c r="M313" s="67">
        <f t="shared" si="251"/>
        <v>0</v>
      </c>
      <c r="N313" s="67">
        <f t="shared" si="251"/>
        <v>0</v>
      </c>
      <c r="O313" s="67">
        <v>0</v>
      </c>
      <c r="P313" s="326">
        <f t="shared" si="244"/>
        <v>0</v>
      </c>
      <c r="Q313" s="2"/>
    </row>
    <row r="314" spans="2:17" x14ac:dyDescent="0.15">
      <c r="B314" s="340">
        <v>10</v>
      </c>
      <c r="C314" s="12" t="s">
        <v>299</v>
      </c>
      <c r="D314" s="67">
        <f t="shared" si="237"/>
        <v>0</v>
      </c>
      <c r="E314" s="67">
        <f>E311+E312+E313</f>
        <v>46240250</v>
      </c>
      <c r="F314" s="67">
        <f t="shared" ref="F314:N314" si="252">F311+F312+F313</f>
        <v>37983942.500000022</v>
      </c>
      <c r="G314" s="67">
        <f t="shared" si="252"/>
        <v>31359042.08412499</v>
      </c>
      <c r="H314" s="67">
        <f t="shared" si="252"/>
        <v>22335846.707490433</v>
      </c>
      <c r="I314" s="67">
        <f t="shared" si="252"/>
        <v>11298041.178848946</v>
      </c>
      <c r="J314" s="67">
        <f t="shared" si="252"/>
        <v>0</v>
      </c>
      <c r="K314" s="67">
        <f t="shared" si="252"/>
        <v>0</v>
      </c>
      <c r="L314" s="67">
        <f t="shared" si="252"/>
        <v>0</v>
      </c>
      <c r="M314" s="67">
        <f t="shared" si="252"/>
        <v>0</v>
      </c>
      <c r="N314" s="67">
        <f t="shared" si="252"/>
        <v>0</v>
      </c>
      <c r="O314" s="67">
        <v>0</v>
      </c>
      <c r="P314" s="326">
        <f t="shared" si="244"/>
        <v>149217122.47046441</v>
      </c>
      <c r="Q314" s="2"/>
    </row>
    <row r="315" spans="2:17" x14ac:dyDescent="0.15">
      <c r="B315" s="340" t="s">
        <v>699</v>
      </c>
      <c r="C315" s="12" t="s">
        <v>292</v>
      </c>
      <c r="D315" s="67">
        <f t="shared" si="237"/>
        <v>0</v>
      </c>
      <c r="E315" s="67">
        <f>E172</f>
        <v>3772500</v>
      </c>
      <c r="F315" s="67">
        <f t="shared" ref="F315:N315" si="253">F172</f>
        <v>6218850</v>
      </c>
      <c r="G315" s="67">
        <f t="shared" si="253"/>
        <v>4083150</v>
      </c>
      <c r="H315" s="67">
        <f t="shared" si="253"/>
        <v>2775510</v>
      </c>
      <c r="I315" s="67">
        <f t="shared" si="253"/>
        <v>1352955</v>
      </c>
      <c r="J315" s="67">
        <f t="shared" si="253"/>
        <v>0</v>
      </c>
      <c r="K315" s="67">
        <f t="shared" si="253"/>
        <v>0</v>
      </c>
      <c r="L315" s="67">
        <f t="shared" si="253"/>
        <v>0</v>
      </c>
      <c r="M315" s="67">
        <f t="shared" si="253"/>
        <v>0</v>
      </c>
      <c r="N315" s="67">
        <f t="shared" si="253"/>
        <v>0</v>
      </c>
      <c r="O315" s="67">
        <v>0</v>
      </c>
      <c r="P315" s="326">
        <f t="shared" si="244"/>
        <v>18202965</v>
      </c>
      <c r="Q315" s="2"/>
    </row>
    <row r="316" spans="2:17" x14ac:dyDescent="0.15">
      <c r="B316" s="340">
        <v>12</v>
      </c>
      <c r="C316" s="12" t="s">
        <v>301</v>
      </c>
      <c r="D316" s="67">
        <f t="shared" si="237"/>
        <v>0</v>
      </c>
      <c r="E316" s="67">
        <f>E314+E315</f>
        <v>50012750</v>
      </c>
      <c r="F316" s="67">
        <f t="shared" ref="F316:N316" si="254">F314+F315</f>
        <v>44202792.500000022</v>
      </c>
      <c r="G316" s="67">
        <f t="shared" si="254"/>
        <v>35442192.08412499</v>
      </c>
      <c r="H316" s="67">
        <f t="shared" si="254"/>
        <v>25111356.707490433</v>
      </c>
      <c r="I316" s="67">
        <f t="shared" si="254"/>
        <v>12650996.178848946</v>
      </c>
      <c r="J316" s="67">
        <f t="shared" si="254"/>
        <v>0</v>
      </c>
      <c r="K316" s="67">
        <f t="shared" si="254"/>
        <v>0</v>
      </c>
      <c r="L316" s="67">
        <f t="shared" si="254"/>
        <v>0</v>
      </c>
      <c r="M316" s="67">
        <f t="shared" si="254"/>
        <v>0</v>
      </c>
      <c r="N316" s="67">
        <f t="shared" si="254"/>
        <v>0</v>
      </c>
      <c r="O316" s="67">
        <v>0</v>
      </c>
      <c r="P316" s="326">
        <f t="shared" si="244"/>
        <v>167420087.47046441</v>
      </c>
      <c r="Q316" s="2"/>
    </row>
    <row r="317" spans="2:17" x14ac:dyDescent="0.15">
      <c r="B317" s="340" t="s">
        <v>700</v>
      </c>
      <c r="C317" s="12" t="s">
        <v>303</v>
      </c>
      <c r="D317" s="67">
        <v>0</v>
      </c>
      <c r="E317" s="67">
        <f t="shared" ref="E317:N317" si="255">E174</f>
        <v>0</v>
      </c>
      <c r="F317" s="67">
        <f t="shared" si="255"/>
        <v>0</v>
      </c>
      <c r="G317" s="67">
        <f t="shared" si="255"/>
        <v>0</v>
      </c>
      <c r="H317" s="67">
        <f t="shared" si="255"/>
        <v>0</v>
      </c>
      <c r="I317" s="67">
        <f t="shared" si="255"/>
        <v>0</v>
      </c>
      <c r="J317" s="67">
        <f t="shared" si="255"/>
        <v>0</v>
      </c>
      <c r="K317" s="67">
        <f t="shared" si="255"/>
        <v>0</v>
      </c>
      <c r="L317" s="67">
        <f t="shared" si="255"/>
        <v>0</v>
      </c>
      <c r="M317" s="67">
        <f t="shared" si="255"/>
        <v>0</v>
      </c>
      <c r="N317" s="67">
        <f t="shared" si="255"/>
        <v>0</v>
      </c>
      <c r="O317" s="67">
        <v>0</v>
      </c>
      <c r="P317" s="326">
        <f t="shared" si="244"/>
        <v>0</v>
      </c>
      <c r="Q317" s="2"/>
    </row>
    <row r="318" spans="2:17" x14ac:dyDescent="0.15">
      <c r="B318" s="340">
        <v>14</v>
      </c>
      <c r="C318" s="12" t="s">
        <v>304</v>
      </c>
      <c r="D318" s="67">
        <f t="shared" ref="D318:N324" si="256">D175</f>
        <v>-32550000</v>
      </c>
      <c r="E318" s="67">
        <f t="shared" si="256"/>
        <v>0</v>
      </c>
      <c r="F318" s="67">
        <f t="shared" si="256"/>
        <v>0</v>
      </c>
      <c r="G318" s="67">
        <f t="shared" si="256"/>
        <v>0</v>
      </c>
      <c r="H318" s="67">
        <f t="shared" si="256"/>
        <v>0</v>
      </c>
      <c r="I318" s="67">
        <f t="shared" si="256"/>
        <v>14347035</v>
      </c>
      <c r="J318" s="67">
        <f t="shared" si="256"/>
        <v>0</v>
      </c>
      <c r="K318" s="67">
        <f t="shared" si="256"/>
        <v>0</v>
      </c>
      <c r="L318" s="67">
        <f t="shared" si="256"/>
        <v>0</v>
      </c>
      <c r="M318" s="67">
        <f t="shared" si="256"/>
        <v>0</v>
      </c>
      <c r="N318" s="67">
        <f t="shared" si="256"/>
        <v>0</v>
      </c>
      <c r="O318" s="67">
        <v>0</v>
      </c>
      <c r="P318" s="326">
        <f t="shared" si="244"/>
        <v>-18202965</v>
      </c>
      <c r="Q318" s="2"/>
    </row>
    <row r="319" spans="2:17" x14ac:dyDescent="0.15">
      <c r="B319" s="340" t="s">
        <v>701</v>
      </c>
      <c r="C319" s="12" t="s">
        <v>207</v>
      </c>
      <c r="D319" s="67">
        <f t="shared" si="256"/>
        <v>-31050000</v>
      </c>
      <c r="E319" s="67">
        <f t="shared" si="256"/>
        <v>0</v>
      </c>
      <c r="F319" s="67">
        <f t="shared" si="256"/>
        <v>0</v>
      </c>
      <c r="G319" s="67">
        <f t="shared" si="256"/>
        <v>0</v>
      </c>
      <c r="H319" s="67">
        <f t="shared" si="256"/>
        <v>0</v>
      </c>
      <c r="I319" s="67">
        <f t="shared" si="256"/>
        <v>12847035</v>
      </c>
      <c r="J319" s="67">
        <f t="shared" si="256"/>
        <v>0</v>
      </c>
      <c r="K319" s="67">
        <f t="shared" si="256"/>
        <v>0</v>
      </c>
      <c r="L319" s="67">
        <f t="shared" si="256"/>
        <v>0</v>
      </c>
      <c r="M319" s="67">
        <f t="shared" si="256"/>
        <v>0</v>
      </c>
      <c r="N319" s="67">
        <f t="shared" si="256"/>
        <v>0</v>
      </c>
      <c r="O319" s="67">
        <v>0</v>
      </c>
      <c r="P319" s="326">
        <f t="shared" si="244"/>
        <v>-18202965</v>
      </c>
      <c r="Q319" s="2"/>
    </row>
    <row r="320" spans="2:17" x14ac:dyDescent="0.15">
      <c r="B320" s="340" t="s">
        <v>702</v>
      </c>
      <c r="C320" s="12" t="s">
        <v>307</v>
      </c>
      <c r="D320" s="67">
        <f t="shared" si="256"/>
        <v>-1500000</v>
      </c>
      <c r="E320" s="67">
        <f t="shared" si="256"/>
        <v>0</v>
      </c>
      <c r="F320" s="67">
        <f t="shared" si="256"/>
        <v>0</v>
      </c>
      <c r="G320" s="67">
        <f t="shared" si="256"/>
        <v>0</v>
      </c>
      <c r="H320" s="67">
        <f t="shared" si="256"/>
        <v>0</v>
      </c>
      <c r="I320" s="67">
        <f t="shared" si="256"/>
        <v>1500000</v>
      </c>
      <c r="J320" s="67">
        <f t="shared" si="256"/>
        <v>0</v>
      </c>
      <c r="K320" s="67">
        <f t="shared" si="256"/>
        <v>0</v>
      </c>
      <c r="L320" s="67">
        <f t="shared" si="256"/>
        <v>0</v>
      </c>
      <c r="M320" s="67">
        <f t="shared" si="256"/>
        <v>0</v>
      </c>
      <c r="N320" s="67">
        <f t="shared" si="256"/>
        <v>0</v>
      </c>
      <c r="O320" s="67">
        <v>0</v>
      </c>
      <c r="P320" s="326">
        <f t="shared" si="244"/>
        <v>0</v>
      </c>
      <c r="Q320" s="2"/>
    </row>
    <row r="321" spans="1:19" x14ac:dyDescent="0.15">
      <c r="B321" s="340" t="s">
        <v>703</v>
      </c>
      <c r="C321" s="12" t="s">
        <v>309</v>
      </c>
      <c r="D321" s="67">
        <f t="shared" si="256"/>
        <v>0</v>
      </c>
      <c r="E321" s="67">
        <f t="shared" si="256"/>
        <v>0</v>
      </c>
      <c r="F321" s="67">
        <f t="shared" si="256"/>
        <v>0</v>
      </c>
      <c r="G321" s="67">
        <f t="shared" si="256"/>
        <v>0</v>
      </c>
      <c r="H321" s="67">
        <f t="shared" si="256"/>
        <v>0</v>
      </c>
      <c r="I321" s="67">
        <f t="shared" si="256"/>
        <v>0</v>
      </c>
      <c r="J321" s="67">
        <f t="shared" si="256"/>
        <v>0</v>
      </c>
      <c r="K321" s="67">
        <f t="shared" si="256"/>
        <v>0</v>
      </c>
      <c r="L321" s="67">
        <f t="shared" si="256"/>
        <v>0</v>
      </c>
      <c r="M321" s="67">
        <f t="shared" si="256"/>
        <v>0</v>
      </c>
      <c r="N321" s="67">
        <f t="shared" si="256"/>
        <v>0</v>
      </c>
      <c r="O321" s="67">
        <v>0</v>
      </c>
      <c r="P321" s="326">
        <f t="shared" si="244"/>
        <v>0</v>
      </c>
      <c r="Q321" s="2"/>
    </row>
    <row r="322" spans="1:19" x14ac:dyDescent="0.15">
      <c r="B322" s="340" t="s">
        <v>704</v>
      </c>
      <c r="C322" s="12" t="s">
        <v>311</v>
      </c>
      <c r="D322" s="67">
        <f t="shared" si="256"/>
        <v>0</v>
      </c>
      <c r="E322" s="67">
        <f t="shared" si="256"/>
        <v>0</v>
      </c>
      <c r="F322" s="67">
        <f t="shared" si="256"/>
        <v>0</v>
      </c>
      <c r="G322" s="67">
        <f t="shared" si="256"/>
        <v>0</v>
      </c>
      <c r="H322" s="67">
        <f t="shared" si="256"/>
        <v>0</v>
      </c>
      <c r="I322" s="67">
        <f t="shared" si="256"/>
        <v>-2596968.7000000002</v>
      </c>
      <c r="J322" s="67">
        <f t="shared" si="256"/>
        <v>0</v>
      </c>
      <c r="K322" s="67">
        <f t="shared" si="256"/>
        <v>0</v>
      </c>
      <c r="L322" s="67">
        <f t="shared" si="256"/>
        <v>0</v>
      </c>
      <c r="M322" s="67">
        <f t="shared" si="256"/>
        <v>0</v>
      </c>
      <c r="N322" s="67">
        <f t="shared" si="256"/>
        <v>0</v>
      </c>
      <c r="O322" s="67">
        <v>0</v>
      </c>
      <c r="P322" s="326">
        <f t="shared" si="244"/>
        <v>-2596968.7000000002</v>
      </c>
      <c r="Q322" s="2"/>
    </row>
    <row r="323" spans="1:19" ht="14" thickBot="1" x14ac:dyDescent="0.2">
      <c r="B323" s="340" t="s">
        <v>705</v>
      </c>
      <c r="C323" s="12" t="s">
        <v>115</v>
      </c>
      <c r="D323" s="67">
        <f t="shared" si="256"/>
        <v>-60000000</v>
      </c>
      <c r="E323" s="67">
        <f t="shared" si="256"/>
        <v>0</v>
      </c>
      <c r="F323" s="67">
        <f t="shared" si="256"/>
        <v>0</v>
      </c>
      <c r="G323" s="67">
        <f t="shared" si="256"/>
        <v>0</v>
      </c>
      <c r="H323" s="67">
        <f t="shared" si="256"/>
        <v>0</v>
      </c>
      <c r="I323" s="67">
        <f t="shared" si="256"/>
        <v>60000000</v>
      </c>
      <c r="J323" s="67">
        <f t="shared" si="256"/>
        <v>0</v>
      </c>
      <c r="K323" s="67">
        <f t="shared" si="256"/>
        <v>0</v>
      </c>
      <c r="L323" s="67">
        <f t="shared" si="256"/>
        <v>0</v>
      </c>
      <c r="M323" s="67">
        <f t="shared" si="256"/>
        <v>0</v>
      </c>
      <c r="N323" s="67">
        <f t="shared" si="256"/>
        <v>0</v>
      </c>
      <c r="O323" s="67">
        <v>0</v>
      </c>
      <c r="P323" s="326">
        <f t="shared" si="244"/>
        <v>0</v>
      </c>
      <c r="Q323" s="2"/>
    </row>
    <row r="324" spans="1:19" x14ac:dyDescent="0.15">
      <c r="B324" s="340">
        <v>17</v>
      </c>
      <c r="C324" s="12" t="s">
        <v>313</v>
      </c>
      <c r="D324" s="67">
        <f t="shared" si="256"/>
        <v>-92550000</v>
      </c>
      <c r="E324" s="67">
        <f t="shared" si="256"/>
        <v>0</v>
      </c>
      <c r="F324" s="67">
        <f t="shared" si="256"/>
        <v>0</v>
      </c>
      <c r="G324" s="67">
        <f t="shared" si="256"/>
        <v>0</v>
      </c>
      <c r="H324" s="67">
        <f t="shared" si="256"/>
        <v>0</v>
      </c>
      <c r="I324" s="67">
        <f t="shared" si="256"/>
        <v>71750066.299999997</v>
      </c>
      <c r="J324" s="67">
        <f t="shared" si="256"/>
        <v>0</v>
      </c>
      <c r="K324" s="67">
        <f t="shared" si="256"/>
        <v>0</v>
      </c>
      <c r="L324" s="67">
        <f t="shared" si="256"/>
        <v>0</v>
      </c>
      <c r="M324" s="67">
        <f t="shared" si="256"/>
        <v>0</v>
      </c>
      <c r="N324" s="67">
        <f t="shared" si="256"/>
        <v>0</v>
      </c>
      <c r="O324" s="67">
        <v>0</v>
      </c>
      <c r="P324" s="326">
        <f t="shared" si="244"/>
        <v>-20799933.700000003</v>
      </c>
      <c r="Q324" s="461"/>
      <c r="R324" s="357" t="s">
        <v>693</v>
      </c>
    </row>
    <row r="325" spans="1:19" ht="14" thickBot="1" x14ac:dyDescent="0.2">
      <c r="A325" s="1" t="s">
        <v>714</v>
      </c>
      <c r="B325" s="355">
        <v>18</v>
      </c>
      <c r="C325" s="335" t="s">
        <v>314</v>
      </c>
      <c r="D325" s="331">
        <f>D324+D316</f>
        <v>-92550000</v>
      </c>
      <c r="E325" s="331">
        <f t="shared" ref="E325:N325" si="257">E324+E316</f>
        <v>50012750</v>
      </c>
      <c r="F325" s="331">
        <f t="shared" si="257"/>
        <v>44202792.500000022</v>
      </c>
      <c r="G325" s="331">
        <f t="shared" si="257"/>
        <v>35442192.08412499</v>
      </c>
      <c r="H325" s="331">
        <f t="shared" si="257"/>
        <v>25111356.707490433</v>
      </c>
      <c r="I325" s="331">
        <f t="shared" si="257"/>
        <v>84401062.478848949</v>
      </c>
      <c r="J325" s="331">
        <f t="shared" si="257"/>
        <v>0</v>
      </c>
      <c r="K325" s="331">
        <f t="shared" si="257"/>
        <v>0</v>
      </c>
      <c r="L325" s="331">
        <f t="shared" si="257"/>
        <v>0</v>
      </c>
      <c r="M325" s="331">
        <f t="shared" si="257"/>
        <v>0</v>
      </c>
      <c r="N325" s="331">
        <f t="shared" si="257"/>
        <v>0</v>
      </c>
      <c r="O325" s="331">
        <v>0</v>
      </c>
      <c r="P325" s="356">
        <f>SUM(D325:N325)</f>
        <v>146620153.77046439</v>
      </c>
      <c r="Q325" s="463"/>
      <c r="R325" s="358">
        <f>IF(ISNUMBER(IRR(D325:N325)),IRR(D325:N325),"NMF")</f>
        <v>0.40549033935008683</v>
      </c>
      <c r="S325" s="1" t="s">
        <v>714</v>
      </c>
    </row>
  </sheetData>
  <sheetProtection password="AA36" sheet="1" objects="1" scenarios="1"/>
  <phoneticPr fontId="0" type="noConversion"/>
  <pageMargins left="0.75" right="0.75" top="1" bottom="1" header="0.5" footer="0.5"/>
  <pageSetup orientation="portrait" horizontalDpi="0" verticalDpi="0"/>
  <headerFooter alignWithMargins="0"/>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S328"/>
  <sheetViews>
    <sheetView zoomScale="75" workbookViewId="0"/>
  </sheetViews>
  <sheetFormatPr baseColWidth="10" defaultColWidth="8.83203125" defaultRowHeight="13" x14ac:dyDescent="0.15"/>
  <cols>
    <col min="1" max="1" width="11.83203125" customWidth="1"/>
    <col min="2" max="2" width="23.5" customWidth="1"/>
    <col min="3" max="3" width="39.5" customWidth="1"/>
    <col min="4" max="4" width="13.5" bestFit="1" customWidth="1"/>
    <col min="5" max="5" width="25.5" bestFit="1" customWidth="1"/>
    <col min="6" max="8" width="14.5" bestFit="1" customWidth="1"/>
    <col min="9" max="9" width="16.1640625" customWidth="1"/>
    <col min="10" max="10" width="12.6640625" bestFit="1" customWidth="1"/>
    <col min="11" max="11" width="17.1640625" customWidth="1"/>
    <col min="12" max="14" width="11.6640625" bestFit="1" customWidth="1"/>
    <col min="15" max="15" width="4" customWidth="1"/>
    <col min="16" max="16" width="14.5" bestFit="1" customWidth="1"/>
  </cols>
  <sheetData>
    <row r="1" spans="1:11" ht="19" thickBot="1" x14ac:dyDescent="0.25">
      <c r="A1" s="549" t="s">
        <v>720</v>
      </c>
    </row>
    <row r="2" spans="1:11" ht="14" thickBot="1" x14ac:dyDescent="0.2">
      <c r="F2" t="s">
        <v>684</v>
      </c>
      <c r="H2" s="323" t="s">
        <v>436</v>
      </c>
      <c r="I2" s="365" t="s">
        <v>685</v>
      </c>
      <c r="J2" s="320" t="s">
        <v>341</v>
      </c>
      <c r="K2" s="365" t="s">
        <v>685</v>
      </c>
    </row>
    <row r="3" spans="1:11" ht="18" thickBot="1" x14ac:dyDescent="0.25">
      <c r="C3" s="343" t="s">
        <v>279</v>
      </c>
      <c r="D3" s="344">
        <f>'Initial Inputs'!C43</f>
        <v>0.3</v>
      </c>
      <c r="G3" s="378" t="s">
        <v>412</v>
      </c>
      <c r="H3" s="379">
        <f>Q42</f>
        <v>0.40549033935008683</v>
      </c>
      <c r="I3" s="372">
        <f>IF(H3="NMF","NMF",(H3-$H$8)/$H$8)</f>
        <v>0</v>
      </c>
      <c r="J3" s="375">
        <f>NPV($D$7,E42:N42)+D42</f>
        <v>60173850.627423048</v>
      </c>
      <c r="K3" s="372">
        <f>IF(J3="NMF","NMF",IF(ISNUMBER((J3-$J$8)/$J$8),(J3-$J$8)/$J$8,0))</f>
        <v>0</v>
      </c>
    </row>
    <row r="4" spans="1:11" ht="18" thickBot="1" x14ac:dyDescent="0.25">
      <c r="C4" s="345" t="s">
        <v>280</v>
      </c>
      <c r="D4" s="346">
        <f>'Initial Inputs'!C45</f>
        <v>0.18</v>
      </c>
      <c r="G4" s="381" t="s">
        <v>413</v>
      </c>
      <c r="H4" s="382">
        <f>Q70</f>
        <v>0.40549033935008683</v>
      </c>
      <c r="I4" s="373">
        <f t="shared" ref="I4:I13" si="0">IF(H4="NMF","NMF",(H4-$H$8)/$H$8)</f>
        <v>0</v>
      </c>
      <c r="J4" s="376">
        <f>NPV($D$7,E70:N70)+D70</f>
        <v>60173850.627423048</v>
      </c>
      <c r="K4" s="372">
        <f t="shared" ref="K4:K13" si="1">IF(J4="NMF","NMF",IF(ISNUMBER((J4-$J$8)/$J$8),(J4-$J$8)/$J$8,0))</f>
        <v>0</v>
      </c>
    </row>
    <row r="5" spans="1:11" ht="18" thickBot="1" x14ac:dyDescent="0.25">
      <c r="C5" s="347" t="s">
        <v>281</v>
      </c>
      <c r="D5" s="350">
        <f>'Initial Inputs'!A47</f>
        <v>0</v>
      </c>
      <c r="G5" s="381" t="s">
        <v>414</v>
      </c>
      <c r="H5" s="382">
        <f>Q98</f>
        <v>0.40549033935008683</v>
      </c>
      <c r="I5" s="373">
        <f t="shared" si="0"/>
        <v>0</v>
      </c>
      <c r="J5" s="376">
        <f>NPV($D$7,E98:N98)+D98</f>
        <v>60173850.627423048</v>
      </c>
      <c r="K5" s="372">
        <f t="shared" si="1"/>
        <v>0</v>
      </c>
    </row>
    <row r="6" spans="1:11" ht="17" thickBot="1" x14ac:dyDescent="0.25">
      <c r="C6" s="336"/>
      <c r="D6" s="349"/>
      <c r="G6" s="381" t="s">
        <v>415</v>
      </c>
      <c r="H6" s="382">
        <f>Q129</f>
        <v>0.40549033935008683</v>
      </c>
      <c r="I6" s="373">
        <f t="shared" si="0"/>
        <v>0</v>
      </c>
      <c r="J6" s="376">
        <f>NPV($D$7,E129:N129)+D129</f>
        <v>60173850.627423048</v>
      </c>
      <c r="K6" s="372">
        <f t="shared" si="1"/>
        <v>0</v>
      </c>
    </row>
    <row r="7" spans="1:11" ht="18" thickBot="1" x14ac:dyDescent="0.25">
      <c r="C7" s="351" t="s">
        <v>686</v>
      </c>
      <c r="D7" s="352">
        <f>'Initial Inputs'!C5</f>
        <v>0.16</v>
      </c>
      <c r="G7" s="381" t="s">
        <v>416</v>
      </c>
      <c r="H7" s="382">
        <f>Q157</f>
        <v>0.40549033935008683</v>
      </c>
      <c r="I7" s="373">
        <f t="shared" si="0"/>
        <v>0</v>
      </c>
      <c r="J7" s="376">
        <f>NPV($D$7,E157:N157)+D157</f>
        <v>60173850.627423048</v>
      </c>
      <c r="K7" s="372">
        <f t="shared" si="1"/>
        <v>0</v>
      </c>
    </row>
    <row r="8" spans="1:11" ht="17" thickBot="1" x14ac:dyDescent="0.25">
      <c r="C8" s="336"/>
      <c r="D8" s="349"/>
      <c r="G8" s="381" t="s">
        <v>653</v>
      </c>
      <c r="H8" s="382">
        <f>Q185</f>
        <v>0.40549033935008683</v>
      </c>
      <c r="I8" s="373">
        <f t="shared" si="0"/>
        <v>0</v>
      </c>
      <c r="J8" s="376">
        <f>NPV($D$7,E185:N185)+D185</f>
        <v>60173850.627423048</v>
      </c>
      <c r="K8" s="372">
        <f t="shared" si="1"/>
        <v>0</v>
      </c>
    </row>
    <row r="9" spans="1:11" ht="17" thickBot="1" x14ac:dyDescent="0.25">
      <c r="C9" s="336"/>
      <c r="D9" s="349"/>
      <c r="G9" s="381" t="s">
        <v>418</v>
      </c>
      <c r="H9" s="382">
        <f>Q216</f>
        <v>0.40549033935008683</v>
      </c>
      <c r="I9" s="373">
        <f t="shared" si="0"/>
        <v>0</v>
      </c>
      <c r="J9" s="376">
        <f>NPV($D$7,E216:N216)+D216</f>
        <v>60173850.627423048</v>
      </c>
      <c r="K9" s="372">
        <f t="shared" si="1"/>
        <v>0</v>
      </c>
    </row>
    <row r="10" spans="1:11" ht="17" thickBot="1" x14ac:dyDescent="0.25">
      <c r="C10" s="336"/>
      <c r="D10" s="349"/>
      <c r="G10" s="381" t="s">
        <v>419</v>
      </c>
      <c r="H10" s="382">
        <f>Q244</f>
        <v>0.40549033935008683</v>
      </c>
      <c r="I10" s="373">
        <f t="shared" si="0"/>
        <v>0</v>
      </c>
      <c r="J10" s="376">
        <f>NPV($D$7,E244:N244)+D244</f>
        <v>60173850.627423048</v>
      </c>
      <c r="K10" s="372">
        <f t="shared" si="1"/>
        <v>0</v>
      </c>
    </row>
    <row r="11" spans="1:11" ht="17" thickBot="1" x14ac:dyDescent="0.25">
      <c r="C11" s="336"/>
      <c r="D11" s="349"/>
      <c r="G11" s="381" t="s">
        <v>420</v>
      </c>
      <c r="H11" s="382">
        <f>Q272</f>
        <v>0.40549033935008683</v>
      </c>
      <c r="I11" s="373">
        <f t="shared" si="0"/>
        <v>0</v>
      </c>
      <c r="J11" s="376">
        <f>NPV($D$7,E272:N272)+D272</f>
        <v>60173850.627423048</v>
      </c>
      <c r="K11" s="372">
        <f t="shared" si="1"/>
        <v>0</v>
      </c>
    </row>
    <row r="12" spans="1:11" ht="17" thickBot="1" x14ac:dyDescent="0.25">
      <c r="C12" s="336"/>
      <c r="D12" s="342"/>
      <c r="G12" s="381" t="s">
        <v>421</v>
      </c>
      <c r="H12" s="382">
        <f>Q300</f>
        <v>0.40549033935008683</v>
      </c>
      <c r="I12" s="373">
        <f t="shared" si="0"/>
        <v>0</v>
      </c>
      <c r="J12" s="376">
        <f>NPV($D$7,E300:N300)+D300</f>
        <v>60173850.627423048</v>
      </c>
      <c r="K12" s="372">
        <f t="shared" si="1"/>
        <v>0</v>
      </c>
    </row>
    <row r="13" spans="1:11" ht="17" thickBot="1" x14ac:dyDescent="0.25">
      <c r="C13" s="336"/>
      <c r="D13" s="342"/>
      <c r="G13" s="384" t="s">
        <v>422</v>
      </c>
      <c r="H13" s="385">
        <f>Q328</f>
        <v>0.40549033935008683</v>
      </c>
      <c r="I13" s="374">
        <f t="shared" si="0"/>
        <v>0</v>
      </c>
      <c r="J13" s="377">
        <f>NPV($D$7,E328:N328)+D328</f>
        <v>60173850.627423048</v>
      </c>
      <c r="K13" s="372">
        <f t="shared" si="1"/>
        <v>0</v>
      </c>
    </row>
    <row r="14" spans="1:11" ht="16" x14ac:dyDescent="0.2">
      <c r="C14" s="336"/>
      <c r="D14" s="342"/>
      <c r="G14" t="s">
        <v>424</v>
      </c>
    </row>
    <row r="15" spans="1:11" ht="16" x14ac:dyDescent="0.2">
      <c r="B15" s="48" t="s">
        <v>720</v>
      </c>
      <c r="G15" s="90"/>
    </row>
    <row r="16" spans="1:11" ht="14" thickBot="1" x14ac:dyDescent="0.2"/>
    <row r="17" spans="1:16" ht="14" thickBot="1" x14ac:dyDescent="0.2">
      <c r="B17" s="323" t="str">
        <f>'After Tax Analysis'!B7</f>
        <v>Line/Source</v>
      </c>
      <c r="C17" s="324" t="str">
        <f>'After Tax Analysis'!C7</f>
        <v>Description</v>
      </c>
      <c r="D17" s="324"/>
      <c r="E17" s="324">
        <f>'After Tax Analysis'!E7</f>
        <v>1</v>
      </c>
      <c r="F17" s="324">
        <f>'After Tax Analysis'!F7</f>
        <v>2</v>
      </c>
      <c r="G17" s="324">
        <f>'After Tax Analysis'!G7</f>
        <v>3</v>
      </c>
      <c r="H17" s="324">
        <f>'After Tax Analysis'!H7</f>
        <v>4</v>
      </c>
      <c r="I17" s="324">
        <f>'After Tax Analysis'!I7</f>
        <v>5</v>
      </c>
      <c r="J17" s="324">
        <f>'After Tax Analysis'!J7</f>
        <v>6</v>
      </c>
      <c r="K17" s="324">
        <f>'After Tax Analysis'!K7</f>
        <v>7</v>
      </c>
      <c r="L17" s="324">
        <f>'After Tax Analysis'!L7</f>
        <v>8</v>
      </c>
      <c r="M17" s="324">
        <f>'After Tax Analysis'!M7</f>
        <v>9</v>
      </c>
      <c r="N17" s="324">
        <f>'After Tax Analysis'!N7</f>
        <v>10</v>
      </c>
      <c r="O17" s="324" t="str">
        <f>'After Tax Analysis'!O7</f>
        <v>10A</v>
      </c>
      <c r="P17" s="320" t="str">
        <f>'After Tax Analysis'!P7</f>
        <v>TOTAL</v>
      </c>
    </row>
    <row r="18" spans="1:16" x14ac:dyDescent="0.15">
      <c r="B18" s="339" t="s">
        <v>687</v>
      </c>
      <c r="C18" s="302" t="str">
        <f>'After Tax Analysis'!C8</f>
        <v>Operating Revenue</v>
      </c>
      <c r="D18" s="322"/>
      <c r="E18" s="322">
        <f>E161</f>
        <v>300000000</v>
      </c>
      <c r="F18" s="322">
        <f t="shared" ref="F18:N18" si="2">F161</f>
        <v>313500000.00000006</v>
      </c>
      <c r="G18" s="322">
        <f t="shared" si="2"/>
        <v>327607500.00000006</v>
      </c>
      <c r="H18" s="322">
        <f t="shared" si="2"/>
        <v>342349837.50000012</v>
      </c>
      <c r="I18" s="322">
        <f t="shared" si="2"/>
        <v>357755580.18750012</v>
      </c>
      <c r="J18" s="322">
        <f t="shared" si="2"/>
        <v>0</v>
      </c>
      <c r="K18" s="322">
        <f t="shared" si="2"/>
        <v>0</v>
      </c>
      <c r="L18" s="322">
        <f t="shared" si="2"/>
        <v>0</v>
      </c>
      <c r="M18" s="322">
        <f t="shared" si="2"/>
        <v>0</v>
      </c>
      <c r="N18" s="322">
        <f t="shared" si="2"/>
        <v>0</v>
      </c>
      <c r="O18" s="322">
        <f>'After Tax Analysis'!O8</f>
        <v>0</v>
      </c>
      <c r="P18" s="325">
        <f>SUM(D18:N18)</f>
        <v>1641212917.6875</v>
      </c>
    </row>
    <row r="19" spans="1:16" x14ac:dyDescent="0.15">
      <c r="A19" s="1" t="s">
        <v>688</v>
      </c>
      <c r="B19" s="340" t="s">
        <v>689</v>
      </c>
      <c r="C19" s="354" t="s">
        <v>689</v>
      </c>
      <c r="D19" s="67"/>
      <c r="E19" s="67">
        <f>E162</f>
        <v>300000000</v>
      </c>
      <c r="F19" s="67">
        <f t="shared" ref="F19:N19" si="3">F162</f>
        <v>313500000.00000006</v>
      </c>
      <c r="G19" s="67">
        <f t="shared" si="3"/>
        <v>327607500.00000006</v>
      </c>
      <c r="H19" s="67">
        <f t="shared" si="3"/>
        <v>342349837.50000012</v>
      </c>
      <c r="I19" s="67">
        <f t="shared" si="3"/>
        <v>357755580.18750012</v>
      </c>
      <c r="J19" s="67">
        <f t="shared" si="3"/>
        <v>0</v>
      </c>
      <c r="K19" s="67">
        <f t="shared" si="3"/>
        <v>0</v>
      </c>
      <c r="L19" s="67">
        <f t="shared" si="3"/>
        <v>0</v>
      </c>
      <c r="M19" s="67">
        <f t="shared" si="3"/>
        <v>0</v>
      </c>
      <c r="N19" s="67">
        <f t="shared" si="3"/>
        <v>0</v>
      </c>
      <c r="O19" s="67"/>
      <c r="P19" s="326">
        <f>SUM(D19:N19)</f>
        <v>1641212917.6875</v>
      </c>
    </row>
    <row r="20" spans="1:16" x14ac:dyDescent="0.15">
      <c r="B20" s="340" t="s">
        <v>690</v>
      </c>
      <c r="C20" s="354" t="s">
        <v>690</v>
      </c>
      <c r="D20" s="67"/>
      <c r="E20" s="67">
        <f>E163</f>
        <v>0</v>
      </c>
      <c r="F20" s="67">
        <f t="shared" ref="F20:N20" si="4">F163</f>
        <v>0</v>
      </c>
      <c r="G20" s="67">
        <f t="shared" si="4"/>
        <v>0</v>
      </c>
      <c r="H20" s="67">
        <f t="shared" si="4"/>
        <v>0</v>
      </c>
      <c r="I20" s="67">
        <f t="shared" si="4"/>
        <v>0</v>
      </c>
      <c r="J20" s="67">
        <f t="shared" si="4"/>
        <v>0</v>
      </c>
      <c r="K20" s="67">
        <f t="shared" si="4"/>
        <v>0</v>
      </c>
      <c r="L20" s="67">
        <f t="shared" si="4"/>
        <v>0</v>
      </c>
      <c r="M20" s="67">
        <f t="shared" si="4"/>
        <v>0</v>
      </c>
      <c r="N20" s="67">
        <f t="shared" si="4"/>
        <v>0</v>
      </c>
      <c r="O20" s="67"/>
      <c r="P20" s="326">
        <f t="shared" ref="P20:P42" si="5">SUM(D20:N20)</f>
        <v>0</v>
      </c>
    </row>
    <row r="21" spans="1:16" x14ac:dyDescent="0.15">
      <c r="B21" s="355" t="s">
        <v>691</v>
      </c>
      <c r="C21" s="362" t="s">
        <v>691</v>
      </c>
      <c r="D21" s="331"/>
      <c r="E21" s="331">
        <f>Revenues!D21*Revenues!D22*0.75</f>
        <v>0</v>
      </c>
      <c r="F21" s="331">
        <f>Revenues!E21*Revenues!E22*0.75</f>
        <v>0</v>
      </c>
      <c r="G21" s="331">
        <f>Revenues!F21*Revenues!F22*0.75</f>
        <v>0</v>
      </c>
      <c r="H21" s="331">
        <f>Revenues!G21*Revenues!G22*0.75</f>
        <v>0</v>
      </c>
      <c r="I21" s="331">
        <f>Revenues!H21*Revenues!H22*0.75</f>
        <v>0</v>
      </c>
      <c r="J21" s="331">
        <f>Revenues!I21*Revenues!I22*0.75</f>
        <v>0</v>
      </c>
      <c r="K21" s="331">
        <f>Revenues!J21*Revenues!J22*0.75</f>
        <v>0</v>
      </c>
      <c r="L21" s="331">
        <f>Revenues!K21*Revenues!K22*0.75</f>
        <v>0</v>
      </c>
      <c r="M21" s="331">
        <f>Revenues!L21*Revenues!L22*0.75</f>
        <v>0</v>
      </c>
      <c r="N21" s="331">
        <f>Revenues!M21*Revenues!M22*0.75</f>
        <v>0</v>
      </c>
      <c r="O21" s="331"/>
      <c r="P21" s="356">
        <f t="shared" si="5"/>
        <v>0</v>
      </c>
    </row>
    <row r="22" spans="1:16" x14ac:dyDescent="0.15">
      <c r="B22" s="340" t="s">
        <v>692</v>
      </c>
      <c r="C22" s="354" t="s">
        <v>692</v>
      </c>
      <c r="D22" s="67"/>
      <c r="E22" s="67">
        <f>E21+E20+E19</f>
        <v>300000000</v>
      </c>
      <c r="F22" s="67">
        <f t="shared" ref="F22:N22" si="6">F21+F20+F19</f>
        <v>313500000.00000006</v>
      </c>
      <c r="G22" s="67">
        <f t="shared" si="6"/>
        <v>327607500.00000006</v>
      </c>
      <c r="H22" s="67">
        <f t="shared" si="6"/>
        <v>342349837.50000012</v>
      </c>
      <c r="I22" s="67">
        <f t="shared" si="6"/>
        <v>357755580.18750012</v>
      </c>
      <c r="J22" s="67">
        <f t="shared" si="6"/>
        <v>0</v>
      </c>
      <c r="K22" s="67">
        <f t="shared" si="6"/>
        <v>0</v>
      </c>
      <c r="L22" s="67">
        <f t="shared" si="6"/>
        <v>0</v>
      </c>
      <c r="M22" s="67">
        <f t="shared" si="6"/>
        <v>0</v>
      </c>
      <c r="N22" s="67">
        <f t="shared" si="6"/>
        <v>0</v>
      </c>
      <c r="O22" s="67"/>
      <c r="P22" s="326">
        <f t="shared" si="5"/>
        <v>1641212917.6875</v>
      </c>
    </row>
    <row r="23" spans="1:16" x14ac:dyDescent="0.15">
      <c r="B23" s="340" t="str">
        <f>'After Tax Analysis'!B9</f>
        <v>2 / "Expenses"</v>
      </c>
      <c r="C23" s="12" t="str">
        <f>'After Tax Analysis'!C9</f>
        <v>Cash Expenses (Not including depreciation)</v>
      </c>
      <c r="D23" s="67"/>
      <c r="E23" s="67">
        <f>Expenses!D18+Expenses!D25+(Expenses!D32*0.75)+Expenses!D39+Expenses!D44+(Expenses!D49*0.75)+Expenses!D56+Expenses!D95-Expenses!D77</f>
        <v>230170000</v>
      </c>
      <c r="F23" s="67">
        <f>Expenses!E18+Expenses!E25+(Expenses!E32*0.75)+Expenses!E39+Expenses!E44+(Expenses!E49*0.75)+Expenses!E56+Expenses!E95-Expenses!E77</f>
        <v>253018375.00000003</v>
      </c>
      <c r="G23" s="67">
        <f>Expenses!F18+Expenses!F25+(Expenses!F32*0.75)+Expenses!F39+Expenses!F44+(Expenses!F49*0.75)+Expenses!F56+Expenses!F95-Expenses!F77</f>
        <v>278725718.45125008</v>
      </c>
      <c r="H23" s="67">
        <f>Expenses!G18+Expenses!G25+(Expenses!G32*0.75)+Expenses!G39+Expenses!G44+(Expenses!G49*0.75)+Expenses!G56+Expenses!G95-Expenses!G77</f>
        <v>307665975.06072807</v>
      </c>
      <c r="I23" s="67">
        <f>Expenses!H18+Expenses!H25+(Expenses!H32*0.75)+Expenses!H39+Expenses!H44+(Expenses!H49*0.75)+Expenses!H56+Expenses!H95-Expenses!H77</f>
        <v>340262566.36057305</v>
      </c>
      <c r="J23" s="67">
        <f>Expenses!I18+Expenses!I25+(Expenses!I32*0.75)+Expenses!I39+Expenses!I44+(Expenses!I49*0.75)+Expenses!I56+Expenses!I95-Expenses!I77</f>
        <v>0</v>
      </c>
      <c r="K23" s="67">
        <f>Expenses!J18+Expenses!J25+(Expenses!J32*0.75)+Expenses!J39+Expenses!J44+(Expenses!J49*0.75)+Expenses!J56+Expenses!J95-Expenses!J77</f>
        <v>0</v>
      </c>
      <c r="L23" s="67">
        <f>Expenses!K18+Expenses!K25+(Expenses!K32*0.75)+Expenses!K39+Expenses!K44+(Expenses!K49*0.75)+Expenses!K56+Expenses!K95-Expenses!K77</f>
        <v>0</v>
      </c>
      <c r="M23" s="67">
        <f>Expenses!L18+Expenses!L25+(Expenses!L32*0.75)+Expenses!L39+Expenses!L44+(Expenses!L49*0.75)+Expenses!L56+Expenses!L95-Expenses!L77</f>
        <v>0</v>
      </c>
      <c r="N23" s="67">
        <f>Expenses!M18+Expenses!M25+(Expenses!M32*0.75)+Expenses!M39+Expenses!M44+(Expenses!M49*0.75)+Expenses!M56+Expenses!M95-Expenses!M77</f>
        <v>0</v>
      </c>
      <c r="O23" s="67">
        <f>'After Tax Analysis'!O9</f>
        <v>0</v>
      </c>
      <c r="P23" s="326">
        <f t="shared" si="5"/>
        <v>1409842634.8725512</v>
      </c>
    </row>
    <row r="24" spans="1:16" x14ac:dyDescent="0.15">
      <c r="B24" s="340">
        <f>'After Tax Analysis'!B10</f>
        <v>3</v>
      </c>
      <c r="C24" s="12" t="str">
        <f>'After Tax Analysis'!C10</f>
        <v>Oper. Income (1-2)</v>
      </c>
      <c r="D24" s="67"/>
      <c r="E24" s="67">
        <f>E22-E23</f>
        <v>69830000</v>
      </c>
      <c r="F24" s="67">
        <f t="shared" ref="F24:N24" si="7">F22-F23</f>
        <v>60481625.00000003</v>
      </c>
      <c r="G24" s="67">
        <f t="shared" si="7"/>
        <v>48881781.548749983</v>
      </c>
      <c r="H24" s="67">
        <f t="shared" si="7"/>
        <v>34683862.439272046</v>
      </c>
      <c r="I24" s="67">
        <f t="shared" si="7"/>
        <v>17493013.826927066</v>
      </c>
      <c r="J24" s="67">
        <f t="shared" si="7"/>
        <v>0</v>
      </c>
      <c r="K24" s="67">
        <f t="shared" si="7"/>
        <v>0</v>
      </c>
      <c r="L24" s="67">
        <f t="shared" si="7"/>
        <v>0</v>
      </c>
      <c r="M24" s="67">
        <f t="shared" si="7"/>
        <v>0</v>
      </c>
      <c r="N24" s="67">
        <f t="shared" si="7"/>
        <v>0</v>
      </c>
      <c r="O24" s="67">
        <f>'After Tax Analysis'!O10</f>
        <v>0</v>
      </c>
      <c r="P24" s="326">
        <f t="shared" si="5"/>
        <v>231370282.81494913</v>
      </c>
    </row>
    <row r="25" spans="1:16" x14ac:dyDescent="0.15">
      <c r="B25" s="340" t="str">
        <f>'After Tax Analysis'!B11</f>
        <v>4 / "Expenses"</v>
      </c>
      <c r="C25" s="12" t="str">
        <f>'After Tax Analysis'!C11</f>
        <v>Depreciation</v>
      </c>
      <c r="D25" s="67"/>
      <c r="E25" s="67">
        <f>E168</f>
        <v>3772500</v>
      </c>
      <c r="F25" s="67">
        <f t="shared" ref="F25:N25" si="8">F168</f>
        <v>6218850</v>
      </c>
      <c r="G25" s="67">
        <f t="shared" si="8"/>
        <v>4083150</v>
      </c>
      <c r="H25" s="67">
        <f t="shared" si="8"/>
        <v>2775510</v>
      </c>
      <c r="I25" s="67">
        <f t="shared" si="8"/>
        <v>1352955</v>
      </c>
      <c r="J25" s="67">
        <f t="shared" si="8"/>
        <v>0</v>
      </c>
      <c r="K25" s="67">
        <f t="shared" si="8"/>
        <v>0</v>
      </c>
      <c r="L25" s="67">
        <f t="shared" si="8"/>
        <v>0</v>
      </c>
      <c r="M25" s="67">
        <f t="shared" si="8"/>
        <v>0</v>
      </c>
      <c r="N25" s="67">
        <f t="shared" si="8"/>
        <v>0</v>
      </c>
      <c r="O25" s="67">
        <f>'After Tax Analysis'!O11</f>
        <v>0</v>
      </c>
      <c r="P25" s="326">
        <f t="shared" si="5"/>
        <v>18202965</v>
      </c>
    </row>
    <row r="26" spans="1:16" x14ac:dyDescent="0.15">
      <c r="B26" s="340">
        <f>'After Tax Analysis'!B12</f>
        <v>5</v>
      </c>
      <c r="C26" s="12" t="str">
        <f>'After Tax Analysis'!C12</f>
        <v>Oper. Income (3-4)</v>
      </c>
      <c r="D26" s="67"/>
      <c r="E26" s="67">
        <f>E24-E25</f>
        <v>66057500</v>
      </c>
      <c r="F26" s="67">
        <f t="shared" ref="F26:N26" si="9">F24-F25</f>
        <v>54262775.00000003</v>
      </c>
      <c r="G26" s="67">
        <f t="shared" si="9"/>
        <v>44798631.548749983</v>
      </c>
      <c r="H26" s="67">
        <f t="shared" si="9"/>
        <v>31908352.439272046</v>
      </c>
      <c r="I26" s="67">
        <f t="shared" si="9"/>
        <v>16140058.826927066</v>
      </c>
      <c r="J26" s="67">
        <f t="shared" si="9"/>
        <v>0</v>
      </c>
      <c r="K26" s="67">
        <f t="shared" si="9"/>
        <v>0</v>
      </c>
      <c r="L26" s="67">
        <f t="shared" si="9"/>
        <v>0</v>
      </c>
      <c r="M26" s="67">
        <f t="shared" si="9"/>
        <v>0</v>
      </c>
      <c r="N26" s="67">
        <f t="shared" si="9"/>
        <v>0</v>
      </c>
      <c r="O26" s="67">
        <f>'After Tax Analysis'!O12</f>
        <v>0</v>
      </c>
      <c r="P26" s="326">
        <f t="shared" si="5"/>
        <v>213167317.81494913</v>
      </c>
    </row>
    <row r="27" spans="1:16" x14ac:dyDescent="0.15">
      <c r="B27" s="340" t="str">
        <f>'After Tax Analysis'!B13</f>
        <v>6 / "Loan Amortization"</v>
      </c>
      <c r="C27" s="12" t="str">
        <f>'After Tax Analysis'!C13</f>
        <v>Interest expense</v>
      </c>
      <c r="D27" s="67"/>
      <c r="E27" s="67">
        <f>E170</f>
        <v>0</v>
      </c>
      <c r="F27" s="67">
        <f t="shared" ref="F27:N27" si="10">F170</f>
        <v>0</v>
      </c>
      <c r="G27" s="67">
        <f t="shared" si="10"/>
        <v>0</v>
      </c>
      <c r="H27" s="67">
        <f t="shared" si="10"/>
        <v>0</v>
      </c>
      <c r="I27" s="67">
        <f t="shared" si="10"/>
        <v>0</v>
      </c>
      <c r="J27" s="67">
        <f t="shared" si="10"/>
        <v>0</v>
      </c>
      <c r="K27" s="67">
        <f t="shared" si="10"/>
        <v>0</v>
      </c>
      <c r="L27" s="67">
        <f t="shared" si="10"/>
        <v>0</v>
      </c>
      <c r="M27" s="67">
        <f t="shared" si="10"/>
        <v>0</v>
      </c>
      <c r="N27" s="67">
        <f t="shared" si="10"/>
        <v>0</v>
      </c>
      <c r="O27" s="67">
        <f>'After Tax Analysis'!O13</f>
        <v>0</v>
      </c>
      <c r="P27" s="326">
        <f t="shared" si="5"/>
        <v>0</v>
      </c>
    </row>
    <row r="28" spans="1:16" x14ac:dyDescent="0.15">
      <c r="B28" s="340">
        <f>'After Tax Analysis'!B14</f>
        <v>7</v>
      </c>
      <c r="C28" s="12" t="str">
        <f>'After Tax Analysis'!C14</f>
        <v>Pretax Net Income (5-6)</v>
      </c>
      <c r="D28" s="67"/>
      <c r="E28" s="67">
        <f>E26-E27</f>
        <v>66057500</v>
      </c>
      <c r="F28" s="67">
        <f t="shared" ref="F28:N28" si="11">F26-F27</f>
        <v>54262775.00000003</v>
      </c>
      <c r="G28" s="67">
        <f t="shared" si="11"/>
        <v>44798631.548749983</v>
      </c>
      <c r="H28" s="67">
        <f t="shared" si="11"/>
        <v>31908352.439272046</v>
      </c>
      <c r="I28" s="67">
        <f t="shared" si="11"/>
        <v>16140058.826927066</v>
      </c>
      <c r="J28" s="67">
        <f t="shared" si="11"/>
        <v>0</v>
      </c>
      <c r="K28" s="67">
        <f t="shared" si="11"/>
        <v>0</v>
      </c>
      <c r="L28" s="67">
        <f t="shared" si="11"/>
        <v>0</v>
      </c>
      <c r="M28" s="67">
        <f t="shared" si="11"/>
        <v>0</v>
      </c>
      <c r="N28" s="67">
        <f t="shared" si="11"/>
        <v>0</v>
      </c>
      <c r="O28" s="67">
        <f>'After Tax Analysis'!O14</f>
        <v>0</v>
      </c>
      <c r="P28" s="326">
        <f t="shared" si="5"/>
        <v>213167317.81494913</v>
      </c>
    </row>
    <row r="29" spans="1:16" x14ac:dyDescent="0.15">
      <c r="B29" s="340">
        <f>'After Tax Analysis'!B15</f>
        <v>8</v>
      </c>
      <c r="C29" s="12" t="str">
        <f>'After Tax Analysis'!C15</f>
        <v>Income taxes (at rate above)</v>
      </c>
      <c r="D29" s="67"/>
      <c r="E29" s="67">
        <f>-E28*$D$3</f>
        <v>-19817250</v>
      </c>
      <c r="F29" s="67">
        <f t="shared" ref="F29:N29" si="12">-F28*$D$3</f>
        <v>-16278832.500000007</v>
      </c>
      <c r="G29" s="67">
        <f t="shared" si="12"/>
        <v>-13439589.464624995</v>
      </c>
      <c r="H29" s="67">
        <f t="shared" si="12"/>
        <v>-9572505.7317816131</v>
      </c>
      <c r="I29" s="67">
        <f t="shared" si="12"/>
        <v>-4842017.6480781194</v>
      </c>
      <c r="J29" s="67">
        <f t="shared" si="12"/>
        <v>0</v>
      </c>
      <c r="K29" s="67">
        <f t="shared" si="12"/>
        <v>0</v>
      </c>
      <c r="L29" s="67">
        <f t="shared" si="12"/>
        <v>0</v>
      </c>
      <c r="M29" s="67">
        <f t="shared" si="12"/>
        <v>0</v>
      </c>
      <c r="N29" s="67">
        <f t="shared" si="12"/>
        <v>0</v>
      </c>
      <c r="O29" s="67">
        <f>'After Tax Analysis'!O15</f>
        <v>0</v>
      </c>
      <c r="P29" s="326">
        <f t="shared" si="5"/>
        <v>-63950195.344484739</v>
      </c>
    </row>
    <row r="30" spans="1:16" x14ac:dyDescent="0.15">
      <c r="B30" s="340">
        <f>'After Tax Analysis'!B16</f>
        <v>9</v>
      </c>
      <c r="C30" s="12" t="str">
        <f>'After Tax Analysis'!C16</f>
        <v>Investment Tax Credit For Year 1 (at rate above)</v>
      </c>
      <c r="D30" s="67"/>
      <c r="E30" s="67">
        <f>E173</f>
        <v>0</v>
      </c>
      <c r="F30" s="67">
        <f t="shared" ref="F30:N30" si="13">F173</f>
        <v>0</v>
      </c>
      <c r="G30" s="67">
        <f t="shared" si="13"/>
        <v>0</v>
      </c>
      <c r="H30" s="67">
        <f t="shared" si="13"/>
        <v>0</v>
      </c>
      <c r="I30" s="67">
        <f t="shared" si="13"/>
        <v>0</v>
      </c>
      <c r="J30" s="67">
        <f t="shared" si="13"/>
        <v>0</v>
      </c>
      <c r="K30" s="67">
        <f t="shared" si="13"/>
        <v>0</v>
      </c>
      <c r="L30" s="67">
        <f t="shared" si="13"/>
        <v>0</v>
      </c>
      <c r="M30" s="67">
        <f t="shared" si="13"/>
        <v>0</v>
      </c>
      <c r="N30" s="67">
        <f t="shared" si="13"/>
        <v>0</v>
      </c>
      <c r="O30" s="67">
        <f>'After Tax Analysis'!O16</f>
        <v>0</v>
      </c>
      <c r="P30" s="326">
        <f t="shared" si="5"/>
        <v>0</v>
      </c>
    </row>
    <row r="31" spans="1:16" x14ac:dyDescent="0.15">
      <c r="B31" s="340">
        <f>'After Tax Analysis'!B17</f>
        <v>10</v>
      </c>
      <c r="C31" s="12" t="str">
        <f>'After Tax Analysis'!C17</f>
        <v>Net Income AT (7-8+9)</v>
      </c>
      <c r="D31" s="67"/>
      <c r="E31" s="67">
        <f>E28+E29+E30</f>
        <v>46240250</v>
      </c>
      <c r="F31" s="67">
        <f t="shared" ref="F31:N31" si="14">F28+F29+F30</f>
        <v>37983942.500000022</v>
      </c>
      <c r="G31" s="67">
        <f t="shared" si="14"/>
        <v>31359042.08412499</v>
      </c>
      <c r="H31" s="67">
        <f t="shared" si="14"/>
        <v>22335846.707490433</v>
      </c>
      <c r="I31" s="67">
        <f t="shared" si="14"/>
        <v>11298041.178848946</v>
      </c>
      <c r="J31" s="67">
        <f t="shared" si="14"/>
        <v>0</v>
      </c>
      <c r="K31" s="67">
        <f t="shared" si="14"/>
        <v>0</v>
      </c>
      <c r="L31" s="67">
        <f t="shared" si="14"/>
        <v>0</v>
      </c>
      <c r="M31" s="67">
        <f t="shared" si="14"/>
        <v>0</v>
      </c>
      <c r="N31" s="67">
        <f t="shared" si="14"/>
        <v>0</v>
      </c>
      <c r="O31" s="67">
        <f>'After Tax Analysis'!O17</f>
        <v>0</v>
      </c>
      <c r="P31" s="326">
        <f t="shared" si="5"/>
        <v>149217122.47046441</v>
      </c>
    </row>
    <row r="32" spans="1:16" x14ac:dyDescent="0.15">
      <c r="B32" s="340" t="str">
        <f>'After Tax Analysis'!B18</f>
        <v>11 / "Expenses"</v>
      </c>
      <c r="C32" s="12" t="str">
        <f>'After Tax Analysis'!C18</f>
        <v>Depreciation</v>
      </c>
      <c r="D32" s="67"/>
      <c r="E32" s="67">
        <f>E175</f>
        <v>3772500</v>
      </c>
      <c r="F32" s="67">
        <f t="shared" ref="F32:N32" si="15">F175</f>
        <v>6218850</v>
      </c>
      <c r="G32" s="67">
        <f t="shared" si="15"/>
        <v>4083150</v>
      </c>
      <c r="H32" s="67">
        <f t="shared" si="15"/>
        <v>2775510</v>
      </c>
      <c r="I32" s="67">
        <f t="shared" si="15"/>
        <v>1352955</v>
      </c>
      <c r="J32" s="67">
        <f t="shared" si="15"/>
        <v>0</v>
      </c>
      <c r="K32" s="67">
        <f t="shared" si="15"/>
        <v>0</v>
      </c>
      <c r="L32" s="67">
        <f t="shared" si="15"/>
        <v>0</v>
      </c>
      <c r="M32" s="67">
        <f t="shared" si="15"/>
        <v>0</v>
      </c>
      <c r="N32" s="67">
        <f t="shared" si="15"/>
        <v>0</v>
      </c>
      <c r="O32" s="67">
        <f>'After Tax Analysis'!O18</f>
        <v>0</v>
      </c>
      <c r="P32" s="326">
        <f t="shared" si="5"/>
        <v>18202965</v>
      </c>
    </row>
    <row r="33" spans="1:19" x14ac:dyDescent="0.15">
      <c r="B33" s="340">
        <f>'After Tax Analysis'!B19</f>
        <v>12</v>
      </c>
      <c r="C33" s="12" t="str">
        <f>'After Tax Analysis'!C19</f>
        <v>Net C.F. from Oper.(10+11)</v>
      </c>
      <c r="D33" s="67"/>
      <c r="E33" s="67">
        <f>E31+E32</f>
        <v>50012750</v>
      </c>
      <c r="F33" s="67">
        <f t="shared" ref="F33:N33" si="16">F31+F32</f>
        <v>44202792.500000022</v>
      </c>
      <c r="G33" s="67">
        <f t="shared" si="16"/>
        <v>35442192.08412499</v>
      </c>
      <c r="H33" s="67">
        <f t="shared" si="16"/>
        <v>25111356.707490433</v>
      </c>
      <c r="I33" s="67">
        <f t="shared" si="16"/>
        <v>12650996.178848946</v>
      </c>
      <c r="J33" s="67">
        <f t="shared" si="16"/>
        <v>0</v>
      </c>
      <c r="K33" s="67">
        <f t="shared" si="16"/>
        <v>0</v>
      </c>
      <c r="L33" s="67">
        <f t="shared" si="16"/>
        <v>0</v>
      </c>
      <c r="M33" s="67">
        <f t="shared" si="16"/>
        <v>0</v>
      </c>
      <c r="N33" s="67">
        <f t="shared" si="16"/>
        <v>0</v>
      </c>
      <c r="O33" s="67">
        <f>'After Tax Analysis'!O19</f>
        <v>0</v>
      </c>
      <c r="P33" s="326">
        <f t="shared" si="5"/>
        <v>167420087.47046441</v>
      </c>
    </row>
    <row r="34" spans="1:19" x14ac:dyDescent="0.15">
      <c r="B34" s="340" t="str">
        <f>'After Tax Analysis'!B20</f>
        <v>13 / "Loan Amortization"</v>
      </c>
      <c r="C34" s="12" t="str">
        <f>'After Tax Analysis'!C20</f>
        <v>Principal Repayment</v>
      </c>
      <c r="D34" s="67">
        <v>0</v>
      </c>
      <c r="E34" s="67">
        <f t="shared" ref="E34:N34" si="17">E177</f>
        <v>0</v>
      </c>
      <c r="F34" s="67">
        <f t="shared" si="17"/>
        <v>0</v>
      </c>
      <c r="G34" s="67">
        <f t="shared" si="17"/>
        <v>0</v>
      </c>
      <c r="H34" s="67">
        <f t="shared" si="17"/>
        <v>0</v>
      </c>
      <c r="I34" s="67">
        <f t="shared" si="17"/>
        <v>0</v>
      </c>
      <c r="J34" s="67">
        <f t="shared" si="17"/>
        <v>0</v>
      </c>
      <c r="K34" s="67">
        <f t="shared" si="17"/>
        <v>0</v>
      </c>
      <c r="L34" s="67">
        <f t="shared" si="17"/>
        <v>0</v>
      </c>
      <c r="M34" s="67">
        <f t="shared" si="17"/>
        <v>0</v>
      </c>
      <c r="N34" s="67">
        <f t="shared" si="17"/>
        <v>0</v>
      </c>
      <c r="O34" s="67">
        <f>'After Tax Analysis'!O20</f>
        <v>0</v>
      </c>
      <c r="P34" s="326">
        <f t="shared" si="5"/>
        <v>0</v>
      </c>
    </row>
    <row r="35" spans="1:19" x14ac:dyDescent="0.15">
      <c r="B35" s="340">
        <f>'After Tax Analysis'!B21</f>
        <v>14</v>
      </c>
      <c r="C35" s="12" t="str">
        <f>'After Tax Analysis'!C21</f>
        <v>Equity Capital (14a+14b+14c)</v>
      </c>
      <c r="D35" s="67">
        <f>'After Tax Analysis'!D21</f>
        <v>-32550000</v>
      </c>
      <c r="E35" s="67">
        <f t="shared" ref="E35:N35" si="18">E178</f>
        <v>0</v>
      </c>
      <c r="F35" s="67">
        <f t="shared" si="18"/>
        <v>0</v>
      </c>
      <c r="G35" s="67">
        <f t="shared" si="18"/>
        <v>0</v>
      </c>
      <c r="H35" s="67">
        <f t="shared" si="18"/>
        <v>0</v>
      </c>
      <c r="I35" s="67">
        <f t="shared" si="18"/>
        <v>14347035</v>
      </c>
      <c r="J35" s="67">
        <f t="shared" si="18"/>
        <v>0</v>
      </c>
      <c r="K35" s="67">
        <f t="shared" si="18"/>
        <v>0</v>
      </c>
      <c r="L35" s="67">
        <f t="shared" si="18"/>
        <v>0</v>
      </c>
      <c r="M35" s="67">
        <f t="shared" si="18"/>
        <v>0</v>
      </c>
      <c r="N35" s="67">
        <f t="shared" si="18"/>
        <v>0</v>
      </c>
      <c r="O35" s="67">
        <f>'After Tax Analysis'!O21</f>
        <v>0</v>
      </c>
      <c r="P35" s="326">
        <f t="shared" si="5"/>
        <v>-18202965</v>
      </c>
    </row>
    <row r="36" spans="1:19" x14ac:dyDescent="0.15">
      <c r="B36" s="340" t="str">
        <f>'After Tax Analysis'!B22</f>
        <v>14a / "Capital &amp; Depr"</v>
      </c>
      <c r="C36" s="12" t="str">
        <f>'After Tax Analysis'!C22</f>
        <v>Depreciable Capital</v>
      </c>
      <c r="D36" s="67">
        <f>'After Tax Analysis'!D22</f>
        <v>-31050000</v>
      </c>
      <c r="E36" s="67">
        <f t="shared" ref="E36:N36" si="19">E179</f>
        <v>0</v>
      </c>
      <c r="F36" s="67">
        <f t="shared" si="19"/>
        <v>0</v>
      </c>
      <c r="G36" s="67">
        <f t="shared" si="19"/>
        <v>0</v>
      </c>
      <c r="H36" s="67">
        <f t="shared" si="19"/>
        <v>0</v>
      </c>
      <c r="I36" s="67">
        <f t="shared" si="19"/>
        <v>12847035</v>
      </c>
      <c r="J36" s="67">
        <f t="shared" si="19"/>
        <v>0</v>
      </c>
      <c r="K36" s="67">
        <f t="shared" si="19"/>
        <v>0</v>
      </c>
      <c r="L36" s="67">
        <f t="shared" si="19"/>
        <v>0</v>
      </c>
      <c r="M36" s="67">
        <f t="shared" si="19"/>
        <v>0</v>
      </c>
      <c r="N36" s="67">
        <f t="shared" si="19"/>
        <v>0</v>
      </c>
      <c r="O36" s="67">
        <f>'After Tax Analysis'!O22</f>
        <v>0</v>
      </c>
      <c r="P36" s="326">
        <f t="shared" si="5"/>
        <v>-18202965</v>
      </c>
    </row>
    <row r="37" spans="1:19" x14ac:dyDescent="0.15">
      <c r="B37" s="340" t="str">
        <f>'After Tax Analysis'!B23</f>
        <v>14b / "Capital &amp; Depr"</v>
      </c>
      <c r="C37" s="12" t="str">
        <f>'After Tax Analysis'!C23</f>
        <v>Non-depreciable capital</v>
      </c>
      <c r="D37" s="67">
        <f>'After Tax Analysis'!D23</f>
        <v>-1500000</v>
      </c>
      <c r="E37" s="67">
        <f t="shared" ref="E37:N37" si="20">E180</f>
        <v>0</v>
      </c>
      <c r="F37" s="67">
        <f t="shared" si="20"/>
        <v>0</v>
      </c>
      <c r="G37" s="67">
        <f t="shared" si="20"/>
        <v>0</v>
      </c>
      <c r="H37" s="67">
        <f t="shared" si="20"/>
        <v>0</v>
      </c>
      <c r="I37" s="67">
        <f t="shared" si="20"/>
        <v>1500000</v>
      </c>
      <c r="J37" s="67">
        <f t="shared" si="20"/>
        <v>0</v>
      </c>
      <c r="K37" s="67">
        <f t="shared" si="20"/>
        <v>0</v>
      </c>
      <c r="L37" s="67">
        <f t="shared" si="20"/>
        <v>0</v>
      </c>
      <c r="M37" s="67">
        <f t="shared" si="20"/>
        <v>0</v>
      </c>
      <c r="N37" s="67">
        <f t="shared" si="20"/>
        <v>0</v>
      </c>
      <c r="O37" s="67">
        <f>'After Tax Analysis'!O23</f>
        <v>0</v>
      </c>
      <c r="P37" s="326">
        <f t="shared" si="5"/>
        <v>0</v>
      </c>
    </row>
    <row r="38" spans="1:19" x14ac:dyDescent="0.15">
      <c r="B38" s="340" t="str">
        <f>'After Tax Analysis'!B24</f>
        <v>14c / "Capital &amp; Depr"</v>
      </c>
      <c r="C38" s="12" t="str">
        <f>'After Tax Analysis'!C24</f>
        <v>Loan Proceeds</v>
      </c>
      <c r="D38" s="67">
        <f>'After Tax Analysis'!D24</f>
        <v>0</v>
      </c>
      <c r="E38" s="67">
        <f t="shared" ref="E38:N38" si="21">E181</f>
        <v>0</v>
      </c>
      <c r="F38" s="67">
        <f t="shared" si="21"/>
        <v>0</v>
      </c>
      <c r="G38" s="67">
        <f t="shared" si="21"/>
        <v>0</v>
      </c>
      <c r="H38" s="67">
        <f t="shared" si="21"/>
        <v>0</v>
      </c>
      <c r="I38" s="67">
        <f t="shared" si="21"/>
        <v>0</v>
      </c>
      <c r="J38" s="67">
        <f t="shared" si="21"/>
        <v>0</v>
      </c>
      <c r="K38" s="67">
        <f t="shared" si="21"/>
        <v>0</v>
      </c>
      <c r="L38" s="67">
        <f t="shared" si="21"/>
        <v>0</v>
      </c>
      <c r="M38" s="67">
        <f t="shared" si="21"/>
        <v>0</v>
      </c>
      <c r="N38" s="67">
        <f t="shared" si="21"/>
        <v>0</v>
      </c>
      <c r="O38" s="67">
        <f>'After Tax Analysis'!O24</f>
        <v>0</v>
      </c>
      <c r="P38" s="326">
        <f t="shared" si="5"/>
        <v>0</v>
      </c>
    </row>
    <row r="39" spans="1:19" x14ac:dyDescent="0.15">
      <c r="B39" s="340" t="str">
        <f>'After Tax Analysis'!B25</f>
        <v>15 / "Capital Gains Wksht"</v>
      </c>
      <c r="C39" s="12" t="str">
        <f>'After Tax Analysis'!C25</f>
        <v>Capital Gains/Losses</v>
      </c>
      <c r="D39" s="67">
        <f>'After Tax Analysis'!D25</f>
        <v>0</v>
      </c>
      <c r="E39" s="67">
        <f t="shared" ref="E39:N39" si="22">E182</f>
        <v>0</v>
      </c>
      <c r="F39" s="67">
        <f t="shared" si="22"/>
        <v>0</v>
      </c>
      <c r="G39" s="67">
        <f t="shared" si="22"/>
        <v>0</v>
      </c>
      <c r="H39" s="67">
        <f t="shared" si="22"/>
        <v>0</v>
      </c>
      <c r="I39" s="67">
        <f t="shared" si="22"/>
        <v>-2596968.7000000002</v>
      </c>
      <c r="J39" s="67">
        <f t="shared" si="22"/>
        <v>0</v>
      </c>
      <c r="K39" s="67">
        <f t="shared" si="22"/>
        <v>0</v>
      </c>
      <c r="L39" s="67">
        <f t="shared" si="22"/>
        <v>0</v>
      </c>
      <c r="M39" s="67">
        <f t="shared" si="22"/>
        <v>0</v>
      </c>
      <c r="N39" s="67">
        <f t="shared" si="22"/>
        <v>0</v>
      </c>
      <c r="O39" s="67">
        <f>'After Tax Analysis'!O25</f>
        <v>0</v>
      </c>
      <c r="P39" s="326">
        <f t="shared" si="5"/>
        <v>-2596968.7000000002</v>
      </c>
    </row>
    <row r="40" spans="1:19" ht="14" thickBot="1" x14ac:dyDescent="0.2">
      <c r="B40" s="340" t="str">
        <f>'After Tax Analysis'!B26</f>
        <v>16 / "Initial Inputs"</v>
      </c>
      <c r="C40" s="12" t="str">
        <f>'After Tax Analysis'!C26</f>
        <v>Working Capital</v>
      </c>
      <c r="D40" s="67">
        <f>'After Tax Analysis'!D26</f>
        <v>-60000000</v>
      </c>
      <c r="E40" s="67">
        <f t="shared" ref="E40:N40" si="23">E183</f>
        <v>0</v>
      </c>
      <c r="F40" s="67">
        <f t="shared" si="23"/>
        <v>0</v>
      </c>
      <c r="G40" s="67">
        <f t="shared" si="23"/>
        <v>0</v>
      </c>
      <c r="H40" s="67">
        <f t="shared" si="23"/>
        <v>0</v>
      </c>
      <c r="I40" s="67">
        <f t="shared" si="23"/>
        <v>60000000</v>
      </c>
      <c r="J40" s="67">
        <f t="shared" si="23"/>
        <v>0</v>
      </c>
      <c r="K40" s="67">
        <f t="shared" si="23"/>
        <v>0</v>
      </c>
      <c r="L40" s="67">
        <f t="shared" si="23"/>
        <v>0</v>
      </c>
      <c r="M40" s="67">
        <f t="shared" si="23"/>
        <v>0</v>
      </c>
      <c r="N40" s="67">
        <f t="shared" si="23"/>
        <v>0</v>
      </c>
      <c r="O40" s="67">
        <f>'After Tax Analysis'!O26</f>
        <v>0</v>
      </c>
      <c r="P40" s="326">
        <f t="shared" si="5"/>
        <v>0</v>
      </c>
    </row>
    <row r="41" spans="1:19" ht="14" thickBot="1" x14ac:dyDescent="0.2">
      <c r="B41" s="340">
        <f>'After Tax Analysis'!B27</f>
        <v>17</v>
      </c>
      <c r="C41" s="12" t="str">
        <f>'After Tax Analysis'!C27</f>
        <v>Net Capital Cash Flow (13+14a+14b+14c+15+16)</v>
      </c>
      <c r="D41" s="67">
        <f>'After Tax Analysis'!D27</f>
        <v>-92550000</v>
      </c>
      <c r="E41" s="67">
        <f t="shared" ref="E41:N41" si="24">E184</f>
        <v>0</v>
      </c>
      <c r="F41" s="67">
        <f t="shared" si="24"/>
        <v>0</v>
      </c>
      <c r="G41" s="67">
        <f t="shared" si="24"/>
        <v>0</v>
      </c>
      <c r="H41" s="67">
        <f t="shared" si="24"/>
        <v>0</v>
      </c>
      <c r="I41" s="67">
        <f t="shared" si="24"/>
        <v>71750066.299999997</v>
      </c>
      <c r="J41" s="67">
        <f t="shared" si="24"/>
        <v>0</v>
      </c>
      <c r="K41" s="67">
        <f t="shared" si="24"/>
        <v>0</v>
      </c>
      <c r="L41" s="67">
        <f t="shared" si="24"/>
        <v>0</v>
      </c>
      <c r="M41" s="67">
        <f t="shared" si="24"/>
        <v>0</v>
      </c>
      <c r="N41" s="67">
        <f t="shared" si="24"/>
        <v>0</v>
      </c>
      <c r="O41" s="67">
        <f>'After Tax Analysis'!O27</f>
        <v>0</v>
      </c>
      <c r="P41" s="326">
        <f t="shared" si="5"/>
        <v>-20799933.700000003</v>
      </c>
      <c r="Q41" s="357" t="s">
        <v>693</v>
      </c>
      <c r="S41" s="334"/>
    </row>
    <row r="42" spans="1:19" ht="14" thickBot="1" x14ac:dyDescent="0.2">
      <c r="A42" s="1" t="s">
        <v>688</v>
      </c>
      <c r="B42" s="355">
        <f>'After Tax Analysis'!B28</f>
        <v>18</v>
      </c>
      <c r="C42" s="335" t="str">
        <f>'After Tax Analysis'!C28</f>
        <v>Total Cash Flow (12+17)</v>
      </c>
      <c r="D42" s="331">
        <f>D41+D33</f>
        <v>-92550000</v>
      </c>
      <c r="E42" s="331">
        <f t="shared" ref="E42:N42" si="25">E41+E33</f>
        <v>50012750</v>
      </c>
      <c r="F42" s="331">
        <f t="shared" si="25"/>
        <v>44202792.500000022</v>
      </c>
      <c r="G42" s="331">
        <f t="shared" si="25"/>
        <v>35442192.08412499</v>
      </c>
      <c r="H42" s="331">
        <f t="shared" si="25"/>
        <v>25111356.707490433</v>
      </c>
      <c r="I42" s="331">
        <f t="shared" si="25"/>
        <v>84401062.478848949</v>
      </c>
      <c r="J42" s="331">
        <f t="shared" si="25"/>
        <v>0</v>
      </c>
      <c r="K42" s="331">
        <f t="shared" si="25"/>
        <v>0</v>
      </c>
      <c r="L42" s="331">
        <f t="shared" si="25"/>
        <v>0</v>
      </c>
      <c r="M42" s="331">
        <f t="shared" si="25"/>
        <v>0</v>
      </c>
      <c r="N42" s="331">
        <f t="shared" si="25"/>
        <v>0</v>
      </c>
      <c r="O42" s="331">
        <f>'After Tax Analysis'!O28</f>
        <v>0</v>
      </c>
      <c r="P42" s="356">
        <f t="shared" si="5"/>
        <v>146620153.77046439</v>
      </c>
      <c r="Q42" s="358">
        <f>IF(ISNUMBER(IRR(D42:N42)),IRR(D42:N42),"NMF")</f>
        <v>0.40549033935008683</v>
      </c>
      <c r="R42" s="1" t="s">
        <v>688</v>
      </c>
    </row>
    <row r="43" spans="1:19" x14ac:dyDescent="0.15">
      <c r="R43" s="2"/>
    </row>
    <row r="44" spans="1:19" ht="14" thickBot="1" x14ac:dyDescent="0.2">
      <c r="R44" s="2"/>
    </row>
    <row r="45" spans="1:19" ht="14" thickBot="1" x14ac:dyDescent="0.2">
      <c r="B45" s="359" t="s">
        <v>282</v>
      </c>
      <c r="C45" s="360" t="s">
        <v>283</v>
      </c>
      <c r="D45" s="360"/>
      <c r="E45" s="360">
        <v>1</v>
      </c>
      <c r="F45" s="360">
        <v>2</v>
      </c>
      <c r="G45" s="360">
        <v>3</v>
      </c>
      <c r="H45" s="360">
        <v>4</v>
      </c>
      <c r="I45" s="360">
        <v>5</v>
      </c>
      <c r="J45" s="360">
        <v>6</v>
      </c>
      <c r="K45" s="360">
        <v>7</v>
      </c>
      <c r="L45" s="360">
        <v>8</v>
      </c>
      <c r="M45" s="360">
        <v>9</v>
      </c>
      <c r="N45" s="360">
        <v>10</v>
      </c>
      <c r="O45" s="360" t="s">
        <v>284</v>
      </c>
      <c r="P45" s="361" t="s">
        <v>285</v>
      </c>
      <c r="R45" s="2"/>
    </row>
    <row r="46" spans="1:19" x14ac:dyDescent="0.15">
      <c r="B46" s="339" t="s">
        <v>687</v>
      </c>
      <c r="C46" s="302" t="s">
        <v>287</v>
      </c>
      <c r="D46" s="322">
        <f t="shared" ref="D46:D61" si="26">D161</f>
        <v>0</v>
      </c>
      <c r="E46" s="322">
        <f t="shared" ref="E46:N46" si="27">E161</f>
        <v>300000000</v>
      </c>
      <c r="F46" s="322">
        <f t="shared" si="27"/>
        <v>313500000.00000006</v>
      </c>
      <c r="G46" s="322">
        <f t="shared" si="27"/>
        <v>327607500.00000006</v>
      </c>
      <c r="H46" s="322">
        <f t="shared" si="27"/>
        <v>342349837.50000012</v>
      </c>
      <c r="I46" s="322">
        <f t="shared" si="27"/>
        <v>357755580.18750012</v>
      </c>
      <c r="J46" s="322">
        <f t="shared" si="27"/>
        <v>0</v>
      </c>
      <c r="K46" s="322">
        <f t="shared" si="27"/>
        <v>0</v>
      </c>
      <c r="L46" s="322">
        <f t="shared" si="27"/>
        <v>0</v>
      </c>
      <c r="M46" s="322">
        <f t="shared" si="27"/>
        <v>0</v>
      </c>
      <c r="N46" s="322">
        <f t="shared" si="27"/>
        <v>0</v>
      </c>
      <c r="O46" s="322">
        <v>0</v>
      </c>
      <c r="P46" s="325">
        <f>SUM(D46:N46)</f>
        <v>1641212917.6875</v>
      </c>
      <c r="R46" s="2"/>
    </row>
    <row r="47" spans="1:19" x14ac:dyDescent="0.15">
      <c r="A47" s="1" t="s">
        <v>694</v>
      </c>
      <c r="B47" s="340" t="s">
        <v>689</v>
      </c>
      <c r="C47" s="354" t="s">
        <v>689</v>
      </c>
      <c r="D47" s="67">
        <f t="shared" si="26"/>
        <v>0</v>
      </c>
      <c r="E47" s="67">
        <f>E162</f>
        <v>300000000</v>
      </c>
      <c r="F47" s="67">
        <f t="shared" ref="F47:N47" si="28">F162</f>
        <v>313500000.00000006</v>
      </c>
      <c r="G47" s="67">
        <f t="shared" si="28"/>
        <v>327607500.00000006</v>
      </c>
      <c r="H47" s="67">
        <f t="shared" si="28"/>
        <v>342349837.50000012</v>
      </c>
      <c r="I47" s="67">
        <f t="shared" si="28"/>
        <v>357755580.18750012</v>
      </c>
      <c r="J47" s="67">
        <f t="shared" si="28"/>
        <v>0</v>
      </c>
      <c r="K47" s="67">
        <f t="shared" si="28"/>
        <v>0</v>
      </c>
      <c r="L47" s="67">
        <f t="shared" si="28"/>
        <v>0</v>
      </c>
      <c r="M47" s="67">
        <f t="shared" si="28"/>
        <v>0</v>
      </c>
      <c r="N47" s="67">
        <f t="shared" si="28"/>
        <v>0</v>
      </c>
      <c r="O47" s="67"/>
      <c r="P47" s="326">
        <f>SUM(D47:N47)</f>
        <v>1641212917.6875</v>
      </c>
      <c r="R47" s="2"/>
    </row>
    <row r="48" spans="1:19" x14ac:dyDescent="0.15">
      <c r="B48" s="340" t="s">
        <v>690</v>
      </c>
      <c r="C48" s="354" t="s">
        <v>690</v>
      </c>
      <c r="D48" s="67">
        <f t="shared" si="26"/>
        <v>0</v>
      </c>
      <c r="E48" s="67">
        <f>E163</f>
        <v>0</v>
      </c>
      <c r="F48" s="67">
        <f t="shared" ref="F48:N48" si="29">F163</f>
        <v>0</v>
      </c>
      <c r="G48" s="67">
        <f t="shared" si="29"/>
        <v>0</v>
      </c>
      <c r="H48" s="67">
        <f t="shared" si="29"/>
        <v>0</v>
      </c>
      <c r="I48" s="67">
        <f t="shared" si="29"/>
        <v>0</v>
      </c>
      <c r="J48" s="67">
        <f t="shared" si="29"/>
        <v>0</v>
      </c>
      <c r="K48" s="67">
        <f t="shared" si="29"/>
        <v>0</v>
      </c>
      <c r="L48" s="67">
        <f t="shared" si="29"/>
        <v>0</v>
      </c>
      <c r="M48" s="67">
        <f t="shared" si="29"/>
        <v>0</v>
      </c>
      <c r="N48" s="67">
        <f t="shared" si="29"/>
        <v>0</v>
      </c>
      <c r="O48" s="294"/>
      <c r="P48" s="326">
        <f t="shared" ref="P48:P70" si="30">SUM(D48:N48)</f>
        <v>0</v>
      </c>
      <c r="R48" s="2"/>
    </row>
    <row r="49" spans="2:18" x14ac:dyDescent="0.15">
      <c r="B49" s="355" t="s">
        <v>691</v>
      </c>
      <c r="C49" s="362" t="s">
        <v>691</v>
      </c>
      <c r="D49" s="331">
        <f t="shared" si="26"/>
        <v>0</v>
      </c>
      <c r="E49" s="331">
        <f>Revenues!D21*Revenues!D22*0.8</f>
        <v>0</v>
      </c>
      <c r="F49" s="331">
        <f>Revenues!E21*Revenues!E22*0.8</f>
        <v>0</v>
      </c>
      <c r="G49" s="331">
        <f>Revenues!F21*Revenues!F22*0.8</f>
        <v>0</v>
      </c>
      <c r="H49" s="331">
        <f>Revenues!G21*Revenues!G22*0.8</f>
        <v>0</v>
      </c>
      <c r="I49" s="331">
        <f>Revenues!H21*Revenues!H22*0.8</f>
        <v>0</v>
      </c>
      <c r="J49" s="331">
        <f>Revenues!I21*Revenues!I22*0.8</f>
        <v>0</v>
      </c>
      <c r="K49" s="331">
        <f>Revenues!J21*Revenues!J22*0.8</f>
        <v>0</v>
      </c>
      <c r="L49" s="331">
        <f>Revenues!K21*Revenues!K22*0.8</f>
        <v>0</v>
      </c>
      <c r="M49" s="331">
        <f>Revenues!L21*Revenues!L22*0.8</f>
        <v>0</v>
      </c>
      <c r="N49" s="331">
        <f>Revenues!M21*Revenues!M22*0.8</f>
        <v>0</v>
      </c>
      <c r="O49" s="331"/>
      <c r="P49" s="356">
        <f t="shared" si="30"/>
        <v>0</v>
      </c>
      <c r="R49" s="2"/>
    </row>
    <row r="50" spans="2:18" x14ac:dyDescent="0.15">
      <c r="B50" s="340" t="s">
        <v>695</v>
      </c>
      <c r="C50" s="12"/>
      <c r="D50" s="67">
        <f t="shared" si="26"/>
        <v>0</v>
      </c>
      <c r="E50" s="67">
        <f>E49+E48+E47</f>
        <v>300000000</v>
      </c>
      <c r="F50" s="67">
        <f t="shared" ref="F50:N50" si="31">F49+F48+F47</f>
        <v>313500000.00000006</v>
      </c>
      <c r="G50" s="67">
        <f t="shared" si="31"/>
        <v>327607500.00000006</v>
      </c>
      <c r="H50" s="67">
        <f t="shared" si="31"/>
        <v>342349837.50000012</v>
      </c>
      <c r="I50" s="67">
        <f t="shared" si="31"/>
        <v>357755580.18750012</v>
      </c>
      <c r="J50" s="67">
        <f t="shared" si="31"/>
        <v>0</v>
      </c>
      <c r="K50" s="67">
        <f t="shared" si="31"/>
        <v>0</v>
      </c>
      <c r="L50" s="67">
        <f t="shared" si="31"/>
        <v>0</v>
      </c>
      <c r="M50" s="67">
        <f t="shared" si="31"/>
        <v>0</v>
      </c>
      <c r="N50" s="67">
        <f t="shared" si="31"/>
        <v>0</v>
      </c>
      <c r="O50" s="67"/>
      <c r="P50" s="326">
        <f t="shared" si="30"/>
        <v>1641212917.6875</v>
      </c>
      <c r="R50" s="2"/>
    </row>
    <row r="51" spans="2:18" x14ac:dyDescent="0.15">
      <c r="B51" s="340" t="s">
        <v>696</v>
      </c>
      <c r="C51" s="12" t="s">
        <v>289</v>
      </c>
      <c r="D51" s="67">
        <f t="shared" si="26"/>
        <v>0</v>
      </c>
      <c r="E51" s="67">
        <f>Expenses!D18+Expenses!D25+(Expenses!D32*0.8)+Expenses!D39+Expenses!D44+(Expenses!D49*0.8)+Expenses!D56+Expenses!D95-Expenses!D77</f>
        <v>230170000</v>
      </c>
      <c r="F51" s="67">
        <f>Expenses!E18+Expenses!E25+(Expenses!E32*0.8)+Expenses!E39+Expenses!E44+(Expenses!E49*0.8)+Expenses!E56+Expenses!E95-Expenses!E77</f>
        <v>253018375.00000003</v>
      </c>
      <c r="G51" s="67">
        <f>Expenses!F18+Expenses!F25+(Expenses!F32*0.8)+Expenses!F39+Expenses!F44+(Expenses!F49*0.8)+Expenses!F56+Expenses!F95-Expenses!F77</f>
        <v>278725718.45125008</v>
      </c>
      <c r="H51" s="67">
        <f>Expenses!G18+Expenses!G25+(Expenses!G32*0.8)+Expenses!G39+Expenses!G44+(Expenses!G49*0.8)+Expenses!G56+Expenses!G95-Expenses!G77</f>
        <v>307665975.06072807</v>
      </c>
      <c r="I51" s="67">
        <f>Expenses!H18+Expenses!H25+(Expenses!H32*0.8)+Expenses!H39+Expenses!H44+(Expenses!H49*0.8)+Expenses!H56+Expenses!H95-Expenses!H77</f>
        <v>340262566.36057305</v>
      </c>
      <c r="J51" s="67">
        <f>Expenses!I18+Expenses!I25+(Expenses!I32*0.8)+Expenses!I39+Expenses!I44+(Expenses!I49*0.8)+Expenses!I56+Expenses!I95-Expenses!I77</f>
        <v>0</v>
      </c>
      <c r="K51" s="67">
        <f>Expenses!J18+Expenses!J25+(Expenses!J32*0.8)+Expenses!J39+Expenses!J44+(Expenses!J49*0.8)+Expenses!J56+Expenses!J95-Expenses!J77</f>
        <v>0</v>
      </c>
      <c r="L51" s="67">
        <f>Expenses!K18+Expenses!K25+(Expenses!K32*0.8)+Expenses!K39+Expenses!K44+(Expenses!K49*0.8)+Expenses!K56+Expenses!K95-Expenses!K77</f>
        <v>0</v>
      </c>
      <c r="M51" s="67">
        <f>Expenses!L18+Expenses!L25+(Expenses!L32*0.8)+Expenses!L39+Expenses!L44+(Expenses!L49*0.8)+Expenses!L56+Expenses!L95-Expenses!L77</f>
        <v>0</v>
      </c>
      <c r="N51" s="67">
        <f>Expenses!M18+Expenses!M25+(Expenses!M32*0.8)+Expenses!M39+Expenses!M44+(Expenses!M49*0.8)+Expenses!M56+Expenses!M95-Expenses!M77</f>
        <v>0</v>
      </c>
      <c r="O51" s="67">
        <v>0</v>
      </c>
      <c r="P51" s="326">
        <f t="shared" si="30"/>
        <v>1409842634.8725512</v>
      </c>
      <c r="R51" s="2"/>
    </row>
    <row r="52" spans="2:18" x14ac:dyDescent="0.15">
      <c r="B52" s="340">
        <v>3</v>
      </c>
      <c r="C52" s="12" t="s">
        <v>290</v>
      </c>
      <c r="D52" s="67">
        <f t="shared" si="26"/>
        <v>0</v>
      </c>
      <c r="E52" s="67">
        <f>E50-E51</f>
        <v>69830000</v>
      </c>
      <c r="F52" s="67">
        <f t="shared" ref="F52:N52" si="32">F50-F51</f>
        <v>60481625.00000003</v>
      </c>
      <c r="G52" s="67">
        <f t="shared" si="32"/>
        <v>48881781.548749983</v>
      </c>
      <c r="H52" s="67">
        <f t="shared" si="32"/>
        <v>34683862.439272046</v>
      </c>
      <c r="I52" s="67">
        <f t="shared" si="32"/>
        <v>17493013.826927066</v>
      </c>
      <c r="J52" s="67">
        <f t="shared" si="32"/>
        <v>0</v>
      </c>
      <c r="K52" s="67">
        <f t="shared" si="32"/>
        <v>0</v>
      </c>
      <c r="L52" s="67">
        <f t="shared" si="32"/>
        <v>0</v>
      </c>
      <c r="M52" s="67">
        <f t="shared" si="32"/>
        <v>0</v>
      </c>
      <c r="N52" s="67">
        <f t="shared" si="32"/>
        <v>0</v>
      </c>
      <c r="O52" s="67">
        <v>0</v>
      </c>
      <c r="P52" s="326">
        <f t="shared" si="30"/>
        <v>231370282.81494913</v>
      </c>
      <c r="R52" s="2"/>
    </row>
    <row r="53" spans="2:18" x14ac:dyDescent="0.15">
      <c r="B53" s="340" t="s">
        <v>697</v>
      </c>
      <c r="C53" s="12" t="s">
        <v>292</v>
      </c>
      <c r="D53" s="67">
        <f t="shared" si="26"/>
        <v>0</v>
      </c>
      <c r="E53" s="67">
        <f>E168</f>
        <v>3772500</v>
      </c>
      <c r="F53" s="67">
        <f t="shared" ref="F53:N53" si="33">F168</f>
        <v>6218850</v>
      </c>
      <c r="G53" s="67">
        <f t="shared" si="33"/>
        <v>4083150</v>
      </c>
      <c r="H53" s="67">
        <f t="shared" si="33"/>
        <v>2775510</v>
      </c>
      <c r="I53" s="67">
        <f t="shared" si="33"/>
        <v>1352955</v>
      </c>
      <c r="J53" s="67">
        <f t="shared" si="33"/>
        <v>0</v>
      </c>
      <c r="K53" s="67">
        <f t="shared" si="33"/>
        <v>0</v>
      </c>
      <c r="L53" s="67">
        <f t="shared" si="33"/>
        <v>0</v>
      </c>
      <c r="M53" s="67">
        <f t="shared" si="33"/>
        <v>0</v>
      </c>
      <c r="N53" s="67">
        <f t="shared" si="33"/>
        <v>0</v>
      </c>
      <c r="O53" s="67">
        <v>0</v>
      </c>
      <c r="P53" s="326">
        <f t="shared" si="30"/>
        <v>18202965</v>
      </c>
      <c r="R53" s="2"/>
    </row>
    <row r="54" spans="2:18" x14ac:dyDescent="0.15">
      <c r="B54" s="340">
        <v>5</v>
      </c>
      <c r="C54" s="12" t="s">
        <v>293</v>
      </c>
      <c r="D54" s="67">
        <f t="shared" si="26"/>
        <v>0</v>
      </c>
      <c r="E54" s="67">
        <f>E52-E53</f>
        <v>66057500</v>
      </c>
      <c r="F54" s="67">
        <f t="shared" ref="F54:N54" si="34">F52-F53</f>
        <v>54262775.00000003</v>
      </c>
      <c r="G54" s="67">
        <f t="shared" si="34"/>
        <v>44798631.548749983</v>
      </c>
      <c r="H54" s="67">
        <f t="shared" si="34"/>
        <v>31908352.439272046</v>
      </c>
      <c r="I54" s="67">
        <f t="shared" si="34"/>
        <v>16140058.826927066</v>
      </c>
      <c r="J54" s="67">
        <f t="shared" si="34"/>
        <v>0</v>
      </c>
      <c r="K54" s="67">
        <f t="shared" si="34"/>
        <v>0</v>
      </c>
      <c r="L54" s="67">
        <f t="shared" si="34"/>
        <v>0</v>
      </c>
      <c r="M54" s="67">
        <f t="shared" si="34"/>
        <v>0</v>
      </c>
      <c r="N54" s="67">
        <f t="shared" si="34"/>
        <v>0</v>
      </c>
      <c r="O54" s="67">
        <v>0</v>
      </c>
      <c r="P54" s="326">
        <f t="shared" si="30"/>
        <v>213167317.81494913</v>
      </c>
      <c r="R54" s="2"/>
    </row>
    <row r="55" spans="2:18" x14ac:dyDescent="0.15">
      <c r="B55" s="340" t="s">
        <v>698</v>
      </c>
      <c r="C55" s="12" t="s">
        <v>295</v>
      </c>
      <c r="D55" s="67">
        <f t="shared" si="26"/>
        <v>0</v>
      </c>
      <c r="E55" s="67">
        <f>E170</f>
        <v>0</v>
      </c>
      <c r="F55" s="67">
        <f t="shared" ref="F55:N55" si="35">F170</f>
        <v>0</v>
      </c>
      <c r="G55" s="67">
        <f t="shared" si="35"/>
        <v>0</v>
      </c>
      <c r="H55" s="67">
        <f t="shared" si="35"/>
        <v>0</v>
      </c>
      <c r="I55" s="67">
        <f t="shared" si="35"/>
        <v>0</v>
      </c>
      <c r="J55" s="67">
        <f t="shared" si="35"/>
        <v>0</v>
      </c>
      <c r="K55" s="67">
        <f t="shared" si="35"/>
        <v>0</v>
      </c>
      <c r="L55" s="67">
        <f t="shared" si="35"/>
        <v>0</v>
      </c>
      <c r="M55" s="67">
        <f t="shared" si="35"/>
        <v>0</v>
      </c>
      <c r="N55" s="67">
        <f t="shared" si="35"/>
        <v>0</v>
      </c>
      <c r="O55" s="67">
        <v>0</v>
      </c>
      <c r="P55" s="326">
        <f t="shared" si="30"/>
        <v>0</v>
      </c>
      <c r="R55" s="2"/>
    </row>
    <row r="56" spans="2:18" x14ac:dyDescent="0.15">
      <c r="B56" s="340">
        <v>7</v>
      </c>
      <c r="C56" s="12" t="s">
        <v>296</v>
      </c>
      <c r="D56" s="67">
        <f t="shared" si="26"/>
        <v>0</v>
      </c>
      <c r="E56" s="67">
        <f>E54-E55</f>
        <v>66057500</v>
      </c>
      <c r="F56" s="67">
        <f t="shared" ref="F56:N56" si="36">F54-F55</f>
        <v>54262775.00000003</v>
      </c>
      <c r="G56" s="67">
        <f t="shared" si="36"/>
        <v>44798631.548749983</v>
      </c>
      <c r="H56" s="67">
        <f t="shared" si="36"/>
        <v>31908352.439272046</v>
      </c>
      <c r="I56" s="67">
        <f t="shared" si="36"/>
        <v>16140058.826927066</v>
      </c>
      <c r="J56" s="67">
        <f t="shared" si="36"/>
        <v>0</v>
      </c>
      <c r="K56" s="67">
        <f t="shared" si="36"/>
        <v>0</v>
      </c>
      <c r="L56" s="67">
        <f t="shared" si="36"/>
        <v>0</v>
      </c>
      <c r="M56" s="67">
        <f t="shared" si="36"/>
        <v>0</v>
      </c>
      <c r="N56" s="67">
        <f t="shared" si="36"/>
        <v>0</v>
      </c>
      <c r="O56" s="67">
        <v>0</v>
      </c>
      <c r="P56" s="326">
        <f t="shared" si="30"/>
        <v>213167317.81494913</v>
      </c>
      <c r="R56" s="2"/>
    </row>
    <row r="57" spans="2:18" x14ac:dyDescent="0.15">
      <c r="B57" s="340">
        <v>8</v>
      </c>
      <c r="C57" s="12" t="s">
        <v>297</v>
      </c>
      <c r="D57" s="67">
        <f t="shared" si="26"/>
        <v>0</v>
      </c>
      <c r="E57" s="67">
        <f>-E56*$D$3</f>
        <v>-19817250</v>
      </c>
      <c r="F57" s="67">
        <f t="shared" ref="F57:N57" si="37">-F56*$D$3</f>
        <v>-16278832.500000007</v>
      </c>
      <c r="G57" s="67">
        <f t="shared" si="37"/>
        <v>-13439589.464624995</v>
      </c>
      <c r="H57" s="67">
        <f t="shared" si="37"/>
        <v>-9572505.7317816131</v>
      </c>
      <c r="I57" s="67">
        <f t="shared" si="37"/>
        <v>-4842017.6480781194</v>
      </c>
      <c r="J57" s="67">
        <f t="shared" si="37"/>
        <v>0</v>
      </c>
      <c r="K57" s="67">
        <f t="shared" si="37"/>
        <v>0</v>
      </c>
      <c r="L57" s="67">
        <f t="shared" si="37"/>
        <v>0</v>
      </c>
      <c r="M57" s="67">
        <f t="shared" si="37"/>
        <v>0</v>
      </c>
      <c r="N57" s="67">
        <f t="shared" si="37"/>
        <v>0</v>
      </c>
      <c r="O57" s="67">
        <v>0</v>
      </c>
      <c r="P57" s="326">
        <f t="shared" si="30"/>
        <v>-63950195.344484739</v>
      </c>
      <c r="R57" s="2"/>
    </row>
    <row r="58" spans="2:18" x14ac:dyDescent="0.15">
      <c r="B58" s="340">
        <v>9</v>
      </c>
      <c r="C58" s="12" t="s">
        <v>298</v>
      </c>
      <c r="D58" s="67">
        <f t="shared" si="26"/>
        <v>0</v>
      </c>
      <c r="E58" s="67">
        <f>E173</f>
        <v>0</v>
      </c>
      <c r="F58" s="67">
        <f t="shared" ref="F58:N58" si="38">F173</f>
        <v>0</v>
      </c>
      <c r="G58" s="67">
        <f t="shared" si="38"/>
        <v>0</v>
      </c>
      <c r="H58" s="67">
        <f t="shared" si="38"/>
        <v>0</v>
      </c>
      <c r="I58" s="67">
        <f t="shared" si="38"/>
        <v>0</v>
      </c>
      <c r="J58" s="67">
        <f t="shared" si="38"/>
        <v>0</v>
      </c>
      <c r="K58" s="67">
        <f t="shared" si="38"/>
        <v>0</v>
      </c>
      <c r="L58" s="67">
        <f t="shared" si="38"/>
        <v>0</v>
      </c>
      <c r="M58" s="67">
        <f t="shared" si="38"/>
        <v>0</v>
      </c>
      <c r="N58" s="67">
        <f t="shared" si="38"/>
        <v>0</v>
      </c>
      <c r="O58" s="67">
        <v>0</v>
      </c>
      <c r="P58" s="326">
        <f t="shared" si="30"/>
        <v>0</v>
      </c>
      <c r="R58" s="2"/>
    </row>
    <row r="59" spans="2:18" x14ac:dyDescent="0.15">
      <c r="B59" s="340">
        <v>10</v>
      </c>
      <c r="C59" s="12" t="s">
        <v>299</v>
      </c>
      <c r="D59" s="67">
        <f t="shared" si="26"/>
        <v>0</v>
      </c>
      <c r="E59" s="67">
        <f>E56+E57+E58</f>
        <v>46240250</v>
      </c>
      <c r="F59" s="67">
        <f t="shared" ref="F59:N59" si="39">F56+F57+F58</f>
        <v>37983942.500000022</v>
      </c>
      <c r="G59" s="67">
        <f t="shared" si="39"/>
        <v>31359042.08412499</v>
      </c>
      <c r="H59" s="67">
        <f t="shared" si="39"/>
        <v>22335846.707490433</v>
      </c>
      <c r="I59" s="67">
        <f t="shared" si="39"/>
        <v>11298041.178848946</v>
      </c>
      <c r="J59" s="67">
        <f t="shared" si="39"/>
        <v>0</v>
      </c>
      <c r="K59" s="67">
        <f t="shared" si="39"/>
        <v>0</v>
      </c>
      <c r="L59" s="67">
        <f t="shared" si="39"/>
        <v>0</v>
      </c>
      <c r="M59" s="67">
        <f t="shared" si="39"/>
        <v>0</v>
      </c>
      <c r="N59" s="67">
        <f t="shared" si="39"/>
        <v>0</v>
      </c>
      <c r="O59" s="67">
        <v>0</v>
      </c>
      <c r="P59" s="326">
        <f t="shared" si="30"/>
        <v>149217122.47046441</v>
      </c>
      <c r="R59" s="2"/>
    </row>
    <row r="60" spans="2:18" x14ac:dyDescent="0.15">
      <c r="B60" s="340" t="s">
        <v>699</v>
      </c>
      <c r="C60" s="12" t="s">
        <v>292</v>
      </c>
      <c r="D60" s="67">
        <f t="shared" si="26"/>
        <v>0</v>
      </c>
      <c r="E60" s="67">
        <f>E175</f>
        <v>3772500</v>
      </c>
      <c r="F60" s="67">
        <f t="shared" ref="F60:N60" si="40">F175</f>
        <v>6218850</v>
      </c>
      <c r="G60" s="67">
        <f t="shared" si="40"/>
        <v>4083150</v>
      </c>
      <c r="H60" s="67">
        <f t="shared" si="40"/>
        <v>2775510</v>
      </c>
      <c r="I60" s="67">
        <f t="shared" si="40"/>
        <v>1352955</v>
      </c>
      <c r="J60" s="67">
        <f t="shared" si="40"/>
        <v>0</v>
      </c>
      <c r="K60" s="67">
        <f t="shared" si="40"/>
        <v>0</v>
      </c>
      <c r="L60" s="67">
        <f t="shared" si="40"/>
        <v>0</v>
      </c>
      <c r="M60" s="67">
        <f t="shared" si="40"/>
        <v>0</v>
      </c>
      <c r="N60" s="67">
        <f t="shared" si="40"/>
        <v>0</v>
      </c>
      <c r="O60" s="67">
        <v>0</v>
      </c>
      <c r="P60" s="326">
        <f t="shared" si="30"/>
        <v>18202965</v>
      </c>
      <c r="R60" s="2"/>
    </row>
    <row r="61" spans="2:18" x14ac:dyDescent="0.15">
      <c r="B61" s="340">
        <v>12</v>
      </c>
      <c r="C61" s="12" t="s">
        <v>301</v>
      </c>
      <c r="D61" s="67">
        <f t="shared" si="26"/>
        <v>0</v>
      </c>
      <c r="E61" s="67">
        <f>E59+E60</f>
        <v>50012750</v>
      </c>
      <c r="F61" s="67">
        <f t="shared" ref="F61:N61" si="41">F59+F60</f>
        <v>44202792.500000022</v>
      </c>
      <c r="G61" s="67">
        <f t="shared" si="41"/>
        <v>35442192.08412499</v>
      </c>
      <c r="H61" s="67">
        <f t="shared" si="41"/>
        <v>25111356.707490433</v>
      </c>
      <c r="I61" s="67">
        <f t="shared" si="41"/>
        <v>12650996.178848946</v>
      </c>
      <c r="J61" s="67">
        <f t="shared" si="41"/>
        <v>0</v>
      </c>
      <c r="K61" s="67">
        <f t="shared" si="41"/>
        <v>0</v>
      </c>
      <c r="L61" s="67">
        <f t="shared" si="41"/>
        <v>0</v>
      </c>
      <c r="M61" s="67">
        <f t="shared" si="41"/>
        <v>0</v>
      </c>
      <c r="N61" s="67">
        <f t="shared" si="41"/>
        <v>0</v>
      </c>
      <c r="O61" s="67">
        <v>0</v>
      </c>
      <c r="P61" s="326">
        <f t="shared" si="30"/>
        <v>167420087.47046441</v>
      </c>
      <c r="R61" s="2"/>
    </row>
    <row r="62" spans="2:18" x14ac:dyDescent="0.15">
      <c r="B62" s="340" t="s">
        <v>700</v>
      </c>
      <c r="C62" s="12" t="s">
        <v>303</v>
      </c>
      <c r="D62" s="67">
        <v>0</v>
      </c>
      <c r="E62" s="67">
        <f t="shared" ref="E62:N62" si="42">E177</f>
        <v>0</v>
      </c>
      <c r="F62" s="67">
        <f t="shared" si="42"/>
        <v>0</v>
      </c>
      <c r="G62" s="67">
        <f t="shared" si="42"/>
        <v>0</v>
      </c>
      <c r="H62" s="67">
        <f t="shared" si="42"/>
        <v>0</v>
      </c>
      <c r="I62" s="67">
        <f t="shared" si="42"/>
        <v>0</v>
      </c>
      <c r="J62" s="67">
        <f t="shared" si="42"/>
        <v>0</v>
      </c>
      <c r="K62" s="67">
        <f t="shared" si="42"/>
        <v>0</v>
      </c>
      <c r="L62" s="67">
        <f t="shared" si="42"/>
        <v>0</v>
      </c>
      <c r="M62" s="67">
        <f t="shared" si="42"/>
        <v>0</v>
      </c>
      <c r="N62" s="67">
        <f t="shared" si="42"/>
        <v>0</v>
      </c>
      <c r="O62" s="67">
        <v>0</v>
      </c>
      <c r="P62" s="326">
        <f t="shared" si="30"/>
        <v>0</v>
      </c>
      <c r="R62" s="2"/>
    </row>
    <row r="63" spans="2:18" x14ac:dyDescent="0.15">
      <c r="B63" s="340">
        <v>14</v>
      </c>
      <c r="C63" s="12" t="s">
        <v>304</v>
      </c>
      <c r="D63" s="67">
        <f t="shared" ref="D63:D69" si="43">D178</f>
        <v>-32550000</v>
      </c>
      <c r="E63" s="67">
        <f t="shared" ref="E63:N63" si="44">E178</f>
        <v>0</v>
      </c>
      <c r="F63" s="67">
        <f t="shared" si="44"/>
        <v>0</v>
      </c>
      <c r="G63" s="67">
        <f t="shared" si="44"/>
        <v>0</v>
      </c>
      <c r="H63" s="67">
        <f t="shared" si="44"/>
        <v>0</v>
      </c>
      <c r="I63" s="67">
        <f t="shared" si="44"/>
        <v>14347035</v>
      </c>
      <c r="J63" s="67">
        <f t="shared" si="44"/>
        <v>0</v>
      </c>
      <c r="K63" s="67">
        <f t="shared" si="44"/>
        <v>0</v>
      </c>
      <c r="L63" s="67">
        <f t="shared" si="44"/>
        <v>0</v>
      </c>
      <c r="M63" s="67">
        <f t="shared" si="44"/>
        <v>0</v>
      </c>
      <c r="N63" s="67">
        <f t="shared" si="44"/>
        <v>0</v>
      </c>
      <c r="O63" s="67">
        <v>0</v>
      </c>
      <c r="P63" s="326">
        <f t="shared" si="30"/>
        <v>-18202965</v>
      </c>
      <c r="R63" s="2"/>
    </row>
    <row r="64" spans="2:18" x14ac:dyDescent="0.15">
      <c r="B64" s="340" t="s">
        <v>701</v>
      </c>
      <c r="C64" s="12" t="s">
        <v>207</v>
      </c>
      <c r="D64" s="67">
        <f t="shared" si="43"/>
        <v>-31050000</v>
      </c>
      <c r="E64" s="67">
        <f t="shared" ref="E64:N64" si="45">E179</f>
        <v>0</v>
      </c>
      <c r="F64" s="67">
        <f t="shared" si="45"/>
        <v>0</v>
      </c>
      <c r="G64" s="67">
        <f t="shared" si="45"/>
        <v>0</v>
      </c>
      <c r="H64" s="67">
        <f t="shared" si="45"/>
        <v>0</v>
      </c>
      <c r="I64" s="67">
        <f t="shared" si="45"/>
        <v>12847035</v>
      </c>
      <c r="J64" s="67">
        <f t="shared" si="45"/>
        <v>0</v>
      </c>
      <c r="K64" s="67">
        <f t="shared" si="45"/>
        <v>0</v>
      </c>
      <c r="L64" s="67">
        <f t="shared" si="45"/>
        <v>0</v>
      </c>
      <c r="M64" s="67">
        <f t="shared" si="45"/>
        <v>0</v>
      </c>
      <c r="N64" s="67">
        <f t="shared" si="45"/>
        <v>0</v>
      </c>
      <c r="O64" s="67">
        <v>0</v>
      </c>
      <c r="P64" s="326">
        <f t="shared" si="30"/>
        <v>-18202965</v>
      </c>
      <c r="R64" s="2"/>
    </row>
    <row r="65" spans="1:18" x14ac:dyDescent="0.15">
      <c r="B65" s="340" t="s">
        <v>702</v>
      </c>
      <c r="C65" s="12" t="s">
        <v>307</v>
      </c>
      <c r="D65" s="67">
        <f t="shared" si="43"/>
        <v>-1500000</v>
      </c>
      <c r="E65" s="67">
        <f t="shared" ref="E65:N65" si="46">E180</f>
        <v>0</v>
      </c>
      <c r="F65" s="67">
        <f t="shared" si="46"/>
        <v>0</v>
      </c>
      <c r="G65" s="67">
        <f t="shared" si="46"/>
        <v>0</v>
      </c>
      <c r="H65" s="67">
        <f t="shared" si="46"/>
        <v>0</v>
      </c>
      <c r="I65" s="67">
        <f t="shared" si="46"/>
        <v>1500000</v>
      </c>
      <c r="J65" s="67">
        <f t="shared" si="46"/>
        <v>0</v>
      </c>
      <c r="K65" s="67">
        <f t="shared" si="46"/>
        <v>0</v>
      </c>
      <c r="L65" s="67">
        <f t="shared" si="46"/>
        <v>0</v>
      </c>
      <c r="M65" s="67">
        <f t="shared" si="46"/>
        <v>0</v>
      </c>
      <c r="N65" s="67">
        <f t="shared" si="46"/>
        <v>0</v>
      </c>
      <c r="O65" s="67">
        <v>0</v>
      </c>
      <c r="P65" s="326">
        <f t="shared" si="30"/>
        <v>0</v>
      </c>
      <c r="R65" s="2"/>
    </row>
    <row r="66" spans="1:18" x14ac:dyDescent="0.15">
      <c r="B66" s="340" t="s">
        <v>703</v>
      </c>
      <c r="C66" s="12" t="s">
        <v>309</v>
      </c>
      <c r="D66" s="67">
        <f t="shared" si="43"/>
        <v>0</v>
      </c>
      <c r="E66" s="67">
        <f t="shared" ref="E66:N66" si="47">E181</f>
        <v>0</v>
      </c>
      <c r="F66" s="67">
        <f t="shared" si="47"/>
        <v>0</v>
      </c>
      <c r="G66" s="67">
        <f t="shared" si="47"/>
        <v>0</v>
      </c>
      <c r="H66" s="67">
        <f t="shared" si="47"/>
        <v>0</v>
      </c>
      <c r="I66" s="67">
        <f t="shared" si="47"/>
        <v>0</v>
      </c>
      <c r="J66" s="67">
        <f t="shared" si="47"/>
        <v>0</v>
      </c>
      <c r="K66" s="67">
        <f t="shared" si="47"/>
        <v>0</v>
      </c>
      <c r="L66" s="67">
        <f t="shared" si="47"/>
        <v>0</v>
      </c>
      <c r="M66" s="67">
        <f t="shared" si="47"/>
        <v>0</v>
      </c>
      <c r="N66" s="67">
        <f t="shared" si="47"/>
        <v>0</v>
      </c>
      <c r="O66" s="67">
        <v>0</v>
      </c>
      <c r="P66" s="326">
        <f t="shared" si="30"/>
        <v>0</v>
      </c>
      <c r="R66" s="2"/>
    </row>
    <row r="67" spans="1:18" x14ac:dyDescent="0.15">
      <c r="B67" s="340" t="s">
        <v>704</v>
      </c>
      <c r="C67" s="12" t="s">
        <v>311</v>
      </c>
      <c r="D67" s="67">
        <f t="shared" si="43"/>
        <v>0</v>
      </c>
      <c r="E67" s="67">
        <f t="shared" ref="E67:N67" si="48">E182</f>
        <v>0</v>
      </c>
      <c r="F67" s="67">
        <f t="shared" si="48"/>
        <v>0</v>
      </c>
      <c r="G67" s="67">
        <f t="shared" si="48"/>
        <v>0</v>
      </c>
      <c r="H67" s="67">
        <f t="shared" si="48"/>
        <v>0</v>
      </c>
      <c r="I67" s="67">
        <f t="shared" si="48"/>
        <v>-2596968.7000000002</v>
      </c>
      <c r="J67" s="67">
        <f t="shared" si="48"/>
        <v>0</v>
      </c>
      <c r="K67" s="67">
        <f t="shared" si="48"/>
        <v>0</v>
      </c>
      <c r="L67" s="67">
        <f t="shared" si="48"/>
        <v>0</v>
      </c>
      <c r="M67" s="67">
        <f t="shared" si="48"/>
        <v>0</v>
      </c>
      <c r="N67" s="67">
        <f t="shared" si="48"/>
        <v>0</v>
      </c>
      <c r="O67" s="67">
        <v>0</v>
      </c>
      <c r="P67" s="326">
        <f t="shared" si="30"/>
        <v>-2596968.7000000002</v>
      </c>
      <c r="R67" s="2"/>
    </row>
    <row r="68" spans="1:18" ht="14" thickBot="1" x14ac:dyDescent="0.2">
      <c r="B68" s="340" t="s">
        <v>705</v>
      </c>
      <c r="C68" s="12" t="s">
        <v>115</v>
      </c>
      <c r="D68" s="67">
        <f t="shared" si="43"/>
        <v>-60000000</v>
      </c>
      <c r="E68" s="67">
        <f t="shared" ref="E68:N68" si="49">E183</f>
        <v>0</v>
      </c>
      <c r="F68" s="67">
        <f t="shared" si="49"/>
        <v>0</v>
      </c>
      <c r="G68" s="67">
        <f t="shared" si="49"/>
        <v>0</v>
      </c>
      <c r="H68" s="67">
        <f t="shared" si="49"/>
        <v>0</v>
      </c>
      <c r="I68" s="67">
        <f t="shared" si="49"/>
        <v>60000000</v>
      </c>
      <c r="J68" s="67">
        <f t="shared" si="49"/>
        <v>0</v>
      </c>
      <c r="K68" s="67">
        <f t="shared" si="49"/>
        <v>0</v>
      </c>
      <c r="L68" s="67">
        <f t="shared" si="49"/>
        <v>0</v>
      </c>
      <c r="M68" s="67">
        <f t="shared" si="49"/>
        <v>0</v>
      </c>
      <c r="N68" s="67">
        <f t="shared" si="49"/>
        <v>0</v>
      </c>
      <c r="O68" s="67">
        <v>0</v>
      </c>
      <c r="P68" s="326">
        <f t="shared" si="30"/>
        <v>0</v>
      </c>
      <c r="R68" s="2"/>
    </row>
    <row r="69" spans="1:18" x14ac:dyDescent="0.15">
      <c r="B69" s="340">
        <v>17</v>
      </c>
      <c r="C69" s="12" t="s">
        <v>313</v>
      </c>
      <c r="D69" s="67">
        <f t="shared" si="43"/>
        <v>-92550000</v>
      </c>
      <c r="E69" s="67">
        <f t="shared" ref="E69:N69" si="50">E184</f>
        <v>0</v>
      </c>
      <c r="F69" s="67">
        <f t="shared" si="50"/>
        <v>0</v>
      </c>
      <c r="G69" s="67">
        <f t="shared" si="50"/>
        <v>0</v>
      </c>
      <c r="H69" s="67">
        <f t="shared" si="50"/>
        <v>0</v>
      </c>
      <c r="I69" s="67">
        <f t="shared" si="50"/>
        <v>71750066.299999997</v>
      </c>
      <c r="J69" s="67">
        <f t="shared" si="50"/>
        <v>0</v>
      </c>
      <c r="K69" s="67">
        <f t="shared" si="50"/>
        <v>0</v>
      </c>
      <c r="L69" s="67">
        <f t="shared" si="50"/>
        <v>0</v>
      </c>
      <c r="M69" s="67">
        <f t="shared" si="50"/>
        <v>0</v>
      </c>
      <c r="N69" s="67">
        <f t="shared" si="50"/>
        <v>0</v>
      </c>
      <c r="O69" s="67">
        <v>0</v>
      </c>
      <c r="P69" s="326">
        <f t="shared" si="30"/>
        <v>-20799933.700000003</v>
      </c>
      <c r="Q69" s="357" t="s">
        <v>693</v>
      </c>
      <c r="R69" s="2"/>
    </row>
    <row r="70" spans="1:18" ht="14" thickBot="1" x14ac:dyDescent="0.2">
      <c r="A70" s="1" t="s">
        <v>694</v>
      </c>
      <c r="B70" s="355">
        <v>18</v>
      </c>
      <c r="C70" s="335" t="s">
        <v>314</v>
      </c>
      <c r="D70" s="331">
        <f>D69+D61</f>
        <v>-92550000</v>
      </c>
      <c r="E70" s="331">
        <f t="shared" ref="E70:N70" si="51">E69+E61</f>
        <v>50012750</v>
      </c>
      <c r="F70" s="331">
        <f t="shared" si="51"/>
        <v>44202792.500000022</v>
      </c>
      <c r="G70" s="331">
        <f t="shared" si="51"/>
        <v>35442192.08412499</v>
      </c>
      <c r="H70" s="331">
        <f t="shared" si="51"/>
        <v>25111356.707490433</v>
      </c>
      <c r="I70" s="331">
        <f t="shared" si="51"/>
        <v>84401062.478848949</v>
      </c>
      <c r="J70" s="331">
        <f t="shared" si="51"/>
        <v>0</v>
      </c>
      <c r="K70" s="331">
        <f t="shared" si="51"/>
        <v>0</v>
      </c>
      <c r="L70" s="331">
        <f t="shared" si="51"/>
        <v>0</v>
      </c>
      <c r="M70" s="331">
        <f t="shared" si="51"/>
        <v>0</v>
      </c>
      <c r="N70" s="331">
        <f t="shared" si="51"/>
        <v>0</v>
      </c>
      <c r="O70" s="331">
        <v>0</v>
      </c>
      <c r="P70" s="356">
        <f t="shared" si="30"/>
        <v>146620153.77046439</v>
      </c>
      <c r="Q70" s="358">
        <f>IF(ISNUMBER(IRR(D70:N70)),IRR(D70:N70),"NMF")</f>
        <v>0.40549033935008683</v>
      </c>
      <c r="R70" s="1" t="s">
        <v>694</v>
      </c>
    </row>
    <row r="71" spans="1:18" x14ac:dyDescent="0.15">
      <c r="B71" s="145"/>
      <c r="R71" s="2"/>
    </row>
    <row r="72" spans="1:18" ht="14" thickBot="1" x14ac:dyDescent="0.2">
      <c r="B72" s="145"/>
      <c r="R72" s="2"/>
    </row>
    <row r="73" spans="1:18" ht="14" thickBot="1" x14ac:dyDescent="0.2">
      <c r="B73" s="359" t="s">
        <v>282</v>
      </c>
      <c r="C73" s="360" t="s">
        <v>283</v>
      </c>
      <c r="D73" s="360"/>
      <c r="E73" s="360">
        <v>1</v>
      </c>
      <c r="F73" s="360">
        <v>2</v>
      </c>
      <c r="G73" s="360">
        <v>3</v>
      </c>
      <c r="H73" s="360">
        <v>4</v>
      </c>
      <c r="I73" s="360">
        <v>5</v>
      </c>
      <c r="J73" s="360">
        <v>6</v>
      </c>
      <c r="K73" s="360">
        <v>7</v>
      </c>
      <c r="L73" s="360">
        <v>8</v>
      </c>
      <c r="M73" s="360">
        <v>9</v>
      </c>
      <c r="N73" s="360">
        <v>10</v>
      </c>
      <c r="O73" s="360" t="s">
        <v>284</v>
      </c>
      <c r="P73" s="361" t="s">
        <v>285</v>
      </c>
      <c r="R73" s="2"/>
    </row>
    <row r="74" spans="1:18" x14ac:dyDescent="0.15">
      <c r="B74" s="339" t="s">
        <v>687</v>
      </c>
      <c r="C74" s="302" t="s">
        <v>287</v>
      </c>
      <c r="D74" s="322">
        <f t="shared" ref="D74:D89" si="52">D161</f>
        <v>0</v>
      </c>
      <c r="E74" s="322">
        <f t="shared" ref="E74:N74" si="53">E161</f>
        <v>300000000</v>
      </c>
      <c r="F74" s="322">
        <f t="shared" si="53"/>
        <v>313500000.00000006</v>
      </c>
      <c r="G74" s="322">
        <f t="shared" si="53"/>
        <v>327607500.00000006</v>
      </c>
      <c r="H74" s="322">
        <f t="shared" si="53"/>
        <v>342349837.50000012</v>
      </c>
      <c r="I74" s="322">
        <f t="shared" si="53"/>
        <v>357755580.18750012</v>
      </c>
      <c r="J74" s="322">
        <f t="shared" si="53"/>
        <v>0</v>
      </c>
      <c r="K74" s="322">
        <f t="shared" si="53"/>
        <v>0</v>
      </c>
      <c r="L74" s="322">
        <f t="shared" si="53"/>
        <v>0</v>
      </c>
      <c r="M74" s="322">
        <f t="shared" si="53"/>
        <v>0</v>
      </c>
      <c r="N74" s="322">
        <f t="shared" si="53"/>
        <v>0</v>
      </c>
      <c r="O74" s="322">
        <v>0</v>
      </c>
      <c r="P74" s="325">
        <f>SUM(D74:N74)</f>
        <v>1641212917.6875</v>
      </c>
      <c r="R74" s="2"/>
    </row>
    <row r="75" spans="1:18" x14ac:dyDescent="0.15">
      <c r="A75" s="1" t="s">
        <v>706</v>
      </c>
      <c r="B75" s="340" t="s">
        <v>689</v>
      </c>
      <c r="C75" s="354" t="s">
        <v>689</v>
      </c>
      <c r="D75" s="67">
        <f t="shared" si="52"/>
        <v>0</v>
      </c>
      <c r="E75" s="67">
        <f>E162</f>
        <v>300000000</v>
      </c>
      <c r="F75" s="67">
        <f t="shared" ref="F75:N75" si="54">F162</f>
        <v>313500000.00000006</v>
      </c>
      <c r="G75" s="67">
        <f t="shared" si="54"/>
        <v>327607500.00000006</v>
      </c>
      <c r="H75" s="67">
        <f t="shared" si="54"/>
        <v>342349837.50000012</v>
      </c>
      <c r="I75" s="67">
        <f t="shared" si="54"/>
        <v>357755580.18750012</v>
      </c>
      <c r="J75" s="67">
        <f t="shared" si="54"/>
        <v>0</v>
      </c>
      <c r="K75" s="67">
        <f t="shared" si="54"/>
        <v>0</v>
      </c>
      <c r="L75" s="67">
        <f t="shared" si="54"/>
        <v>0</v>
      </c>
      <c r="M75" s="67">
        <f t="shared" si="54"/>
        <v>0</v>
      </c>
      <c r="N75" s="67">
        <f t="shared" si="54"/>
        <v>0</v>
      </c>
      <c r="O75" s="67"/>
      <c r="P75" s="326">
        <f>SUM(D75:N75)</f>
        <v>1641212917.6875</v>
      </c>
      <c r="R75" s="2"/>
    </row>
    <row r="76" spans="1:18" x14ac:dyDescent="0.15">
      <c r="B76" s="340" t="s">
        <v>690</v>
      </c>
      <c r="C76" s="354" t="s">
        <v>690</v>
      </c>
      <c r="D76" s="67">
        <f t="shared" si="52"/>
        <v>0</v>
      </c>
      <c r="E76" s="67">
        <f>E163</f>
        <v>0</v>
      </c>
      <c r="F76" s="67">
        <f t="shared" ref="F76:N76" si="55">F163</f>
        <v>0</v>
      </c>
      <c r="G76" s="67">
        <f t="shared" si="55"/>
        <v>0</v>
      </c>
      <c r="H76" s="67">
        <f t="shared" si="55"/>
        <v>0</v>
      </c>
      <c r="I76" s="67">
        <f t="shared" si="55"/>
        <v>0</v>
      </c>
      <c r="J76" s="67">
        <f t="shared" si="55"/>
        <v>0</v>
      </c>
      <c r="K76" s="67">
        <f t="shared" si="55"/>
        <v>0</v>
      </c>
      <c r="L76" s="67">
        <f t="shared" si="55"/>
        <v>0</v>
      </c>
      <c r="M76" s="67">
        <f t="shared" si="55"/>
        <v>0</v>
      </c>
      <c r="N76" s="67">
        <f t="shared" si="55"/>
        <v>0</v>
      </c>
      <c r="O76" s="294"/>
      <c r="P76" s="326">
        <f t="shared" ref="P76:P98" si="56">SUM(D76:N76)</f>
        <v>0</v>
      </c>
      <c r="R76" s="2"/>
    </row>
    <row r="77" spans="1:18" x14ac:dyDescent="0.15">
      <c r="B77" s="355" t="s">
        <v>691</v>
      </c>
      <c r="C77" s="362" t="s">
        <v>691</v>
      </c>
      <c r="D77" s="331">
        <f t="shared" si="52"/>
        <v>0</v>
      </c>
      <c r="E77" s="331">
        <f>Revenues!D21*Revenues!D22*0.85</f>
        <v>0</v>
      </c>
      <c r="F77" s="331">
        <f>Revenues!E21*Revenues!E22*0.85</f>
        <v>0</v>
      </c>
      <c r="G77" s="331">
        <f>Revenues!F21*Revenues!F22*0.85</f>
        <v>0</v>
      </c>
      <c r="H77" s="331">
        <f>Revenues!G21*Revenues!G22*0.85</f>
        <v>0</v>
      </c>
      <c r="I77" s="331">
        <f>Revenues!H21*Revenues!H22*0.85</f>
        <v>0</v>
      </c>
      <c r="J77" s="331">
        <f>Revenues!I21*Revenues!I22*0.85</f>
        <v>0</v>
      </c>
      <c r="K77" s="331">
        <f>Revenues!J21*Revenues!J22*0.85</f>
        <v>0</v>
      </c>
      <c r="L77" s="331">
        <f>Revenues!K21*Revenues!K22*0.85</f>
        <v>0</v>
      </c>
      <c r="M77" s="331">
        <f>Revenues!L21*Revenues!L22*0.85</f>
        <v>0</v>
      </c>
      <c r="N77" s="331">
        <f>Revenues!M21*Revenues!M22*0.85</f>
        <v>0</v>
      </c>
      <c r="O77" s="331"/>
      <c r="P77" s="356">
        <f t="shared" si="56"/>
        <v>0</v>
      </c>
      <c r="R77" s="2"/>
    </row>
    <row r="78" spans="1:18" x14ac:dyDescent="0.15">
      <c r="B78" s="340" t="s">
        <v>695</v>
      </c>
      <c r="C78" s="12"/>
      <c r="D78" s="67">
        <f t="shared" si="52"/>
        <v>0</v>
      </c>
      <c r="E78" s="67">
        <f>E77+E76+E75</f>
        <v>300000000</v>
      </c>
      <c r="F78" s="67">
        <f t="shared" ref="F78:N78" si="57">F77+F76+F75</f>
        <v>313500000.00000006</v>
      </c>
      <c r="G78" s="67">
        <f t="shared" si="57"/>
        <v>327607500.00000006</v>
      </c>
      <c r="H78" s="67">
        <f t="shared" si="57"/>
        <v>342349837.50000012</v>
      </c>
      <c r="I78" s="67">
        <f t="shared" si="57"/>
        <v>357755580.18750012</v>
      </c>
      <c r="J78" s="67">
        <f t="shared" si="57"/>
        <v>0</v>
      </c>
      <c r="K78" s="67">
        <f t="shared" si="57"/>
        <v>0</v>
      </c>
      <c r="L78" s="67">
        <f t="shared" si="57"/>
        <v>0</v>
      </c>
      <c r="M78" s="67">
        <f t="shared" si="57"/>
        <v>0</v>
      </c>
      <c r="N78" s="67">
        <f t="shared" si="57"/>
        <v>0</v>
      </c>
      <c r="O78" s="67"/>
      <c r="P78" s="326">
        <f t="shared" si="56"/>
        <v>1641212917.6875</v>
      </c>
      <c r="R78" s="2"/>
    </row>
    <row r="79" spans="1:18" x14ac:dyDescent="0.15">
      <c r="B79" s="340" t="s">
        <v>696</v>
      </c>
      <c r="C79" s="12" t="s">
        <v>289</v>
      </c>
      <c r="D79" s="67">
        <f t="shared" si="52"/>
        <v>0</v>
      </c>
      <c r="E79" s="67">
        <f>Expenses!D18+Expenses!D25+(Expenses!D32*0.85)+Expenses!D39+Expenses!D44+(Expenses!D49*0.85)+Expenses!D56+Expenses!D95-Expenses!D77</f>
        <v>230170000</v>
      </c>
      <c r="F79" s="67">
        <f>Expenses!E18+Expenses!E25+(Expenses!E32*0.85)+Expenses!E39+Expenses!E44+(Expenses!E49*0.85)+Expenses!E56+Expenses!E95-Expenses!E77</f>
        <v>253018375.00000003</v>
      </c>
      <c r="G79" s="67">
        <f>Expenses!F18+Expenses!F25+(Expenses!F32*0.85)+Expenses!F39+Expenses!F44+(Expenses!F49*0.85)+Expenses!F56+Expenses!F95-Expenses!F77</f>
        <v>278725718.45125008</v>
      </c>
      <c r="H79" s="67">
        <f>Expenses!G18+Expenses!G25+(Expenses!G32*0.85)+Expenses!G39+Expenses!G44+(Expenses!G49*0.85)+Expenses!G56+Expenses!G95-Expenses!G77</f>
        <v>307665975.06072807</v>
      </c>
      <c r="I79" s="67">
        <f>Expenses!H18+Expenses!H25+(Expenses!H32*0.85)+Expenses!H39+Expenses!H44+(Expenses!H49*0.85)+Expenses!H56+Expenses!H95-Expenses!H77</f>
        <v>340262566.36057305</v>
      </c>
      <c r="J79" s="67">
        <f>Expenses!I18+Expenses!I25+(Expenses!I32*0.85)+Expenses!I39+Expenses!I44+(Expenses!I49*0.85)+Expenses!I56+Expenses!I95-Expenses!I77</f>
        <v>0</v>
      </c>
      <c r="K79" s="67">
        <f>Expenses!J18+Expenses!J25+(Expenses!J32*0.85)+Expenses!J39+Expenses!J44+(Expenses!J49*0.85)+Expenses!J56+Expenses!J95-Expenses!J77</f>
        <v>0</v>
      </c>
      <c r="L79" s="67">
        <f>Expenses!K18+Expenses!K25+(Expenses!K32*0.85)+Expenses!K39+Expenses!K44+(Expenses!K49*0.85)+Expenses!K56+Expenses!K95-Expenses!K77</f>
        <v>0</v>
      </c>
      <c r="M79" s="67">
        <f>Expenses!L18+Expenses!L25+(Expenses!L32*0.85)+Expenses!L39+Expenses!L44+(Expenses!L49*0.85)+Expenses!L56+Expenses!L95-Expenses!L77</f>
        <v>0</v>
      </c>
      <c r="N79" s="67">
        <f>Expenses!M18+Expenses!M25+(Expenses!M32*0.85)+Expenses!M39+Expenses!M44+(Expenses!M49*0.85)+Expenses!M56+Expenses!M95-Expenses!M77</f>
        <v>0</v>
      </c>
      <c r="O79" s="67">
        <v>0</v>
      </c>
      <c r="P79" s="326">
        <f t="shared" si="56"/>
        <v>1409842634.8725512</v>
      </c>
      <c r="R79" s="2"/>
    </row>
    <row r="80" spans="1:18" x14ac:dyDescent="0.15">
      <c r="B80" s="340">
        <v>3</v>
      </c>
      <c r="C80" s="12" t="s">
        <v>290</v>
      </c>
      <c r="D80" s="67">
        <f t="shared" si="52"/>
        <v>0</v>
      </c>
      <c r="E80" s="67">
        <f>E78-E79</f>
        <v>69830000</v>
      </c>
      <c r="F80" s="67">
        <f t="shared" ref="F80:N80" si="58">F78-F79</f>
        <v>60481625.00000003</v>
      </c>
      <c r="G80" s="67">
        <f t="shared" si="58"/>
        <v>48881781.548749983</v>
      </c>
      <c r="H80" s="67">
        <f t="shared" si="58"/>
        <v>34683862.439272046</v>
      </c>
      <c r="I80" s="67">
        <f t="shared" si="58"/>
        <v>17493013.826927066</v>
      </c>
      <c r="J80" s="67">
        <f t="shared" si="58"/>
        <v>0</v>
      </c>
      <c r="K80" s="67">
        <f t="shared" si="58"/>
        <v>0</v>
      </c>
      <c r="L80" s="67">
        <f t="shared" si="58"/>
        <v>0</v>
      </c>
      <c r="M80" s="67">
        <f t="shared" si="58"/>
        <v>0</v>
      </c>
      <c r="N80" s="67">
        <f t="shared" si="58"/>
        <v>0</v>
      </c>
      <c r="O80" s="67">
        <v>0</v>
      </c>
      <c r="P80" s="326">
        <f t="shared" si="56"/>
        <v>231370282.81494913</v>
      </c>
      <c r="R80" s="2"/>
    </row>
    <row r="81" spans="2:18" x14ac:dyDescent="0.15">
      <c r="B81" s="340" t="s">
        <v>697</v>
      </c>
      <c r="C81" s="12" t="s">
        <v>292</v>
      </c>
      <c r="D81" s="67">
        <f t="shared" si="52"/>
        <v>0</v>
      </c>
      <c r="E81" s="67">
        <f>E168</f>
        <v>3772500</v>
      </c>
      <c r="F81" s="67">
        <f t="shared" ref="F81:N81" si="59">F168</f>
        <v>6218850</v>
      </c>
      <c r="G81" s="67">
        <f t="shared" si="59"/>
        <v>4083150</v>
      </c>
      <c r="H81" s="67">
        <f t="shared" si="59"/>
        <v>2775510</v>
      </c>
      <c r="I81" s="67">
        <f t="shared" si="59"/>
        <v>1352955</v>
      </c>
      <c r="J81" s="67">
        <f t="shared" si="59"/>
        <v>0</v>
      </c>
      <c r="K81" s="67">
        <f t="shared" si="59"/>
        <v>0</v>
      </c>
      <c r="L81" s="67">
        <f t="shared" si="59"/>
        <v>0</v>
      </c>
      <c r="M81" s="67">
        <f t="shared" si="59"/>
        <v>0</v>
      </c>
      <c r="N81" s="67">
        <f t="shared" si="59"/>
        <v>0</v>
      </c>
      <c r="O81" s="67">
        <v>0</v>
      </c>
      <c r="P81" s="326">
        <f t="shared" si="56"/>
        <v>18202965</v>
      </c>
      <c r="R81" s="2"/>
    </row>
    <row r="82" spans="2:18" x14ac:dyDescent="0.15">
      <c r="B82" s="340">
        <v>5</v>
      </c>
      <c r="C82" s="12" t="s">
        <v>293</v>
      </c>
      <c r="D82" s="67">
        <f t="shared" si="52"/>
        <v>0</v>
      </c>
      <c r="E82" s="67">
        <f>E80-E81</f>
        <v>66057500</v>
      </c>
      <c r="F82" s="67">
        <f t="shared" ref="F82:N82" si="60">F80-F81</f>
        <v>54262775.00000003</v>
      </c>
      <c r="G82" s="67">
        <f t="shared" si="60"/>
        <v>44798631.548749983</v>
      </c>
      <c r="H82" s="67">
        <f t="shared" si="60"/>
        <v>31908352.439272046</v>
      </c>
      <c r="I82" s="67">
        <f t="shared" si="60"/>
        <v>16140058.826927066</v>
      </c>
      <c r="J82" s="67">
        <f t="shared" si="60"/>
        <v>0</v>
      </c>
      <c r="K82" s="67">
        <f t="shared" si="60"/>
        <v>0</v>
      </c>
      <c r="L82" s="67">
        <f t="shared" si="60"/>
        <v>0</v>
      </c>
      <c r="M82" s="67">
        <f t="shared" si="60"/>
        <v>0</v>
      </c>
      <c r="N82" s="67">
        <f t="shared" si="60"/>
        <v>0</v>
      </c>
      <c r="O82" s="67">
        <v>0</v>
      </c>
      <c r="P82" s="326">
        <f t="shared" si="56"/>
        <v>213167317.81494913</v>
      </c>
      <c r="R82" s="2"/>
    </row>
    <row r="83" spans="2:18" x14ac:dyDescent="0.15">
      <c r="B83" s="340" t="s">
        <v>698</v>
      </c>
      <c r="C83" s="12" t="s">
        <v>295</v>
      </c>
      <c r="D83" s="67">
        <f t="shared" si="52"/>
        <v>0</v>
      </c>
      <c r="E83" s="67">
        <f>E170</f>
        <v>0</v>
      </c>
      <c r="F83" s="67">
        <f t="shared" ref="F83:N83" si="61">F170</f>
        <v>0</v>
      </c>
      <c r="G83" s="67">
        <f t="shared" si="61"/>
        <v>0</v>
      </c>
      <c r="H83" s="67">
        <f t="shared" si="61"/>
        <v>0</v>
      </c>
      <c r="I83" s="67">
        <f t="shared" si="61"/>
        <v>0</v>
      </c>
      <c r="J83" s="67">
        <f t="shared" si="61"/>
        <v>0</v>
      </c>
      <c r="K83" s="67">
        <f t="shared" si="61"/>
        <v>0</v>
      </c>
      <c r="L83" s="67">
        <f t="shared" si="61"/>
        <v>0</v>
      </c>
      <c r="M83" s="67">
        <f t="shared" si="61"/>
        <v>0</v>
      </c>
      <c r="N83" s="67">
        <f t="shared" si="61"/>
        <v>0</v>
      </c>
      <c r="O83" s="67">
        <v>0</v>
      </c>
      <c r="P83" s="326">
        <f t="shared" si="56"/>
        <v>0</v>
      </c>
      <c r="R83" s="2"/>
    </row>
    <row r="84" spans="2:18" x14ac:dyDescent="0.15">
      <c r="B84" s="340">
        <v>7</v>
      </c>
      <c r="C84" s="12" t="s">
        <v>296</v>
      </c>
      <c r="D84" s="67">
        <f t="shared" si="52"/>
        <v>0</v>
      </c>
      <c r="E84" s="67">
        <f>E82-E83</f>
        <v>66057500</v>
      </c>
      <c r="F84" s="67">
        <f t="shared" ref="F84:N84" si="62">F82-F83</f>
        <v>54262775.00000003</v>
      </c>
      <c r="G84" s="67">
        <f t="shared" si="62"/>
        <v>44798631.548749983</v>
      </c>
      <c r="H84" s="67">
        <f t="shared" si="62"/>
        <v>31908352.439272046</v>
      </c>
      <c r="I84" s="67">
        <f t="shared" si="62"/>
        <v>16140058.826927066</v>
      </c>
      <c r="J84" s="67">
        <f t="shared" si="62"/>
        <v>0</v>
      </c>
      <c r="K84" s="67">
        <f t="shared" si="62"/>
        <v>0</v>
      </c>
      <c r="L84" s="67">
        <f t="shared" si="62"/>
        <v>0</v>
      </c>
      <c r="M84" s="67">
        <f t="shared" si="62"/>
        <v>0</v>
      </c>
      <c r="N84" s="67">
        <f t="shared" si="62"/>
        <v>0</v>
      </c>
      <c r="O84" s="67">
        <v>0</v>
      </c>
      <c r="P84" s="326">
        <f t="shared" si="56"/>
        <v>213167317.81494913</v>
      </c>
      <c r="R84" s="2"/>
    </row>
    <row r="85" spans="2:18" x14ac:dyDescent="0.15">
      <c r="B85" s="340">
        <v>8</v>
      </c>
      <c r="C85" s="12" t="s">
        <v>297</v>
      </c>
      <c r="D85" s="67">
        <f t="shared" si="52"/>
        <v>0</v>
      </c>
      <c r="E85" s="67">
        <f>-E84*$D$3</f>
        <v>-19817250</v>
      </c>
      <c r="F85" s="67">
        <f t="shared" ref="F85:N85" si="63">-F84*$D$3</f>
        <v>-16278832.500000007</v>
      </c>
      <c r="G85" s="67">
        <f t="shared" si="63"/>
        <v>-13439589.464624995</v>
      </c>
      <c r="H85" s="67">
        <f t="shared" si="63"/>
        <v>-9572505.7317816131</v>
      </c>
      <c r="I85" s="67">
        <f t="shared" si="63"/>
        <v>-4842017.6480781194</v>
      </c>
      <c r="J85" s="67">
        <f t="shared" si="63"/>
        <v>0</v>
      </c>
      <c r="K85" s="67">
        <f t="shared" si="63"/>
        <v>0</v>
      </c>
      <c r="L85" s="67">
        <f t="shared" si="63"/>
        <v>0</v>
      </c>
      <c r="M85" s="67">
        <f t="shared" si="63"/>
        <v>0</v>
      </c>
      <c r="N85" s="67">
        <f t="shared" si="63"/>
        <v>0</v>
      </c>
      <c r="O85" s="67">
        <v>0</v>
      </c>
      <c r="P85" s="326">
        <f t="shared" si="56"/>
        <v>-63950195.344484739</v>
      </c>
      <c r="R85" s="2"/>
    </row>
    <row r="86" spans="2:18" x14ac:dyDescent="0.15">
      <c r="B86" s="340">
        <v>9</v>
      </c>
      <c r="C86" s="12" t="s">
        <v>298</v>
      </c>
      <c r="D86" s="67">
        <f t="shared" si="52"/>
        <v>0</v>
      </c>
      <c r="E86" s="67">
        <f>E173</f>
        <v>0</v>
      </c>
      <c r="F86" s="67">
        <f t="shared" ref="F86:N86" si="64">F173</f>
        <v>0</v>
      </c>
      <c r="G86" s="67">
        <f t="shared" si="64"/>
        <v>0</v>
      </c>
      <c r="H86" s="67">
        <f t="shared" si="64"/>
        <v>0</v>
      </c>
      <c r="I86" s="67">
        <f t="shared" si="64"/>
        <v>0</v>
      </c>
      <c r="J86" s="67">
        <f t="shared" si="64"/>
        <v>0</v>
      </c>
      <c r="K86" s="67">
        <f t="shared" si="64"/>
        <v>0</v>
      </c>
      <c r="L86" s="67">
        <f t="shared" si="64"/>
        <v>0</v>
      </c>
      <c r="M86" s="67">
        <f t="shared" si="64"/>
        <v>0</v>
      </c>
      <c r="N86" s="67">
        <f t="shared" si="64"/>
        <v>0</v>
      </c>
      <c r="O86" s="67">
        <v>0</v>
      </c>
      <c r="P86" s="326">
        <f t="shared" si="56"/>
        <v>0</v>
      </c>
      <c r="R86" s="2"/>
    </row>
    <row r="87" spans="2:18" x14ac:dyDescent="0.15">
      <c r="B87" s="340">
        <v>10</v>
      </c>
      <c r="C87" s="12" t="s">
        <v>299</v>
      </c>
      <c r="D87" s="67">
        <f t="shared" si="52"/>
        <v>0</v>
      </c>
      <c r="E87" s="67">
        <f>E84+E85+E86</f>
        <v>46240250</v>
      </c>
      <c r="F87" s="67">
        <f t="shared" ref="F87:N87" si="65">F84+F85+F86</f>
        <v>37983942.500000022</v>
      </c>
      <c r="G87" s="67">
        <f t="shared" si="65"/>
        <v>31359042.08412499</v>
      </c>
      <c r="H87" s="67">
        <f t="shared" si="65"/>
        <v>22335846.707490433</v>
      </c>
      <c r="I87" s="67">
        <f t="shared" si="65"/>
        <v>11298041.178848946</v>
      </c>
      <c r="J87" s="67">
        <f t="shared" si="65"/>
        <v>0</v>
      </c>
      <c r="K87" s="67">
        <f t="shared" si="65"/>
        <v>0</v>
      </c>
      <c r="L87" s="67">
        <f t="shared" si="65"/>
        <v>0</v>
      </c>
      <c r="M87" s="67">
        <f t="shared" si="65"/>
        <v>0</v>
      </c>
      <c r="N87" s="67">
        <f t="shared" si="65"/>
        <v>0</v>
      </c>
      <c r="O87" s="67">
        <v>0</v>
      </c>
      <c r="P87" s="326">
        <f t="shared" si="56"/>
        <v>149217122.47046441</v>
      </c>
      <c r="R87" s="2"/>
    </row>
    <row r="88" spans="2:18" x14ac:dyDescent="0.15">
      <c r="B88" s="340" t="s">
        <v>699</v>
      </c>
      <c r="C88" s="12" t="s">
        <v>292</v>
      </c>
      <c r="D88" s="67">
        <f t="shared" si="52"/>
        <v>0</v>
      </c>
      <c r="E88" s="67">
        <f>E175</f>
        <v>3772500</v>
      </c>
      <c r="F88" s="67">
        <f t="shared" ref="F88:N88" si="66">F175</f>
        <v>6218850</v>
      </c>
      <c r="G88" s="67">
        <f t="shared" si="66"/>
        <v>4083150</v>
      </c>
      <c r="H88" s="67">
        <f t="shared" si="66"/>
        <v>2775510</v>
      </c>
      <c r="I88" s="67">
        <f t="shared" si="66"/>
        <v>1352955</v>
      </c>
      <c r="J88" s="67">
        <f t="shared" si="66"/>
        <v>0</v>
      </c>
      <c r="K88" s="67">
        <f t="shared" si="66"/>
        <v>0</v>
      </c>
      <c r="L88" s="67">
        <f t="shared" si="66"/>
        <v>0</v>
      </c>
      <c r="M88" s="67">
        <f t="shared" si="66"/>
        <v>0</v>
      </c>
      <c r="N88" s="67">
        <f t="shared" si="66"/>
        <v>0</v>
      </c>
      <c r="O88" s="67">
        <v>0</v>
      </c>
      <c r="P88" s="326">
        <f t="shared" si="56"/>
        <v>18202965</v>
      </c>
      <c r="R88" s="2"/>
    </row>
    <row r="89" spans="2:18" x14ac:dyDescent="0.15">
      <c r="B89" s="340">
        <v>12</v>
      </c>
      <c r="C89" s="12" t="s">
        <v>301</v>
      </c>
      <c r="D89" s="67">
        <f t="shared" si="52"/>
        <v>0</v>
      </c>
      <c r="E89" s="67">
        <f>E87+E88</f>
        <v>50012750</v>
      </c>
      <c r="F89" s="67">
        <f t="shared" ref="F89:N89" si="67">F87+F88</f>
        <v>44202792.500000022</v>
      </c>
      <c r="G89" s="67">
        <f t="shared" si="67"/>
        <v>35442192.08412499</v>
      </c>
      <c r="H89" s="67">
        <f t="shared" si="67"/>
        <v>25111356.707490433</v>
      </c>
      <c r="I89" s="67">
        <f t="shared" si="67"/>
        <v>12650996.178848946</v>
      </c>
      <c r="J89" s="67">
        <f t="shared" si="67"/>
        <v>0</v>
      </c>
      <c r="K89" s="67">
        <f t="shared" si="67"/>
        <v>0</v>
      </c>
      <c r="L89" s="67">
        <f t="shared" si="67"/>
        <v>0</v>
      </c>
      <c r="M89" s="67">
        <f t="shared" si="67"/>
        <v>0</v>
      </c>
      <c r="N89" s="67">
        <f t="shared" si="67"/>
        <v>0</v>
      </c>
      <c r="O89" s="67">
        <v>0</v>
      </c>
      <c r="P89" s="326">
        <f t="shared" si="56"/>
        <v>167420087.47046441</v>
      </c>
      <c r="R89" s="2"/>
    </row>
    <row r="90" spans="2:18" x14ac:dyDescent="0.15">
      <c r="B90" s="340" t="s">
        <v>700</v>
      </c>
      <c r="C90" s="12" t="s">
        <v>303</v>
      </c>
      <c r="D90" s="67">
        <v>0</v>
      </c>
      <c r="E90" s="67">
        <f t="shared" ref="E90:N90" si="68">E177</f>
        <v>0</v>
      </c>
      <c r="F90" s="67">
        <f t="shared" si="68"/>
        <v>0</v>
      </c>
      <c r="G90" s="67">
        <f t="shared" si="68"/>
        <v>0</v>
      </c>
      <c r="H90" s="67">
        <f t="shared" si="68"/>
        <v>0</v>
      </c>
      <c r="I90" s="67">
        <f t="shared" si="68"/>
        <v>0</v>
      </c>
      <c r="J90" s="67">
        <f t="shared" si="68"/>
        <v>0</v>
      </c>
      <c r="K90" s="67">
        <f t="shared" si="68"/>
        <v>0</v>
      </c>
      <c r="L90" s="67">
        <f t="shared" si="68"/>
        <v>0</v>
      </c>
      <c r="M90" s="67">
        <f t="shared" si="68"/>
        <v>0</v>
      </c>
      <c r="N90" s="67">
        <f t="shared" si="68"/>
        <v>0</v>
      </c>
      <c r="O90" s="67">
        <v>0</v>
      </c>
      <c r="P90" s="326">
        <f t="shared" si="56"/>
        <v>0</v>
      </c>
      <c r="R90" s="2"/>
    </row>
    <row r="91" spans="2:18" x14ac:dyDescent="0.15">
      <c r="B91" s="340">
        <v>14</v>
      </c>
      <c r="C91" s="12" t="s">
        <v>304</v>
      </c>
      <c r="D91" s="67">
        <f t="shared" ref="D91:D97" si="69">D178</f>
        <v>-32550000</v>
      </c>
      <c r="E91" s="67">
        <f t="shared" ref="E91:N91" si="70">E178</f>
        <v>0</v>
      </c>
      <c r="F91" s="67">
        <f t="shared" si="70"/>
        <v>0</v>
      </c>
      <c r="G91" s="67">
        <f t="shared" si="70"/>
        <v>0</v>
      </c>
      <c r="H91" s="67">
        <f t="shared" si="70"/>
        <v>0</v>
      </c>
      <c r="I91" s="67">
        <f t="shared" si="70"/>
        <v>14347035</v>
      </c>
      <c r="J91" s="67">
        <f t="shared" si="70"/>
        <v>0</v>
      </c>
      <c r="K91" s="67">
        <f t="shared" si="70"/>
        <v>0</v>
      </c>
      <c r="L91" s="67">
        <f t="shared" si="70"/>
        <v>0</v>
      </c>
      <c r="M91" s="67">
        <f t="shared" si="70"/>
        <v>0</v>
      </c>
      <c r="N91" s="67">
        <f t="shared" si="70"/>
        <v>0</v>
      </c>
      <c r="O91" s="67">
        <v>0</v>
      </c>
      <c r="P91" s="326">
        <f t="shared" si="56"/>
        <v>-18202965</v>
      </c>
      <c r="R91" s="2"/>
    </row>
    <row r="92" spans="2:18" x14ac:dyDescent="0.15">
      <c r="B92" s="340" t="s">
        <v>701</v>
      </c>
      <c r="C92" s="12" t="s">
        <v>207</v>
      </c>
      <c r="D92" s="67">
        <f t="shared" si="69"/>
        <v>-31050000</v>
      </c>
      <c r="E92" s="67">
        <f t="shared" ref="E92:N92" si="71">E179</f>
        <v>0</v>
      </c>
      <c r="F92" s="67">
        <f t="shared" si="71"/>
        <v>0</v>
      </c>
      <c r="G92" s="67">
        <f t="shared" si="71"/>
        <v>0</v>
      </c>
      <c r="H92" s="67">
        <f t="shared" si="71"/>
        <v>0</v>
      </c>
      <c r="I92" s="67">
        <f t="shared" si="71"/>
        <v>12847035</v>
      </c>
      <c r="J92" s="67">
        <f t="shared" si="71"/>
        <v>0</v>
      </c>
      <c r="K92" s="67">
        <f t="shared" si="71"/>
        <v>0</v>
      </c>
      <c r="L92" s="67">
        <f t="shared" si="71"/>
        <v>0</v>
      </c>
      <c r="M92" s="67">
        <f t="shared" si="71"/>
        <v>0</v>
      </c>
      <c r="N92" s="67">
        <f t="shared" si="71"/>
        <v>0</v>
      </c>
      <c r="O92" s="67">
        <v>0</v>
      </c>
      <c r="P92" s="326">
        <f t="shared" si="56"/>
        <v>-18202965</v>
      </c>
      <c r="R92" s="2"/>
    </row>
    <row r="93" spans="2:18" x14ac:dyDescent="0.15">
      <c r="B93" s="340" t="s">
        <v>702</v>
      </c>
      <c r="C93" s="12" t="s">
        <v>307</v>
      </c>
      <c r="D93" s="67">
        <f t="shared" si="69"/>
        <v>-1500000</v>
      </c>
      <c r="E93" s="67">
        <f t="shared" ref="E93:N93" si="72">E180</f>
        <v>0</v>
      </c>
      <c r="F93" s="67">
        <f t="shared" si="72"/>
        <v>0</v>
      </c>
      <c r="G93" s="67">
        <f t="shared" si="72"/>
        <v>0</v>
      </c>
      <c r="H93" s="67">
        <f t="shared" si="72"/>
        <v>0</v>
      </c>
      <c r="I93" s="67">
        <f t="shared" si="72"/>
        <v>1500000</v>
      </c>
      <c r="J93" s="67">
        <f t="shared" si="72"/>
        <v>0</v>
      </c>
      <c r="K93" s="67">
        <f t="shared" si="72"/>
        <v>0</v>
      </c>
      <c r="L93" s="67">
        <f t="shared" si="72"/>
        <v>0</v>
      </c>
      <c r="M93" s="67">
        <f t="shared" si="72"/>
        <v>0</v>
      </c>
      <c r="N93" s="67">
        <f t="shared" si="72"/>
        <v>0</v>
      </c>
      <c r="O93" s="67">
        <v>0</v>
      </c>
      <c r="P93" s="326">
        <f t="shared" si="56"/>
        <v>0</v>
      </c>
      <c r="R93" s="2"/>
    </row>
    <row r="94" spans="2:18" x14ac:dyDescent="0.15">
      <c r="B94" s="340" t="s">
        <v>703</v>
      </c>
      <c r="C94" s="12" t="s">
        <v>309</v>
      </c>
      <c r="D94" s="67">
        <f t="shared" si="69"/>
        <v>0</v>
      </c>
      <c r="E94" s="67">
        <f t="shared" ref="E94:N94" si="73">E181</f>
        <v>0</v>
      </c>
      <c r="F94" s="67">
        <f t="shared" si="73"/>
        <v>0</v>
      </c>
      <c r="G94" s="67">
        <f t="shared" si="73"/>
        <v>0</v>
      </c>
      <c r="H94" s="67">
        <f t="shared" si="73"/>
        <v>0</v>
      </c>
      <c r="I94" s="67">
        <f t="shared" si="73"/>
        <v>0</v>
      </c>
      <c r="J94" s="67">
        <f t="shared" si="73"/>
        <v>0</v>
      </c>
      <c r="K94" s="67">
        <f t="shared" si="73"/>
        <v>0</v>
      </c>
      <c r="L94" s="67">
        <f t="shared" si="73"/>
        <v>0</v>
      </c>
      <c r="M94" s="67">
        <f t="shared" si="73"/>
        <v>0</v>
      </c>
      <c r="N94" s="67">
        <f t="shared" si="73"/>
        <v>0</v>
      </c>
      <c r="O94" s="67">
        <v>0</v>
      </c>
      <c r="P94" s="326">
        <f t="shared" si="56"/>
        <v>0</v>
      </c>
      <c r="R94" s="2"/>
    </row>
    <row r="95" spans="2:18" x14ac:dyDescent="0.15">
      <c r="B95" s="340" t="s">
        <v>704</v>
      </c>
      <c r="C95" s="12" t="s">
        <v>311</v>
      </c>
      <c r="D95" s="67">
        <f t="shared" si="69"/>
        <v>0</v>
      </c>
      <c r="E95" s="67">
        <f t="shared" ref="E95:N95" si="74">E182</f>
        <v>0</v>
      </c>
      <c r="F95" s="67">
        <f t="shared" si="74"/>
        <v>0</v>
      </c>
      <c r="G95" s="67">
        <f t="shared" si="74"/>
        <v>0</v>
      </c>
      <c r="H95" s="67">
        <f t="shared" si="74"/>
        <v>0</v>
      </c>
      <c r="I95" s="67">
        <f t="shared" si="74"/>
        <v>-2596968.7000000002</v>
      </c>
      <c r="J95" s="67">
        <f t="shared" si="74"/>
        <v>0</v>
      </c>
      <c r="K95" s="67">
        <f t="shared" si="74"/>
        <v>0</v>
      </c>
      <c r="L95" s="67">
        <f t="shared" si="74"/>
        <v>0</v>
      </c>
      <c r="M95" s="67">
        <f t="shared" si="74"/>
        <v>0</v>
      </c>
      <c r="N95" s="67">
        <f t="shared" si="74"/>
        <v>0</v>
      </c>
      <c r="O95" s="67">
        <v>0</v>
      </c>
      <c r="P95" s="326">
        <f t="shared" si="56"/>
        <v>-2596968.7000000002</v>
      </c>
      <c r="R95" s="2"/>
    </row>
    <row r="96" spans="2:18" ht="14" thickBot="1" x14ac:dyDescent="0.2">
      <c r="B96" s="340" t="s">
        <v>705</v>
      </c>
      <c r="C96" s="12" t="s">
        <v>115</v>
      </c>
      <c r="D96" s="67">
        <f t="shared" si="69"/>
        <v>-60000000</v>
      </c>
      <c r="E96" s="67">
        <f t="shared" ref="E96:N96" si="75">E183</f>
        <v>0</v>
      </c>
      <c r="F96" s="67">
        <f t="shared" si="75"/>
        <v>0</v>
      </c>
      <c r="G96" s="67">
        <f t="shared" si="75"/>
        <v>0</v>
      </c>
      <c r="H96" s="67">
        <f t="shared" si="75"/>
        <v>0</v>
      </c>
      <c r="I96" s="67">
        <f t="shared" si="75"/>
        <v>60000000</v>
      </c>
      <c r="J96" s="67">
        <f t="shared" si="75"/>
        <v>0</v>
      </c>
      <c r="K96" s="67">
        <f t="shared" si="75"/>
        <v>0</v>
      </c>
      <c r="L96" s="67">
        <f t="shared" si="75"/>
        <v>0</v>
      </c>
      <c r="M96" s="67">
        <f t="shared" si="75"/>
        <v>0</v>
      </c>
      <c r="N96" s="67">
        <f t="shared" si="75"/>
        <v>0</v>
      </c>
      <c r="O96" s="67">
        <v>0</v>
      </c>
      <c r="P96" s="326">
        <f t="shared" si="56"/>
        <v>0</v>
      </c>
      <c r="R96" s="2"/>
    </row>
    <row r="97" spans="1:18" x14ac:dyDescent="0.15">
      <c r="B97" s="340">
        <v>17</v>
      </c>
      <c r="C97" s="12" t="s">
        <v>313</v>
      </c>
      <c r="D97" s="67">
        <f t="shared" si="69"/>
        <v>-92550000</v>
      </c>
      <c r="E97" s="67">
        <f t="shared" ref="E97:N97" si="76">E184</f>
        <v>0</v>
      </c>
      <c r="F97" s="67">
        <f t="shared" si="76"/>
        <v>0</v>
      </c>
      <c r="G97" s="67">
        <f t="shared" si="76"/>
        <v>0</v>
      </c>
      <c r="H97" s="67">
        <f t="shared" si="76"/>
        <v>0</v>
      </c>
      <c r="I97" s="67">
        <f t="shared" si="76"/>
        <v>71750066.299999997</v>
      </c>
      <c r="J97" s="67">
        <f t="shared" si="76"/>
        <v>0</v>
      </c>
      <c r="K97" s="67">
        <f t="shared" si="76"/>
        <v>0</v>
      </c>
      <c r="L97" s="67">
        <f t="shared" si="76"/>
        <v>0</v>
      </c>
      <c r="M97" s="67">
        <f t="shared" si="76"/>
        <v>0</v>
      </c>
      <c r="N97" s="67">
        <f t="shared" si="76"/>
        <v>0</v>
      </c>
      <c r="O97" s="67">
        <v>0</v>
      </c>
      <c r="P97" s="326">
        <f t="shared" si="56"/>
        <v>-20799933.700000003</v>
      </c>
      <c r="Q97" s="357" t="s">
        <v>693</v>
      </c>
      <c r="R97" s="2"/>
    </row>
    <row r="98" spans="1:18" ht="14" thickBot="1" x14ac:dyDescent="0.2">
      <c r="A98" s="1" t="s">
        <v>706</v>
      </c>
      <c r="B98" s="355">
        <v>18</v>
      </c>
      <c r="C98" s="335" t="s">
        <v>314</v>
      </c>
      <c r="D98" s="331">
        <f>D97+D89</f>
        <v>-92550000</v>
      </c>
      <c r="E98" s="331">
        <f t="shared" ref="E98:N98" si="77">E97+E89</f>
        <v>50012750</v>
      </c>
      <c r="F98" s="331">
        <f t="shared" si="77"/>
        <v>44202792.500000022</v>
      </c>
      <c r="G98" s="331">
        <f t="shared" si="77"/>
        <v>35442192.08412499</v>
      </c>
      <c r="H98" s="331">
        <f t="shared" si="77"/>
        <v>25111356.707490433</v>
      </c>
      <c r="I98" s="331">
        <f t="shared" si="77"/>
        <v>84401062.478848949</v>
      </c>
      <c r="J98" s="331">
        <f t="shared" si="77"/>
        <v>0</v>
      </c>
      <c r="K98" s="331">
        <f t="shared" si="77"/>
        <v>0</v>
      </c>
      <c r="L98" s="331">
        <f t="shared" si="77"/>
        <v>0</v>
      </c>
      <c r="M98" s="331">
        <f t="shared" si="77"/>
        <v>0</v>
      </c>
      <c r="N98" s="331">
        <f t="shared" si="77"/>
        <v>0</v>
      </c>
      <c r="O98" s="331">
        <v>0</v>
      </c>
      <c r="P98" s="356">
        <f t="shared" si="56"/>
        <v>146620153.77046439</v>
      </c>
      <c r="Q98" s="358">
        <f>IF(ISNUMBER(IRR(D98:N98)),IRR(D98:N98),"NMF")</f>
        <v>0.40549033935008683</v>
      </c>
      <c r="R98" s="1" t="s">
        <v>706</v>
      </c>
    </row>
    <row r="99" spans="1:18" x14ac:dyDescent="0.15">
      <c r="B99" s="340">
        <v>19</v>
      </c>
      <c r="C99" s="12" t="s">
        <v>315</v>
      </c>
      <c r="D99" s="67">
        <f t="shared" ref="D99:N99" si="78">D186</f>
        <v>1</v>
      </c>
      <c r="E99" s="67">
        <f t="shared" si="78"/>
        <v>0.86956521739130443</v>
      </c>
      <c r="F99" s="67">
        <f t="shared" si="78"/>
        <v>0.7561436672967865</v>
      </c>
      <c r="G99" s="67">
        <f t="shared" si="78"/>
        <v>0.65751623243198831</v>
      </c>
      <c r="H99" s="67">
        <f t="shared" si="78"/>
        <v>0.57175324559303342</v>
      </c>
      <c r="I99" s="67">
        <f t="shared" si="78"/>
        <v>0.49717673529828987</v>
      </c>
      <c r="J99" s="67">
        <f t="shared" si="78"/>
        <v>0.43232759591155645</v>
      </c>
      <c r="K99" s="67">
        <f t="shared" si="78"/>
        <v>0.37593703992309269</v>
      </c>
      <c r="L99" s="67">
        <f t="shared" si="78"/>
        <v>0.32690177384616753</v>
      </c>
      <c r="M99" s="67">
        <f t="shared" si="78"/>
        <v>0.28426241204014574</v>
      </c>
      <c r="N99" s="67">
        <f t="shared" si="78"/>
        <v>0.24718470612186585</v>
      </c>
      <c r="O99" s="67">
        <v>0</v>
      </c>
      <c r="P99" s="326">
        <f>SUM(E99:N99)</f>
        <v>5.0187686258542312</v>
      </c>
      <c r="R99" s="2"/>
    </row>
    <row r="100" spans="1:18" x14ac:dyDescent="0.15">
      <c r="B100" s="340">
        <v>20</v>
      </c>
      <c r="C100" s="12" t="s">
        <v>316</v>
      </c>
      <c r="D100" s="67">
        <f t="shared" ref="D100:N100" si="79">D187</f>
        <v>-92550000</v>
      </c>
      <c r="E100" s="67">
        <f t="shared" si="79"/>
        <v>43489347.826086961</v>
      </c>
      <c r="F100" s="67">
        <f t="shared" si="79"/>
        <v>33423661.625708908</v>
      </c>
      <c r="G100" s="67">
        <f t="shared" si="79"/>
        <v>23303816.608284704</v>
      </c>
      <c r="H100" s="67">
        <f t="shared" si="79"/>
        <v>14357499.698752044</v>
      </c>
      <c r="I100" s="67">
        <f t="shared" si="79"/>
        <v>41962244.698941112</v>
      </c>
      <c r="J100" s="67">
        <f t="shared" si="79"/>
        <v>0</v>
      </c>
      <c r="K100" s="67">
        <f t="shared" si="79"/>
        <v>0</v>
      </c>
      <c r="L100" s="67">
        <f t="shared" si="79"/>
        <v>0</v>
      </c>
      <c r="M100" s="67">
        <f t="shared" si="79"/>
        <v>0</v>
      </c>
      <c r="N100" s="67">
        <f t="shared" si="79"/>
        <v>0</v>
      </c>
      <c r="O100" s="67">
        <v>0</v>
      </c>
      <c r="P100" s="326">
        <f>SUM(E100:N100)</f>
        <v>156536570.45777375</v>
      </c>
      <c r="R100" s="2"/>
    </row>
    <row r="101" spans="1:18" ht="14" thickBot="1" x14ac:dyDescent="0.2">
      <c r="B101" s="341">
        <v>21</v>
      </c>
      <c r="C101" s="201" t="s">
        <v>317</v>
      </c>
      <c r="D101" s="327">
        <f t="shared" ref="D101:N101" si="80">D188</f>
        <v>-92550000</v>
      </c>
      <c r="E101" s="327">
        <f t="shared" si="80"/>
        <v>-49060652.173913039</v>
      </c>
      <c r="F101" s="327">
        <f t="shared" si="80"/>
        <v>-15636990.548204131</v>
      </c>
      <c r="G101" s="327">
        <f t="shared" si="80"/>
        <v>7666826.060080573</v>
      </c>
      <c r="H101" s="327">
        <f t="shared" si="80"/>
        <v>22024325.758832619</v>
      </c>
      <c r="I101" s="327">
        <f t="shared" si="80"/>
        <v>63986570.45777373</v>
      </c>
      <c r="J101" s="327">
        <f t="shared" si="80"/>
        <v>63986570.45777373</v>
      </c>
      <c r="K101" s="327">
        <f t="shared" si="80"/>
        <v>63986570.45777373</v>
      </c>
      <c r="L101" s="327">
        <f t="shared" si="80"/>
        <v>63986570.45777373</v>
      </c>
      <c r="M101" s="327">
        <f t="shared" si="80"/>
        <v>63986570.45777373</v>
      </c>
      <c r="N101" s="327">
        <f t="shared" si="80"/>
        <v>63986570.45777373</v>
      </c>
      <c r="O101" s="327">
        <v>0</v>
      </c>
      <c r="P101" s="328"/>
      <c r="R101" s="2"/>
    </row>
    <row r="102" spans="1:18" x14ac:dyDescent="0.15">
      <c r="B102" s="145"/>
      <c r="R102" s="2"/>
    </row>
    <row r="103" spans="1:18" ht="14" thickBot="1" x14ac:dyDescent="0.2">
      <c r="B103" s="145"/>
      <c r="R103" s="2"/>
    </row>
    <row r="104" spans="1:18" ht="14" thickBot="1" x14ac:dyDescent="0.2">
      <c r="B104" s="359" t="s">
        <v>282</v>
      </c>
      <c r="C104" s="360" t="s">
        <v>283</v>
      </c>
      <c r="D104" s="360"/>
      <c r="E104" s="360">
        <v>1</v>
      </c>
      <c r="F104" s="360">
        <v>2</v>
      </c>
      <c r="G104" s="360">
        <v>3</v>
      </c>
      <c r="H104" s="360">
        <v>4</v>
      </c>
      <c r="I104" s="360">
        <v>5</v>
      </c>
      <c r="J104" s="360">
        <v>6</v>
      </c>
      <c r="K104" s="360">
        <v>7</v>
      </c>
      <c r="L104" s="360">
        <v>8</v>
      </c>
      <c r="M104" s="360">
        <v>9</v>
      </c>
      <c r="N104" s="360">
        <v>10</v>
      </c>
      <c r="O104" s="360" t="s">
        <v>284</v>
      </c>
      <c r="P104" s="361" t="s">
        <v>285</v>
      </c>
      <c r="R104" s="2"/>
    </row>
    <row r="105" spans="1:18" x14ac:dyDescent="0.15">
      <c r="B105" s="339" t="s">
        <v>687</v>
      </c>
      <c r="C105" s="302" t="s">
        <v>287</v>
      </c>
      <c r="D105" s="322">
        <f t="shared" ref="D105:D120" si="81">D161</f>
        <v>0</v>
      </c>
      <c r="E105" s="322">
        <f t="shared" ref="E105:N105" si="82">E161</f>
        <v>300000000</v>
      </c>
      <c r="F105" s="322">
        <f t="shared" si="82"/>
        <v>313500000.00000006</v>
      </c>
      <c r="G105" s="322">
        <f t="shared" si="82"/>
        <v>327607500.00000006</v>
      </c>
      <c r="H105" s="322">
        <f t="shared" si="82"/>
        <v>342349837.50000012</v>
      </c>
      <c r="I105" s="322">
        <f t="shared" si="82"/>
        <v>357755580.18750012</v>
      </c>
      <c r="J105" s="322">
        <f t="shared" si="82"/>
        <v>0</v>
      </c>
      <c r="K105" s="322">
        <f t="shared" si="82"/>
        <v>0</v>
      </c>
      <c r="L105" s="322">
        <f t="shared" si="82"/>
        <v>0</v>
      </c>
      <c r="M105" s="322">
        <f t="shared" si="82"/>
        <v>0</v>
      </c>
      <c r="N105" s="322">
        <f t="shared" si="82"/>
        <v>0</v>
      </c>
      <c r="O105" s="322">
        <v>0</v>
      </c>
      <c r="P105" s="325">
        <f>SUM(D105:N105)</f>
        <v>1641212917.6875</v>
      </c>
      <c r="R105" s="2"/>
    </row>
    <row r="106" spans="1:18" x14ac:dyDescent="0.15">
      <c r="A106" s="1" t="s">
        <v>707</v>
      </c>
      <c r="B106" s="340" t="s">
        <v>689</v>
      </c>
      <c r="C106" s="354" t="s">
        <v>689</v>
      </c>
      <c r="D106" s="67">
        <f t="shared" si="81"/>
        <v>0</v>
      </c>
      <c r="E106" s="67">
        <f>E162</f>
        <v>300000000</v>
      </c>
      <c r="F106" s="67">
        <f t="shared" ref="F106:N106" si="83">F162</f>
        <v>313500000.00000006</v>
      </c>
      <c r="G106" s="67">
        <f t="shared" si="83"/>
        <v>327607500.00000006</v>
      </c>
      <c r="H106" s="67">
        <f t="shared" si="83"/>
        <v>342349837.50000012</v>
      </c>
      <c r="I106" s="67">
        <f t="shared" si="83"/>
        <v>357755580.18750012</v>
      </c>
      <c r="J106" s="67">
        <f t="shared" si="83"/>
        <v>0</v>
      </c>
      <c r="K106" s="67">
        <f t="shared" si="83"/>
        <v>0</v>
      </c>
      <c r="L106" s="67">
        <f t="shared" si="83"/>
        <v>0</v>
      </c>
      <c r="M106" s="67">
        <f t="shared" si="83"/>
        <v>0</v>
      </c>
      <c r="N106" s="67">
        <f t="shared" si="83"/>
        <v>0</v>
      </c>
      <c r="O106" s="67"/>
      <c r="P106" s="326">
        <f>SUM(D106:N106)</f>
        <v>1641212917.6875</v>
      </c>
      <c r="R106" s="2"/>
    </row>
    <row r="107" spans="1:18" x14ac:dyDescent="0.15">
      <c r="B107" s="340" t="s">
        <v>690</v>
      </c>
      <c r="C107" s="354" t="s">
        <v>690</v>
      </c>
      <c r="D107" s="67">
        <f t="shared" si="81"/>
        <v>0</v>
      </c>
      <c r="E107" s="67">
        <f>E163</f>
        <v>0</v>
      </c>
      <c r="F107" s="67">
        <f t="shared" ref="F107:N107" si="84">F163</f>
        <v>0</v>
      </c>
      <c r="G107" s="67">
        <f t="shared" si="84"/>
        <v>0</v>
      </c>
      <c r="H107" s="67">
        <f t="shared" si="84"/>
        <v>0</v>
      </c>
      <c r="I107" s="67">
        <f t="shared" si="84"/>
        <v>0</v>
      </c>
      <c r="J107" s="67">
        <f t="shared" si="84"/>
        <v>0</v>
      </c>
      <c r="K107" s="67">
        <f t="shared" si="84"/>
        <v>0</v>
      </c>
      <c r="L107" s="67">
        <f t="shared" si="84"/>
        <v>0</v>
      </c>
      <c r="M107" s="67">
        <f t="shared" si="84"/>
        <v>0</v>
      </c>
      <c r="N107" s="67">
        <f t="shared" si="84"/>
        <v>0</v>
      </c>
      <c r="O107" s="294"/>
      <c r="P107" s="326">
        <f t="shared" ref="P107:P129" si="85">SUM(D107:N107)</f>
        <v>0</v>
      </c>
      <c r="R107" s="2"/>
    </row>
    <row r="108" spans="1:18" x14ac:dyDescent="0.15">
      <c r="B108" s="355" t="s">
        <v>691</v>
      </c>
      <c r="C108" s="362" t="s">
        <v>691</v>
      </c>
      <c r="D108" s="331">
        <f t="shared" si="81"/>
        <v>0</v>
      </c>
      <c r="E108" s="331">
        <f>Revenues!D21*Revenues!D22*0.9</f>
        <v>0</v>
      </c>
      <c r="F108" s="331">
        <f>Revenues!E21*Revenues!E22*0.9</f>
        <v>0</v>
      </c>
      <c r="G108" s="331">
        <f>Revenues!F21*Revenues!F22*0.9</f>
        <v>0</v>
      </c>
      <c r="H108" s="331">
        <f>Revenues!G21*Revenues!G22*0.9</f>
        <v>0</v>
      </c>
      <c r="I108" s="331">
        <f>Revenues!H21*Revenues!H22*0.9</f>
        <v>0</v>
      </c>
      <c r="J108" s="331">
        <f>Revenues!I21*Revenues!I22*0.9</f>
        <v>0</v>
      </c>
      <c r="K108" s="331">
        <f>Revenues!J21*Revenues!J22*0.9</f>
        <v>0</v>
      </c>
      <c r="L108" s="331">
        <f>Revenues!K21*Revenues!K22*0.9</f>
        <v>0</v>
      </c>
      <c r="M108" s="331">
        <f>Revenues!L21*Revenues!L22*0.9</f>
        <v>0</v>
      </c>
      <c r="N108" s="331">
        <f>Revenues!M21*Revenues!M22*0.9</f>
        <v>0</v>
      </c>
      <c r="O108" s="331"/>
      <c r="P108" s="356">
        <f t="shared" si="85"/>
        <v>0</v>
      </c>
      <c r="R108" s="2"/>
    </row>
    <row r="109" spans="1:18" x14ac:dyDescent="0.15">
      <c r="B109" s="340" t="s">
        <v>695</v>
      </c>
      <c r="C109" s="12"/>
      <c r="D109" s="67">
        <f t="shared" si="81"/>
        <v>0</v>
      </c>
      <c r="E109" s="67">
        <f>E108+E107+E106</f>
        <v>300000000</v>
      </c>
      <c r="F109" s="67">
        <f t="shared" ref="F109:N109" si="86">F108+F107+F106</f>
        <v>313500000.00000006</v>
      </c>
      <c r="G109" s="67">
        <f t="shared" si="86"/>
        <v>327607500.00000006</v>
      </c>
      <c r="H109" s="67">
        <f t="shared" si="86"/>
        <v>342349837.50000012</v>
      </c>
      <c r="I109" s="67">
        <f t="shared" si="86"/>
        <v>357755580.18750012</v>
      </c>
      <c r="J109" s="67">
        <f t="shared" si="86"/>
        <v>0</v>
      </c>
      <c r="K109" s="67">
        <f t="shared" si="86"/>
        <v>0</v>
      </c>
      <c r="L109" s="67">
        <f t="shared" si="86"/>
        <v>0</v>
      </c>
      <c r="M109" s="67">
        <f t="shared" si="86"/>
        <v>0</v>
      </c>
      <c r="N109" s="67">
        <f t="shared" si="86"/>
        <v>0</v>
      </c>
      <c r="O109" s="67"/>
      <c r="P109" s="326">
        <f t="shared" si="85"/>
        <v>1641212917.6875</v>
      </c>
      <c r="R109" s="2"/>
    </row>
    <row r="110" spans="1:18" x14ac:dyDescent="0.15">
      <c r="B110" s="340" t="s">
        <v>696</v>
      </c>
      <c r="C110" s="12" t="s">
        <v>289</v>
      </c>
      <c r="D110" s="67">
        <f t="shared" si="81"/>
        <v>0</v>
      </c>
      <c r="E110" s="67">
        <f>Expenses!D18+Expenses!D25+(Expenses!D32*0.9)+Expenses!D39+Expenses!D44+(Expenses!D49*0.9)+Expenses!D56+Expenses!D95-Expenses!D77</f>
        <v>230170000</v>
      </c>
      <c r="F110" s="67">
        <f>Expenses!E18+Expenses!E25+(Expenses!E32*0.9)+Expenses!E39+Expenses!E44+(Expenses!E49*0.9)+Expenses!E56+Expenses!E95-Expenses!E77</f>
        <v>253018375.00000003</v>
      </c>
      <c r="G110" s="67">
        <f>Expenses!F18+Expenses!F25+(Expenses!F32*0.9)+Expenses!F39+Expenses!F44+(Expenses!F49*0.9)+Expenses!F56+Expenses!F95-Expenses!F77</f>
        <v>278725718.45125008</v>
      </c>
      <c r="H110" s="67">
        <f>Expenses!G18+Expenses!G25+(Expenses!G32*0.9)+Expenses!G39+Expenses!G44+(Expenses!G49*0.9)+Expenses!G56+Expenses!G95-Expenses!G77</f>
        <v>307665975.06072807</v>
      </c>
      <c r="I110" s="67">
        <f>Expenses!H18+Expenses!H25+(Expenses!H32*0.9)+Expenses!H39+Expenses!H44+(Expenses!H49*0.9)+Expenses!H56+Expenses!H95-Expenses!H77</f>
        <v>340262566.36057305</v>
      </c>
      <c r="J110" s="67">
        <f>Expenses!I18+Expenses!I25+(Expenses!I32*0.9)+Expenses!I39+Expenses!I44+(Expenses!I49*0.9)+Expenses!I56+Expenses!I95-Expenses!I77</f>
        <v>0</v>
      </c>
      <c r="K110" s="67">
        <f>Expenses!J18+Expenses!J25+(Expenses!J32*0.9)+Expenses!J39+Expenses!J44+(Expenses!J49*0.9)+Expenses!J56+Expenses!J95-Expenses!J77</f>
        <v>0</v>
      </c>
      <c r="L110" s="67">
        <f>Expenses!K18+Expenses!K25+(Expenses!K32*0.9)+Expenses!K39+Expenses!K44+(Expenses!K49*0.9)+Expenses!K56+Expenses!K95-Expenses!K77</f>
        <v>0</v>
      </c>
      <c r="M110" s="67">
        <f>Expenses!L18+Expenses!L25+(Expenses!L32*0.9)+Expenses!L39+Expenses!L44+(Expenses!L49*0.9)+Expenses!L56+Expenses!L95-Expenses!L77</f>
        <v>0</v>
      </c>
      <c r="N110" s="67">
        <f>Expenses!M18+Expenses!M25+(Expenses!M32*0.9)+Expenses!M39+Expenses!M44+(Expenses!M49*0.9)+Expenses!M56+Expenses!M95-Expenses!M77</f>
        <v>0</v>
      </c>
      <c r="O110" s="67">
        <v>0</v>
      </c>
      <c r="P110" s="326">
        <f t="shared" si="85"/>
        <v>1409842634.8725512</v>
      </c>
      <c r="R110" s="2"/>
    </row>
    <row r="111" spans="1:18" x14ac:dyDescent="0.15">
      <c r="B111" s="340">
        <v>3</v>
      </c>
      <c r="C111" s="12" t="s">
        <v>290</v>
      </c>
      <c r="D111" s="67">
        <f t="shared" si="81"/>
        <v>0</v>
      </c>
      <c r="E111" s="67">
        <f>E109-E110</f>
        <v>69830000</v>
      </c>
      <c r="F111" s="67">
        <f t="shared" ref="F111:N111" si="87">F109-F110</f>
        <v>60481625.00000003</v>
      </c>
      <c r="G111" s="67">
        <f t="shared" si="87"/>
        <v>48881781.548749983</v>
      </c>
      <c r="H111" s="67">
        <f t="shared" si="87"/>
        <v>34683862.439272046</v>
      </c>
      <c r="I111" s="67">
        <f t="shared" si="87"/>
        <v>17493013.826927066</v>
      </c>
      <c r="J111" s="67">
        <f t="shared" si="87"/>
        <v>0</v>
      </c>
      <c r="K111" s="67">
        <f t="shared" si="87"/>
        <v>0</v>
      </c>
      <c r="L111" s="67">
        <f t="shared" si="87"/>
        <v>0</v>
      </c>
      <c r="M111" s="67">
        <f t="shared" si="87"/>
        <v>0</v>
      </c>
      <c r="N111" s="67">
        <f t="shared" si="87"/>
        <v>0</v>
      </c>
      <c r="O111" s="67">
        <v>0</v>
      </c>
      <c r="P111" s="326">
        <f t="shared" si="85"/>
        <v>231370282.81494913</v>
      </c>
      <c r="R111" s="2"/>
    </row>
    <row r="112" spans="1:18" x14ac:dyDescent="0.15">
      <c r="B112" s="340" t="s">
        <v>697</v>
      </c>
      <c r="C112" s="12" t="s">
        <v>292</v>
      </c>
      <c r="D112" s="67">
        <f t="shared" si="81"/>
        <v>0</v>
      </c>
      <c r="E112" s="67">
        <f>E168</f>
        <v>3772500</v>
      </c>
      <c r="F112" s="67">
        <f t="shared" ref="F112:N112" si="88">F168</f>
        <v>6218850</v>
      </c>
      <c r="G112" s="67">
        <f t="shared" si="88"/>
        <v>4083150</v>
      </c>
      <c r="H112" s="67">
        <f t="shared" si="88"/>
        <v>2775510</v>
      </c>
      <c r="I112" s="67">
        <f t="shared" si="88"/>
        <v>1352955</v>
      </c>
      <c r="J112" s="67">
        <f t="shared" si="88"/>
        <v>0</v>
      </c>
      <c r="K112" s="67">
        <f t="shared" si="88"/>
        <v>0</v>
      </c>
      <c r="L112" s="67">
        <f t="shared" si="88"/>
        <v>0</v>
      </c>
      <c r="M112" s="67">
        <f t="shared" si="88"/>
        <v>0</v>
      </c>
      <c r="N112" s="67">
        <f t="shared" si="88"/>
        <v>0</v>
      </c>
      <c r="O112" s="67">
        <v>0</v>
      </c>
      <c r="P112" s="326">
        <f t="shared" si="85"/>
        <v>18202965</v>
      </c>
      <c r="R112" s="2"/>
    </row>
    <row r="113" spans="2:18" x14ac:dyDescent="0.15">
      <c r="B113" s="340">
        <v>5</v>
      </c>
      <c r="C113" s="12" t="s">
        <v>293</v>
      </c>
      <c r="D113" s="67">
        <f t="shared" si="81"/>
        <v>0</v>
      </c>
      <c r="E113" s="67">
        <f>E111-E112</f>
        <v>66057500</v>
      </c>
      <c r="F113" s="67">
        <f t="shared" ref="F113:N113" si="89">F111-F112</f>
        <v>54262775.00000003</v>
      </c>
      <c r="G113" s="67">
        <f t="shared" si="89"/>
        <v>44798631.548749983</v>
      </c>
      <c r="H113" s="67">
        <f t="shared" si="89"/>
        <v>31908352.439272046</v>
      </c>
      <c r="I113" s="67">
        <f t="shared" si="89"/>
        <v>16140058.826927066</v>
      </c>
      <c r="J113" s="67">
        <f t="shared" si="89"/>
        <v>0</v>
      </c>
      <c r="K113" s="67">
        <f t="shared" si="89"/>
        <v>0</v>
      </c>
      <c r="L113" s="67">
        <f t="shared" si="89"/>
        <v>0</v>
      </c>
      <c r="M113" s="67">
        <f t="shared" si="89"/>
        <v>0</v>
      </c>
      <c r="N113" s="67">
        <f t="shared" si="89"/>
        <v>0</v>
      </c>
      <c r="O113" s="67">
        <v>0</v>
      </c>
      <c r="P113" s="326">
        <f t="shared" si="85"/>
        <v>213167317.81494913</v>
      </c>
      <c r="R113" s="2"/>
    </row>
    <row r="114" spans="2:18" x14ac:dyDescent="0.15">
      <c r="B114" s="340" t="s">
        <v>698</v>
      </c>
      <c r="C114" s="12" t="s">
        <v>295</v>
      </c>
      <c r="D114" s="67">
        <f t="shared" si="81"/>
        <v>0</v>
      </c>
      <c r="E114" s="67">
        <f>E170</f>
        <v>0</v>
      </c>
      <c r="F114" s="67">
        <f t="shared" ref="F114:N114" si="90">F170</f>
        <v>0</v>
      </c>
      <c r="G114" s="67">
        <f t="shared" si="90"/>
        <v>0</v>
      </c>
      <c r="H114" s="67">
        <f t="shared" si="90"/>
        <v>0</v>
      </c>
      <c r="I114" s="67">
        <f t="shared" si="90"/>
        <v>0</v>
      </c>
      <c r="J114" s="67">
        <f t="shared" si="90"/>
        <v>0</v>
      </c>
      <c r="K114" s="67">
        <f t="shared" si="90"/>
        <v>0</v>
      </c>
      <c r="L114" s="67">
        <f t="shared" si="90"/>
        <v>0</v>
      </c>
      <c r="M114" s="67">
        <f t="shared" si="90"/>
        <v>0</v>
      </c>
      <c r="N114" s="67">
        <f t="shared" si="90"/>
        <v>0</v>
      </c>
      <c r="O114" s="67">
        <v>0</v>
      </c>
      <c r="P114" s="326">
        <f t="shared" si="85"/>
        <v>0</v>
      </c>
      <c r="R114" s="2"/>
    </row>
    <row r="115" spans="2:18" x14ac:dyDescent="0.15">
      <c r="B115" s="340">
        <v>7</v>
      </c>
      <c r="C115" s="12" t="s">
        <v>296</v>
      </c>
      <c r="D115" s="67">
        <f t="shared" si="81"/>
        <v>0</v>
      </c>
      <c r="E115" s="67">
        <f>E113-E114</f>
        <v>66057500</v>
      </c>
      <c r="F115" s="67">
        <f t="shared" ref="F115:N115" si="91">F113-F114</f>
        <v>54262775.00000003</v>
      </c>
      <c r="G115" s="67">
        <f t="shared" si="91"/>
        <v>44798631.548749983</v>
      </c>
      <c r="H115" s="67">
        <f t="shared" si="91"/>
        <v>31908352.439272046</v>
      </c>
      <c r="I115" s="67">
        <f t="shared" si="91"/>
        <v>16140058.826927066</v>
      </c>
      <c r="J115" s="67">
        <f t="shared" si="91"/>
        <v>0</v>
      </c>
      <c r="K115" s="67">
        <f t="shared" si="91"/>
        <v>0</v>
      </c>
      <c r="L115" s="67">
        <f t="shared" si="91"/>
        <v>0</v>
      </c>
      <c r="M115" s="67">
        <f t="shared" si="91"/>
        <v>0</v>
      </c>
      <c r="N115" s="67">
        <f t="shared" si="91"/>
        <v>0</v>
      </c>
      <c r="O115" s="67">
        <v>0</v>
      </c>
      <c r="P115" s="326">
        <f t="shared" si="85"/>
        <v>213167317.81494913</v>
      </c>
      <c r="R115" s="2"/>
    </row>
    <row r="116" spans="2:18" x14ac:dyDescent="0.15">
      <c r="B116" s="340">
        <v>8</v>
      </c>
      <c r="C116" s="12" t="s">
        <v>297</v>
      </c>
      <c r="D116" s="67">
        <f t="shared" si="81"/>
        <v>0</v>
      </c>
      <c r="E116" s="67">
        <f>-E115*$D$3</f>
        <v>-19817250</v>
      </c>
      <c r="F116" s="67">
        <f t="shared" ref="F116:N116" si="92">-F115*$D$3</f>
        <v>-16278832.500000007</v>
      </c>
      <c r="G116" s="67">
        <f t="shared" si="92"/>
        <v>-13439589.464624995</v>
      </c>
      <c r="H116" s="67">
        <f t="shared" si="92"/>
        <v>-9572505.7317816131</v>
      </c>
      <c r="I116" s="67">
        <f t="shared" si="92"/>
        <v>-4842017.6480781194</v>
      </c>
      <c r="J116" s="67">
        <f t="shared" si="92"/>
        <v>0</v>
      </c>
      <c r="K116" s="67">
        <f t="shared" si="92"/>
        <v>0</v>
      </c>
      <c r="L116" s="67">
        <f t="shared" si="92"/>
        <v>0</v>
      </c>
      <c r="M116" s="67">
        <f t="shared" si="92"/>
        <v>0</v>
      </c>
      <c r="N116" s="67">
        <f t="shared" si="92"/>
        <v>0</v>
      </c>
      <c r="O116" s="67">
        <v>0</v>
      </c>
      <c r="P116" s="326">
        <f t="shared" si="85"/>
        <v>-63950195.344484739</v>
      </c>
      <c r="R116" s="2"/>
    </row>
    <row r="117" spans="2:18" x14ac:dyDescent="0.15">
      <c r="B117" s="340">
        <v>9</v>
      </c>
      <c r="C117" s="12" t="s">
        <v>298</v>
      </c>
      <c r="D117" s="67">
        <f t="shared" si="81"/>
        <v>0</v>
      </c>
      <c r="E117" s="67">
        <f>E173</f>
        <v>0</v>
      </c>
      <c r="F117" s="67">
        <f t="shared" ref="F117:N117" si="93">F173</f>
        <v>0</v>
      </c>
      <c r="G117" s="67">
        <f t="shared" si="93"/>
        <v>0</v>
      </c>
      <c r="H117" s="67">
        <f t="shared" si="93"/>
        <v>0</v>
      </c>
      <c r="I117" s="67">
        <f t="shared" si="93"/>
        <v>0</v>
      </c>
      <c r="J117" s="67">
        <f t="shared" si="93"/>
        <v>0</v>
      </c>
      <c r="K117" s="67">
        <f t="shared" si="93"/>
        <v>0</v>
      </c>
      <c r="L117" s="67">
        <f t="shared" si="93"/>
        <v>0</v>
      </c>
      <c r="M117" s="67">
        <f t="shared" si="93"/>
        <v>0</v>
      </c>
      <c r="N117" s="67">
        <f t="shared" si="93"/>
        <v>0</v>
      </c>
      <c r="O117" s="67">
        <v>0</v>
      </c>
      <c r="P117" s="326">
        <f t="shared" si="85"/>
        <v>0</v>
      </c>
      <c r="R117" s="2"/>
    </row>
    <row r="118" spans="2:18" x14ac:dyDescent="0.15">
      <c r="B118" s="340">
        <v>10</v>
      </c>
      <c r="C118" s="12" t="s">
        <v>299</v>
      </c>
      <c r="D118" s="67">
        <f t="shared" si="81"/>
        <v>0</v>
      </c>
      <c r="E118" s="67">
        <f>E115+E116+E117</f>
        <v>46240250</v>
      </c>
      <c r="F118" s="67">
        <f t="shared" ref="F118:N118" si="94">F115+F116+F117</f>
        <v>37983942.500000022</v>
      </c>
      <c r="G118" s="67">
        <f t="shared" si="94"/>
        <v>31359042.08412499</v>
      </c>
      <c r="H118" s="67">
        <f t="shared" si="94"/>
        <v>22335846.707490433</v>
      </c>
      <c r="I118" s="67">
        <f t="shared" si="94"/>
        <v>11298041.178848946</v>
      </c>
      <c r="J118" s="67">
        <f t="shared" si="94"/>
        <v>0</v>
      </c>
      <c r="K118" s="67">
        <f t="shared" si="94"/>
        <v>0</v>
      </c>
      <c r="L118" s="67">
        <f t="shared" si="94"/>
        <v>0</v>
      </c>
      <c r="M118" s="67">
        <f t="shared" si="94"/>
        <v>0</v>
      </c>
      <c r="N118" s="67">
        <f t="shared" si="94"/>
        <v>0</v>
      </c>
      <c r="O118" s="67">
        <v>0</v>
      </c>
      <c r="P118" s="326">
        <f t="shared" si="85"/>
        <v>149217122.47046441</v>
      </c>
      <c r="R118" s="2"/>
    </row>
    <row r="119" spans="2:18" x14ac:dyDescent="0.15">
      <c r="B119" s="340" t="s">
        <v>699</v>
      </c>
      <c r="C119" s="12" t="s">
        <v>292</v>
      </c>
      <c r="D119" s="67">
        <f t="shared" si="81"/>
        <v>0</v>
      </c>
      <c r="E119" s="67">
        <f>E175</f>
        <v>3772500</v>
      </c>
      <c r="F119" s="67">
        <f t="shared" ref="F119:N119" si="95">F175</f>
        <v>6218850</v>
      </c>
      <c r="G119" s="67">
        <f t="shared" si="95"/>
        <v>4083150</v>
      </c>
      <c r="H119" s="67">
        <f t="shared" si="95"/>
        <v>2775510</v>
      </c>
      <c r="I119" s="67">
        <f t="shared" si="95"/>
        <v>1352955</v>
      </c>
      <c r="J119" s="67">
        <f t="shared" si="95"/>
        <v>0</v>
      </c>
      <c r="K119" s="67">
        <f t="shared" si="95"/>
        <v>0</v>
      </c>
      <c r="L119" s="67">
        <f t="shared" si="95"/>
        <v>0</v>
      </c>
      <c r="M119" s="67">
        <f t="shared" si="95"/>
        <v>0</v>
      </c>
      <c r="N119" s="67">
        <f t="shared" si="95"/>
        <v>0</v>
      </c>
      <c r="O119" s="67">
        <v>0</v>
      </c>
      <c r="P119" s="326">
        <f t="shared" si="85"/>
        <v>18202965</v>
      </c>
      <c r="R119" s="2"/>
    </row>
    <row r="120" spans="2:18" x14ac:dyDescent="0.15">
      <c r="B120" s="340">
        <v>12</v>
      </c>
      <c r="C120" s="12" t="s">
        <v>301</v>
      </c>
      <c r="D120" s="67">
        <f t="shared" si="81"/>
        <v>0</v>
      </c>
      <c r="E120" s="67">
        <f>E118+E119</f>
        <v>50012750</v>
      </c>
      <c r="F120" s="67">
        <f t="shared" ref="F120:N120" si="96">F118+F119</f>
        <v>44202792.500000022</v>
      </c>
      <c r="G120" s="67">
        <f t="shared" si="96"/>
        <v>35442192.08412499</v>
      </c>
      <c r="H120" s="67">
        <f t="shared" si="96"/>
        <v>25111356.707490433</v>
      </c>
      <c r="I120" s="67">
        <f t="shared" si="96"/>
        <v>12650996.178848946</v>
      </c>
      <c r="J120" s="67">
        <f t="shared" si="96"/>
        <v>0</v>
      </c>
      <c r="K120" s="67">
        <f t="shared" si="96"/>
        <v>0</v>
      </c>
      <c r="L120" s="67">
        <f t="shared" si="96"/>
        <v>0</v>
      </c>
      <c r="M120" s="67">
        <f t="shared" si="96"/>
        <v>0</v>
      </c>
      <c r="N120" s="67">
        <f t="shared" si="96"/>
        <v>0</v>
      </c>
      <c r="O120" s="67">
        <v>0</v>
      </c>
      <c r="P120" s="326">
        <f t="shared" si="85"/>
        <v>167420087.47046441</v>
      </c>
      <c r="R120" s="2"/>
    </row>
    <row r="121" spans="2:18" x14ac:dyDescent="0.15">
      <c r="B121" s="340" t="s">
        <v>700</v>
      </c>
      <c r="C121" s="12" t="s">
        <v>303</v>
      </c>
      <c r="D121" s="67">
        <v>0</v>
      </c>
      <c r="E121" s="67">
        <f t="shared" ref="E121:N121" si="97">E177</f>
        <v>0</v>
      </c>
      <c r="F121" s="67">
        <f t="shared" si="97"/>
        <v>0</v>
      </c>
      <c r="G121" s="67">
        <f t="shared" si="97"/>
        <v>0</v>
      </c>
      <c r="H121" s="67">
        <f t="shared" si="97"/>
        <v>0</v>
      </c>
      <c r="I121" s="67">
        <f t="shared" si="97"/>
        <v>0</v>
      </c>
      <c r="J121" s="67">
        <f t="shared" si="97"/>
        <v>0</v>
      </c>
      <c r="K121" s="67">
        <f t="shared" si="97"/>
        <v>0</v>
      </c>
      <c r="L121" s="67">
        <f t="shared" si="97"/>
        <v>0</v>
      </c>
      <c r="M121" s="67">
        <f t="shared" si="97"/>
        <v>0</v>
      </c>
      <c r="N121" s="67">
        <f t="shared" si="97"/>
        <v>0</v>
      </c>
      <c r="O121" s="67">
        <v>0</v>
      </c>
      <c r="P121" s="326">
        <f t="shared" si="85"/>
        <v>0</v>
      </c>
      <c r="R121" s="2"/>
    </row>
    <row r="122" spans="2:18" x14ac:dyDescent="0.15">
      <c r="B122" s="340">
        <v>14</v>
      </c>
      <c r="C122" s="12" t="s">
        <v>304</v>
      </c>
      <c r="D122" s="67">
        <f t="shared" ref="D122:D128" si="98">D178</f>
        <v>-32550000</v>
      </c>
      <c r="E122" s="67">
        <f t="shared" ref="E122:N122" si="99">E178</f>
        <v>0</v>
      </c>
      <c r="F122" s="67">
        <f t="shared" si="99"/>
        <v>0</v>
      </c>
      <c r="G122" s="67">
        <f t="shared" si="99"/>
        <v>0</v>
      </c>
      <c r="H122" s="67">
        <f t="shared" si="99"/>
        <v>0</v>
      </c>
      <c r="I122" s="67">
        <f t="shared" si="99"/>
        <v>14347035</v>
      </c>
      <c r="J122" s="67">
        <f t="shared" si="99"/>
        <v>0</v>
      </c>
      <c r="K122" s="67">
        <f t="shared" si="99"/>
        <v>0</v>
      </c>
      <c r="L122" s="67">
        <f t="shared" si="99"/>
        <v>0</v>
      </c>
      <c r="M122" s="67">
        <f t="shared" si="99"/>
        <v>0</v>
      </c>
      <c r="N122" s="67">
        <f t="shared" si="99"/>
        <v>0</v>
      </c>
      <c r="O122" s="67">
        <v>0</v>
      </c>
      <c r="P122" s="326">
        <f t="shared" si="85"/>
        <v>-18202965</v>
      </c>
      <c r="R122" s="2"/>
    </row>
    <row r="123" spans="2:18" x14ac:dyDescent="0.15">
      <c r="B123" s="340" t="s">
        <v>701</v>
      </c>
      <c r="C123" s="12" t="s">
        <v>207</v>
      </c>
      <c r="D123" s="67">
        <f t="shared" si="98"/>
        <v>-31050000</v>
      </c>
      <c r="E123" s="67">
        <f t="shared" ref="E123:N123" si="100">E179</f>
        <v>0</v>
      </c>
      <c r="F123" s="67">
        <f t="shared" si="100"/>
        <v>0</v>
      </c>
      <c r="G123" s="67">
        <f t="shared" si="100"/>
        <v>0</v>
      </c>
      <c r="H123" s="67">
        <f t="shared" si="100"/>
        <v>0</v>
      </c>
      <c r="I123" s="67">
        <f t="shared" si="100"/>
        <v>12847035</v>
      </c>
      <c r="J123" s="67">
        <f t="shared" si="100"/>
        <v>0</v>
      </c>
      <c r="K123" s="67">
        <f t="shared" si="100"/>
        <v>0</v>
      </c>
      <c r="L123" s="67">
        <f t="shared" si="100"/>
        <v>0</v>
      </c>
      <c r="M123" s="67">
        <f t="shared" si="100"/>
        <v>0</v>
      </c>
      <c r="N123" s="67">
        <f t="shared" si="100"/>
        <v>0</v>
      </c>
      <c r="O123" s="67">
        <v>0</v>
      </c>
      <c r="P123" s="326">
        <f t="shared" si="85"/>
        <v>-18202965</v>
      </c>
      <c r="R123" s="2"/>
    </row>
    <row r="124" spans="2:18" x14ac:dyDescent="0.15">
      <c r="B124" s="340" t="s">
        <v>702</v>
      </c>
      <c r="C124" s="12" t="s">
        <v>307</v>
      </c>
      <c r="D124" s="67">
        <f t="shared" si="98"/>
        <v>-1500000</v>
      </c>
      <c r="E124" s="67">
        <f t="shared" ref="E124:N124" si="101">E180</f>
        <v>0</v>
      </c>
      <c r="F124" s="67">
        <f t="shared" si="101"/>
        <v>0</v>
      </c>
      <c r="G124" s="67">
        <f t="shared" si="101"/>
        <v>0</v>
      </c>
      <c r="H124" s="67">
        <f t="shared" si="101"/>
        <v>0</v>
      </c>
      <c r="I124" s="67">
        <f t="shared" si="101"/>
        <v>1500000</v>
      </c>
      <c r="J124" s="67">
        <f t="shared" si="101"/>
        <v>0</v>
      </c>
      <c r="K124" s="67">
        <f t="shared" si="101"/>
        <v>0</v>
      </c>
      <c r="L124" s="67">
        <f t="shared" si="101"/>
        <v>0</v>
      </c>
      <c r="M124" s="67">
        <f t="shared" si="101"/>
        <v>0</v>
      </c>
      <c r="N124" s="67">
        <f t="shared" si="101"/>
        <v>0</v>
      </c>
      <c r="O124" s="67">
        <v>0</v>
      </c>
      <c r="P124" s="326">
        <f t="shared" si="85"/>
        <v>0</v>
      </c>
      <c r="R124" s="2"/>
    </row>
    <row r="125" spans="2:18" x14ac:dyDescent="0.15">
      <c r="B125" s="340" t="s">
        <v>703</v>
      </c>
      <c r="C125" s="12" t="s">
        <v>309</v>
      </c>
      <c r="D125" s="67">
        <f t="shared" si="98"/>
        <v>0</v>
      </c>
      <c r="E125" s="67">
        <f t="shared" ref="E125:N125" si="102">E181</f>
        <v>0</v>
      </c>
      <c r="F125" s="67">
        <f t="shared" si="102"/>
        <v>0</v>
      </c>
      <c r="G125" s="67">
        <f t="shared" si="102"/>
        <v>0</v>
      </c>
      <c r="H125" s="67">
        <f t="shared" si="102"/>
        <v>0</v>
      </c>
      <c r="I125" s="67">
        <f t="shared" si="102"/>
        <v>0</v>
      </c>
      <c r="J125" s="67">
        <f t="shared" si="102"/>
        <v>0</v>
      </c>
      <c r="K125" s="67">
        <f t="shared" si="102"/>
        <v>0</v>
      </c>
      <c r="L125" s="67">
        <f t="shared" si="102"/>
        <v>0</v>
      </c>
      <c r="M125" s="67">
        <f t="shared" si="102"/>
        <v>0</v>
      </c>
      <c r="N125" s="67">
        <f t="shared" si="102"/>
        <v>0</v>
      </c>
      <c r="O125" s="67">
        <v>0</v>
      </c>
      <c r="P125" s="326">
        <f t="shared" si="85"/>
        <v>0</v>
      </c>
      <c r="R125" s="2"/>
    </row>
    <row r="126" spans="2:18" x14ac:dyDescent="0.15">
      <c r="B126" s="340" t="s">
        <v>704</v>
      </c>
      <c r="C126" s="12" t="s">
        <v>311</v>
      </c>
      <c r="D126" s="67">
        <f t="shared" si="98"/>
        <v>0</v>
      </c>
      <c r="E126" s="67">
        <f t="shared" ref="E126:N126" si="103">E182</f>
        <v>0</v>
      </c>
      <c r="F126" s="67">
        <f t="shared" si="103"/>
        <v>0</v>
      </c>
      <c r="G126" s="67">
        <f t="shared" si="103"/>
        <v>0</v>
      </c>
      <c r="H126" s="67">
        <f t="shared" si="103"/>
        <v>0</v>
      </c>
      <c r="I126" s="67">
        <f t="shared" si="103"/>
        <v>-2596968.7000000002</v>
      </c>
      <c r="J126" s="67">
        <f t="shared" si="103"/>
        <v>0</v>
      </c>
      <c r="K126" s="67">
        <f t="shared" si="103"/>
        <v>0</v>
      </c>
      <c r="L126" s="67">
        <f t="shared" si="103"/>
        <v>0</v>
      </c>
      <c r="M126" s="67">
        <f t="shared" si="103"/>
        <v>0</v>
      </c>
      <c r="N126" s="67">
        <f t="shared" si="103"/>
        <v>0</v>
      </c>
      <c r="O126" s="67">
        <v>0</v>
      </c>
      <c r="P126" s="326">
        <f t="shared" si="85"/>
        <v>-2596968.7000000002</v>
      </c>
      <c r="R126" s="2"/>
    </row>
    <row r="127" spans="2:18" ht="14" thickBot="1" x14ac:dyDescent="0.2">
      <c r="B127" s="340" t="s">
        <v>705</v>
      </c>
      <c r="C127" s="12" t="s">
        <v>115</v>
      </c>
      <c r="D127" s="67">
        <f t="shared" si="98"/>
        <v>-60000000</v>
      </c>
      <c r="E127" s="67">
        <f t="shared" ref="E127:N127" si="104">E183</f>
        <v>0</v>
      </c>
      <c r="F127" s="67">
        <f t="shared" si="104"/>
        <v>0</v>
      </c>
      <c r="G127" s="67">
        <f t="shared" si="104"/>
        <v>0</v>
      </c>
      <c r="H127" s="67">
        <f t="shared" si="104"/>
        <v>0</v>
      </c>
      <c r="I127" s="67">
        <f t="shared" si="104"/>
        <v>60000000</v>
      </c>
      <c r="J127" s="67">
        <f t="shared" si="104"/>
        <v>0</v>
      </c>
      <c r="K127" s="67">
        <f t="shared" si="104"/>
        <v>0</v>
      </c>
      <c r="L127" s="67">
        <f t="shared" si="104"/>
        <v>0</v>
      </c>
      <c r="M127" s="67">
        <f t="shared" si="104"/>
        <v>0</v>
      </c>
      <c r="N127" s="67">
        <f t="shared" si="104"/>
        <v>0</v>
      </c>
      <c r="O127" s="67">
        <v>0</v>
      </c>
      <c r="P127" s="326">
        <f t="shared" si="85"/>
        <v>0</v>
      </c>
      <c r="R127" s="2"/>
    </row>
    <row r="128" spans="2:18" x14ac:dyDescent="0.15">
      <c r="B128" s="340">
        <v>17</v>
      </c>
      <c r="C128" s="12" t="s">
        <v>313</v>
      </c>
      <c r="D128" s="67">
        <f t="shared" si="98"/>
        <v>-92550000</v>
      </c>
      <c r="E128" s="67">
        <f t="shared" ref="E128:N128" si="105">E184</f>
        <v>0</v>
      </c>
      <c r="F128" s="67">
        <f t="shared" si="105"/>
        <v>0</v>
      </c>
      <c r="G128" s="67">
        <f t="shared" si="105"/>
        <v>0</v>
      </c>
      <c r="H128" s="67">
        <f t="shared" si="105"/>
        <v>0</v>
      </c>
      <c r="I128" s="67">
        <f t="shared" si="105"/>
        <v>71750066.299999997</v>
      </c>
      <c r="J128" s="67">
        <f t="shared" si="105"/>
        <v>0</v>
      </c>
      <c r="K128" s="67">
        <f t="shared" si="105"/>
        <v>0</v>
      </c>
      <c r="L128" s="67">
        <f t="shared" si="105"/>
        <v>0</v>
      </c>
      <c r="M128" s="67">
        <f t="shared" si="105"/>
        <v>0</v>
      </c>
      <c r="N128" s="67">
        <f t="shared" si="105"/>
        <v>0</v>
      </c>
      <c r="O128" s="67">
        <v>0</v>
      </c>
      <c r="P128" s="326">
        <f t="shared" si="85"/>
        <v>-20799933.700000003</v>
      </c>
      <c r="Q128" s="357" t="s">
        <v>693</v>
      </c>
      <c r="R128" s="2"/>
    </row>
    <row r="129" spans="1:18" ht="14" thickBot="1" x14ac:dyDescent="0.2">
      <c r="A129" s="1" t="s">
        <v>707</v>
      </c>
      <c r="B129" s="355">
        <v>18</v>
      </c>
      <c r="C129" s="335" t="s">
        <v>314</v>
      </c>
      <c r="D129" s="331">
        <f>D128+D120</f>
        <v>-92550000</v>
      </c>
      <c r="E129" s="331">
        <f t="shared" ref="E129:N129" si="106">E128+E120</f>
        <v>50012750</v>
      </c>
      <c r="F129" s="331">
        <f t="shared" si="106"/>
        <v>44202792.500000022</v>
      </c>
      <c r="G129" s="331">
        <f t="shared" si="106"/>
        <v>35442192.08412499</v>
      </c>
      <c r="H129" s="331">
        <f t="shared" si="106"/>
        <v>25111356.707490433</v>
      </c>
      <c r="I129" s="331">
        <f t="shared" si="106"/>
        <v>84401062.478848949</v>
      </c>
      <c r="J129" s="331">
        <f t="shared" si="106"/>
        <v>0</v>
      </c>
      <c r="K129" s="331">
        <f t="shared" si="106"/>
        <v>0</v>
      </c>
      <c r="L129" s="331">
        <f t="shared" si="106"/>
        <v>0</v>
      </c>
      <c r="M129" s="331">
        <f t="shared" si="106"/>
        <v>0</v>
      </c>
      <c r="N129" s="331">
        <f t="shared" si="106"/>
        <v>0</v>
      </c>
      <c r="O129" s="331">
        <v>0</v>
      </c>
      <c r="P129" s="356">
        <f t="shared" si="85"/>
        <v>146620153.77046439</v>
      </c>
      <c r="Q129" s="358">
        <f>IF(ISNUMBER(IRR(D129:N129)),IRR(D129:N129),"NMF")</f>
        <v>0.40549033935008683</v>
      </c>
      <c r="R129" s="1" t="s">
        <v>707</v>
      </c>
    </row>
    <row r="130" spans="1:18" x14ac:dyDescent="0.15">
      <c r="R130" s="2"/>
    </row>
    <row r="131" spans="1:18" ht="14" thickBot="1" x14ac:dyDescent="0.2">
      <c r="R131" s="2"/>
    </row>
    <row r="132" spans="1:18" ht="14" thickBot="1" x14ac:dyDescent="0.2">
      <c r="B132" s="359" t="s">
        <v>282</v>
      </c>
      <c r="C132" s="360" t="s">
        <v>283</v>
      </c>
      <c r="D132" s="360"/>
      <c r="E132" s="360">
        <v>1</v>
      </c>
      <c r="F132" s="360">
        <v>2</v>
      </c>
      <c r="G132" s="360">
        <v>3</v>
      </c>
      <c r="H132" s="360">
        <v>4</v>
      </c>
      <c r="I132" s="360">
        <v>5</v>
      </c>
      <c r="J132" s="360">
        <v>6</v>
      </c>
      <c r="K132" s="360">
        <v>7</v>
      </c>
      <c r="L132" s="360">
        <v>8</v>
      </c>
      <c r="M132" s="360">
        <v>9</v>
      </c>
      <c r="N132" s="360">
        <v>10</v>
      </c>
      <c r="O132" s="360" t="s">
        <v>284</v>
      </c>
      <c r="P132" s="361" t="s">
        <v>285</v>
      </c>
      <c r="R132" s="2"/>
    </row>
    <row r="133" spans="1:18" x14ac:dyDescent="0.15">
      <c r="B133" s="339" t="s">
        <v>687</v>
      </c>
      <c r="C133" s="302" t="s">
        <v>287</v>
      </c>
      <c r="D133" s="322">
        <f t="shared" ref="D133:D148" si="107">D161</f>
        <v>0</v>
      </c>
      <c r="E133" s="322">
        <f t="shared" ref="E133:N133" si="108">E161</f>
        <v>300000000</v>
      </c>
      <c r="F133" s="322">
        <f t="shared" si="108"/>
        <v>313500000.00000006</v>
      </c>
      <c r="G133" s="322">
        <f t="shared" si="108"/>
        <v>327607500.00000006</v>
      </c>
      <c r="H133" s="322">
        <f t="shared" si="108"/>
        <v>342349837.50000012</v>
      </c>
      <c r="I133" s="322">
        <f t="shared" si="108"/>
        <v>357755580.18750012</v>
      </c>
      <c r="J133" s="322">
        <f t="shared" si="108"/>
        <v>0</v>
      </c>
      <c r="K133" s="322">
        <f t="shared" si="108"/>
        <v>0</v>
      </c>
      <c r="L133" s="322">
        <f t="shared" si="108"/>
        <v>0</v>
      </c>
      <c r="M133" s="322">
        <f t="shared" si="108"/>
        <v>0</v>
      </c>
      <c r="N133" s="322">
        <f t="shared" si="108"/>
        <v>0</v>
      </c>
      <c r="O133" s="322">
        <v>0</v>
      </c>
      <c r="P133" s="325">
        <f>SUM(D133:N133)</f>
        <v>1641212917.6875</v>
      </c>
      <c r="R133" s="2"/>
    </row>
    <row r="134" spans="1:18" x14ac:dyDescent="0.15">
      <c r="A134" s="1" t="s">
        <v>708</v>
      </c>
      <c r="B134" s="340" t="s">
        <v>689</v>
      </c>
      <c r="C134" s="354" t="s">
        <v>689</v>
      </c>
      <c r="D134" s="67">
        <f t="shared" si="107"/>
        <v>0</v>
      </c>
      <c r="E134" s="67">
        <f>E162</f>
        <v>300000000</v>
      </c>
      <c r="F134" s="67">
        <f t="shared" ref="F134:N134" si="109">F162</f>
        <v>313500000.00000006</v>
      </c>
      <c r="G134" s="67">
        <f t="shared" si="109"/>
        <v>327607500.00000006</v>
      </c>
      <c r="H134" s="67">
        <f t="shared" si="109"/>
        <v>342349837.50000012</v>
      </c>
      <c r="I134" s="67">
        <f t="shared" si="109"/>
        <v>357755580.18750012</v>
      </c>
      <c r="J134" s="67">
        <f t="shared" si="109"/>
        <v>0</v>
      </c>
      <c r="K134" s="67">
        <f t="shared" si="109"/>
        <v>0</v>
      </c>
      <c r="L134" s="67">
        <f t="shared" si="109"/>
        <v>0</v>
      </c>
      <c r="M134" s="67">
        <f t="shared" si="109"/>
        <v>0</v>
      </c>
      <c r="N134" s="67">
        <f t="shared" si="109"/>
        <v>0</v>
      </c>
      <c r="O134" s="67"/>
      <c r="P134" s="326">
        <f>SUM(D134:N134)</f>
        <v>1641212917.6875</v>
      </c>
      <c r="R134" s="2"/>
    </row>
    <row r="135" spans="1:18" x14ac:dyDescent="0.15">
      <c r="B135" s="340" t="s">
        <v>690</v>
      </c>
      <c r="C135" s="354" t="s">
        <v>690</v>
      </c>
      <c r="D135" s="67">
        <f t="shared" si="107"/>
        <v>0</v>
      </c>
      <c r="E135" s="67">
        <f>E163</f>
        <v>0</v>
      </c>
      <c r="F135" s="67">
        <f t="shared" ref="F135:N135" si="110">F163</f>
        <v>0</v>
      </c>
      <c r="G135" s="67">
        <f t="shared" si="110"/>
        <v>0</v>
      </c>
      <c r="H135" s="67">
        <f t="shared" si="110"/>
        <v>0</v>
      </c>
      <c r="I135" s="67">
        <f t="shared" si="110"/>
        <v>0</v>
      </c>
      <c r="J135" s="67">
        <f t="shared" si="110"/>
        <v>0</v>
      </c>
      <c r="K135" s="67">
        <f t="shared" si="110"/>
        <v>0</v>
      </c>
      <c r="L135" s="67">
        <f t="shared" si="110"/>
        <v>0</v>
      </c>
      <c r="M135" s="67">
        <f t="shared" si="110"/>
        <v>0</v>
      </c>
      <c r="N135" s="67">
        <f t="shared" si="110"/>
        <v>0</v>
      </c>
      <c r="O135" s="294"/>
      <c r="P135" s="326">
        <f t="shared" ref="P135:P157" si="111">SUM(D135:N135)</f>
        <v>0</v>
      </c>
      <c r="R135" s="2"/>
    </row>
    <row r="136" spans="1:18" x14ac:dyDescent="0.15">
      <c r="B136" s="355" t="s">
        <v>691</v>
      </c>
      <c r="C136" s="362" t="s">
        <v>691</v>
      </c>
      <c r="D136" s="331">
        <f t="shared" si="107"/>
        <v>0</v>
      </c>
      <c r="E136" s="331">
        <f>Revenues!D21*Revenues!D22*0.95</f>
        <v>0</v>
      </c>
      <c r="F136" s="331">
        <f>Revenues!E21*Revenues!E22*0.95</f>
        <v>0</v>
      </c>
      <c r="G136" s="331">
        <f>Revenues!F21*Revenues!F22*0.95</f>
        <v>0</v>
      </c>
      <c r="H136" s="331">
        <f>Revenues!G21*Revenues!G22*0.95</f>
        <v>0</v>
      </c>
      <c r="I136" s="331">
        <f>Revenues!H21*Revenues!H22*0.95</f>
        <v>0</v>
      </c>
      <c r="J136" s="331">
        <f>Revenues!I21*Revenues!I22*0.95</f>
        <v>0</v>
      </c>
      <c r="K136" s="331">
        <f>Revenues!J21*Revenues!J22*0.95</f>
        <v>0</v>
      </c>
      <c r="L136" s="331">
        <f>Revenues!K21*Revenues!K22*0.95</f>
        <v>0</v>
      </c>
      <c r="M136" s="331">
        <f>Revenues!L21*Revenues!L22*0.95</f>
        <v>0</v>
      </c>
      <c r="N136" s="331">
        <f>Revenues!M21*Revenues!M22*0.95</f>
        <v>0</v>
      </c>
      <c r="O136" s="331"/>
      <c r="P136" s="356">
        <f t="shared" si="111"/>
        <v>0</v>
      </c>
      <c r="R136" s="2"/>
    </row>
    <row r="137" spans="1:18" x14ac:dyDescent="0.15">
      <c r="B137" s="340" t="s">
        <v>695</v>
      </c>
      <c r="C137" s="12"/>
      <c r="D137" s="67">
        <f t="shared" si="107"/>
        <v>0</v>
      </c>
      <c r="E137" s="67">
        <f>E136+E135+E134</f>
        <v>300000000</v>
      </c>
      <c r="F137" s="67">
        <f t="shared" ref="F137:N137" si="112">F136+F135+F134</f>
        <v>313500000.00000006</v>
      </c>
      <c r="G137" s="67">
        <f t="shared" si="112"/>
        <v>327607500.00000006</v>
      </c>
      <c r="H137" s="67">
        <f t="shared" si="112"/>
        <v>342349837.50000012</v>
      </c>
      <c r="I137" s="67">
        <f t="shared" si="112"/>
        <v>357755580.18750012</v>
      </c>
      <c r="J137" s="67">
        <f t="shared" si="112"/>
        <v>0</v>
      </c>
      <c r="K137" s="67">
        <f t="shared" si="112"/>
        <v>0</v>
      </c>
      <c r="L137" s="67">
        <f t="shared" si="112"/>
        <v>0</v>
      </c>
      <c r="M137" s="67">
        <f t="shared" si="112"/>
        <v>0</v>
      </c>
      <c r="N137" s="67">
        <f t="shared" si="112"/>
        <v>0</v>
      </c>
      <c r="O137" s="67"/>
      <c r="P137" s="326">
        <f t="shared" si="111"/>
        <v>1641212917.6875</v>
      </c>
      <c r="R137" s="2"/>
    </row>
    <row r="138" spans="1:18" x14ac:dyDescent="0.15">
      <c r="B138" s="340" t="s">
        <v>696</v>
      </c>
      <c r="C138" s="12" t="s">
        <v>289</v>
      </c>
      <c r="D138" s="67">
        <f t="shared" si="107"/>
        <v>0</v>
      </c>
      <c r="E138" s="67">
        <f>Expenses!D18+Expenses!D25+(Expenses!D32*0.95)+Expenses!D39+Expenses!D44+(Expenses!D49*0.95)+Expenses!D56+Expenses!D95-Expenses!D77</f>
        <v>230170000</v>
      </c>
      <c r="F138" s="67">
        <f>Expenses!E18+Expenses!E25+(Expenses!E32*0.95)+Expenses!E39+Expenses!E44+(Expenses!E49*0.95)+Expenses!E56+Expenses!E95-Expenses!E77</f>
        <v>253018375.00000003</v>
      </c>
      <c r="G138" s="67">
        <f>Expenses!F18+Expenses!F25+(Expenses!F32*0.95)+Expenses!F39+Expenses!F44+(Expenses!F49*0.95)+Expenses!F56+Expenses!F95-Expenses!F77</f>
        <v>278725718.45125008</v>
      </c>
      <c r="H138" s="67">
        <f>Expenses!G18+Expenses!G25+(Expenses!G32*0.95)+Expenses!G39+Expenses!G44+(Expenses!G49*0.95)+Expenses!G56+Expenses!G95-Expenses!G77</f>
        <v>307665975.06072807</v>
      </c>
      <c r="I138" s="67">
        <f>Expenses!H18+Expenses!H25+(Expenses!H32*0.95)+Expenses!H39+Expenses!H44+(Expenses!H49*0.95)+Expenses!H56+Expenses!H95-Expenses!H77</f>
        <v>340262566.36057305</v>
      </c>
      <c r="J138" s="67">
        <f>Expenses!I18+Expenses!I25+(Expenses!I32*0.95)+Expenses!I39+Expenses!I44+(Expenses!I49*0.95)+Expenses!I56+Expenses!I95-Expenses!I77</f>
        <v>0</v>
      </c>
      <c r="K138" s="67">
        <f>Expenses!J18+Expenses!J25+(Expenses!J32*0.95)+Expenses!J39+Expenses!J44+(Expenses!J49*0.95)+Expenses!J56+Expenses!J95-Expenses!J77</f>
        <v>0</v>
      </c>
      <c r="L138" s="67">
        <f>Expenses!K18+Expenses!K25+(Expenses!K32*0.95)+Expenses!K39+Expenses!K44+(Expenses!K49*0.95)+Expenses!K56+Expenses!K95-Expenses!K77</f>
        <v>0</v>
      </c>
      <c r="M138" s="67">
        <f>Expenses!L18+Expenses!L25+(Expenses!L32*0.95)+Expenses!L39+Expenses!L44+(Expenses!L49*0.95)+Expenses!L56+Expenses!L95-Expenses!L77</f>
        <v>0</v>
      </c>
      <c r="N138" s="67">
        <f>Expenses!M18+Expenses!M25+(Expenses!M32*0.95)+Expenses!M39+Expenses!M44+(Expenses!M49*0.95)+Expenses!M56+Expenses!M95-Expenses!M77</f>
        <v>0</v>
      </c>
      <c r="O138" s="67">
        <v>0</v>
      </c>
      <c r="P138" s="326">
        <f t="shared" si="111"/>
        <v>1409842634.8725512</v>
      </c>
      <c r="R138" s="2"/>
    </row>
    <row r="139" spans="1:18" x14ac:dyDescent="0.15">
      <c r="B139" s="340">
        <v>3</v>
      </c>
      <c r="C139" s="12" t="s">
        <v>290</v>
      </c>
      <c r="D139" s="67">
        <f t="shared" si="107"/>
        <v>0</v>
      </c>
      <c r="E139" s="67">
        <f>E137-E138</f>
        <v>69830000</v>
      </c>
      <c r="F139" s="67">
        <f t="shared" ref="F139:N139" si="113">F137-F138</f>
        <v>60481625.00000003</v>
      </c>
      <c r="G139" s="67">
        <f t="shared" si="113"/>
        <v>48881781.548749983</v>
      </c>
      <c r="H139" s="67">
        <f t="shared" si="113"/>
        <v>34683862.439272046</v>
      </c>
      <c r="I139" s="67">
        <f t="shared" si="113"/>
        <v>17493013.826927066</v>
      </c>
      <c r="J139" s="67">
        <f t="shared" si="113"/>
        <v>0</v>
      </c>
      <c r="K139" s="67">
        <f t="shared" si="113"/>
        <v>0</v>
      </c>
      <c r="L139" s="67">
        <f t="shared" si="113"/>
        <v>0</v>
      </c>
      <c r="M139" s="67">
        <f t="shared" si="113"/>
        <v>0</v>
      </c>
      <c r="N139" s="67">
        <f t="shared" si="113"/>
        <v>0</v>
      </c>
      <c r="O139" s="67">
        <v>0</v>
      </c>
      <c r="P139" s="326">
        <f t="shared" si="111"/>
        <v>231370282.81494913</v>
      </c>
      <c r="R139" s="2"/>
    </row>
    <row r="140" spans="1:18" x14ac:dyDescent="0.15">
      <c r="B140" s="340" t="s">
        <v>697</v>
      </c>
      <c r="C140" s="12" t="s">
        <v>292</v>
      </c>
      <c r="D140" s="67">
        <f t="shared" si="107"/>
        <v>0</v>
      </c>
      <c r="E140" s="67">
        <f>E168</f>
        <v>3772500</v>
      </c>
      <c r="F140" s="67">
        <f t="shared" ref="F140:N140" si="114">F168</f>
        <v>6218850</v>
      </c>
      <c r="G140" s="67">
        <f t="shared" si="114"/>
        <v>4083150</v>
      </c>
      <c r="H140" s="67">
        <f t="shared" si="114"/>
        <v>2775510</v>
      </c>
      <c r="I140" s="67">
        <f t="shared" si="114"/>
        <v>1352955</v>
      </c>
      <c r="J140" s="67">
        <f t="shared" si="114"/>
        <v>0</v>
      </c>
      <c r="K140" s="67">
        <f t="shared" si="114"/>
        <v>0</v>
      </c>
      <c r="L140" s="67">
        <f t="shared" si="114"/>
        <v>0</v>
      </c>
      <c r="M140" s="67">
        <f t="shared" si="114"/>
        <v>0</v>
      </c>
      <c r="N140" s="67">
        <f t="shared" si="114"/>
        <v>0</v>
      </c>
      <c r="O140" s="67">
        <v>0</v>
      </c>
      <c r="P140" s="326">
        <f t="shared" si="111"/>
        <v>18202965</v>
      </c>
      <c r="R140" s="2"/>
    </row>
    <row r="141" spans="1:18" x14ac:dyDescent="0.15">
      <c r="B141" s="340">
        <v>5</v>
      </c>
      <c r="C141" s="12" t="s">
        <v>293</v>
      </c>
      <c r="D141" s="67">
        <f t="shared" si="107"/>
        <v>0</v>
      </c>
      <c r="E141" s="67">
        <f>E139-E140</f>
        <v>66057500</v>
      </c>
      <c r="F141" s="67">
        <f t="shared" ref="F141:N141" si="115">F139-F140</f>
        <v>54262775.00000003</v>
      </c>
      <c r="G141" s="67">
        <f t="shared" si="115"/>
        <v>44798631.548749983</v>
      </c>
      <c r="H141" s="67">
        <f t="shared" si="115"/>
        <v>31908352.439272046</v>
      </c>
      <c r="I141" s="67">
        <f t="shared" si="115"/>
        <v>16140058.826927066</v>
      </c>
      <c r="J141" s="67">
        <f t="shared" si="115"/>
        <v>0</v>
      </c>
      <c r="K141" s="67">
        <f t="shared" si="115"/>
        <v>0</v>
      </c>
      <c r="L141" s="67">
        <f t="shared" si="115"/>
        <v>0</v>
      </c>
      <c r="M141" s="67">
        <f t="shared" si="115"/>
        <v>0</v>
      </c>
      <c r="N141" s="67">
        <f t="shared" si="115"/>
        <v>0</v>
      </c>
      <c r="O141" s="67">
        <v>0</v>
      </c>
      <c r="P141" s="326">
        <f t="shared" si="111"/>
        <v>213167317.81494913</v>
      </c>
      <c r="R141" s="2"/>
    </row>
    <row r="142" spans="1:18" x14ac:dyDescent="0.15">
      <c r="B142" s="340" t="s">
        <v>698</v>
      </c>
      <c r="C142" s="12" t="s">
        <v>295</v>
      </c>
      <c r="D142" s="67">
        <f t="shared" si="107"/>
        <v>0</v>
      </c>
      <c r="E142" s="67">
        <f>E170</f>
        <v>0</v>
      </c>
      <c r="F142" s="67">
        <f t="shared" ref="F142:N142" si="116">F170</f>
        <v>0</v>
      </c>
      <c r="G142" s="67">
        <f t="shared" si="116"/>
        <v>0</v>
      </c>
      <c r="H142" s="67">
        <f t="shared" si="116"/>
        <v>0</v>
      </c>
      <c r="I142" s="67">
        <f t="shared" si="116"/>
        <v>0</v>
      </c>
      <c r="J142" s="67">
        <f t="shared" si="116"/>
        <v>0</v>
      </c>
      <c r="K142" s="67">
        <f t="shared" si="116"/>
        <v>0</v>
      </c>
      <c r="L142" s="67">
        <f t="shared" si="116"/>
        <v>0</v>
      </c>
      <c r="M142" s="67">
        <f t="shared" si="116"/>
        <v>0</v>
      </c>
      <c r="N142" s="67">
        <f t="shared" si="116"/>
        <v>0</v>
      </c>
      <c r="O142" s="67">
        <v>0</v>
      </c>
      <c r="P142" s="326">
        <f t="shared" si="111"/>
        <v>0</v>
      </c>
      <c r="R142" s="2"/>
    </row>
    <row r="143" spans="1:18" x14ac:dyDescent="0.15">
      <c r="B143" s="340">
        <v>7</v>
      </c>
      <c r="C143" s="12" t="s">
        <v>296</v>
      </c>
      <c r="D143" s="67">
        <f t="shared" si="107"/>
        <v>0</v>
      </c>
      <c r="E143" s="67">
        <f>E141-E142</f>
        <v>66057500</v>
      </c>
      <c r="F143" s="67">
        <f t="shared" ref="F143:N143" si="117">F141-F142</f>
        <v>54262775.00000003</v>
      </c>
      <c r="G143" s="67">
        <f t="shared" si="117"/>
        <v>44798631.548749983</v>
      </c>
      <c r="H143" s="67">
        <f t="shared" si="117"/>
        <v>31908352.439272046</v>
      </c>
      <c r="I143" s="67">
        <f t="shared" si="117"/>
        <v>16140058.826927066</v>
      </c>
      <c r="J143" s="67">
        <f t="shared" si="117"/>
        <v>0</v>
      </c>
      <c r="K143" s="67">
        <f t="shared" si="117"/>
        <v>0</v>
      </c>
      <c r="L143" s="67">
        <f t="shared" si="117"/>
        <v>0</v>
      </c>
      <c r="M143" s="67">
        <f t="shared" si="117"/>
        <v>0</v>
      </c>
      <c r="N143" s="67">
        <f t="shared" si="117"/>
        <v>0</v>
      </c>
      <c r="O143" s="67">
        <v>0</v>
      </c>
      <c r="P143" s="326">
        <f t="shared" si="111"/>
        <v>213167317.81494913</v>
      </c>
      <c r="R143" s="2"/>
    </row>
    <row r="144" spans="1:18" x14ac:dyDescent="0.15">
      <c r="B144" s="340">
        <v>8</v>
      </c>
      <c r="C144" s="12" t="s">
        <v>297</v>
      </c>
      <c r="D144" s="67">
        <f t="shared" si="107"/>
        <v>0</v>
      </c>
      <c r="E144" s="67">
        <f>-E143*$D$3</f>
        <v>-19817250</v>
      </c>
      <c r="F144" s="67">
        <f t="shared" ref="F144:N144" si="118">-F143*$D$3</f>
        <v>-16278832.500000007</v>
      </c>
      <c r="G144" s="67">
        <f t="shared" si="118"/>
        <v>-13439589.464624995</v>
      </c>
      <c r="H144" s="67">
        <f t="shared" si="118"/>
        <v>-9572505.7317816131</v>
      </c>
      <c r="I144" s="67">
        <f t="shared" si="118"/>
        <v>-4842017.6480781194</v>
      </c>
      <c r="J144" s="67">
        <f t="shared" si="118"/>
        <v>0</v>
      </c>
      <c r="K144" s="67">
        <f t="shared" si="118"/>
        <v>0</v>
      </c>
      <c r="L144" s="67">
        <f t="shared" si="118"/>
        <v>0</v>
      </c>
      <c r="M144" s="67">
        <f t="shared" si="118"/>
        <v>0</v>
      </c>
      <c r="N144" s="67">
        <f t="shared" si="118"/>
        <v>0</v>
      </c>
      <c r="O144" s="67">
        <v>0</v>
      </c>
      <c r="P144" s="326">
        <f t="shared" si="111"/>
        <v>-63950195.344484739</v>
      </c>
      <c r="R144" s="2"/>
    </row>
    <row r="145" spans="1:18" x14ac:dyDescent="0.15">
      <c r="B145" s="340">
        <v>9</v>
      </c>
      <c r="C145" s="12" t="s">
        <v>298</v>
      </c>
      <c r="D145" s="67">
        <f t="shared" si="107"/>
        <v>0</v>
      </c>
      <c r="E145" s="67">
        <f>E173</f>
        <v>0</v>
      </c>
      <c r="F145" s="67">
        <f t="shared" ref="F145:N145" si="119">F173</f>
        <v>0</v>
      </c>
      <c r="G145" s="67">
        <f t="shared" si="119"/>
        <v>0</v>
      </c>
      <c r="H145" s="67">
        <f t="shared" si="119"/>
        <v>0</v>
      </c>
      <c r="I145" s="67">
        <f t="shared" si="119"/>
        <v>0</v>
      </c>
      <c r="J145" s="67">
        <f t="shared" si="119"/>
        <v>0</v>
      </c>
      <c r="K145" s="67">
        <f t="shared" si="119"/>
        <v>0</v>
      </c>
      <c r="L145" s="67">
        <f t="shared" si="119"/>
        <v>0</v>
      </c>
      <c r="M145" s="67">
        <f t="shared" si="119"/>
        <v>0</v>
      </c>
      <c r="N145" s="67">
        <f t="shared" si="119"/>
        <v>0</v>
      </c>
      <c r="O145" s="67">
        <v>0</v>
      </c>
      <c r="P145" s="326">
        <f t="shared" si="111"/>
        <v>0</v>
      </c>
      <c r="R145" s="2"/>
    </row>
    <row r="146" spans="1:18" x14ac:dyDescent="0.15">
      <c r="B146" s="340">
        <v>10</v>
      </c>
      <c r="C146" s="12" t="s">
        <v>299</v>
      </c>
      <c r="D146" s="67">
        <f t="shared" si="107"/>
        <v>0</v>
      </c>
      <c r="E146" s="67">
        <f>E143+E144+E145</f>
        <v>46240250</v>
      </c>
      <c r="F146" s="67">
        <f t="shared" ref="F146:N146" si="120">F143+F144+F145</f>
        <v>37983942.500000022</v>
      </c>
      <c r="G146" s="67">
        <f t="shared" si="120"/>
        <v>31359042.08412499</v>
      </c>
      <c r="H146" s="67">
        <f t="shared" si="120"/>
        <v>22335846.707490433</v>
      </c>
      <c r="I146" s="67">
        <f t="shared" si="120"/>
        <v>11298041.178848946</v>
      </c>
      <c r="J146" s="67">
        <f t="shared" si="120"/>
        <v>0</v>
      </c>
      <c r="K146" s="67">
        <f t="shared" si="120"/>
        <v>0</v>
      </c>
      <c r="L146" s="67">
        <f t="shared" si="120"/>
        <v>0</v>
      </c>
      <c r="M146" s="67">
        <f t="shared" si="120"/>
        <v>0</v>
      </c>
      <c r="N146" s="67">
        <f t="shared" si="120"/>
        <v>0</v>
      </c>
      <c r="O146" s="67">
        <v>0</v>
      </c>
      <c r="P146" s="326">
        <f t="shared" si="111"/>
        <v>149217122.47046441</v>
      </c>
      <c r="R146" s="2"/>
    </row>
    <row r="147" spans="1:18" x14ac:dyDescent="0.15">
      <c r="B147" s="340" t="s">
        <v>699</v>
      </c>
      <c r="C147" s="12" t="s">
        <v>292</v>
      </c>
      <c r="D147" s="67">
        <f t="shared" si="107"/>
        <v>0</v>
      </c>
      <c r="E147" s="67">
        <f>E175</f>
        <v>3772500</v>
      </c>
      <c r="F147" s="67">
        <f t="shared" ref="F147:N147" si="121">F175</f>
        <v>6218850</v>
      </c>
      <c r="G147" s="67">
        <f t="shared" si="121"/>
        <v>4083150</v>
      </c>
      <c r="H147" s="67">
        <f t="shared" si="121"/>
        <v>2775510</v>
      </c>
      <c r="I147" s="67">
        <f t="shared" si="121"/>
        <v>1352955</v>
      </c>
      <c r="J147" s="67">
        <f t="shared" si="121"/>
        <v>0</v>
      </c>
      <c r="K147" s="67">
        <f t="shared" si="121"/>
        <v>0</v>
      </c>
      <c r="L147" s="67">
        <f t="shared" si="121"/>
        <v>0</v>
      </c>
      <c r="M147" s="67">
        <f t="shared" si="121"/>
        <v>0</v>
      </c>
      <c r="N147" s="67">
        <f t="shared" si="121"/>
        <v>0</v>
      </c>
      <c r="O147" s="67">
        <v>0</v>
      </c>
      <c r="P147" s="326">
        <f t="shared" si="111"/>
        <v>18202965</v>
      </c>
      <c r="R147" s="2"/>
    </row>
    <row r="148" spans="1:18" x14ac:dyDescent="0.15">
      <c r="B148" s="340">
        <v>12</v>
      </c>
      <c r="C148" s="12" t="s">
        <v>301</v>
      </c>
      <c r="D148" s="67">
        <f t="shared" si="107"/>
        <v>0</v>
      </c>
      <c r="E148" s="67">
        <f>E146+E147</f>
        <v>50012750</v>
      </c>
      <c r="F148" s="67">
        <f t="shared" ref="F148:N148" si="122">F146+F147</f>
        <v>44202792.500000022</v>
      </c>
      <c r="G148" s="67">
        <f t="shared" si="122"/>
        <v>35442192.08412499</v>
      </c>
      <c r="H148" s="67">
        <f t="shared" si="122"/>
        <v>25111356.707490433</v>
      </c>
      <c r="I148" s="67">
        <f t="shared" si="122"/>
        <v>12650996.178848946</v>
      </c>
      <c r="J148" s="67">
        <f t="shared" si="122"/>
        <v>0</v>
      </c>
      <c r="K148" s="67">
        <f t="shared" si="122"/>
        <v>0</v>
      </c>
      <c r="L148" s="67">
        <f t="shared" si="122"/>
        <v>0</v>
      </c>
      <c r="M148" s="67">
        <f t="shared" si="122"/>
        <v>0</v>
      </c>
      <c r="N148" s="67">
        <f t="shared" si="122"/>
        <v>0</v>
      </c>
      <c r="O148" s="67">
        <v>0</v>
      </c>
      <c r="P148" s="326">
        <f t="shared" si="111"/>
        <v>167420087.47046441</v>
      </c>
      <c r="R148" s="2"/>
    </row>
    <row r="149" spans="1:18" x14ac:dyDescent="0.15">
      <c r="B149" s="340" t="s">
        <v>700</v>
      </c>
      <c r="C149" s="12" t="s">
        <v>303</v>
      </c>
      <c r="D149" s="67">
        <v>0</v>
      </c>
      <c r="E149" s="67">
        <f t="shared" ref="E149:N149" si="123">E177</f>
        <v>0</v>
      </c>
      <c r="F149" s="67">
        <f t="shared" si="123"/>
        <v>0</v>
      </c>
      <c r="G149" s="67">
        <f t="shared" si="123"/>
        <v>0</v>
      </c>
      <c r="H149" s="67">
        <f t="shared" si="123"/>
        <v>0</v>
      </c>
      <c r="I149" s="67">
        <f t="shared" si="123"/>
        <v>0</v>
      </c>
      <c r="J149" s="67">
        <f t="shared" si="123"/>
        <v>0</v>
      </c>
      <c r="K149" s="67">
        <f t="shared" si="123"/>
        <v>0</v>
      </c>
      <c r="L149" s="67">
        <f t="shared" si="123"/>
        <v>0</v>
      </c>
      <c r="M149" s="67">
        <f t="shared" si="123"/>
        <v>0</v>
      </c>
      <c r="N149" s="67">
        <f t="shared" si="123"/>
        <v>0</v>
      </c>
      <c r="O149" s="67">
        <v>0</v>
      </c>
      <c r="P149" s="326">
        <f t="shared" si="111"/>
        <v>0</v>
      </c>
      <c r="R149" s="2"/>
    </row>
    <row r="150" spans="1:18" x14ac:dyDescent="0.15">
      <c r="B150" s="340">
        <v>14</v>
      </c>
      <c r="C150" s="12" t="s">
        <v>304</v>
      </c>
      <c r="D150" s="67">
        <f t="shared" ref="D150:D156" si="124">D178</f>
        <v>-32550000</v>
      </c>
      <c r="E150" s="67">
        <f t="shared" ref="E150:N150" si="125">E178</f>
        <v>0</v>
      </c>
      <c r="F150" s="67">
        <f t="shared" si="125"/>
        <v>0</v>
      </c>
      <c r="G150" s="67">
        <f t="shared" si="125"/>
        <v>0</v>
      </c>
      <c r="H150" s="67">
        <f t="shared" si="125"/>
        <v>0</v>
      </c>
      <c r="I150" s="67">
        <f t="shared" si="125"/>
        <v>14347035</v>
      </c>
      <c r="J150" s="67">
        <f t="shared" si="125"/>
        <v>0</v>
      </c>
      <c r="K150" s="67">
        <f t="shared" si="125"/>
        <v>0</v>
      </c>
      <c r="L150" s="67">
        <f t="shared" si="125"/>
        <v>0</v>
      </c>
      <c r="M150" s="67">
        <f t="shared" si="125"/>
        <v>0</v>
      </c>
      <c r="N150" s="67">
        <f t="shared" si="125"/>
        <v>0</v>
      </c>
      <c r="O150" s="67">
        <v>0</v>
      </c>
      <c r="P150" s="326">
        <f t="shared" si="111"/>
        <v>-18202965</v>
      </c>
      <c r="R150" s="2"/>
    </row>
    <row r="151" spans="1:18" x14ac:dyDescent="0.15">
      <c r="B151" s="340" t="s">
        <v>701</v>
      </c>
      <c r="C151" s="12" t="s">
        <v>207</v>
      </c>
      <c r="D151" s="67">
        <f t="shared" si="124"/>
        <v>-31050000</v>
      </c>
      <c r="E151" s="67">
        <f t="shared" ref="E151:N151" si="126">E179</f>
        <v>0</v>
      </c>
      <c r="F151" s="67">
        <f t="shared" si="126"/>
        <v>0</v>
      </c>
      <c r="G151" s="67">
        <f t="shared" si="126"/>
        <v>0</v>
      </c>
      <c r="H151" s="67">
        <f t="shared" si="126"/>
        <v>0</v>
      </c>
      <c r="I151" s="67">
        <f t="shared" si="126"/>
        <v>12847035</v>
      </c>
      <c r="J151" s="67">
        <f t="shared" si="126"/>
        <v>0</v>
      </c>
      <c r="K151" s="67">
        <f t="shared" si="126"/>
        <v>0</v>
      </c>
      <c r="L151" s="67">
        <f t="shared" si="126"/>
        <v>0</v>
      </c>
      <c r="M151" s="67">
        <f t="shared" si="126"/>
        <v>0</v>
      </c>
      <c r="N151" s="67">
        <f t="shared" si="126"/>
        <v>0</v>
      </c>
      <c r="O151" s="67">
        <v>0</v>
      </c>
      <c r="P151" s="326">
        <f t="shared" si="111"/>
        <v>-18202965</v>
      </c>
      <c r="R151" s="2"/>
    </row>
    <row r="152" spans="1:18" x14ac:dyDescent="0.15">
      <c r="B152" s="340" t="s">
        <v>702</v>
      </c>
      <c r="C152" s="12" t="s">
        <v>307</v>
      </c>
      <c r="D152" s="67">
        <f t="shared" si="124"/>
        <v>-1500000</v>
      </c>
      <c r="E152" s="67">
        <f t="shared" ref="E152:N152" si="127">E180</f>
        <v>0</v>
      </c>
      <c r="F152" s="67">
        <f t="shared" si="127"/>
        <v>0</v>
      </c>
      <c r="G152" s="67">
        <f t="shared" si="127"/>
        <v>0</v>
      </c>
      <c r="H152" s="67">
        <f t="shared" si="127"/>
        <v>0</v>
      </c>
      <c r="I152" s="67">
        <f t="shared" si="127"/>
        <v>1500000</v>
      </c>
      <c r="J152" s="67">
        <f t="shared" si="127"/>
        <v>0</v>
      </c>
      <c r="K152" s="67">
        <f t="shared" si="127"/>
        <v>0</v>
      </c>
      <c r="L152" s="67">
        <f t="shared" si="127"/>
        <v>0</v>
      </c>
      <c r="M152" s="67">
        <f t="shared" si="127"/>
        <v>0</v>
      </c>
      <c r="N152" s="67">
        <f t="shared" si="127"/>
        <v>0</v>
      </c>
      <c r="O152" s="67">
        <v>0</v>
      </c>
      <c r="P152" s="326">
        <f t="shared" si="111"/>
        <v>0</v>
      </c>
      <c r="R152" s="2"/>
    </row>
    <row r="153" spans="1:18" x14ac:dyDescent="0.15">
      <c r="B153" s="340" t="s">
        <v>703</v>
      </c>
      <c r="C153" s="12" t="s">
        <v>309</v>
      </c>
      <c r="D153" s="67">
        <f t="shared" si="124"/>
        <v>0</v>
      </c>
      <c r="E153" s="67">
        <f t="shared" ref="E153:N153" si="128">E181</f>
        <v>0</v>
      </c>
      <c r="F153" s="67">
        <f t="shared" si="128"/>
        <v>0</v>
      </c>
      <c r="G153" s="67">
        <f t="shared" si="128"/>
        <v>0</v>
      </c>
      <c r="H153" s="67">
        <f t="shared" si="128"/>
        <v>0</v>
      </c>
      <c r="I153" s="67">
        <f t="shared" si="128"/>
        <v>0</v>
      </c>
      <c r="J153" s="67">
        <f t="shared" si="128"/>
        <v>0</v>
      </c>
      <c r="K153" s="67">
        <f t="shared" si="128"/>
        <v>0</v>
      </c>
      <c r="L153" s="67">
        <f t="shared" si="128"/>
        <v>0</v>
      </c>
      <c r="M153" s="67">
        <f t="shared" si="128"/>
        <v>0</v>
      </c>
      <c r="N153" s="67">
        <f t="shared" si="128"/>
        <v>0</v>
      </c>
      <c r="O153" s="67">
        <v>0</v>
      </c>
      <c r="P153" s="326">
        <f t="shared" si="111"/>
        <v>0</v>
      </c>
      <c r="R153" s="2"/>
    </row>
    <row r="154" spans="1:18" x14ac:dyDescent="0.15">
      <c r="B154" s="340" t="s">
        <v>704</v>
      </c>
      <c r="C154" s="12" t="s">
        <v>311</v>
      </c>
      <c r="D154" s="67">
        <f t="shared" si="124"/>
        <v>0</v>
      </c>
      <c r="E154" s="67">
        <f t="shared" ref="E154:N154" si="129">E182</f>
        <v>0</v>
      </c>
      <c r="F154" s="67">
        <f t="shared" si="129"/>
        <v>0</v>
      </c>
      <c r="G154" s="67">
        <f t="shared" si="129"/>
        <v>0</v>
      </c>
      <c r="H154" s="67">
        <f t="shared" si="129"/>
        <v>0</v>
      </c>
      <c r="I154" s="67">
        <f t="shared" si="129"/>
        <v>-2596968.7000000002</v>
      </c>
      <c r="J154" s="67">
        <f t="shared" si="129"/>
        <v>0</v>
      </c>
      <c r="K154" s="67">
        <f t="shared" si="129"/>
        <v>0</v>
      </c>
      <c r="L154" s="67">
        <f t="shared" si="129"/>
        <v>0</v>
      </c>
      <c r="M154" s="67">
        <f t="shared" si="129"/>
        <v>0</v>
      </c>
      <c r="N154" s="67">
        <f t="shared" si="129"/>
        <v>0</v>
      </c>
      <c r="O154" s="67">
        <v>0</v>
      </c>
      <c r="P154" s="326">
        <f t="shared" si="111"/>
        <v>-2596968.7000000002</v>
      </c>
      <c r="R154" s="2"/>
    </row>
    <row r="155" spans="1:18" ht="14" thickBot="1" x14ac:dyDescent="0.2">
      <c r="B155" s="340" t="s">
        <v>705</v>
      </c>
      <c r="C155" s="12" t="s">
        <v>115</v>
      </c>
      <c r="D155" s="67">
        <f t="shared" si="124"/>
        <v>-60000000</v>
      </c>
      <c r="E155" s="67">
        <f t="shared" ref="E155:N155" si="130">E183</f>
        <v>0</v>
      </c>
      <c r="F155" s="67">
        <f t="shared" si="130"/>
        <v>0</v>
      </c>
      <c r="G155" s="67">
        <f t="shared" si="130"/>
        <v>0</v>
      </c>
      <c r="H155" s="67">
        <f t="shared" si="130"/>
        <v>0</v>
      </c>
      <c r="I155" s="67">
        <f t="shared" si="130"/>
        <v>60000000</v>
      </c>
      <c r="J155" s="67">
        <f t="shared" si="130"/>
        <v>0</v>
      </c>
      <c r="K155" s="67">
        <f t="shared" si="130"/>
        <v>0</v>
      </c>
      <c r="L155" s="67">
        <f t="shared" si="130"/>
        <v>0</v>
      </c>
      <c r="M155" s="67">
        <f t="shared" si="130"/>
        <v>0</v>
      </c>
      <c r="N155" s="67">
        <f t="shared" si="130"/>
        <v>0</v>
      </c>
      <c r="O155" s="67">
        <v>0</v>
      </c>
      <c r="P155" s="326">
        <f t="shared" si="111"/>
        <v>0</v>
      </c>
      <c r="R155" s="2"/>
    </row>
    <row r="156" spans="1:18" x14ac:dyDescent="0.15">
      <c r="B156" s="340">
        <v>17</v>
      </c>
      <c r="C156" s="12" t="s">
        <v>313</v>
      </c>
      <c r="D156" s="67">
        <f t="shared" si="124"/>
        <v>-92550000</v>
      </c>
      <c r="E156" s="67">
        <f t="shared" ref="E156:N156" si="131">E184</f>
        <v>0</v>
      </c>
      <c r="F156" s="67">
        <f t="shared" si="131"/>
        <v>0</v>
      </c>
      <c r="G156" s="67">
        <f t="shared" si="131"/>
        <v>0</v>
      </c>
      <c r="H156" s="67">
        <f t="shared" si="131"/>
        <v>0</v>
      </c>
      <c r="I156" s="67">
        <f t="shared" si="131"/>
        <v>71750066.299999997</v>
      </c>
      <c r="J156" s="67">
        <f t="shared" si="131"/>
        <v>0</v>
      </c>
      <c r="K156" s="67">
        <f t="shared" si="131"/>
        <v>0</v>
      </c>
      <c r="L156" s="67">
        <f t="shared" si="131"/>
        <v>0</v>
      </c>
      <c r="M156" s="67">
        <f t="shared" si="131"/>
        <v>0</v>
      </c>
      <c r="N156" s="67">
        <f t="shared" si="131"/>
        <v>0</v>
      </c>
      <c r="O156" s="67">
        <v>0</v>
      </c>
      <c r="P156" s="326">
        <f t="shared" si="111"/>
        <v>-20799933.700000003</v>
      </c>
      <c r="Q156" s="357" t="s">
        <v>693</v>
      </c>
      <c r="R156" s="2"/>
    </row>
    <row r="157" spans="1:18" ht="14" thickBot="1" x14ac:dyDescent="0.2">
      <c r="A157" s="1" t="s">
        <v>708</v>
      </c>
      <c r="B157" s="355">
        <v>18</v>
      </c>
      <c r="C157" s="335" t="s">
        <v>314</v>
      </c>
      <c r="D157" s="331">
        <f>D156+D148</f>
        <v>-92550000</v>
      </c>
      <c r="E157" s="331">
        <f t="shared" ref="E157:N157" si="132">E156+E148</f>
        <v>50012750</v>
      </c>
      <c r="F157" s="331">
        <f t="shared" si="132"/>
        <v>44202792.500000022</v>
      </c>
      <c r="G157" s="331">
        <f t="shared" si="132"/>
        <v>35442192.08412499</v>
      </c>
      <c r="H157" s="331">
        <f t="shared" si="132"/>
        <v>25111356.707490433</v>
      </c>
      <c r="I157" s="331">
        <f t="shared" si="132"/>
        <v>84401062.478848949</v>
      </c>
      <c r="J157" s="331">
        <f t="shared" si="132"/>
        <v>0</v>
      </c>
      <c r="K157" s="331">
        <f t="shared" si="132"/>
        <v>0</v>
      </c>
      <c r="L157" s="331">
        <f t="shared" si="132"/>
        <v>0</v>
      </c>
      <c r="M157" s="331">
        <f t="shared" si="132"/>
        <v>0</v>
      </c>
      <c r="N157" s="331">
        <f t="shared" si="132"/>
        <v>0</v>
      </c>
      <c r="O157" s="331">
        <v>0</v>
      </c>
      <c r="P157" s="356">
        <f t="shared" si="111"/>
        <v>146620153.77046439</v>
      </c>
      <c r="Q157" s="358">
        <f>IF(ISNUMBER(IRR(D157:N157)),IRR(D157:N157),"NMF")</f>
        <v>0.40549033935008683</v>
      </c>
      <c r="R157" s="1" t="s">
        <v>708</v>
      </c>
    </row>
    <row r="158" spans="1:18" x14ac:dyDescent="0.15">
      <c r="R158" s="2"/>
    </row>
    <row r="159" spans="1:18" ht="14" thickBot="1" x14ac:dyDescent="0.2">
      <c r="R159" s="2"/>
    </row>
    <row r="160" spans="1:18" ht="14" thickBot="1" x14ac:dyDescent="0.2">
      <c r="B160" s="339" t="s">
        <v>282</v>
      </c>
      <c r="C160" s="302" t="s">
        <v>283</v>
      </c>
      <c r="D160" s="302"/>
      <c r="E160" s="302">
        <v>1</v>
      </c>
      <c r="F160" s="302">
        <v>2</v>
      </c>
      <c r="G160" s="302">
        <v>3</v>
      </c>
      <c r="H160" s="302">
        <v>4</v>
      </c>
      <c r="I160" s="302">
        <v>5</v>
      </c>
      <c r="J160" s="302">
        <v>6</v>
      </c>
      <c r="K160" s="302">
        <v>7</v>
      </c>
      <c r="L160" s="302">
        <v>8</v>
      </c>
      <c r="M160" s="302">
        <v>9</v>
      </c>
      <c r="N160" s="302">
        <v>10</v>
      </c>
      <c r="O160" s="302" t="s">
        <v>284</v>
      </c>
      <c r="P160" s="290" t="s">
        <v>285</v>
      </c>
      <c r="R160" s="2"/>
    </row>
    <row r="161" spans="1:18" x14ac:dyDescent="0.15">
      <c r="B161" s="340" t="s">
        <v>687</v>
      </c>
      <c r="C161" s="12" t="s">
        <v>287</v>
      </c>
      <c r="D161" s="321">
        <f>'After Tax Analysis'!D8</f>
        <v>0</v>
      </c>
      <c r="E161" s="321">
        <f>'After Tax Analysis'!E8</f>
        <v>300000000</v>
      </c>
      <c r="F161" s="321">
        <f>'After Tax Analysis'!F8</f>
        <v>313500000.00000006</v>
      </c>
      <c r="G161" s="321">
        <f>'After Tax Analysis'!G8</f>
        <v>327607500.00000006</v>
      </c>
      <c r="H161" s="321">
        <f>'After Tax Analysis'!H8</f>
        <v>342349837.50000012</v>
      </c>
      <c r="I161" s="321">
        <f>'After Tax Analysis'!I8</f>
        <v>357755580.18750012</v>
      </c>
      <c r="J161" s="321">
        <f>'After Tax Analysis'!J8</f>
        <v>0</v>
      </c>
      <c r="K161" s="321">
        <f>'After Tax Analysis'!K8</f>
        <v>0</v>
      </c>
      <c r="L161" s="321">
        <f>'After Tax Analysis'!L8</f>
        <v>0</v>
      </c>
      <c r="M161" s="321">
        <f>'After Tax Analysis'!M8</f>
        <v>0</v>
      </c>
      <c r="N161" s="321">
        <f>'After Tax Analysis'!N8</f>
        <v>0</v>
      </c>
      <c r="O161" s="67">
        <v>0</v>
      </c>
      <c r="P161" s="325">
        <f>SUM(D161:N161)</f>
        <v>1641212917.6875</v>
      </c>
      <c r="R161" s="2"/>
    </row>
    <row r="162" spans="1:18" x14ac:dyDescent="0.15">
      <c r="A162" s="1" t="s">
        <v>417</v>
      </c>
      <c r="B162" s="340" t="s">
        <v>689</v>
      </c>
      <c r="C162" s="340" t="s">
        <v>689</v>
      </c>
      <c r="D162" s="329"/>
      <c r="E162" s="329">
        <f>Revenues!D9</f>
        <v>300000000</v>
      </c>
      <c r="F162" s="329">
        <f>Revenues!E9</f>
        <v>313500000.00000006</v>
      </c>
      <c r="G162" s="329">
        <f>Revenues!F9</f>
        <v>327607500.00000006</v>
      </c>
      <c r="H162" s="329">
        <f>Revenues!G9</f>
        <v>342349837.50000012</v>
      </c>
      <c r="I162" s="329">
        <f>Revenues!H9</f>
        <v>357755580.18750012</v>
      </c>
      <c r="J162" s="329">
        <f>Revenues!I9</f>
        <v>0</v>
      </c>
      <c r="K162" s="329">
        <f>Revenues!J9</f>
        <v>0</v>
      </c>
      <c r="L162" s="329">
        <f>Revenues!K9</f>
        <v>0</v>
      </c>
      <c r="M162" s="329">
        <f>Revenues!L9</f>
        <v>0</v>
      </c>
      <c r="N162" s="329">
        <f>Revenues!M9</f>
        <v>0</v>
      </c>
      <c r="O162" s="67"/>
      <c r="P162" s="326">
        <f>SUM(D162:N162)</f>
        <v>1641212917.6875</v>
      </c>
      <c r="R162" s="2"/>
    </row>
    <row r="163" spans="1:18" x14ac:dyDescent="0.15">
      <c r="B163" s="340" t="s">
        <v>690</v>
      </c>
      <c r="C163" s="340" t="s">
        <v>690</v>
      </c>
      <c r="D163" s="329"/>
      <c r="E163" s="329">
        <f>Revenues!D16</f>
        <v>0</v>
      </c>
      <c r="F163" s="329">
        <f>Revenues!E16</f>
        <v>0</v>
      </c>
      <c r="G163" s="329">
        <f>Revenues!F16</f>
        <v>0</v>
      </c>
      <c r="H163" s="329">
        <f>Revenues!G16</f>
        <v>0</v>
      </c>
      <c r="I163" s="329">
        <f>Revenues!H16</f>
        <v>0</v>
      </c>
      <c r="J163" s="329">
        <f>Revenues!I16</f>
        <v>0</v>
      </c>
      <c r="K163" s="329">
        <f>Revenues!J16</f>
        <v>0</v>
      </c>
      <c r="L163" s="329">
        <f>Revenues!K16</f>
        <v>0</v>
      </c>
      <c r="M163" s="329">
        <f>Revenues!L16</f>
        <v>0</v>
      </c>
      <c r="N163" s="329">
        <f>Revenues!M16</f>
        <v>0</v>
      </c>
      <c r="O163" s="67"/>
      <c r="P163" s="326">
        <f t="shared" ref="P163:P185" si="133">SUM(D163:N163)</f>
        <v>0</v>
      </c>
      <c r="R163" s="2"/>
    </row>
    <row r="164" spans="1:18" x14ac:dyDescent="0.15">
      <c r="B164" s="355" t="s">
        <v>691</v>
      </c>
      <c r="C164" s="355" t="s">
        <v>691</v>
      </c>
      <c r="D164" s="337"/>
      <c r="E164" s="337">
        <f>Revenues!D23</f>
        <v>0</v>
      </c>
      <c r="F164" s="337">
        <f>Revenues!E23</f>
        <v>0</v>
      </c>
      <c r="G164" s="337">
        <f>Revenues!F23</f>
        <v>0</v>
      </c>
      <c r="H164" s="337">
        <f>Revenues!G23</f>
        <v>0</v>
      </c>
      <c r="I164" s="337">
        <f>Revenues!H23</f>
        <v>0</v>
      </c>
      <c r="J164" s="337">
        <f>Revenues!I23</f>
        <v>0</v>
      </c>
      <c r="K164" s="337">
        <f>Revenues!J23</f>
        <v>0</v>
      </c>
      <c r="L164" s="337">
        <f>Revenues!K23</f>
        <v>0</v>
      </c>
      <c r="M164" s="337">
        <f>Revenues!L23</f>
        <v>0</v>
      </c>
      <c r="N164" s="337">
        <f>Revenues!M23</f>
        <v>0</v>
      </c>
      <c r="O164" s="331"/>
      <c r="P164" s="356">
        <f t="shared" si="133"/>
        <v>0</v>
      </c>
      <c r="R164" s="2"/>
    </row>
    <row r="165" spans="1:18" x14ac:dyDescent="0.15">
      <c r="B165" s="340" t="s">
        <v>695</v>
      </c>
      <c r="C165" s="12"/>
      <c r="D165" s="67">
        <f>SUM(D162:D164)</f>
        <v>0</v>
      </c>
      <c r="E165" s="67">
        <f>SUM(E162:E164)</f>
        <v>300000000</v>
      </c>
      <c r="F165" s="67">
        <f t="shared" ref="F165:N165" si="134">SUM(F162:F164)</f>
        <v>313500000.00000006</v>
      </c>
      <c r="G165" s="67">
        <f t="shared" si="134"/>
        <v>327607500.00000006</v>
      </c>
      <c r="H165" s="67">
        <f t="shared" si="134"/>
        <v>342349837.50000012</v>
      </c>
      <c r="I165" s="67">
        <f t="shared" si="134"/>
        <v>357755580.18750012</v>
      </c>
      <c r="J165" s="67">
        <f t="shared" si="134"/>
        <v>0</v>
      </c>
      <c r="K165" s="67">
        <f t="shared" si="134"/>
        <v>0</v>
      </c>
      <c r="L165" s="67">
        <f t="shared" si="134"/>
        <v>0</v>
      </c>
      <c r="M165" s="67">
        <f t="shared" si="134"/>
        <v>0</v>
      </c>
      <c r="N165" s="67">
        <f t="shared" si="134"/>
        <v>0</v>
      </c>
      <c r="O165" s="67"/>
      <c r="P165" s="326">
        <f t="shared" si="133"/>
        <v>1641212917.6875</v>
      </c>
      <c r="R165" s="2"/>
    </row>
    <row r="166" spans="1:18" x14ac:dyDescent="0.15">
      <c r="B166" s="340" t="s">
        <v>696</v>
      </c>
      <c r="C166" s="12" t="s">
        <v>289</v>
      </c>
      <c r="D166" s="388">
        <f>'After Tax Analysis'!D9</f>
        <v>0</v>
      </c>
      <c r="E166" s="388">
        <f>'After Tax Analysis'!E9</f>
        <v>230170000</v>
      </c>
      <c r="F166" s="388">
        <f>'After Tax Analysis'!F9</f>
        <v>253018375.00000003</v>
      </c>
      <c r="G166" s="388">
        <f>'After Tax Analysis'!G9</f>
        <v>278725718.45125008</v>
      </c>
      <c r="H166" s="388">
        <f>'After Tax Analysis'!H9</f>
        <v>307665975.06072807</v>
      </c>
      <c r="I166" s="388">
        <f>'After Tax Analysis'!I9</f>
        <v>340262566.36057305</v>
      </c>
      <c r="J166" s="388">
        <f>'After Tax Analysis'!J9</f>
        <v>0</v>
      </c>
      <c r="K166" s="388">
        <f>'After Tax Analysis'!K9</f>
        <v>0</v>
      </c>
      <c r="L166" s="388">
        <f>'After Tax Analysis'!L9</f>
        <v>0</v>
      </c>
      <c r="M166" s="388">
        <f>'After Tax Analysis'!M9</f>
        <v>0</v>
      </c>
      <c r="N166" s="388">
        <f>'After Tax Analysis'!N9</f>
        <v>0</v>
      </c>
      <c r="O166" s="67">
        <v>0</v>
      </c>
      <c r="P166" s="326">
        <f t="shared" si="133"/>
        <v>1409842634.8725512</v>
      </c>
      <c r="R166" s="2"/>
    </row>
    <row r="167" spans="1:18" x14ac:dyDescent="0.15">
      <c r="B167" s="340">
        <v>3</v>
      </c>
      <c r="C167" s="12" t="s">
        <v>290</v>
      </c>
      <c r="D167" s="67">
        <f t="shared" ref="D167:N167" si="135">D165-D166</f>
        <v>0</v>
      </c>
      <c r="E167" s="67">
        <f t="shared" si="135"/>
        <v>69830000</v>
      </c>
      <c r="F167" s="67">
        <f t="shared" si="135"/>
        <v>60481625.00000003</v>
      </c>
      <c r="G167" s="67">
        <f t="shared" si="135"/>
        <v>48881781.548749983</v>
      </c>
      <c r="H167" s="67">
        <f t="shared" si="135"/>
        <v>34683862.439272046</v>
      </c>
      <c r="I167" s="67">
        <f t="shared" si="135"/>
        <v>17493013.826927066</v>
      </c>
      <c r="J167" s="67">
        <f t="shared" si="135"/>
        <v>0</v>
      </c>
      <c r="K167" s="67">
        <f t="shared" si="135"/>
        <v>0</v>
      </c>
      <c r="L167" s="67">
        <f t="shared" si="135"/>
        <v>0</v>
      </c>
      <c r="M167" s="67">
        <f t="shared" si="135"/>
        <v>0</v>
      </c>
      <c r="N167" s="67">
        <f t="shared" si="135"/>
        <v>0</v>
      </c>
      <c r="O167" s="67">
        <v>0</v>
      </c>
      <c r="P167" s="326">
        <f t="shared" si="133"/>
        <v>231370282.81494913</v>
      </c>
      <c r="R167" s="2"/>
    </row>
    <row r="168" spans="1:18" x14ac:dyDescent="0.15">
      <c r="B168" s="340" t="s">
        <v>697</v>
      </c>
      <c r="C168" s="12" t="s">
        <v>292</v>
      </c>
      <c r="D168" s="388">
        <f>'After Tax Analysis'!D11</f>
        <v>0</v>
      </c>
      <c r="E168" s="388">
        <f>'After Tax Analysis'!E11</f>
        <v>3772500</v>
      </c>
      <c r="F168" s="388">
        <f>'After Tax Analysis'!F11</f>
        <v>6218850</v>
      </c>
      <c r="G168" s="388">
        <f>'After Tax Analysis'!G11</f>
        <v>4083150</v>
      </c>
      <c r="H168" s="388">
        <f>'After Tax Analysis'!H11</f>
        <v>2775510</v>
      </c>
      <c r="I168" s="388">
        <f>'After Tax Analysis'!I11</f>
        <v>1352955</v>
      </c>
      <c r="J168" s="388">
        <f>'After Tax Analysis'!J11</f>
        <v>0</v>
      </c>
      <c r="K168" s="388">
        <f>'After Tax Analysis'!K11</f>
        <v>0</v>
      </c>
      <c r="L168" s="388">
        <f>'After Tax Analysis'!L11</f>
        <v>0</v>
      </c>
      <c r="M168" s="388">
        <f>'After Tax Analysis'!M11</f>
        <v>0</v>
      </c>
      <c r="N168" s="388">
        <f>'After Tax Analysis'!N11</f>
        <v>0</v>
      </c>
      <c r="O168" s="67">
        <v>0</v>
      </c>
      <c r="P168" s="326">
        <f t="shared" si="133"/>
        <v>18202965</v>
      </c>
      <c r="R168" s="2"/>
    </row>
    <row r="169" spans="1:18" x14ac:dyDescent="0.15">
      <c r="B169" s="340">
        <v>5</v>
      </c>
      <c r="C169" s="12" t="s">
        <v>293</v>
      </c>
      <c r="D169" s="67">
        <f t="shared" ref="D169:N169" si="136">D167-D168</f>
        <v>0</v>
      </c>
      <c r="E169" s="67">
        <f t="shared" si="136"/>
        <v>66057500</v>
      </c>
      <c r="F169" s="67">
        <f t="shared" si="136"/>
        <v>54262775.00000003</v>
      </c>
      <c r="G169" s="67">
        <f t="shared" si="136"/>
        <v>44798631.548749983</v>
      </c>
      <c r="H169" s="67">
        <f t="shared" si="136"/>
        <v>31908352.439272046</v>
      </c>
      <c r="I169" s="67">
        <f t="shared" si="136"/>
        <v>16140058.826927066</v>
      </c>
      <c r="J169" s="67">
        <f t="shared" si="136"/>
        <v>0</v>
      </c>
      <c r="K169" s="67">
        <f t="shared" si="136"/>
        <v>0</v>
      </c>
      <c r="L169" s="67">
        <f t="shared" si="136"/>
        <v>0</v>
      </c>
      <c r="M169" s="67">
        <f t="shared" si="136"/>
        <v>0</v>
      </c>
      <c r="N169" s="67">
        <f t="shared" si="136"/>
        <v>0</v>
      </c>
      <c r="O169" s="67">
        <v>0</v>
      </c>
      <c r="P169" s="326">
        <f t="shared" si="133"/>
        <v>213167317.81494913</v>
      </c>
      <c r="R169" s="2"/>
    </row>
    <row r="170" spans="1:18" x14ac:dyDescent="0.15">
      <c r="B170" s="340" t="s">
        <v>698</v>
      </c>
      <c r="C170" s="12" t="s">
        <v>295</v>
      </c>
      <c r="D170" s="387">
        <f>'After Tax Analysis'!D13</f>
        <v>0</v>
      </c>
      <c r="E170" s="387">
        <f>'After Tax Analysis'!E13</f>
        <v>0</v>
      </c>
      <c r="F170" s="387">
        <f>'After Tax Analysis'!F13</f>
        <v>0</v>
      </c>
      <c r="G170" s="387">
        <f>'After Tax Analysis'!G13</f>
        <v>0</v>
      </c>
      <c r="H170" s="387">
        <f>'After Tax Analysis'!H13</f>
        <v>0</v>
      </c>
      <c r="I170" s="387">
        <f>'After Tax Analysis'!I13</f>
        <v>0</v>
      </c>
      <c r="J170" s="387">
        <f>'After Tax Analysis'!J13</f>
        <v>0</v>
      </c>
      <c r="K170" s="387">
        <f>'After Tax Analysis'!K13</f>
        <v>0</v>
      </c>
      <c r="L170" s="387">
        <f>'After Tax Analysis'!L13</f>
        <v>0</v>
      </c>
      <c r="M170" s="387">
        <f>'After Tax Analysis'!M13</f>
        <v>0</v>
      </c>
      <c r="N170" s="387">
        <f>'After Tax Analysis'!N13</f>
        <v>0</v>
      </c>
      <c r="O170" s="67">
        <v>0</v>
      </c>
      <c r="P170" s="326">
        <f t="shared" si="133"/>
        <v>0</v>
      </c>
      <c r="R170" s="2"/>
    </row>
    <row r="171" spans="1:18" x14ac:dyDescent="0.15">
      <c r="B171" s="340">
        <v>7</v>
      </c>
      <c r="C171" s="12" t="s">
        <v>296</v>
      </c>
      <c r="D171" s="387">
        <f>D169-D170</f>
        <v>0</v>
      </c>
      <c r="E171" s="387">
        <f t="shared" ref="E171:N171" si="137">E169-E170</f>
        <v>66057500</v>
      </c>
      <c r="F171" s="387">
        <f t="shared" si="137"/>
        <v>54262775.00000003</v>
      </c>
      <c r="G171" s="387">
        <f t="shared" si="137"/>
        <v>44798631.548749983</v>
      </c>
      <c r="H171" s="387">
        <f t="shared" si="137"/>
        <v>31908352.439272046</v>
      </c>
      <c r="I171" s="387">
        <f t="shared" si="137"/>
        <v>16140058.826927066</v>
      </c>
      <c r="J171" s="387">
        <f t="shared" si="137"/>
        <v>0</v>
      </c>
      <c r="K171" s="387">
        <f t="shared" si="137"/>
        <v>0</v>
      </c>
      <c r="L171" s="387">
        <f t="shared" si="137"/>
        <v>0</v>
      </c>
      <c r="M171" s="387">
        <f t="shared" si="137"/>
        <v>0</v>
      </c>
      <c r="N171" s="387">
        <f t="shared" si="137"/>
        <v>0</v>
      </c>
      <c r="O171" s="67">
        <v>0</v>
      </c>
      <c r="P171" s="326">
        <f t="shared" si="133"/>
        <v>213167317.81494913</v>
      </c>
      <c r="R171" s="2"/>
    </row>
    <row r="172" spans="1:18" x14ac:dyDescent="0.15">
      <c r="B172" s="340">
        <v>8</v>
      </c>
      <c r="C172" s="12" t="s">
        <v>297</v>
      </c>
      <c r="D172" s="67">
        <f t="shared" ref="D172:N172" si="138">D171*$D$3</f>
        <v>0</v>
      </c>
      <c r="E172" s="67">
        <f t="shared" si="138"/>
        <v>19817250</v>
      </c>
      <c r="F172" s="67">
        <f t="shared" si="138"/>
        <v>16278832.500000007</v>
      </c>
      <c r="G172" s="67">
        <f t="shared" si="138"/>
        <v>13439589.464624995</v>
      </c>
      <c r="H172" s="67">
        <f t="shared" si="138"/>
        <v>9572505.7317816131</v>
      </c>
      <c r="I172" s="67">
        <f t="shared" si="138"/>
        <v>4842017.6480781194</v>
      </c>
      <c r="J172" s="67">
        <f t="shared" si="138"/>
        <v>0</v>
      </c>
      <c r="K172" s="67">
        <f t="shared" si="138"/>
        <v>0</v>
      </c>
      <c r="L172" s="67">
        <f t="shared" si="138"/>
        <v>0</v>
      </c>
      <c r="M172" s="67">
        <f t="shared" si="138"/>
        <v>0</v>
      </c>
      <c r="N172" s="67">
        <f t="shared" si="138"/>
        <v>0</v>
      </c>
      <c r="O172" s="67">
        <v>0</v>
      </c>
      <c r="P172" s="326">
        <f t="shared" si="133"/>
        <v>63950195.344484739</v>
      </c>
      <c r="R172" s="2"/>
    </row>
    <row r="173" spans="1:18" x14ac:dyDescent="0.15">
      <c r="B173" s="340">
        <v>9</v>
      </c>
      <c r="C173" s="12" t="s">
        <v>298</v>
      </c>
      <c r="D173" s="387">
        <f>'After Tax Analysis'!D16</f>
        <v>0</v>
      </c>
      <c r="E173" s="67">
        <v>0</v>
      </c>
      <c r="F173" s="67">
        <v>0</v>
      </c>
      <c r="G173" s="67">
        <v>0</v>
      </c>
      <c r="H173" s="67">
        <v>0</v>
      </c>
      <c r="I173" s="67">
        <v>0</v>
      </c>
      <c r="J173" s="67">
        <v>0</v>
      </c>
      <c r="K173" s="67">
        <v>0</v>
      </c>
      <c r="L173" s="67">
        <v>0</v>
      </c>
      <c r="M173" s="67">
        <v>0</v>
      </c>
      <c r="N173" s="67">
        <v>0</v>
      </c>
      <c r="O173" s="67">
        <v>0</v>
      </c>
      <c r="P173" s="326">
        <f t="shared" si="133"/>
        <v>0</v>
      </c>
      <c r="R173" s="2"/>
    </row>
    <row r="174" spans="1:18" x14ac:dyDescent="0.15">
      <c r="B174" s="340">
        <v>10</v>
      </c>
      <c r="C174" s="12" t="s">
        <v>299</v>
      </c>
      <c r="D174" s="387">
        <f>D171-D172+D173</f>
        <v>0</v>
      </c>
      <c r="E174" s="387">
        <f t="shared" ref="E174:N174" si="139">E171-E172+E173</f>
        <v>46240250</v>
      </c>
      <c r="F174" s="387">
        <f t="shared" si="139"/>
        <v>37983942.500000022</v>
      </c>
      <c r="G174" s="387">
        <f t="shared" si="139"/>
        <v>31359042.08412499</v>
      </c>
      <c r="H174" s="387">
        <f t="shared" si="139"/>
        <v>22335846.707490433</v>
      </c>
      <c r="I174" s="387">
        <f t="shared" si="139"/>
        <v>11298041.178848946</v>
      </c>
      <c r="J174" s="387">
        <f t="shared" si="139"/>
        <v>0</v>
      </c>
      <c r="K174" s="387">
        <f t="shared" si="139"/>
        <v>0</v>
      </c>
      <c r="L174" s="387">
        <f t="shared" si="139"/>
        <v>0</v>
      </c>
      <c r="M174" s="387">
        <f t="shared" si="139"/>
        <v>0</v>
      </c>
      <c r="N174" s="387">
        <f t="shared" si="139"/>
        <v>0</v>
      </c>
      <c r="O174" s="67">
        <v>0</v>
      </c>
      <c r="P174" s="326">
        <f t="shared" si="133"/>
        <v>149217122.47046441</v>
      </c>
      <c r="R174" s="2"/>
    </row>
    <row r="175" spans="1:18" x14ac:dyDescent="0.15">
      <c r="B175" s="340" t="s">
        <v>699</v>
      </c>
      <c r="C175" s="12" t="s">
        <v>292</v>
      </c>
      <c r="D175" s="388">
        <f>'After Tax Analysis'!D18</f>
        <v>0</v>
      </c>
      <c r="E175" s="388">
        <f>'After Tax Analysis'!E18</f>
        <v>3772500</v>
      </c>
      <c r="F175" s="388">
        <f>'After Tax Analysis'!F18</f>
        <v>6218850</v>
      </c>
      <c r="G175" s="388">
        <f>'After Tax Analysis'!G18</f>
        <v>4083150</v>
      </c>
      <c r="H175" s="388">
        <f>'After Tax Analysis'!H18</f>
        <v>2775510</v>
      </c>
      <c r="I175" s="388">
        <f>'After Tax Analysis'!I18</f>
        <v>1352955</v>
      </c>
      <c r="J175" s="388">
        <f>'After Tax Analysis'!J18</f>
        <v>0</v>
      </c>
      <c r="K175" s="388">
        <f>'After Tax Analysis'!K18</f>
        <v>0</v>
      </c>
      <c r="L175" s="388">
        <f>'After Tax Analysis'!L18</f>
        <v>0</v>
      </c>
      <c r="M175" s="388">
        <f>'After Tax Analysis'!M18</f>
        <v>0</v>
      </c>
      <c r="N175" s="388">
        <f>'After Tax Analysis'!N18</f>
        <v>0</v>
      </c>
      <c r="O175" s="67">
        <v>0</v>
      </c>
      <c r="P175" s="326">
        <f t="shared" si="133"/>
        <v>18202965</v>
      </c>
      <c r="R175" s="2"/>
    </row>
    <row r="176" spans="1:18" x14ac:dyDescent="0.15">
      <c r="B176" s="340">
        <v>12</v>
      </c>
      <c r="C176" s="12" t="s">
        <v>301</v>
      </c>
      <c r="D176" s="387">
        <f>D175+D174</f>
        <v>0</v>
      </c>
      <c r="E176" s="387">
        <f t="shared" ref="E176:N176" si="140">E175+E174</f>
        <v>50012750</v>
      </c>
      <c r="F176" s="387">
        <f t="shared" si="140"/>
        <v>44202792.500000022</v>
      </c>
      <c r="G176" s="387">
        <f t="shared" si="140"/>
        <v>35442192.08412499</v>
      </c>
      <c r="H176" s="387">
        <f t="shared" si="140"/>
        <v>25111356.707490433</v>
      </c>
      <c r="I176" s="387">
        <f t="shared" si="140"/>
        <v>12650996.178848946</v>
      </c>
      <c r="J176" s="387">
        <f t="shared" si="140"/>
        <v>0</v>
      </c>
      <c r="K176" s="387">
        <f t="shared" si="140"/>
        <v>0</v>
      </c>
      <c r="L176" s="387">
        <f t="shared" si="140"/>
        <v>0</v>
      </c>
      <c r="M176" s="387">
        <f t="shared" si="140"/>
        <v>0</v>
      </c>
      <c r="N176" s="387">
        <f t="shared" si="140"/>
        <v>0</v>
      </c>
      <c r="O176" s="67">
        <v>0</v>
      </c>
      <c r="P176" s="326">
        <f t="shared" si="133"/>
        <v>167420087.47046441</v>
      </c>
      <c r="R176" s="2"/>
    </row>
    <row r="177" spans="1:18" x14ac:dyDescent="0.15">
      <c r="B177" s="340" t="s">
        <v>700</v>
      </c>
      <c r="C177" s="12" t="s">
        <v>303</v>
      </c>
      <c r="D177" s="67">
        <f>'After Tax Analysis'!D20</f>
        <v>0</v>
      </c>
      <c r="E177" s="67">
        <f>'After Tax Analysis'!E20</f>
        <v>0</v>
      </c>
      <c r="F177" s="67">
        <f>'After Tax Analysis'!F20</f>
        <v>0</v>
      </c>
      <c r="G177" s="67">
        <f>'After Tax Analysis'!G20</f>
        <v>0</v>
      </c>
      <c r="H177" s="67">
        <f>'After Tax Analysis'!H20</f>
        <v>0</v>
      </c>
      <c r="I177" s="67">
        <f>'After Tax Analysis'!I20</f>
        <v>0</v>
      </c>
      <c r="J177" s="67">
        <f>'After Tax Analysis'!J20</f>
        <v>0</v>
      </c>
      <c r="K177" s="67">
        <f>'After Tax Analysis'!K20</f>
        <v>0</v>
      </c>
      <c r="L177" s="67">
        <f>'After Tax Analysis'!L20</f>
        <v>0</v>
      </c>
      <c r="M177" s="67">
        <f>'After Tax Analysis'!M20</f>
        <v>0</v>
      </c>
      <c r="N177" s="67">
        <f>'After Tax Analysis'!N20</f>
        <v>0</v>
      </c>
      <c r="O177" s="67">
        <v>0</v>
      </c>
      <c r="P177" s="326">
        <f t="shared" si="133"/>
        <v>0</v>
      </c>
      <c r="R177" s="2"/>
    </row>
    <row r="178" spans="1:18" x14ac:dyDescent="0.15">
      <c r="B178" s="340">
        <v>14</v>
      </c>
      <c r="C178" s="12" t="s">
        <v>304</v>
      </c>
      <c r="D178" s="67">
        <f>D179+D180+D181</f>
        <v>-32550000</v>
      </c>
      <c r="E178" s="67">
        <f t="shared" ref="E178:N178" si="141">E179+E180+E181</f>
        <v>0</v>
      </c>
      <c r="F178" s="67">
        <f t="shared" si="141"/>
        <v>0</v>
      </c>
      <c r="G178" s="67">
        <f t="shared" si="141"/>
        <v>0</v>
      </c>
      <c r="H178" s="67">
        <f t="shared" si="141"/>
        <v>0</v>
      </c>
      <c r="I178" s="67">
        <f t="shared" si="141"/>
        <v>14347035</v>
      </c>
      <c r="J178" s="67">
        <f t="shared" si="141"/>
        <v>0</v>
      </c>
      <c r="K178" s="67">
        <f t="shared" si="141"/>
        <v>0</v>
      </c>
      <c r="L178" s="67">
        <f t="shared" si="141"/>
        <v>0</v>
      </c>
      <c r="M178" s="67">
        <f t="shared" si="141"/>
        <v>0</v>
      </c>
      <c r="N178" s="67">
        <f t="shared" si="141"/>
        <v>0</v>
      </c>
      <c r="O178" s="67">
        <v>0</v>
      </c>
      <c r="P178" s="326">
        <f t="shared" si="133"/>
        <v>-18202965</v>
      </c>
      <c r="R178" s="2"/>
    </row>
    <row r="179" spans="1:18" x14ac:dyDescent="0.15">
      <c r="B179" s="340" t="s">
        <v>701</v>
      </c>
      <c r="C179" s="12" t="s">
        <v>207</v>
      </c>
      <c r="D179" s="67">
        <f>'After Tax Analysis'!D22</f>
        <v>-31050000</v>
      </c>
      <c r="E179" s="67">
        <f>'After Tax Analysis'!E22</f>
        <v>0</v>
      </c>
      <c r="F179" s="67">
        <f>'After Tax Analysis'!F22</f>
        <v>0</v>
      </c>
      <c r="G179" s="67">
        <f>'After Tax Analysis'!G22</f>
        <v>0</v>
      </c>
      <c r="H179" s="67">
        <f>'After Tax Analysis'!H22</f>
        <v>0</v>
      </c>
      <c r="I179" s="67">
        <f>'After Tax Analysis'!I22</f>
        <v>12847035</v>
      </c>
      <c r="J179" s="67">
        <f>'After Tax Analysis'!J22</f>
        <v>0</v>
      </c>
      <c r="K179" s="67">
        <f>'After Tax Analysis'!K22</f>
        <v>0</v>
      </c>
      <c r="L179" s="67">
        <f>'After Tax Analysis'!L22</f>
        <v>0</v>
      </c>
      <c r="M179" s="67">
        <f>'After Tax Analysis'!M22</f>
        <v>0</v>
      </c>
      <c r="N179" s="67">
        <f>'After Tax Analysis'!N22</f>
        <v>0</v>
      </c>
      <c r="O179" s="67">
        <v>0</v>
      </c>
      <c r="P179" s="326">
        <f t="shared" si="133"/>
        <v>-18202965</v>
      </c>
      <c r="R179" s="2"/>
    </row>
    <row r="180" spans="1:18" x14ac:dyDescent="0.15">
      <c r="B180" s="340" t="s">
        <v>702</v>
      </c>
      <c r="C180" s="12" t="s">
        <v>307</v>
      </c>
      <c r="D180" s="67">
        <f>'After Tax Analysis'!D23</f>
        <v>-1500000</v>
      </c>
      <c r="E180" s="67">
        <f>'After Tax Analysis'!E23</f>
        <v>0</v>
      </c>
      <c r="F180" s="67">
        <f>'After Tax Analysis'!F23</f>
        <v>0</v>
      </c>
      <c r="G180" s="67">
        <f>'After Tax Analysis'!G23</f>
        <v>0</v>
      </c>
      <c r="H180" s="67">
        <f>'After Tax Analysis'!H23</f>
        <v>0</v>
      </c>
      <c r="I180" s="67">
        <f>'After Tax Analysis'!I23</f>
        <v>1500000</v>
      </c>
      <c r="J180" s="67">
        <f>'After Tax Analysis'!J23</f>
        <v>0</v>
      </c>
      <c r="K180" s="67">
        <f>'After Tax Analysis'!K23</f>
        <v>0</v>
      </c>
      <c r="L180" s="67">
        <f>'After Tax Analysis'!L23</f>
        <v>0</v>
      </c>
      <c r="M180" s="67">
        <f>'After Tax Analysis'!M23</f>
        <v>0</v>
      </c>
      <c r="N180" s="67">
        <f>'After Tax Analysis'!N23</f>
        <v>0</v>
      </c>
      <c r="O180" s="67">
        <v>0</v>
      </c>
      <c r="P180" s="326">
        <f t="shared" si="133"/>
        <v>0</v>
      </c>
      <c r="R180" s="2"/>
    </row>
    <row r="181" spans="1:18" x14ac:dyDescent="0.15">
      <c r="B181" s="340" t="s">
        <v>703</v>
      </c>
      <c r="C181" s="12" t="s">
        <v>309</v>
      </c>
      <c r="D181" s="67">
        <f>'After Tax Analysis'!D24</f>
        <v>0</v>
      </c>
      <c r="E181" s="67">
        <f>'After Tax Analysis'!E24</f>
        <v>0</v>
      </c>
      <c r="F181" s="67">
        <f>'After Tax Analysis'!F24</f>
        <v>0</v>
      </c>
      <c r="G181" s="67">
        <f>'After Tax Analysis'!G24</f>
        <v>0</v>
      </c>
      <c r="H181" s="67">
        <f>'After Tax Analysis'!H24</f>
        <v>0</v>
      </c>
      <c r="I181" s="67">
        <f>'After Tax Analysis'!I24</f>
        <v>0</v>
      </c>
      <c r="J181" s="67">
        <f>'After Tax Analysis'!J24</f>
        <v>0</v>
      </c>
      <c r="K181" s="67">
        <f>'After Tax Analysis'!K24</f>
        <v>0</v>
      </c>
      <c r="L181" s="67">
        <f>'After Tax Analysis'!L24</f>
        <v>0</v>
      </c>
      <c r="M181" s="67">
        <f>'After Tax Analysis'!M24</f>
        <v>0</v>
      </c>
      <c r="N181" s="67">
        <f>'After Tax Analysis'!N24</f>
        <v>0</v>
      </c>
      <c r="O181" s="67">
        <v>0</v>
      </c>
      <c r="P181" s="326">
        <f t="shared" si="133"/>
        <v>0</v>
      </c>
      <c r="R181" s="2"/>
    </row>
    <row r="182" spans="1:18" x14ac:dyDescent="0.15">
      <c r="B182" s="340" t="s">
        <v>704</v>
      </c>
      <c r="C182" s="12" t="s">
        <v>311</v>
      </c>
      <c r="D182" s="67">
        <f>'After Tax Analysis'!D25</f>
        <v>0</v>
      </c>
      <c r="E182" s="67">
        <f>'After Tax Analysis'!E25</f>
        <v>0</v>
      </c>
      <c r="F182" s="67">
        <f>'After Tax Analysis'!F25</f>
        <v>0</v>
      </c>
      <c r="G182" s="67">
        <f>'After Tax Analysis'!G25</f>
        <v>0</v>
      </c>
      <c r="H182" s="67">
        <f>'After Tax Analysis'!H25</f>
        <v>0</v>
      </c>
      <c r="I182" s="67">
        <f>'After Tax Analysis'!I25</f>
        <v>-2596968.7000000002</v>
      </c>
      <c r="J182" s="67">
        <f>'After Tax Analysis'!J25</f>
        <v>0</v>
      </c>
      <c r="K182" s="67">
        <f>'After Tax Analysis'!K25</f>
        <v>0</v>
      </c>
      <c r="L182" s="67">
        <f>'After Tax Analysis'!L25</f>
        <v>0</v>
      </c>
      <c r="M182" s="67">
        <f>'After Tax Analysis'!M25</f>
        <v>0</v>
      </c>
      <c r="N182" s="67">
        <f>'After Tax Analysis'!N25</f>
        <v>0</v>
      </c>
      <c r="O182" s="67">
        <v>0</v>
      </c>
      <c r="P182" s="326">
        <f t="shared" si="133"/>
        <v>-2596968.7000000002</v>
      </c>
      <c r="R182" s="2"/>
    </row>
    <row r="183" spans="1:18" ht="14" thickBot="1" x14ac:dyDescent="0.2">
      <c r="B183" s="340" t="s">
        <v>705</v>
      </c>
      <c r="C183" s="12" t="s">
        <v>115</v>
      </c>
      <c r="D183" s="67">
        <f>'After Tax Analysis'!D26</f>
        <v>-60000000</v>
      </c>
      <c r="E183" s="67">
        <f>'After Tax Analysis'!E26</f>
        <v>0</v>
      </c>
      <c r="F183" s="67">
        <f>'After Tax Analysis'!F26</f>
        <v>0</v>
      </c>
      <c r="G183" s="67">
        <f>'After Tax Analysis'!G26</f>
        <v>0</v>
      </c>
      <c r="H183" s="67">
        <f>'After Tax Analysis'!H26</f>
        <v>0</v>
      </c>
      <c r="I183" s="67">
        <f>'After Tax Analysis'!I26</f>
        <v>60000000</v>
      </c>
      <c r="J183" s="67">
        <f>'After Tax Analysis'!J26</f>
        <v>0</v>
      </c>
      <c r="K183" s="67">
        <f>'After Tax Analysis'!K26</f>
        <v>0</v>
      </c>
      <c r="L183" s="67">
        <f>'After Tax Analysis'!L26</f>
        <v>0</v>
      </c>
      <c r="M183" s="67">
        <f>'After Tax Analysis'!M26</f>
        <v>0</v>
      </c>
      <c r="N183" s="67">
        <f>'After Tax Analysis'!N26</f>
        <v>0</v>
      </c>
      <c r="O183" s="67">
        <v>0</v>
      </c>
      <c r="P183" s="326">
        <f t="shared" si="133"/>
        <v>0</v>
      </c>
      <c r="R183" s="2"/>
    </row>
    <row r="184" spans="1:18" x14ac:dyDescent="0.15">
      <c r="B184" s="340">
        <v>17</v>
      </c>
      <c r="C184" s="12" t="s">
        <v>313</v>
      </c>
      <c r="D184" s="67">
        <f>D177+D178+D182+D183</f>
        <v>-92550000</v>
      </c>
      <c r="E184" s="67">
        <f t="shared" ref="E184:N184" si="142">E177+E178+E182+E183</f>
        <v>0</v>
      </c>
      <c r="F184" s="67">
        <f t="shared" si="142"/>
        <v>0</v>
      </c>
      <c r="G184" s="67">
        <f t="shared" si="142"/>
        <v>0</v>
      </c>
      <c r="H184" s="67">
        <f t="shared" si="142"/>
        <v>0</v>
      </c>
      <c r="I184" s="67">
        <f t="shared" si="142"/>
        <v>71750066.299999997</v>
      </c>
      <c r="J184" s="67">
        <f t="shared" si="142"/>
        <v>0</v>
      </c>
      <c r="K184" s="67">
        <f t="shared" si="142"/>
        <v>0</v>
      </c>
      <c r="L184" s="67">
        <f t="shared" si="142"/>
        <v>0</v>
      </c>
      <c r="M184" s="67">
        <f t="shared" si="142"/>
        <v>0</v>
      </c>
      <c r="N184" s="67">
        <f t="shared" si="142"/>
        <v>0</v>
      </c>
      <c r="O184" s="67">
        <v>0</v>
      </c>
      <c r="P184" s="326">
        <f t="shared" si="133"/>
        <v>-20799933.700000003</v>
      </c>
      <c r="Q184" s="333" t="s">
        <v>693</v>
      </c>
      <c r="R184" s="2"/>
    </row>
    <row r="185" spans="1:18" ht="14" thickBot="1" x14ac:dyDescent="0.2">
      <c r="A185" s="1" t="s">
        <v>417</v>
      </c>
      <c r="B185" s="355">
        <v>18</v>
      </c>
      <c r="C185" s="335" t="s">
        <v>314</v>
      </c>
      <c r="D185" s="331">
        <f>D184+D176</f>
        <v>-92550000</v>
      </c>
      <c r="E185" s="331">
        <f t="shared" ref="E185:N185" si="143">E184+E176</f>
        <v>50012750</v>
      </c>
      <c r="F185" s="331">
        <f t="shared" si="143"/>
        <v>44202792.500000022</v>
      </c>
      <c r="G185" s="331">
        <f t="shared" si="143"/>
        <v>35442192.08412499</v>
      </c>
      <c r="H185" s="331">
        <f t="shared" si="143"/>
        <v>25111356.707490433</v>
      </c>
      <c r="I185" s="331">
        <f t="shared" si="143"/>
        <v>84401062.478848949</v>
      </c>
      <c r="J185" s="331">
        <f t="shared" si="143"/>
        <v>0</v>
      </c>
      <c r="K185" s="331">
        <f t="shared" si="143"/>
        <v>0</v>
      </c>
      <c r="L185" s="331">
        <f t="shared" si="143"/>
        <v>0</v>
      </c>
      <c r="M185" s="331">
        <f t="shared" si="143"/>
        <v>0</v>
      </c>
      <c r="N185" s="331">
        <f t="shared" si="143"/>
        <v>0</v>
      </c>
      <c r="O185" s="331">
        <v>0</v>
      </c>
      <c r="P185" s="356">
        <f t="shared" si="133"/>
        <v>146620153.77046439</v>
      </c>
      <c r="Q185" s="338">
        <f>IF(ISNUMBER(IRR(D185:N185)),IRR(D185:N185),"NMF")</f>
        <v>0.40549033935008683</v>
      </c>
      <c r="R185" s="353" t="str">
        <f>A162</f>
        <v>Base Case</v>
      </c>
    </row>
    <row r="186" spans="1:18" x14ac:dyDescent="0.15">
      <c r="B186" s="340">
        <v>19</v>
      </c>
      <c r="C186" s="12" t="s">
        <v>315</v>
      </c>
      <c r="D186" s="53">
        <v>1</v>
      </c>
      <c r="E186" s="53">
        <v>0.86956521739130443</v>
      </c>
      <c r="F186" s="53">
        <v>0.7561436672967865</v>
      </c>
      <c r="G186" s="53">
        <v>0.65751623243198831</v>
      </c>
      <c r="H186" s="53">
        <v>0.57175324559303342</v>
      </c>
      <c r="I186" s="53">
        <v>0.49717673529828987</v>
      </c>
      <c r="J186" s="53">
        <v>0.43232759591155645</v>
      </c>
      <c r="K186" s="53">
        <v>0.37593703992309269</v>
      </c>
      <c r="L186" s="53">
        <v>0.32690177384616753</v>
      </c>
      <c r="M186" s="53">
        <v>0.28426241204014574</v>
      </c>
      <c r="N186" s="53">
        <v>0.24718470612186585</v>
      </c>
      <c r="O186" s="67">
        <v>0</v>
      </c>
      <c r="P186" s="326">
        <f>SUM(E186:N186)</f>
        <v>5.0187686258542312</v>
      </c>
      <c r="R186" s="2"/>
    </row>
    <row r="187" spans="1:18" x14ac:dyDescent="0.15">
      <c r="B187" s="340">
        <v>20</v>
      </c>
      <c r="C187" s="12" t="s">
        <v>316</v>
      </c>
      <c r="D187" s="67">
        <f>D186*D185</f>
        <v>-92550000</v>
      </c>
      <c r="E187" s="67">
        <f>E186*E185</f>
        <v>43489347.826086961</v>
      </c>
      <c r="F187" s="67">
        <f t="shared" ref="F187:N187" si="144">F186*F185</f>
        <v>33423661.625708908</v>
      </c>
      <c r="G187" s="67">
        <f t="shared" si="144"/>
        <v>23303816.608284704</v>
      </c>
      <c r="H187" s="67">
        <f t="shared" si="144"/>
        <v>14357499.698752044</v>
      </c>
      <c r="I187" s="67">
        <f t="shared" si="144"/>
        <v>41962244.698941112</v>
      </c>
      <c r="J187" s="67">
        <f t="shared" si="144"/>
        <v>0</v>
      </c>
      <c r="K187" s="67">
        <f t="shared" si="144"/>
        <v>0</v>
      </c>
      <c r="L187" s="67">
        <f t="shared" si="144"/>
        <v>0</v>
      </c>
      <c r="M187" s="67">
        <f t="shared" si="144"/>
        <v>0</v>
      </c>
      <c r="N187" s="67">
        <f t="shared" si="144"/>
        <v>0</v>
      </c>
      <c r="O187" s="67">
        <v>0</v>
      </c>
      <c r="P187" s="326">
        <f>SUM(E187:N187)</f>
        <v>156536570.45777375</v>
      </c>
      <c r="R187" s="2"/>
    </row>
    <row r="188" spans="1:18" ht="14" thickBot="1" x14ac:dyDescent="0.2">
      <c r="B188" s="341">
        <v>21</v>
      </c>
      <c r="C188" s="201" t="s">
        <v>317</v>
      </c>
      <c r="D188" s="327">
        <f>D187</f>
        <v>-92550000</v>
      </c>
      <c r="E188" s="327">
        <f>E187+D188</f>
        <v>-49060652.173913039</v>
      </c>
      <c r="F188" s="327">
        <f t="shared" ref="F188:N188" si="145">F187+E188</f>
        <v>-15636990.548204131</v>
      </c>
      <c r="G188" s="327">
        <f t="shared" si="145"/>
        <v>7666826.060080573</v>
      </c>
      <c r="H188" s="327">
        <f t="shared" si="145"/>
        <v>22024325.758832619</v>
      </c>
      <c r="I188" s="327">
        <f t="shared" si="145"/>
        <v>63986570.45777373</v>
      </c>
      <c r="J188" s="327">
        <f t="shared" si="145"/>
        <v>63986570.45777373</v>
      </c>
      <c r="K188" s="327">
        <f t="shared" si="145"/>
        <v>63986570.45777373</v>
      </c>
      <c r="L188" s="327">
        <f t="shared" si="145"/>
        <v>63986570.45777373</v>
      </c>
      <c r="M188" s="327">
        <f t="shared" si="145"/>
        <v>63986570.45777373</v>
      </c>
      <c r="N188" s="327">
        <f t="shared" si="145"/>
        <v>63986570.45777373</v>
      </c>
      <c r="O188" s="327">
        <v>0</v>
      </c>
      <c r="P188" s="326"/>
      <c r="R188" s="2"/>
    </row>
    <row r="189" spans="1:18" x14ac:dyDescent="0.15">
      <c r="R189" s="2"/>
    </row>
    <row r="190" spans="1:18" ht="14" thickBot="1" x14ac:dyDescent="0.2">
      <c r="R190" s="2"/>
    </row>
    <row r="191" spans="1:18" ht="14" thickBot="1" x14ac:dyDescent="0.2">
      <c r="B191" s="359" t="s">
        <v>282</v>
      </c>
      <c r="C191" s="360" t="s">
        <v>283</v>
      </c>
      <c r="D191" s="360"/>
      <c r="E191" s="360">
        <v>1</v>
      </c>
      <c r="F191" s="360">
        <v>2</v>
      </c>
      <c r="G191" s="360">
        <v>3</v>
      </c>
      <c r="H191" s="360">
        <v>4</v>
      </c>
      <c r="I191" s="360">
        <v>5</v>
      </c>
      <c r="J191" s="360">
        <v>6</v>
      </c>
      <c r="K191" s="360">
        <v>7</v>
      </c>
      <c r="L191" s="360">
        <v>8</v>
      </c>
      <c r="M191" s="360">
        <v>9</v>
      </c>
      <c r="N191" s="360">
        <v>10</v>
      </c>
      <c r="O191" s="360" t="s">
        <v>284</v>
      </c>
      <c r="P191" s="361" t="s">
        <v>285</v>
      </c>
      <c r="R191" s="2"/>
    </row>
    <row r="192" spans="1:18" x14ac:dyDescent="0.15">
      <c r="B192" s="339" t="s">
        <v>687</v>
      </c>
      <c r="C192" s="302" t="s">
        <v>287</v>
      </c>
      <c r="D192" s="322">
        <f t="shared" ref="D192:D207" si="146">D161</f>
        <v>0</v>
      </c>
      <c r="E192" s="322">
        <f t="shared" ref="E192:N192" si="147">E161</f>
        <v>300000000</v>
      </c>
      <c r="F192" s="322">
        <f t="shared" si="147"/>
        <v>313500000.00000006</v>
      </c>
      <c r="G192" s="322">
        <f t="shared" si="147"/>
        <v>327607500.00000006</v>
      </c>
      <c r="H192" s="322">
        <f t="shared" si="147"/>
        <v>342349837.50000012</v>
      </c>
      <c r="I192" s="322">
        <f t="shared" si="147"/>
        <v>357755580.18750012</v>
      </c>
      <c r="J192" s="322">
        <f t="shared" si="147"/>
        <v>0</v>
      </c>
      <c r="K192" s="322">
        <f t="shared" si="147"/>
        <v>0</v>
      </c>
      <c r="L192" s="322">
        <f t="shared" si="147"/>
        <v>0</v>
      </c>
      <c r="M192" s="322">
        <f t="shared" si="147"/>
        <v>0</v>
      </c>
      <c r="N192" s="322">
        <f t="shared" si="147"/>
        <v>0</v>
      </c>
      <c r="O192" s="322">
        <v>0</v>
      </c>
      <c r="P192" s="325">
        <f>SUM(D192:N192)</f>
        <v>1641212917.6875</v>
      </c>
      <c r="R192" s="2"/>
    </row>
    <row r="193" spans="1:18" x14ac:dyDescent="0.15">
      <c r="A193" s="1" t="s">
        <v>709</v>
      </c>
      <c r="B193" s="340" t="s">
        <v>689</v>
      </c>
      <c r="C193" s="354" t="s">
        <v>689</v>
      </c>
      <c r="D193" s="67">
        <f t="shared" si="146"/>
        <v>0</v>
      </c>
      <c r="E193" s="67">
        <f>E162</f>
        <v>300000000</v>
      </c>
      <c r="F193" s="67">
        <f t="shared" ref="F193:N193" si="148">F162</f>
        <v>313500000.00000006</v>
      </c>
      <c r="G193" s="67">
        <f t="shared" si="148"/>
        <v>327607500.00000006</v>
      </c>
      <c r="H193" s="67">
        <f t="shared" si="148"/>
        <v>342349837.50000012</v>
      </c>
      <c r="I193" s="67">
        <f t="shared" si="148"/>
        <v>357755580.18750012</v>
      </c>
      <c r="J193" s="67">
        <f t="shared" si="148"/>
        <v>0</v>
      </c>
      <c r="K193" s="67">
        <f t="shared" si="148"/>
        <v>0</v>
      </c>
      <c r="L193" s="67">
        <f t="shared" si="148"/>
        <v>0</v>
      </c>
      <c r="M193" s="67">
        <f t="shared" si="148"/>
        <v>0</v>
      </c>
      <c r="N193" s="67">
        <f t="shared" si="148"/>
        <v>0</v>
      </c>
      <c r="O193" s="67"/>
      <c r="P193" s="326">
        <f>SUM(D193:N193)</f>
        <v>1641212917.6875</v>
      </c>
      <c r="R193" s="2"/>
    </row>
    <row r="194" spans="1:18" x14ac:dyDescent="0.15">
      <c r="B194" s="340" t="s">
        <v>690</v>
      </c>
      <c r="C194" s="354" t="s">
        <v>690</v>
      </c>
      <c r="D194" s="67">
        <f t="shared" si="146"/>
        <v>0</v>
      </c>
      <c r="E194" s="67">
        <f>E163</f>
        <v>0</v>
      </c>
      <c r="F194" s="67">
        <f t="shared" ref="F194:N194" si="149">F163</f>
        <v>0</v>
      </c>
      <c r="G194" s="67">
        <f t="shared" si="149"/>
        <v>0</v>
      </c>
      <c r="H194" s="67">
        <f t="shared" si="149"/>
        <v>0</v>
      </c>
      <c r="I194" s="67">
        <f t="shared" si="149"/>
        <v>0</v>
      </c>
      <c r="J194" s="67">
        <f t="shared" si="149"/>
        <v>0</v>
      </c>
      <c r="K194" s="67">
        <f t="shared" si="149"/>
        <v>0</v>
      </c>
      <c r="L194" s="67">
        <f t="shared" si="149"/>
        <v>0</v>
      </c>
      <c r="M194" s="67">
        <f t="shared" si="149"/>
        <v>0</v>
      </c>
      <c r="N194" s="67">
        <f t="shared" si="149"/>
        <v>0</v>
      </c>
      <c r="O194" s="294"/>
      <c r="P194" s="326">
        <f t="shared" ref="P194:P215" si="150">SUM(D194:N194)</f>
        <v>0</v>
      </c>
      <c r="R194" s="2"/>
    </row>
    <row r="195" spans="1:18" x14ac:dyDescent="0.15">
      <c r="B195" s="355" t="s">
        <v>691</v>
      </c>
      <c r="C195" s="362" t="s">
        <v>691</v>
      </c>
      <c r="D195" s="331">
        <f t="shared" si="146"/>
        <v>0</v>
      </c>
      <c r="E195" s="331">
        <f>E164*1.05</f>
        <v>0</v>
      </c>
      <c r="F195" s="331">
        <f t="shared" ref="F195:N195" si="151">F164*1.05</f>
        <v>0</v>
      </c>
      <c r="G195" s="331">
        <f t="shared" si="151"/>
        <v>0</v>
      </c>
      <c r="H195" s="331">
        <f t="shared" si="151"/>
        <v>0</v>
      </c>
      <c r="I195" s="331">
        <f t="shared" si="151"/>
        <v>0</v>
      </c>
      <c r="J195" s="331">
        <f t="shared" si="151"/>
        <v>0</v>
      </c>
      <c r="K195" s="331">
        <f t="shared" si="151"/>
        <v>0</v>
      </c>
      <c r="L195" s="331">
        <f t="shared" si="151"/>
        <v>0</v>
      </c>
      <c r="M195" s="331">
        <f t="shared" si="151"/>
        <v>0</v>
      </c>
      <c r="N195" s="331">
        <f t="shared" si="151"/>
        <v>0</v>
      </c>
      <c r="O195" s="331"/>
      <c r="P195" s="356">
        <f t="shared" si="150"/>
        <v>0</v>
      </c>
      <c r="R195" s="2"/>
    </row>
    <row r="196" spans="1:18" x14ac:dyDescent="0.15">
      <c r="B196" s="340" t="s">
        <v>695</v>
      </c>
      <c r="C196" s="12"/>
      <c r="D196" s="67">
        <f t="shared" si="146"/>
        <v>0</v>
      </c>
      <c r="E196" s="67">
        <f>E195+E194+E193</f>
        <v>300000000</v>
      </c>
      <c r="F196" s="67">
        <f t="shared" ref="F196:N196" si="152">F195+F194+F193</f>
        <v>313500000.00000006</v>
      </c>
      <c r="G196" s="67">
        <f t="shared" si="152"/>
        <v>327607500.00000006</v>
      </c>
      <c r="H196" s="67">
        <f t="shared" si="152"/>
        <v>342349837.50000012</v>
      </c>
      <c r="I196" s="67">
        <f t="shared" si="152"/>
        <v>357755580.18750012</v>
      </c>
      <c r="J196" s="67">
        <f t="shared" si="152"/>
        <v>0</v>
      </c>
      <c r="K196" s="67">
        <f t="shared" si="152"/>
        <v>0</v>
      </c>
      <c r="L196" s="67">
        <f t="shared" si="152"/>
        <v>0</v>
      </c>
      <c r="M196" s="67">
        <f t="shared" si="152"/>
        <v>0</v>
      </c>
      <c r="N196" s="67">
        <f t="shared" si="152"/>
        <v>0</v>
      </c>
      <c r="O196" s="67"/>
      <c r="P196" s="326">
        <f t="shared" si="150"/>
        <v>1641212917.6875</v>
      </c>
      <c r="R196" s="2"/>
    </row>
    <row r="197" spans="1:18" x14ac:dyDescent="0.15">
      <c r="B197" s="340" t="s">
        <v>696</v>
      </c>
      <c r="C197" s="12" t="s">
        <v>289</v>
      </c>
      <c r="D197" s="67">
        <f t="shared" si="146"/>
        <v>0</v>
      </c>
      <c r="E197" s="67">
        <f>Expenses!D18+Expenses!D25+(Expenses!D32*1.05)+Expenses!D39+Expenses!D44+(Expenses!D49*1.05)+Expenses!D56+Expenses!D95-Expenses!D77</f>
        <v>230170000</v>
      </c>
      <c r="F197" s="67">
        <f>Expenses!E18+Expenses!E25+(Expenses!E32*1.05)+Expenses!E39+Expenses!E44+(Expenses!E49*1.05)+Expenses!E56+Expenses!E95-Expenses!E77</f>
        <v>253018375.00000003</v>
      </c>
      <c r="G197" s="67">
        <f>Expenses!F18+Expenses!F25+(Expenses!F32*1.05)+Expenses!F39+Expenses!F44+(Expenses!F49*1.05)+Expenses!F56+Expenses!F95-Expenses!F77</f>
        <v>278725718.45125008</v>
      </c>
      <c r="H197" s="67">
        <f>Expenses!G18+Expenses!G25+(Expenses!G32*1.05)+Expenses!G39+Expenses!G44+(Expenses!G49*1.05)+Expenses!G56+Expenses!G95-Expenses!G77</f>
        <v>307665975.06072807</v>
      </c>
      <c r="I197" s="67">
        <f>Expenses!H18+Expenses!H25+(Expenses!H32*1.05)+Expenses!H39+Expenses!H44+(Expenses!H49*1.05)+Expenses!H56+Expenses!H95-Expenses!H77</f>
        <v>340262566.36057305</v>
      </c>
      <c r="J197" s="67">
        <f>Expenses!I18+Expenses!I25+(Expenses!I32*1.05)+Expenses!I39+Expenses!I44+(Expenses!I49*1.05)+Expenses!I56+Expenses!I95-Expenses!I77</f>
        <v>0</v>
      </c>
      <c r="K197" s="67">
        <f>Expenses!J18+Expenses!J25+(Expenses!J32*1.05)+Expenses!J39+Expenses!J44+(Expenses!J49*1.05)+Expenses!J56+Expenses!J95-Expenses!J77</f>
        <v>0</v>
      </c>
      <c r="L197" s="67">
        <f>Expenses!K18+Expenses!K25+(Expenses!K32*1.05)+Expenses!K39+Expenses!K44+(Expenses!K49*1.05)+Expenses!K56+Expenses!K95-Expenses!K77</f>
        <v>0</v>
      </c>
      <c r="M197" s="67">
        <f>Expenses!L18+Expenses!L25+(Expenses!L32*1.05)+Expenses!L39+Expenses!L44+(Expenses!L49*1.05)+Expenses!L56+Expenses!L95-Expenses!L77</f>
        <v>0</v>
      </c>
      <c r="N197" s="67">
        <f>Expenses!M18+Expenses!M25+(Expenses!M32*1.05)+Expenses!M39+Expenses!M44+(Expenses!M49*1.05)+Expenses!M56+Expenses!M95-Expenses!M77</f>
        <v>0</v>
      </c>
      <c r="O197" s="67">
        <v>0</v>
      </c>
      <c r="P197" s="326">
        <f t="shared" si="150"/>
        <v>1409842634.8725512</v>
      </c>
      <c r="R197" s="2"/>
    </row>
    <row r="198" spans="1:18" x14ac:dyDescent="0.15">
      <c r="B198" s="340">
        <v>3</v>
      </c>
      <c r="C198" s="12" t="s">
        <v>290</v>
      </c>
      <c r="D198" s="67">
        <f t="shared" si="146"/>
        <v>0</v>
      </c>
      <c r="E198" s="67">
        <f>E196-E197</f>
        <v>69830000</v>
      </c>
      <c r="F198" s="67">
        <f t="shared" ref="F198:N198" si="153">F196-F197</f>
        <v>60481625.00000003</v>
      </c>
      <c r="G198" s="67">
        <f t="shared" si="153"/>
        <v>48881781.548749983</v>
      </c>
      <c r="H198" s="67">
        <f t="shared" si="153"/>
        <v>34683862.439272046</v>
      </c>
      <c r="I198" s="67">
        <f t="shared" si="153"/>
        <v>17493013.826927066</v>
      </c>
      <c r="J198" s="67">
        <f t="shared" si="153"/>
        <v>0</v>
      </c>
      <c r="K198" s="67">
        <f t="shared" si="153"/>
        <v>0</v>
      </c>
      <c r="L198" s="67">
        <f t="shared" si="153"/>
        <v>0</v>
      </c>
      <c r="M198" s="67">
        <f t="shared" si="153"/>
        <v>0</v>
      </c>
      <c r="N198" s="67">
        <f t="shared" si="153"/>
        <v>0</v>
      </c>
      <c r="O198" s="67">
        <v>0</v>
      </c>
      <c r="P198" s="326">
        <f t="shared" si="150"/>
        <v>231370282.81494913</v>
      </c>
      <c r="R198" s="2"/>
    </row>
    <row r="199" spans="1:18" x14ac:dyDescent="0.15">
      <c r="B199" s="340" t="s">
        <v>697</v>
      </c>
      <c r="C199" s="12" t="s">
        <v>292</v>
      </c>
      <c r="D199" s="67">
        <f t="shared" si="146"/>
        <v>0</v>
      </c>
      <c r="E199" s="67">
        <f>E168</f>
        <v>3772500</v>
      </c>
      <c r="F199" s="67">
        <f t="shared" ref="F199:N199" si="154">F168</f>
        <v>6218850</v>
      </c>
      <c r="G199" s="67">
        <f t="shared" si="154"/>
        <v>4083150</v>
      </c>
      <c r="H199" s="67">
        <f t="shared" si="154"/>
        <v>2775510</v>
      </c>
      <c r="I199" s="67">
        <f t="shared" si="154"/>
        <v>1352955</v>
      </c>
      <c r="J199" s="67">
        <f t="shared" si="154"/>
        <v>0</v>
      </c>
      <c r="K199" s="67">
        <f t="shared" si="154"/>
        <v>0</v>
      </c>
      <c r="L199" s="67">
        <f t="shared" si="154"/>
        <v>0</v>
      </c>
      <c r="M199" s="67">
        <f t="shared" si="154"/>
        <v>0</v>
      </c>
      <c r="N199" s="67">
        <f t="shared" si="154"/>
        <v>0</v>
      </c>
      <c r="O199" s="67">
        <v>0</v>
      </c>
      <c r="P199" s="326">
        <f t="shared" si="150"/>
        <v>18202965</v>
      </c>
      <c r="R199" s="2"/>
    </row>
    <row r="200" spans="1:18" x14ac:dyDescent="0.15">
      <c r="B200" s="340">
        <v>5</v>
      </c>
      <c r="C200" s="12" t="s">
        <v>293</v>
      </c>
      <c r="D200" s="67">
        <f t="shared" si="146"/>
        <v>0</v>
      </c>
      <c r="E200" s="67">
        <f>E198-E199</f>
        <v>66057500</v>
      </c>
      <c r="F200" s="67">
        <f t="shared" ref="F200:N200" si="155">F198-F199</f>
        <v>54262775.00000003</v>
      </c>
      <c r="G200" s="67">
        <f t="shared" si="155"/>
        <v>44798631.548749983</v>
      </c>
      <c r="H200" s="67">
        <f t="shared" si="155"/>
        <v>31908352.439272046</v>
      </c>
      <c r="I200" s="67">
        <f t="shared" si="155"/>
        <v>16140058.826927066</v>
      </c>
      <c r="J200" s="67">
        <f t="shared" si="155"/>
        <v>0</v>
      </c>
      <c r="K200" s="67">
        <f t="shared" si="155"/>
        <v>0</v>
      </c>
      <c r="L200" s="67">
        <f t="shared" si="155"/>
        <v>0</v>
      </c>
      <c r="M200" s="67">
        <f t="shared" si="155"/>
        <v>0</v>
      </c>
      <c r="N200" s="67">
        <f t="shared" si="155"/>
        <v>0</v>
      </c>
      <c r="O200" s="67">
        <v>0</v>
      </c>
      <c r="P200" s="326">
        <f t="shared" si="150"/>
        <v>213167317.81494913</v>
      </c>
      <c r="R200" s="2"/>
    </row>
    <row r="201" spans="1:18" x14ac:dyDescent="0.15">
      <c r="B201" s="340" t="s">
        <v>698</v>
      </c>
      <c r="C201" s="12" t="s">
        <v>295</v>
      </c>
      <c r="D201" s="67">
        <f t="shared" si="146"/>
        <v>0</v>
      </c>
      <c r="E201" s="67">
        <f>E170</f>
        <v>0</v>
      </c>
      <c r="F201" s="67">
        <f t="shared" ref="F201:N201" si="156">F170</f>
        <v>0</v>
      </c>
      <c r="G201" s="67">
        <f t="shared" si="156"/>
        <v>0</v>
      </c>
      <c r="H201" s="67">
        <f t="shared" si="156"/>
        <v>0</v>
      </c>
      <c r="I201" s="67">
        <f t="shared" si="156"/>
        <v>0</v>
      </c>
      <c r="J201" s="67">
        <f t="shared" si="156"/>
        <v>0</v>
      </c>
      <c r="K201" s="67">
        <f t="shared" si="156"/>
        <v>0</v>
      </c>
      <c r="L201" s="67">
        <f t="shared" si="156"/>
        <v>0</v>
      </c>
      <c r="M201" s="67">
        <f t="shared" si="156"/>
        <v>0</v>
      </c>
      <c r="N201" s="67">
        <f t="shared" si="156"/>
        <v>0</v>
      </c>
      <c r="O201" s="67">
        <v>0</v>
      </c>
      <c r="P201" s="326">
        <f t="shared" si="150"/>
        <v>0</v>
      </c>
      <c r="R201" s="2"/>
    </row>
    <row r="202" spans="1:18" x14ac:dyDescent="0.15">
      <c r="B202" s="340">
        <v>7</v>
      </c>
      <c r="C202" s="12" t="s">
        <v>296</v>
      </c>
      <c r="D202" s="67">
        <f t="shared" si="146"/>
        <v>0</v>
      </c>
      <c r="E202" s="67">
        <f>E200-E201</f>
        <v>66057500</v>
      </c>
      <c r="F202" s="67">
        <f t="shared" ref="F202:N202" si="157">F200-F201</f>
        <v>54262775.00000003</v>
      </c>
      <c r="G202" s="67">
        <f t="shared" si="157"/>
        <v>44798631.548749983</v>
      </c>
      <c r="H202" s="67">
        <f t="shared" si="157"/>
        <v>31908352.439272046</v>
      </c>
      <c r="I202" s="67">
        <f t="shared" si="157"/>
        <v>16140058.826927066</v>
      </c>
      <c r="J202" s="67">
        <f t="shared" si="157"/>
        <v>0</v>
      </c>
      <c r="K202" s="67">
        <f t="shared" si="157"/>
        <v>0</v>
      </c>
      <c r="L202" s="67">
        <f t="shared" si="157"/>
        <v>0</v>
      </c>
      <c r="M202" s="67">
        <f t="shared" si="157"/>
        <v>0</v>
      </c>
      <c r="N202" s="67">
        <f t="shared" si="157"/>
        <v>0</v>
      </c>
      <c r="O202" s="67">
        <v>0</v>
      </c>
      <c r="P202" s="326">
        <f t="shared" si="150"/>
        <v>213167317.81494913</v>
      </c>
      <c r="R202" s="2"/>
    </row>
    <row r="203" spans="1:18" x14ac:dyDescent="0.15">
      <c r="B203" s="340">
        <v>8</v>
      </c>
      <c r="C203" s="12" t="s">
        <v>297</v>
      </c>
      <c r="D203" s="67">
        <f t="shared" si="146"/>
        <v>0</v>
      </c>
      <c r="E203" s="67">
        <f>-E202*$D$3</f>
        <v>-19817250</v>
      </c>
      <c r="F203" s="67">
        <f t="shared" ref="F203:N203" si="158">-F202*$D$3</f>
        <v>-16278832.500000007</v>
      </c>
      <c r="G203" s="67">
        <f t="shared" si="158"/>
        <v>-13439589.464624995</v>
      </c>
      <c r="H203" s="67">
        <f t="shared" si="158"/>
        <v>-9572505.7317816131</v>
      </c>
      <c r="I203" s="67">
        <f t="shared" si="158"/>
        <v>-4842017.6480781194</v>
      </c>
      <c r="J203" s="67">
        <f t="shared" si="158"/>
        <v>0</v>
      </c>
      <c r="K203" s="67">
        <f t="shared" si="158"/>
        <v>0</v>
      </c>
      <c r="L203" s="67">
        <f t="shared" si="158"/>
        <v>0</v>
      </c>
      <c r="M203" s="67">
        <f t="shared" si="158"/>
        <v>0</v>
      </c>
      <c r="N203" s="67">
        <f t="shared" si="158"/>
        <v>0</v>
      </c>
      <c r="O203" s="67">
        <v>0</v>
      </c>
      <c r="P203" s="326">
        <f t="shared" si="150"/>
        <v>-63950195.344484739</v>
      </c>
      <c r="R203" s="2"/>
    </row>
    <row r="204" spans="1:18" x14ac:dyDescent="0.15">
      <c r="B204" s="340">
        <v>9</v>
      </c>
      <c r="C204" s="12" t="s">
        <v>298</v>
      </c>
      <c r="D204" s="67">
        <f t="shared" si="146"/>
        <v>0</v>
      </c>
      <c r="E204" s="67">
        <f>E173</f>
        <v>0</v>
      </c>
      <c r="F204" s="67">
        <f t="shared" ref="F204:N204" si="159">F173</f>
        <v>0</v>
      </c>
      <c r="G204" s="67">
        <f t="shared" si="159"/>
        <v>0</v>
      </c>
      <c r="H204" s="67">
        <f t="shared" si="159"/>
        <v>0</v>
      </c>
      <c r="I204" s="67">
        <f t="shared" si="159"/>
        <v>0</v>
      </c>
      <c r="J204" s="67">
        <f t="shared" si="159"/>
        <v>0</v>
      </c>
      <c r="K204" s="67">
        <f t="shared" si="159"/>
        <v>0</v>
      </c>
      <c r="L204" s="67">
        <f t="shared" si="159"/>
        <v>0</v>
      </c>
      <c r="M204" s="67">
        <f t="shared" si="159"/>
        <v>0</v>
      </c>
      <c r="N204" s="67">
        <f t="shared" si="159"/>
        <v>0</v>
      </c>
      <c r="O204" s="67">
        <v>0</v>
      </c>
      <c r="P204" s="326">
        <f t="shared" si="150"/>
        <v>0</v>
      </c>
      <c r="R204" s="2"/>
    </row>
    <row r="205" spans="1:18" x14ac:dyDescent="0.15">
      <c r="B205" s="340">
        <v>10</v>
      </c>
      <c r="C205" s="12" t="s">
        <v>299</v>
      </c>
      <c r="D205" s="67">
        <f t="shared" si="146"/>
        <v>0</v>
      </c>
      <c r="E205" s="67">
        <f>E202+E203+E204</f>
        <v>46240250</v>
      </c>
      <c r="F205" s="67">
        <f t="shared" ref="F205:N205" si="160">F202+F203+F204</f>
        <v>37983942.500000022</v>
      </c>
      <c r="G205" s="67">
        <f t="shared" si="160"/>
        <v>31359042.08412499</v>
      </c>
      <c r="H205" s="67">
        <f t="shared" si="160"/>
        <v>22335846.707490433</v>
      </c>
      <c r="I205" s="67">
        <f t="shared" si="160"/>
        <v>11298041.178848946</v>
      </c>
      <c r="J205" s="67">
        <f t="shared" si="160"/>
        <v>0</v>
      </c>
      <c r="K205" s="67">
        <f t="shared" si="160"/>
        <v>0</v>
      </c>
      <c r="L205" s="67">
        <f t="shared" si="160"/>
        <v>0</v>
      </c>
      <c r="M205" s="67">
        <f t="shared" si="160"/>
        <v>0</v>
      </c>
      <c r="N205" s="67">
        <f t="shared" si="160"/>
        <v>0</v>
      </c>
      <c r="O205" s="67">
        <v>0</v>
      </c>
      <c r="P205" s="326">
        <f t="shared" si="150"/>
        <v>149217122.47046441</v>
      </c>
      <c r="R205" s="2"/>
    </row>
    <row r="206" spans="1:18" x14ac:dyDescent="0.15">
      <c r="B206" s="340" t="s">
        <v>699</v>
      </c>
      <c r="C206" s="12" t="s">
        <v>292</v>
      </c>
      <c r="D206" s="67">
        <f t="shared" si="146"/>
        <v>0</v>
      </c>
      <c r="E206" s="67">
        <f>E175</f>
        <v>3772500</v>
      </c>
      <c r="F206" s="67">
        <f t="shared" ref="F206:N206" si="161">F175</f>
        <v>6218850</v>
      </c>
      <c r="G206" s="67">
        <f t="shared" si="161"/>
        <v>4083150</v>
      </c>
      <c r="H206" s="67">
        <f t="shared" si="161"/>
        <v>2775510</v>
      </c>
      <c r="I206" s="67">
        <f t="shared" si="161"/>
        <v>1352955</v>
      </c>
      <c r="J206" s="67">
        <f t="shared" si="161"/>
        <v>0</v>
      </c>
      <c r="K206" s="67">
        <f t="shared" si="161"/>
        <v>0</v>
      </c>
      <c r="L206" s="67">
        <f t="shared" si="161"/>
        <v>0</v>
      </c>
      <c r="M206" s="67">
        <f t="shared" si="161"/>
        <v>0</v>
      </c>
      <c r="N206" s="67">
        <f t="shared" si="161"/>
        <v>0</v>
      </c>
      <c r="O206" s="67">
        <v>0</v>
      </c>
      <c r="P206" s="326">
        <f t="shared" si="150"/>
        <v>18202965</v>
      </c>
      <c r="R206" s="2"/>
    </row>
    <row r="207" spans="1:18" x14ac:dyDescent="0.15">
      <c r="B207" s="340">
        <v>12</v>
      </c>
      <c r="C207" s="12" t="s">
        <v>301</v>
      </c>
      <c r="D207" s="67">
        <f t="shared" si="146"/>
        <v>0</v>
      </c>
      <c r="E207" s="67">
        <f>E205+E206</f>
        <v>50012750</v>
      </c>
      <c r="F207" s="67">
        <f t="shared" ref="F207:N207" si="162">F205+F206</f>
        <v>44202792.500000022</v>
      </c>
      <c r="G207" s="67">
        <f t="shared" si="162"/>
        <v>35442192.08412499</v>
      </c>
      <c r="H207" s="67">
        <f t="shared" si="162"/>
        <v>25111356.707490433</v>
      </c>
      <c r="I207" s="67">
        <f t="shared" si="162"/>
        <v>12650996.178848946</v>
      </c>
      <c r="J207" s="67">
        <f t="shared" si="162"/>
        <v>0</v>
      </c>
      <c r="K207" s="67">
        <f t="shared" si="162"/>
        <v>0</v>
      </c>
      <c r="L207" s="67">
        <f t="shared" si="162"/>
        <v>0</v>
      </c>
      <c r="M207" s="67">
        <f t="shared" si="162"/>
        <v>0</v>
      </c>
      <c r="N207" s="67">
        <f t="shared" si="162"/>
        <v>0</v>
      </c>
      <c r="O207" s="67">
        <v>0</v>
      </c>
      <c r="P207" s="326">
        <f t="shared" si="150"/>
        <v>167420087.47046441</v>
      </c>
      <c r="R207" s="2"/>
    </row>
    <row r="208" spans="1:18" x14ac:dyDescent="0.15">
      <c r="B208" s="340" t="s">
        <v>700</v>
      </c>
      <c r="C208" s="12" t="s">
        <v>303</v>
      </c>
      <c r="D208" s="67">
        <v>0</v>
      </c>
      <c r="E208" s="67">
        <f t="shared" ref="E208:N208" si="163">E177</f>
        <v>0</v>
      </c>
      <c r="F208" s="67">
        <f t="shared" si="163"/>
        <v>0</v>
      </c>
      <c r="G208" s="67">
        <f t="shared" si="163"/>
        <v>0</v>
      </c>
      <c r="H208" s="67">
        <f t="shared" si="163"/>
        <v>0</v>
      </c>
      <c r="I208" s="67">
        <f t="shared" si="163"/>
        <v>0</v>
      </c>
      <c r="J208" s="67">
        <f t="shared" si="163"/>
        <v>0</v>
      </c>
      <c r="K208" s="67">
        <f t="shared" si="163"/>
        <v>0</v>
      </c>
      <c r="L208" s="67">
        <f t="shared" si="163"/>
        <v>0</v>
      </c>
      <c r="M208" s="67">
        <f t="shared" si="163"/>
        <v>0</v>
      </c>
      <c r="N208" s="67">
        <f t="shared" si="163"/>
        <v>0</v>
      </c>
      <c r="O208" s="67">
        <v>0</v>
      </c>
      <c r="P208" s="326">
        <f t="shared" si="150"/>
        <v>0</v>
      </c>
      <c r="R208" s="2"/>
    </row>
    <row r="209" spans="1:18" x14ac:dyDescent="0.15">
      <c r="B209" s="340">
        <v>14</v>
      </c>
      <c r="C209" s="12" t="s">
        <v>304</v>
      </c>
      <c r="D209" s="67">
        <f t="shared" ref="D209:N215" si="164">D178</f>
        <v>-32550000</v>
      </c>
      <c r="E209" s="67">
        <f t="shared" si="164"/>
        <v>0</v>
      </c>
      <c r="F209" s="67">
        <f t="shared" si="164"/>
        <v>0</v>
      </c>
      <c r="G209" s="67">
        <f t="shared" si="164"/>
        <v>0</v>
      </c>
      <c r="H209" s="67">
        <f t="shared" si="164"/>
        <v>0</v>
      </c>
      <c r="I209" s="67">
        <f t="shared" si="164"/>
        <v>14347035</v>
      </c>
      <c r="J209" s="67">
        <f t="shared" si="164"/>
        <v>0</v>
      </c>
      <c r="K209" s="67">
        <f t="shared" si="164"/>
        <v>0</v>
      </c>
      <c r="L209" s="67">
        <f t="shared" si="164"/>
        <v>0</v>
      </c>
      <c r="M209" s="67">
        <f t="shared" si="164"/>
        <v>0</v>
      </c>
      <c r="N209" s="67">
        <f t="shared" si="164"/>
        <v>0</v>
      </c>
      <c r="O209" s="67">
        <v>0</v>
      </c>
      <c r="P209" s="326">
        <f t="shared" si="150"/>
        <v>-18202965</v>
      </c>
      <c r="R209" s="2"/>
    </row>
    <row r="210" spans="1:18" x14ac:dyDescent="0.15">
      <c r="B210" s="340" t="s">
        <v>701</v>
      </c>
      <c r="C210" s="12" t="s">
        <v>207</v>
      </c>
      <c r="D210" s="67">
        <f t="shared" si="164"/>
        <v>-31050000</v>
      </c>
      <c r="E210" s="67">
        <f t="shared" si="164"/>
        <v>0</v>
      </c>
      <c r="F210" s="67">
        <f t="shared" si="164"/>
        <v>0</v>
      </c>
      <c r="G210" s="67">
        <f t="shared" si="164"/>
        <v>0</v>
      </c>
      <c r="H210" s="67">
        <f t="shared" si="164"/>
        <v>0</v>
      </c>
      <c r="I210" s="67">
        <f t="shared" si="164"/>
        <v>12847035</v>
      </c>
      <c r="J210" s="67">
        <f t="shared" si="164"/>
        <v>0</v>
      </c>
      <c r="K210" s="67">
        <f t="shared" si="164"/>
        <v>0</v>
      </c>
      <c r="L210" s="67">
        <f t="shared" si="164"/>
        <v>0</v>
      </c>
      <c r="M210" s="67">
        <f t="shared" si="164"/>
        <v>0</v>
      </c>
      <c r="N210" s="67">
        <f t="shared" si="164"/>
        <v>0</v>
      </c>
      <c r="O210" s="67">
        <v>0</v>
      </c>
      <c r="P210" s="326">
        <f t="shared" si="150"/>
        <v>-18202965</v>
      </c>
      <c r="R210" s="2"/>
    </row>
    <row r="211" spans="1:18" x14ac:dyDescent="0.15">
      <c r="B211" s="340" t="s">
        <v>702</v>
      </c>
      <c r="C211" s="12" t="s">
        <v>307</v>
      </c>
      <c r="D211" s="67">
        <f t="shared" si="164"/>
        <v>-1500000</v>
      </c>
      <c r="E211" s="67">
        <f t="shared" si="164"/>
        <v>0</v>
      </c>
      <c r="F211" s="67">
        <f t="shared" si="164"/>
        <v>0</v>
      </c>
      <c r="G211" s="67">
        <f t="shared" si="164"/>
        <v>0</v>
      </c>
      <c r="H211" s="67">
        <f t="shared" si="164"/>
        <v>0</v>
      </c>
      <c r="I211" s="67">
        <f t="shared" si="164"/>
        <v>1500000</v>
      </c>
      <c r="J211" s="67">
        <f t="shared" si="164"/>
        <v>0</v>
      </c>
      <c r="K211" s="67">
        <f t="shared" si="164"/>
        <v>0</v>
      </c>
      <c r="L211" s="67">
        <f t="shared" si="164"/>
        <v>0</v>
      </c>
      <c r="M211" s="67">
        <f t="shared" si="164"/>
        <v>0</v>
      </c>
      <c r="N211" s="67">
        <f t="shared" si="164"/>
        <v>0</v>
      </c>
      <c r="O211" s="67">
        <v>0</v>
      </c>
      <c r="P211" s="326">
        <f t="shared" si="150"/>
        <v>0</v>
      </c>
      <c r="R211" s="2"/>
    </row>
    <row r="212" spans="1:18" x14ac:dyDescent="0.15">
      <c r="B212" s="340" t="s">
        <v>703</v>
      </c>
      <c r="C212" s="12" t="s">
        <v>309</v>
      </c>
      <c r="D212" s="67">
        <f t="shared" si="164"/>
        <v>0</v>
      </c>
      <c r="E212" s="67">
        <f t="shared" si="164"/>
        <v>0</v>
      </c>
      <c r="F212" s="67">
        <f t="shared" si="164"/>
        <v>0</v>
      </c>
      <c r="G212" s="67">
        <f t="shared" si="164"/>
        <v>0</v>
      </c>
      <c r="H212" s="67">
        <f t="shared" si="164"/>
        <v>0</v>
      </c>
      <c r="I212" s="67">
        <f t="shared" si="164"/>
        <v>0</v>
      </c>
      <c r="J212" s="67">
        <f t="shared" si="164"/>
        <v>0</v>
      </c>
      <c r="K212" s="67">
        <f t="shared" si="164"/>
        <v>0</v>
      </c>
      <c r="L212" s="67">
        <f t="shared" si="164"/>
        <v>0</v>
      </c>
      <c r="M212" s="67">
        <f t="shared" si="164"/>
        <v>0</v>
      </c>
      <c r="N212" s="67">
        <f t="shared" si="164"/>
        <v>0</v>
      </c>
      <c r="O212" s="67">
        <v>0</v>
      </c>
      <c r="P212" s="326">
        <f t="shared" si="150"/>
        <v>0</v>
      </c>
      <c r="R212" s="2"/>
    </row>
    <row r="213" spans="1:18" x14ac:dyDescent="0.15">
      <c r="B213" s="340" t="s">
        <v>704</v>
      </c>
      <c r="C213" s="12" t="s">
        <v>311</v>
      </c>
      <c r="D213" s="67">
        <f t="shared" si="164"/>
        <v>0</v>
      </c>
      <c r="E213" s="67">
        <f t="shared" si="164"/>
        <v>0</v>
      </c>
      <c r="F213" s="67">
        <f t="shared" si="164"/>
        <v>0</v>
      </c>
      <c r="G213" s="67">
        <f t="shared" si="164"/>
        <v>0</v>
      </c>
      <c r="H213" s="67">
        <f t="shared" si="164"/>
        <v>0</v>
      </c>
      <c r="I213" s="67">
        <f t="shared" si="164"/>
        <v>-2596968.7000000002</v>
      </c>
      <c r="J213" s="67">
        <f t="shared" si="164"/>
        <v>0</v>
      </c>
      <c r="K213" s="67">
        <f t="shared" si="164"/>
        <v>0</v>
      </c>
      <c r="L213" s="67">
        <f t="shared" si="164"/>
        <v>0</v>
      </c>
      <c r="M213" s="67">
        <f t="shared" si="164"/>
        <v>0</v>
      </c>
      <c r="N213" s="67">
        <f t="shared" si="164"/>
        <v>0</v>
      </c>
      <c r="O213" s="67">
        <v>0</v>
      </c>
      <c r="P213" s="326">
        <f t="shared" si="150"/>
        <v>-2596968.7000000002</v>
      </c>
      <c r="R213" s="2"/>
    </row>
    <row r="214" spans="1:18" ht="14" thickBot="1" x14ac:dyDescent="0.2">
      <c r="B214" s="340" t="s">
        <v>705</v>
      </c>
      <c r="C214" s="12" t="s">
        <v>115</v>
      </c>
      <c r="D214" s="67">
        <f t="shared" si="164"/>
        <v>-60000000</v>
      </c>
      <c r="E214" s="67">
        <f t="shared" si="164"/>
        <v>0</v>
      </c>
      <c r="F214" s="67">
        <f t="shared" si="164"/>
        <v>0</v>
      </c>
      <c r="G214" s="67">
        <f t="shared" si="164"/>
        <v>0</v>
      </c>
      <c r="H214" s="67">
        <f t="shared" si="164"/>
        <v>0</v>
      </c>
      <c r="I214" s="67">
        <f t="shared" si="164"/>
        <v>60000000</v>
      </c>
      <c r="J214" s="67">
        <f t="shared" si="164"/>
        <v>0</v>
      </c>
      <c r="K214" s="67">
        <f t="shared" si="164"/>
        <v>0</v>
      </c>
      <c r="L214" s="67">
        <f t="shared" si="164"/>
        <v>0</v>
      </c>
      <c r="M214" s="67">
        <f t="shared" si="164"/>
        <v>0</v>
      </c>
      <c r="N214" s="67">
        <f t="shared" si="164"/>
        <v>0</v>
      </c>
      <c r="O214" s="67">
        <v>0</v>
      </c>
      <c r="P214" s="326">
        <f t="shared" si="150"/>
        <v>0</v>
      </c>
      <c r="R214" s="2"/>
    </row>
    <row r="215" spans="1:18" x14ac:dyDescent="0.15">
      <c r="B215" s="340">
        <v>17</v>
      </c>
      <c r="C215" s="12" t="s">
        <v>313</v>
      </c>
      <c r="D215" s="67">
        <f t="shared" si="164"/>
        <v>-92550000</v>
      </c>
      <c r="E215" s="67">
        <f t="shared" si="164"/>
        <v>0</v>
      </c>
      <c r="F215" s="67">
        <f t="shared" si="164"/>
        <v>0</v>
      </c>
      <c r="G215" s="67">
        <f t="shared" si="164"/>
        <v>0</v>
      </c>
      <c r="H215" s="67">
        <f t="shared" si="164"/>
        <v>0</v>
      </c>
      <c r="I215" s="67">
        <f t="shared" si="164"/>
        <v>71750066.299999997</v>
      </c>
      <c r="J215" s="67">
        <f t="shared" si="164"/>
        <v>0</v>
      </c>
      <c r="K215" s="67">
        <f t="shared" si="164"/>
        <v>0</v>
      </c>
      <c r="L215" s="67">
        <f t="shared" si="164"/>
        <v>0</v>
      </c>
      <c r="M215" s="67">
        <f t="shared" si="164"/>
        <v>0</v>
      </c>
      <c r="N215" s="67">
        <f t="shared" si="164"/>
        <v>0</v>
      </c>
      <c r="O215" s="67">
        <v>0</v>
      </c>
      <c r="P215" s="326">
        <f t="shared" si="150"/>
        <v>-20799933.700000003</v>
      </c>
      <c r="Q215" s="357" t="s">
        <v>693</v>
      </c>
      <c r="R215" s="2"/>
    </row>
    <row r="216" spans="1:18" ht="14" thickBot="1" x14ac:dyDescent="0.2">
      <c r="A216" s="1" t="s">
        <v>709</v>
      </c>
      <c r="B216" s="355">
        <v>18</v>
      </c>
      <c r="C216" s="335" t="s">
        <v>314</v>
      </c>
      <c r="D216" s="331">
        <f>D215+D207</f>
        <v>-92550000</v>
      </c>
      <c r="E216" s="331">
        <f t="shared" ref="E216:P216" si="165">E215+E207</f>
        <v>50012750</v>
      </c>
      <c r="F216" s="331">
        <f t="shared" si="165"/>
        <v>44202792.500000022</v>
      </c>
      <c r="G216" s="331">
        <f t="shared" si="165"/>
        <v>35442192.08412499</v>
      </c>
      <c r="H216" s="331">
        <f t="shared" si="165"/>
        <v>25111356.707490433</v>
      </c>
      <c r="I216" s="331">
        <f t="shared" si="165"/>
        <v>84401062.478848949</v>
      </c>
      <c r="J216" s="331">
        <f t="shared" si="165"/>
        <v>0</v>
      </c>
      <c r="K216" s="331">
        <f t="shared" si="165"/>
        <v>0</v>
      </c>
      <c r="L216" s="331">
        <f t="shared" si="165"/>
        <v>0</v>
      </c>
      <c r="M216" s="331">
        <f t="shared" si="165"/>
        <v>0</v>
      </c>
      <c r="N216" s="331">
        <f t="shared" si="165"/>
        <v>0</v>
      </c>
      <c r="O216" s="331">
        <f t="shared" si="165"/>
        <v>0</v>
      </c>
      <c r="P216" s="331">
        <f t="shared" si="165"/>
        <v>146620153.77046442</v>
      </c>
      <c r="Q216" s="358">
        <f>IF(ISNUMBER(IRR(D216:N216)),IRR(D216:N216),"NMF")</f>
        <v>0.40549033935008683</v>
      </c>
      <c r="R216" s="1" t="s">
        <v>709</v>
      </c>
    </row>
    <row r="217" spans="1:18" x14ac:dyDescent="0.15">
      <c r="R217" s="2"/>
    </row>
    <row r="218" spans="1:18" ht="14" thickBot="1" x14ac:dyDescent="0.2">
      <c r="R218" s="2"/>
    </row>
    <row r="219" spans="1:18" ht="14" thickBot="1" x14ac:dyDescent="0.2">
      <c r="B219" s="359" t="s">
        <v>282</v>
      </c>
      <c r="C219" s="360" t="s">
        <v>283</v>
      </c>
      <c r="D219" s="360"/>
      <c r="E219" s="360">
        <v>1</v>
      </c>
      <c r="F219" s="360">
        <v>2</v>
      </c>
      <c r="G219" s="360">
        <v>3</v>
      </c>
      <c r="H219" s="360">
        <v>4</v>
      </c>
      <c r="I219" s="360">
        <v>5</v>
      </c>
      <c r="J219" s="360">
        <v>6</v>
      </c>
      <c r="K219" s="360">
        <v>7</v>
      </c>
      <c r="L219" s="360">
        <v>8</v>
      </c>
      <c r="M219" s="360">
        <v>9</v>
      </c>
      <c r="N219" s="360">
        <v>10</v>
      </c>
      <c r="O219" s="360" t="s">
        <v>284</v>
      </c>
      <c r="P219" s="361" t="s">
        <v>285</v>
      </c>
      <c r="R219" s="2"/>
    </row>
    <row r="220" spans="1:18" x14ac:dyDescent="0.15">
      <c r="B220" s="339" t="s">
        <v>687</v>
      </c>
      <c r="C220" s="302" t="s">
        <v>287</v>
      </c>
      <c r="D220" s="322">
        <f t="shared" ref="D220:D235" si="166">D161</f>
        <v>0</v>
      </c>
      <c r="E220" s="322">
        <f t="shared" ref="E220:N220" si="167">E161</f>
        <v>300000000</v>
      </c>
      <c r="F220" s="322">
        <f t="shared" si="167"/>
        <v>313500000.00000006</v>
      </c>
      <c r="G220" s="322">
        <f t="shared" si="167"/>
        <v>327607500.00000006</v>
      </c>
      <c r="H220" s="322">
        <f t="shared" si="167"/>
        <v>342349837.50000012</v>
      </c>
      <c r="I220" s="322">
        <f t="shared" si="167"/>
        <v>357755580.18750012</v>
      </c>
      <c r="J220" s="322">
        <f t="shared" si="167"/>
        <v>0</v>
      </c>
      <c r="K220" s="322">
        <f t="shared" si="167"/>
        <v>0</v>
      </c>
      <c r="L220" s="322">
        <f t="shared" si="167"/>
        <v>0</v>
      </c>
      <c r="M220" s="322">
        <f t="shared" si="167"/>
        <v>0</v>
      </c>
      <c r="N220" s="322">
        <f t="shared" si="167"/>
        <v>0</v>
      </c>
      <c r="O220" s="322">
        <v>0</v>
      </c>
      <c r="P220" s="325">
        <f>SUM(D220:N220)</f>
        <v>1641212917.6875</v>
      </c>
      <c r="R220" s="2"/>
    </row>
    <row r="221" spans="1:18" x14ac:dyDescent="0.15">
      <c r="A221" s="1" t="s">
        <v>710</v>
      </c>
      <c r="B221" s="340" t="s">
        <v>689</v>
      </c>
      <c r="C221" s="354" t="s">
        <v>689</v>
      </c>
      <c r="D221" s="67">
        <f t="shared" si="166"/>
        <v>0</v>
      </c>
      <c r="E221" s="67">
        <f>E162</f>
        <v>300000000</v>
      </c>
      <c r="F221" s="67">
        <f t="shared" ref="F221:N221" si="168">F162</f>
        <v>313500000.00000006</v>
      </c>
      <c r="G221" s="67">
        <f t="shared" si="168"/>
        <v>327607500.00000006</v>
      </c>
      <c r="H221" s="67">
        <f t="shared" si="168"/>
        <v>342349837.50000012</v>
      </c>
      <c r="I221" s="67">
        <f t="shared" si="168"/>
        <v>357755580.18750012</v>
      </c>
      <c r="J221" s="67">
        <f t="shared" si="168"/>
        <v>0</v>
      </c>
      <c r="K221" s="67">
        <f t="shared" si="168"/>
        <v>0</v>
      </c>
      <c r="L221" s="67">
        <f t="shared" si="168"/>
        <v>0</v>
      </c>
      <c r="M221" s="67">
        <f t="shared" si="168"/>
        <v>0</v>
      </c>
      <c r="N221" s="67">
        <f t="shared" si="168"/>
        <v>0</v>
      </c>
      <c r="O221" s="67"/>
      <c r="P221" s="326">
        <f>SUM(D221:N221)</f>
        <v>1641212917.6875</v>
      </c>
      <c r="R221" s="2"/>
    </row>
    <row r="222" spans="1:18" x14ac:dyDescent="0.15">
      <c r="B222" s="340" t="s">
        <v>690</v>
      </c>
      <c r="C222" s="354" t="s">
        <v>690</v>
      </c>
      <c r="D222" s="67">
        <f t="shared" si="166"/>
        <v>0</v>
      </c>
      <c r="E222" s="67">
        <f>E163</f>
        <v>0</v>
      </c>
      <c r="F222" s="67">
        <f t="shared" ref="F222:N222" si="169">F163</f>
        <v>0</v>
      </c>
      <c r="G222" s="67">
        <f t="shared" si="169"/>
        <v>0</v>
      </c>
      <c r="H222" s="67">
        <f t="shared" si="169"/>
        <v>0</v>
      </c>
      <c r="I222" s="67">
        <f t="shared" si="169"/>
        <v>0</v>
      </c>
      <c r="J222" s="67">
        <f t="shared" si="169"/>
        <v>0</v>
      </c>
      <c r="K222" s="67">
        <f t="shared" si="169"/>
        <v>0</v>
      </c>
      <c r="L222" s="67">
        <f t="shared" si="169"/>
        <v>0</v>
      </c>
      <c r="M222" s="67">
        <f t="shared" si="169"/>
        <v>0</v>
      </c>
      <c r="N222" s="67">
        <f t="shared" si="169"/>
        <v>0</v>
      </c>
      <c r="O222" s="289"/>
      <c r="P222" s="326">
        <f t="shared" ref="P222:P244" si="170">SUM(D222:N222)</f>
        <v>0</v>
      </c>
      <c r="R222" s="2"/>
    </row>
    <row r="223" spans="1:18" x14ac:dyDescent="0.15">
      <c r="B223" s="355" t="s">
        <v>691</v>
      </c>
      <c r="C223" s="362" t="s">
        <v>691</v>
      </c>
      <c r="D223" s="331">
        <f t="shared" si="166"/>
        <v>0</v>
      </c>
      <c r="E223" s="331">
        <f>E164*1.1</f>
        <v>0</v>
      </c>
      <c r="F223" s="331">
        <f t="shared" ref="F223:N223" si="171">F164*1.1</f>
        <v>0</v>
      </c>
      <c r="G223" s="331">
        <f t="shared" si="171"/>
        <v>0</v>
      </c>
      <c r="H223" s="331">
        <f t="shared" si="171"/>
        <v>0</v>
      </c>
      <c r="I223" s="331">
        <f t="shared" si="171"/>
        <v>0</v>
      </c>
      <c r="J223" s="331">
        <f t="shared" si="171"/>
        <v>0</v>
      </c>
      <c r="K223" s="331">
        <f t="shared" si="171"/>
        <v>0</v>
      </c>
      <c r="L223" s="331">
        <f t="shared" si="171"/>
        <v>0</v>
      </c>
      <c r="M223" s="331">
        <f t="shared" si="171"/>
        <v>0</v>
      </c>
      <c r="N223" s="331">
        <f t="shared" si="171"/>
        <v>0</v>
      </c>
      <c r="O223" s="331"/>
      <c r="P223" s="356">
        <f t="shared" si="170"/>
        <v>0</v>
      </c>
      <c r="R223" s="2"/>
    </row>
    <row r="224" spans="1:18" x14ac:dyDescent="0.15">
      <c r="B224" s="340" t="s">
        <v>695</v>
      </c>
      <c r="C224" s="12"/>
      <c r="D224" s="67">
        <f t="shared" si="166"/>
        <v>0</v>
      </c>
      <c r="E224" s="67">
        <f>E223+E222+E221</f>
        <v>300000000</v>
      </c>
      <c r="F224" s="67">
        <f t="shared" ref="F224:N224" si="172">F223+F222+F221</f>
        <v>313500000.00000006</v>
      </c>
      <c r="G224" s="67">
        <f t="shared" si="172"/>
        <v>327607500.00000006</v>
      </c>
      <c r="H224" s="67">
        <f t="shared" si="172"/>
        <v>342349837.50000012</v>
      </c>
      <c r="I224" s="67">
        <f t="shared" si="172"/>
        <v>357755580.18750012</v>
      </c>
      <c r="J224" s="67">
        <f t="shared" si="172"/>
        <v>0</v>
      </c>
      <c r="K224" s="67">
        <f t="shared" si="172"/>
        <v>0</v>
      </c>
      <c r="L224" s="67">
        <f t="shared" si="172"/>
        <v>0</v>
      </c>
      <c r="M224" s="67">
        <f t="shared" si="172"/>
        <v>0</v>
      </c>
      <c r="N224" s="67">
        <f t="shared" si="172"/>
        <v>0</v>
      </c>
      <c r="O224" s="67"/>
      <c r="P224" s="326">
        <f t="shared" si="170"/>
        <v>1641212917.6875</v>
      </c>
      <c r="R224" s="2"/>
    </row>
    <row r="225" spans="2:18" x14ac:dyDescent="0.15">
      <c r="B225" s="340" t="s">
        <v>696</v>
      </c>
      <c r="C225" s="12" t="s">
        <v>289</v>
      </c>
      <c r="D225" s="67">
        <f t="shared" si="166"/>
        <v>0</v>
      </c>
      <c r="E225" s="67">
        <f>Expenses!D18+Expenses!D25+(Expenses!D32*1.1)+Expenses!D39+Expenses!D44+(Expenses!D49*1.1)+Expenses!D56+Expenses!D95-Expenses!D77</f>
        <v>230170000</v>
      </c>
      <c r="F225" s="67">
        <f>Expenses!E18+Expenses!E25+(Expenses!E32*1.1)+Expenses!E39+Expenses!E44+(Expenses!E49*1.1)+Expenses!E56+Expenses!E95-Expenses!E77</f>
        <v>253018375.00000003</v>
      </c>
      <c r="G225" s="67">
        <f>Expenses!F18+Expenses!F25+(Expenses!F32*1.1)+Expenses!F39+Expenses!F44+(Expenses!F49*1.1)+Expenses!F56+Expenses!F95-Expenses!F77</f>
        <v>278725718.45125008</v>
      </c>
      <c r="H225" s="67">
        <f>Expenses!G18+Expenses!G25+(Expenses!G32*1.1)+Expenses!G39+Expenses!G44+(Expenses!G49*1.1)+Expenses!G56+Expenses!G95-Expenses!G77</f>
        <v>307665975.06072807</v>
      </c>
      <c r="I225" s="67">
        <f>Expenses!H18+Expenses!H25+(Expenses!H32*1.1)+Expenses!H39+Expenses!H44+(Expenses!H49*1.1)+Expenses!H56+Expenses!H95-Expenses!H77</f>
        <v>340262566.36057305</v>
      </c>
      <c r="J225" s="67">
        <f>Expenses!I18+Expenses!I25+(Expenses!I32*1.1)+Expenses!I39+Expenses!I44+(Expenses!I49*1.1)+Expenses!I56+Expenses!I95-Expenses!I77</f>
        <v>0</v>
      </c>
      <c r="K225" s="67">
        <f>Expenses!J18+Expenses!J25+(Expenses!J32*1.1)+Expenses!J39+Expenses!J44+(Expenses!J49*1.1)+Expenses!J56+Expenses!J95-Expenses!J77</f>
        <v>0</v>
      </c>
      <c r="L225" s="67">
        <f>Expenses!K18+Expenses!K25+(Expenses!K32*1.1)+Expenses!K39+Expenses!K44+(Expenses!K49*1.1)+Expenses!K56+Expenses!K95-Expenses!K77</f>
        <v>0</v>
      </c>
      <c r="M225" s="67">
        <f>Expenses!L18+Expenses!L25+(Expenses!L32*1.1)+Expenses!L39+Expenses!L44+(Expenses!L49*1.1)+Expenses!L56+Expenses!L95-Expenses!L77</f>
        <v>0</v>
      </c>
      <c r="N225" s="67">
        <f>Expenses!M18+Expenses!M25+(Expenses!M32*1.1)+Expenses!M39+Expenses!M44+(Expenses!M49*1.1)+Expenses!M56+Expenses!M95-Expenses!M77</f>
        <v>0</v>
      </c>
      <c r="O225" s="67">
        <v>0</v>
      </c>
      <c r="P225" s="326">
        <f t="shared" si="170"/>
        <v>1409842634.8725512</v>
      </c>
      <c r="R225" s="2"/>
    </row>
    <row r="226" spans="2:18" x14ac:dyDescent="0.15">
      <c r="B226" s="340">
        <v>3</v>
      </c>
      <c r="C226" s="12" t="s">
        <v>290</v>
      </c>
      <c r="D226" s="67">
        <f t="shared" si="166"/>
        <v>0</v>
      </c>
      <c r="E226" s="67">
        <f>E224-E225</f>
        <v>69830000</v>
      </c>
      <c r="F226" s="67">
        <f t="shared" ref="F226:N226" si="173">F224-F225</f>
        <v>60481625.00000003</v>
      </c>
      <c r="G226" s="67">
        <f t="shared" si="173"/>
        <v>48881781.548749983</v>
      </c>
      <c r="H226" s="67">
        <f t="shared" si="173"/>
        <v>34683862.439272046</v>
      </c>
      <c r="I226" s="67">
        <f t="shared" si="173"/>
        <v>17493013.826927066</v>
      </c>
      <c r="J226" s="67">
        <f t="shared" si="173"/>
        <v>0</v>
      </c>
      <c r="K226" s="67">
        <f t="shared" si="173"/>
        <v>0</v>
      </c>
      <c r="L226" s="67">
        <f t="shared" si="173"/>
        <v>0</v>
      </c>
      <c r="M226" s="67">
        <f t="shared" si="173"/>
        <v>0</v>
      </c>
      <c r="N226" s="67">
        <f t="shared" si="173"/>
        <v>0</v>
      </c>
      <c r="O226" s="67">
        <v>0</v>
      </c>
      <c r="P226" s="326">
        <f t="shared" si="170"/>
        <v>231370282.81494913</v>
      </c>
      <c r="R226" s="2"/>
    </row>
    <row r="227" spans="2:18" x14ac:dyDescent="0.15">
      <c r="B227" s="340" t="s">
        <v>697</v>
      </c>
      <c r="C227" s="12" t="s">
        <v>292</v>
      </c>
      <c r="D227" s="67">
        <f t="shared" si="166"/>
        <v>0</v>
      </c>
      <c r="E227" s="67">
        <f>E168</f>
        <v>3772500</v>
      </c>
      <c r="F227" s="67">
        <f t="shared" ref="F227:N227" si="174">F168</f>
        <v>6218850</v>
      </c>
      <c r="G227" s="67">
        <f t="shared" si="174"/>
        <v>4083150</v>
      </c>
      <c r="H227" s="67">
        <f t="shared" si="174"/>
        <v>2775510</v>
      </c>
      <c r="I227" s="67">
        <f t="shared" si="174"/>
        <v>1352955</v>
      </c>
      <c r="J227" s="67">
        <f t="shared" si="174"/>
        <v>0</v>
      </c>
      <c r="K227" s="67">
        <f t="shared" si="174"/>
        <v>0</v>
      </c>
      <c r="L227" s="67">
        <f t="shared" si="174"/>
        <v>0</v>
      </c>
      <c r="M227" s="67">
        <f t="shared" si="174"/>
        <v>0</v>
      </c>
      <c r="N227" s="67">
        <f t="shared" si="174"/>
        <v>0</v>
      </c>
      <c r="O227" s="67">
        <v>0</v>
      </c>
      <c r="P227" s="326">
        <f t="shared" si="170"/>
        <v>18202965</v>
      </c>
      <c r="R227" s="2"/>
    </row>
    <row r="228" spans="2:18" x14ac:dyDescent="0.15">
      <c r="B228" s="340">
        <v>5</v>
      </c>
      <c r="C228" s="12" t="s">
        <v>293</v>
      </c>
      <c r="D228" s="67">
        <f t="shared" si="166"/>
        <v>0</v>
      </c>
      <c r="E228" s="67">
        <f>E226-E227</f>
        <v>66057500</v>
      </c>
      <c r="F228" s="67">
        <f t="shared" ref="F228:N228" si="175">F226-F227</f>
        <v>54262775.00000003</v>
      </c>
      <c r="G228" s="67">
        <f t="shared" si="175"/>
        <v>44798631.548749983</v>
      </c>
      <c r="H228" s="67">
        <f t="shared" si="175"/>
        <v>31908352.439272046</v>
      </c>
      <c r="I228" s="67">
        <f t="shared" si="175"/>
        <v>16140058.826927066</v>
      </c>
      <c r="J228" s="67">
        <f t="shared" si="175"/>
        <v>0</v>
      </c>
      <c r="K228" s="67">
        <f t="shared" si="175"/>
        <v>0</v>
      </c>
      <c r="L228" s="67">
        <f t="shared" si="175"/>
        <v>0</v>
      </c>
      <c r="M228" s="67">
        <f t="shared" si="175"/>
        <v>0</v>
      </c>
      <c r="N228" s="67">
        <f t="shared" si="175"/>
        <v>0</v>
      </c>
      <c r="O228" s="67">
        <v>0</v>
      </c>
      <c r="P228" s="326">
        <f t="shared" si="170"/>
        <v>213167317.81494913</v>
      </c>
      <c r="R228" s="2"/>
    </row>
    <row r="229" spans="2:18" x14ac:dyDescent="0.15">
      <c r="B229" s="340" t="s">
        <v>698</v>
      </c>
      <c r="C229" s="12" t="s">
        <v>295</v>
      </c>
      <c r="D229" s="67">
        <f t="shared" si="166"/>
        <v>0</v>
      </c>
      <c r="E229" s="67">
        <f>E170</f>
        <v>0</v>
      </c>
      <c r="F229" s="67">
        <f t="shared" ref="F229:N229" si="176">F170</f>
        <v>0</v>
      </c>
      <c r="G229" s="67">
        <f t="shared" si="176"/>
        <v>0</v>
      </c>
      <c r="H229" s="67">
        <f t="shared" si="176"/>
        <v>0</v>
      </c>
      <c r="I229" s="67">
        <f t="shared" si="176"/>
        <v>0</v>
      </c>
      <c r="J229" s="67">
        <f t="shared" si="176"/>
        <v>0</v>
      </c>
      <c r="K229" s="67">
        <f t="shared" si="176"/>
        <v>0</v>
      </c>
      <c r="L229" s="67">
        <f t="shared" si="176"/>
        <v>0</v>
      </c>
      <c r="M229" s="67">
        <f t="shared" si="176"/>
        <v>0</v>
      </c>
      <c r="N229" s="67">
        <f t="shared" si="176"/>
        <v>0</v>
      </c>
      <c r="O229" s="67">
        <v>0</v>
      </c>
      <c r="P229" s="326">
        <f t="shared" si="170"/>
        <v>0</v>
      </c>
      <c r="R229" s="2"/>
    </row>
    <row r="230" spans="2:18" x14ac:dyDescent="0.15">
      <c r="B230" s="340">
        <v>7</v>
      </c>
      <c r="C230" s="12" t="s">
        <v>296</v>
      </c>
      <c r="D230" s="67">
        <f t="shared" si="166"/>
        <v>0</v>
      </c>
      <c r="E230" s="67">
        <f>E228-E229</f>
        <v>66057500</v>
      </c>
      <c r="F230" s="67">
        <f t="shared" ref="F230:N230" si="177">F228-F229</f>
        <v>54262775.00000003</v>
      </c>
      <c r="G230" s="67">
        <f t="shared" si="177"/>
        <v>44798631.548749983</v>
      </c>
      <c r="H230" s="67">
        <f t="shared" si="177"/>
        <v>31908352.439272046</v>
      </c>
      <c r="I230" s="67">
        <f t="shared" si="177"/>
        <v>16140058.826927066</v>
      </c>
      <c r="J230" s="67">
        <f t="shared" si="177"/>
        <v>0</v>
      </c>
      <c r="K230" s="67">
        <f t="shared" si="177"/>
        <v>0</v>
      </c>
      <c r="L230" s="67">
        <f t="shared" si="177"/>
        <v>0</v>
      </c>
      <c r="M230" s="67">
        <f t="shared" si="177"/>
        <v>0</v>
      </c>
      <c r="N230" s="67">
        <f t="shared" si="177"/>
        <v>0</v>
      </c>
      <c r="O230" s="67">
        <v>0</v>
      </c>
      <c r="P230" s="326">
        <f t="shared" si="170"/>
        <v>213167317.81494913</v>
      </c>
      <c r="R230" s="2"/>
    </row>
    <row r="231" spans="2:18" x14ac:dyDescent="0.15">
      <c r="B231" s="340">
        <v>8</v>
      </c>
      <c r="C231" s="12" t="s">
        <v>297</v>
      </c>
      <c r="D231" s="67">
        <f t="shared" si="166"/>
        <v>0</v>
      </c>
      <c r="E231" s="67">
        <f>-E230*$D$3</f>
        <v>-19817250</v>
      </c>
      <c r="F231" s="67">
        <f t="shared" ref="F231:N231" si="178">-F230*$D$3</f>
        <v>-16278832.500000007</v>
      </c>
      <c r="G231" s="67">
        <f t="shared" si="178"/>
        <v>-13439589.464624995</v>
      </c>
      <c r="H231" s="67">
        <f t="shared" si="178"/>
        <v>-9572505.7317816131</v>
      </c>
      <c r="I231" s="67">
        <f t="shared" si="178"/>
        <v>-4842017.6480781194</v>
      </c>
      <c r="J231" s="67">
        <f t="shared" si="178"/>
        <v>0</v>
      </c>
      <c r="K231" s="67">
        <f t="shared" si="178"/>
        <v>0</v>
      </c>
      <c r="L231" s="67">
        <f t="shared" si="178"/>
        <v>0</v>
      </c>
      <c r="M231" s="67">
        <f t="shared" si="178"/>
        <v>0</v>
      </c>
      <c r="N231" s="67">
        <f t="shared" si="178"/>
        <v>0</v>
      </c>
      <c r="O231" s="67">
        <v>0</v>
      </c>
      <c r="P231" s="326">
        <f t="shared" si="170"/>
        <v>-63950195.344484739</v>
      </c>
      <c r="R231" s="2"/>
    </row>
    <row r="232" spans="2:18" x14ac:dyDescent="0.15">
      <c r="B232" s="340">
        <v>9</v>
      </c>
      <c r="C232" s="12" t="s">
        <v>298</v>
      </c>
      <c r="D232" s="67">
        <f t="shared" si="166"/>
        <v>0</v>
      </c>
      <c r="E232" s="67">
        <f>E173</f>
        <v>0</v>
      </c>
      <c r="F232" s="67">
        <f t="shared" ref="F232:N232" si="179">F173</f>
        <v>0</v>
      </c>
      <c r="G232" s="67">
        <f t="shared" si="179"/>
        <v>0</v>
      </c>
      <c r="H232" s="67">
        <f t="shared" si="179"/>
        <v>0</v>
      </c>
      <c r="I232" s="67">
        <f t="shared" si="179"/>
        <v>0</v>
      </c>
      <c r="J232" s="67">
        <f t="shared" si="179"/>
        <v>0</v>
      </c>
      <c r="K232" s="67">
        <f t="shared" si="179"/>
        <v>0</v>
      </c>
      <c r="L232" s="67">
        <f t="shared" si="179"/>
        <v>0</v>
      </c>
      <c r="M232" s="67">
        <f t="shared" si="179"/>
        <v>0</v>
      </c>
      <c r="N232" s="67">
        <f t="shared" si="179"/>
        <v>0</v>
      </c>
      <c r="O232" s="67">
        <v>0</v>
      </c>
      <c r="P232" s="326">
        <f t="shared" si="170"/>
        <v>0</v>
      </c>
      <c r="R232" s="2"/>
    </row>
    <row r="233" spans="2:18" x14ac:dyDescent="0.15">
      <c r="B233" s="340">
        <v>10</v>
      </c>
      <c r="C233" s="12" t="s">
        <v>299</v>
      </c>
      <c r="D233" s="67">
        <f t="shared" si="166"/>
        <v>0</v>
      </c>
      <c r="E233" s="67">
        <f>E230+E231+E232</f>
        <v>46240250</v>
      </c>
      <c r="F233" s="67">
        <f t="shared" ref="F233:N233" si="180">F230+F231+F232</f>
        <v>37983942.500000022</v>
      </c>
      <c r="G233" s="67">
        <f t="shared" si="180"/>
        <v>31359042.08412499</v>
      </c>
      <c r="H233" s="67">
        <f t="shared" si="180"/>
        <v>22335846.707490433</v>
      </c>
      <c r="I233" s="67">
        <f t="shared" si="180"/>
        <v>11298041.178848946</v>
      </c>
      <c r="J233" s="67">
        <f t="shared" si="180"/>
        <v>0</v>
      </c>
      <c r="K233" s="67">
        <f t="shared" si="180"/>
        <v>0</v>
      </c>
      <c r="L233" s="67">
        <f t="shared" si="180"/>
        <v>0</v>
      </c>
      <c r="M233" s="67">
        <f t="shared" si="180"/>
        <v>0</v>
      </c>
      <c r="N233" s="67">
        <f t="shared" si="180"/>
        <v>0</v>
      </c>
      <c r="O233" s="67">
        <v>0</v>
      </c>
      <c r="P233" s="326">
        <f t="shared" si="170"/>
        <v>149217122.47046441</v>
      </c>
      <c r="R233" s="2"/>
    </row>
    <row r="234" spans="2:18" x14ac:dyDescent="0.15">
      <c r="B234" s="340" t="s">
        <v>699</v>
      </c>
      <c r="C234" s="12" t="s">
        <v>292</v>
      </c>
      <c r="D234" s="67">
        <f t="shared" si="166"/>
        <v>0</v>
      </c>
      <c r="E234" s="67">
        <f>E175</f>
        <v>3772500</v>
      </c>
      <c r="F234" s="67">
        <f t="shared" ref="F234:N234" si="181">F175</f>
        <v>6218850</v>
      </c>
      <c r="G234" s="67">
        <f t="shared" si="181"/>
        <v>4083150</v>
      </c>
      <c r="H234" s="67">
        <f t="shared" si="181"/>
        <v>2775510</v>
      </c>
      <c r="I234" s="67">
        <f t="shared" si="181"/>
        <v>1352955</v>
      </c>
      <c r="J234" s="67">
        <f t="shared" si="181"/>
        <v>0</v>
      </c>
      <c r="K234" s="67">
        <f t="shared" si="181"/>
        <v>0</v>
      </c>
      <c r="L234" s="67">
        <f t="shared" si="181"/>
        <v>0</v>
      </c>
      <c r="M234" s="67">
        <f t="shared" si="181"/>
        <v>0</v>
      </c>
      <c r="N234" s="67">
        <f t="shared" si="181"/>
        <v>0</v>
      </c>
      <c r="O234" s="67">
        <v>0</v>
      </c>
      <c r="P234" s="326">
        <f t="shared" si="170"/>
        <v>18202965</v>
      </c>
      <c r="R234" s="2"/>
    </row>
    <row r="235" spans="2:18" x14ac:dyDescent="0.15">
      <c r="B235" s="340">
        <v>12</v>
      </c>
      <c r="C235" s="12" t="s">
        <v>301</v>
      </c>
      <c r="D235" s="67">
        <f t="shared" si="166"/>
        <v>0</v>
      </c>
      <c r="E235" s="67">
        <f>E233+E234</f>
        <v>50012750</v>
      </c>
      <c r="F235" s="67">
        <f t="shared" ref="F235:N235" si="182">F233+F234</f>
        <v>44202792.500000022</v>
      </c>
      <c r="G235" s="67">
        <f t="shared" si="182"/>
        <v>35442192.08412499</v>
      </c>
      <c r="H235" s="67">
        <f t="shared" si="182"/>
        <v>25111356.707490433</v>
      </c>
      <c r="I235" s="67">
        <f t="shared" si="182"/>
        <v>12650996.178848946</v>
      </c>
      <c r="J235" s="67">
        <f t="shared" si="182"/>
        <v>0</v>
      </c>
      <c r="K235" s="67">
        <f t="shared" si="182"/>
        <v>0</v>
      </c>
      <c r="L235" s="67">
        <f t="shared" si="182"/>
        <v>0</v>
      </c>
      <c r="M235" s="67">
        <f t="shared" si="182"/>
        <v>0</v>
      </c>
      <c r="N235" s="67">
        <f t="shared" si="182"/>
        <v>0</v>
      </c>
      <c r="O235" s="67">
        <v>0</v>
      </c>
      <c r="P235" s="326">
        <f t="shared" si="170"/>
        <v>167420087.47046441</v>
      </c>
      <c r="R235" s="2"/>
    </row>
    <row r="236" spans="2:18" x14ac:dyDescent="0.15">
      <c r="B236" s="340" t="s">
        <v>700</v>
      </c>
      <c r="C236" s="12" t="s">
        <v>303</v>
      </c>
      <c r="D236" s="67">
        <v>0</v>
      </c>
      <c r="E236" s="67">
        <f t="shared" ref="E236:N236" si="183">E177</f>
        <v>0</v>
      </c>
      <c r="F236" s="67">
        <f t="shared" si="183"/>
        <v>0</v>
      </c>
      <c r="G236" s="67">
        <f t="shared" si="183"/>
        <v>0</v>
      </c>
      <c r="H236" s="67">
        <f t="shared" si="183"/>
        <v>0</v>
      </c>
      <c r="I236" s="67">
        <f t="shared" si="183"/>
        <v>0</v>
      </c>
      <c r="J236" s="67">
        <f t="shared" si="183"/>
        <v>0</v>
      </c>
      <c r="K236" s="67">
        <f t="shared" si="183"/>
        <v>0</v>
      </c>
      <c r="L236" s="67">
        <f t="shared" si="183"/>
        <v>0</v>
      </c>
      <c r="M236" s="67">
        <f t="shared" si="183"/>
        <v>0</v>
      </c>
      <c r="N236" s="67">
        <f t="shared" si="183"/>
        <v>0</v>
      </c>
      <c r="O236" s="67">
        <v>0</v>
      </c>
      <c r="P236" s="326">
        <f t="shared" si="170"/>
        <v>0</v>
      </c>
      <c r="R236" s="2"/>
    </row>
    <row r="237" spans="2:18" x14ac:dyDescent="0.15">
      <c r="B237" s="340">
        <v>14</v>
      </c>
      <c r="C237" s="12" t="s">
        <v>304</v>
      </c>
      <c r="D237" s="67">
        <f t="shared" ref="D237:N243" si="184">D178</f>
        <v>-32550000</v>
      </c>
      <c r="E237" s="67">
        <f t="shared" si="184"/>
        <v>0</v>
      </c>
      <c r="F237" s="67">
        <f t="shared" si="184"/>
        <v>0</v>
      </c>
      <c r="G237" s="67">
        <f t="shared" si="184"/>
        <v>0</v>
      </c>
      <c r="H237" s="67">
        <f t="shared" si="184"/>
        <v>0</v>
      </c>
      <c r="I237" s="67">
        <f t="shared" si="184"/>
        <v>14347035</v>
      </c>
      <c r="J237" s="67">
        <f t="shared" si="184"/>
        <v>0</v>
      </c>
      <c r="K237" s="67">
        <f t="shared" si="184"/>
        <v>0</v>
      </c>
      <c r="L237" s="67">
        <f t="shared" si="184"/>
        <v>0</v>
      </c>
      <c r="M237" s="67">
        <f t="shared" si="184"/>
        <v>0</v>
      </c>
      <c r="N237" s="67">
        <f t="shared" si="184"/>
        <v>0</v>
      </c>
      <c r="O237" s="67">
        <v>0</v>
      </c>
      <c r="P237" s="326">
        <f t="shared" si="170"/>
        <v>-18202965</v>
      </c>
      <c r="R237" s="2"/>
    </row>
    <row r="238" spans="2:18" x14ac:dyDescent="0.15">
      <c r="B238" s="340" t="s">
        <v>701</v>
      </c>
      <c r="C238" s="12" t="s">
        <v>207</v>
      </c>
      <c r="D238" s="67">
        <f t="shared" si="184"/>
        <v>-31050000</v>
      </c>
      <c r="E238" s="67">
        <f t="shared" si="184"/>
        <v>0</v>
      </c>
      <c r="F238" s="67">
        <f t="shared" si="184"/>
        <v>0</v>
      </c>
      <c r="G238" s="67">
        <f t="shared" si="184"/>
        <v>0</v>
      </c>
      <c r="H238" s="67">
        <f t="shared" si="184"/>
        <v>0</v>
      </c>
      <c r="I238" s="67">
        <f t="shared" si="184"/>
        <v>12847035</v>
      </c>
      <c r="J238" s="67">
        <f t="shared" si="184"/>
        <v>0</v>
      </c>
      <c r="K238" s="67">
        <f t="shared" si="184"/>
        <v>0</v>
      </c>
      <c r="L238" s="67">
        <f t="shared" si="184"/>
        <v>0</v>
      </c>
      <c r="M238" s="67">
        <f t="shared" si="184"/>
        <v>0</v>
      </c>
      <c r="N238" s="67">
        <f t="shared" si="184"/>
        <v>0</v>
      </c>
      <c r="O238" s="67">
        <v>0</v>
      </c>
      <c r="P238" s="326">
        <f t="shared" si="170"/>
        <v>-18202965</v>
      </c>
      <c r="R238" s="2"/>
    </row>
    <row r="239" spans="2:18" x14ac:dyDescent="0.15">
      <c r="B239" s="340" t="s">
        <v>702</v>
      </c>
      <c r="C239" s="12" t="s">
        <v>307</v>
      </c>
      <c r="D239" s="67">
        <f t="shared" si="184"/>
        <v>-1500000</v>
      </c>
      <c r="E239" s="67">
        <f t="shared" si="184"/>
        <v>0</v>
      </c>
      <c r="F239" s="67">
        <f t="shared" si="184"/>
        <v>0</v>
      </c>
      <c r="G239" s="67">
        <f t="shared" si="184"/>
        <v>0</v>
      </c>
      <c r="H239" s="67">
        <f t="shared" si="184"/>
        <v>0</v>
      </c>
      <c r="I239" s="67">
        <f t="shared" si="184"/>
        <v>1500000</v>
      </c>
      <c r="J239" s="67">
        <f t="shared" si="184"/>
        <v>0</v>
      </c>
      <c r="K239" s="67">
        <f t="shared" si="184"/>
        <v>0</v>
      </c>
      <c r="L239" s="67">
        <f t="shared" si="184"/>
        <v>0</v>
      </c>
      <c r="M239" s="67">
        <f t="shared" si="184"/>
        <v>0</v>
      </c>
      <c r="N239" s="67">
        <f t="shared" si="184"/>
        <v>0</v>
      </c>
      <c r="O239" s="67">
        <v>0</v>
      </c>
      <c r="P239" s="326">
        <f t="shared" si="170"/>
        <v>0</v>
      </c>
      <c r="R239" s="2"/>
    </row>
    <row r="240" spans="2:18" x14ac:dyDescent="0.15">
      <c r="B240" s="340" t="s">
        <v>703</v>
      </c>
      <c r="C240" s="12" t="s">
        <v>309</v>
      </c>
      <c r="D240" s="67">
        <f t="shared" si="184"/>
        <v>0</v>
      </c>
      <c r="E240" s="67">
        <f t="shared" si="184"/>
        <v>0</v>
      </c>
      <c r="F240" s="67">
        <f t="shared" si="184"/>
        <v>0</v>
      </c>
      <c r="G240" s="67">
        <f t="shared" si="184"/>
        <v>0</v>
      </c>
      <c r="H240" s="67">
        <f t="shared" si="184"/>
        <v>0</v>
      </c>
      <c r="I240" s="67">
        <f t="shared" si="184"/>
        <v>0</v>
      </c>
      <c r="J240" s="67">
        <f t="shared" si="184"/>
        <v>0</v>
      </c>
      <c r="K240" s="67">
        <f t="shared" si="184"/>
        <v>0</v>
      </c>
      <c r="L240" s="67">
        <f t="shared" si="184"/>
        <v>0</v>
      </c>
      <c r="M240" s="67">
        <f t="shared" si="184"/>
        <v>0</v>
      </c>
      <c r="N240" s="67">
        <f t="shared" si="184"/>
        <v>0</v>
      </c>
      <c r="O240" s="67">
        <v>0</v>
      </c>
      <c r="P240" s="326">
        <f t="shared" si="170"/>
        <v>0</v>
      </c>
      <c r="R240" s="2"/>
    </row>
    <row r="241" spans="1:18" x14ac:dyDescent="0.15">
      <c r="B241" s="340" t="s">
        <v>704</v>
      </c>
      <c r="C241" s="12" t="s">
        <v>311</v>
      </c>
      <c r="D241" s="67">
        <f t="shared" si="184"/>
        <v>0</v>
      </c>
      <c r="E241" s="67">
        <f t="shared" si="184"/>
        <v>0</v>
      </c>
      <c r="F241" s="67">
        <f t="shared" si="184"/>
        <v>0</v>
      </c>
      <c r="G241" s="67">
        <f t="shared" si="184"/>
        <v>0</v>
      </c>
      <c r="H241" s="67">
        <f t="shared" si="184"/>
        <v>0</v>
      </c>
      <c r="I241" s="67">
        <f t="shared" si="184"/>
        <v>-2596968.7000000002</v>
      </c>
      <c r="J241" s="67">
        <f t="shared" si="184"/>
        <v>0</v>
      </c>
      <c r="K241" s="67">
        <f t="shared" si="184"/>
        <v>0</v>
      </c>
      <c r="L241" s="67">
        <f t="shared" si="184"/>
        <v>0</v>
      </c>
      <c r="M241" s="67">
        <f t="shared" si="184"/>
        <v>0</v>
      </c>
      <c r="N241" s="67">
        <f t="shared" si="184"/>
        <v>0</v>
      </c>
      <c r="O241" s="67">
        <v>0</v>
      </c>
      <c r="P241" s="326">
        <f t="shared" si="170"/>
        <v>-2596968.7000000002</v>
      </c>
      <c r="R241" s="2"/>
    </row>
    <row r="242" spans="1:18" ht="14" thickBot="1" x14ac:dyDescent="0.2">
      <c r="B242" s="340" t="s">
        <v>705</v>
      </c>
      <c r="C242" s="12" t="s">
        <v>115</v>
      </c>
      <c r="D242" s="67">
        <f t="shared" si="184"/>
        <v>-60000000</v>
      </c>
      <c r="E242" s="67">
        <f t="shared" si="184"/>
        <v>0</v>
      </c>
      <c r="F242" s="67">
        <f t="shared" si="184"/>
        <v>0</v>
      </c>
      <c r="G242" s="67">
        <f t="shared" si="184"/>
        <v>0</v>
      </c>
      <c r="H242" s="67">
        <f t="shared" si="184"/>
        <v>0</v>
      </c>
      <c r="I242" s="67">
        <f t="shared" si="184"/>
        <v>60000000</v>
      </c>
      <c r="J242" s="67">
        <f t="shared" si="184"/>
        <v>0</v>
      </c>
      <c r="K242" s="67">
        <f t="shared" si="184"/>
        <v>0</v>
      </c>
      <c r="L242" s="67">
        <f t="shared" si="184"/>
        <v>0</v>
      </c>
      <c r="M242" s="67">
        <f t="shared" si="184"/>
        <v>0</v>
      </c>
      <c r="N242" s="67">
        <f t="shared" si="184"/>
        <v>0</v>
      </c>
      <c r="O242" s="67">
        <v>0</v>
      </c>
      <c r="P242" s="326">
        <f t="shared" si="170"/>
        <v>0</v>
      </c>
      <c r="R242" s="2"/>
    </row>
    <row r="243" spans="1:18" x14ac:dyDescent="0.15">
      <c r="B243" s="340">
        <v>17</v>
      </c>
      <c r="C243" s="12" t="s">
        <v>313</v>
      </c>
      <c r="D243" s="67">
        <f t="shared" si="184"/>
        <v>-92550000</v>
      </c>
      <c r="E243" s="67">
        <f t="shared" si="184"/>
        <v>0</v>
      </c>
      <c r="F243" s="67">
        <f t="shared" si="184"/>
        <v>0</v>
      </c>
      <c r="G243" s="67">
        <f t="shared" si="184"/>
        <v>0</v>
      </c>
      <c r="H243" s="67">
        <f t="shared" si="184"/>
        <v>0</v>
      </c>
      <c r="I243" s="67">
        <f t="shared" si="184"/>
        <v>71750066.299999997</v>
      </c>
      <c r="J243" s="67">
        <f t="shared" si="184"/>
        <v>0</v>
      </c>
      <c r="K243" s="67">
        <f t="shared" si="184"/>
        <v>0</v>
      </c>
      <c r="L243" s="67">
        <f t="shared" si="184"/>
        <v>0</v>
      </c>
      <c r="M243" s="67">
        <f t="shared" si="184"/>
        <v>0</v>
      </c>
      <c r="N243" s="67">
        <f t="shared" si="184"/>
        <v>0</v>
      </c>
      <c r="O243" s="67">
        <v>0</v>
      </c>
      <c r="P243" s="326">
        <f t="shared" si="170"/>
        <v>-20799933.700000003</v>
      </c>
      <c r="Q243" s="357" t="s">
        <v>693</v>
      </c>
      <c r="R243" s="2"/>
    </row>
    <row r="244" spans="1:18" ht="14" thickBot="1" x14ac:dyDescent="0.2">
      <c r="A244" s="1" t="s">
        <v>710</v>
      </c>
      <c r="B244" s="355">
        <v>18</v>
      </c>
      <c r="C244" s="335" t="s">
        <v>314</v>
      </c>
      <c r="D244" s="331">
        <f>D243+D235</f>
        <v>-92550000</v>
      </c>
      <c r="E244" s="331">
        <f t="shared" ref="E244:N244" si="185">E243+E235</f>
        <v>50012750</v>
      </c>
      <c r="F244" s="331">
        <f t="shared" si="185"/>
        <v>44202792.500000022</v>
      </c>
      <c r="G244" s="331">
        <f t="shared" si="185"/>
        <v>35442192.08412499</v>
      </c>
      <c r="H244" s="331">
        <f t="shared" si="185"/>
        <v>25111356.707490433</v>
      </c>
      <c r="I244" s="331">
        <f t="shared" si="185"/>
        <v>84401062.478848949</v>
      </c>
      <c r="J244" s="331">
        <f t="shared" si="185"/>
        <v>0</v>
      </c>
      <c r="K244" s="331">
        <f t="shared" si="185"/>
        <v>0</v>
      </c>
      <c r="L244" s="331">
        <f t="shared" si="185"/>
        <v>0</v>
      </c>
      <c r="M244" s="331">
        <f t="shared" si="185"/>
        <v>0</v>
      </c>
      <c r="N244" s="331">
        <f t="shared" si="185"/>
        <v>0</v>
      </c>
      <c r="O244" s="331">
        <v>0</v>
      </c>
      <c r="P244" s="356">
        <f t="shared" si="170"/>
        <v>146620153.77046439</v>
      </c>
      <c r="Q244" s="358">
        <f>IF(ISNUMBER(IRR(D244:N244)),IRR(D244:N244),"NMF")</f>
        <v>0.40549033935008683</v>
      </c>
      <c r="R244" s="1" t="s">
        <v>710</v>
      </c>
    </row>
    <row r="245" spans="1:18" x14ac:dyDescent="0.15">
      <c r="R245" s="2"/>
    </row>
    <row r="246" spans="1:18" ht="14" thickBot="1" x14ac:dyDescent="0.2">
      <c r="R246" s="2"/>
    </row>
    <row r="247" spans="1:18" ht="14" thickBot="1" x14ac:dyDescent="0.2">
      <c r="B247" s="359" t="s">
        <v>282</v>
      </c>
      <c r="C247" s="360" t="s">
        <v>283</v>
      </c>
      <c r="D247" s="360"/>
      <c r="E247" s="360">
        <v>1</v>
      </c>
      <c r="F247" s="360">
        <v>2</v>
      </c>
      <c r="G247" s="360">
        <v>3</v>
      </c>
      <c r="H247" s="360">
        <v>4</v>
      </c>
      <c r="I247" s="360">
        <v>5</v>
      </c>
      <c r="J247" s="360">
        <v>6</v>
      </c>
      <c r="K247" s="360">
        <v>7</v>
      </c>
      <c r="L247" s="360">
        <v>8</v>
      </c>
      <c r="M247" s="360">
        <v>9</v>
      </c>
      <c r="N247" s="360">
        <v>10</v>
      </c>
      <c r="O247" s="360" t="s">
        <v>284</v>
      </c>
      <c r="P247" s="361" t="s">
        <v>285</v>
      </c>
      <c r="R247" s="2"/>
    </row>
    <row r="248" spans="1:18" x14ac:dyDescent="0.15">
      <c r="B248" s="339" t="s">
        <v>687</v>
      </c>
      <c r="C248" s="302" t="s">
        <v>287</v>
      </c>
      <c r="D248" s="322">
        <f t="shared" ref="D248:D263" si="186">D161</f>
        <v>0</v>
      </c>
      <c r="E248" s="322">
        <f t="shared" ref="E248:N248" si="187">E161</f>
        <v>300000000</v>
      </c>
      <c r="F248" s="322">
        <f t="shared" si="187"/>
        <v>313500000.00000006</v>
      </c>
      <c r="G248" s="322">
        <f t="shared" si="187"/>
        <v>327607500.00000006</v>
      </c>
      <c r="H248" s="322">
        <f t="shared" si="187"/>
        <v>342349837.50000012</v>
      </c>
      <c r="I248" s="322">
        <f t="shared" si="187"/>
        <v>357755580.18750012</v>
      </c>
      <c r="J248" s="322">
        <f t="shared" si="187"/>
        <v>0</v>
      </c>
      <c r="K248" s="322">
        <f t="shared" si="187"/>
        <v>0</v>
      </c>
      <c r="L248" s="322">
        <f t="shared" si="187"/>
        <v>0</v>
      </c>
      <c r="M248" s="322">
        <f t="shared" si="187"/>
        <v>0</v>
      </c>
      <c r="N248" s="322">
        <f t="shared" si="187"/>
        <v>0</v>
      </c>
      <c r="O248" s="322">
        <v>0</v>
      </c>
      <c r="P248" s="325">
        <f>SUM(D248:N248)</f>
        <v>1641212917.6875</v>
      </c>
      <c r="R248" s="2"/>
    </row>
    <row r="249" spans="1:18" x14ac:dyDescent="0.15">
      <c r="A249" s="1" t="s">
        <v>711</v>
      </c>
      <c r="B249" s="340" t="s">
        <v>689</v>
      </c>
      <c r="C249" s="354" t="s">
        <v>689</v>
      </c>
      <c r="D249" s="67">
        <f t="shared" si="186"/>
        <v>0</v>
      </c>
      <c r="E249" s="67">
        <f>E162</f>
        <v>300000000</v>
      </c>
      <c r="F249" s="67">
        <f t="shared" ref="F249:N249" si="188">F162</f>
        <v>313500000.00000006</v>
      </c>
      <c r="G249" s="67">
        <f t="shared" si="188"/>
        <v>327607500.00000006</v>
      </c>
      <c r="H249" s="67">
        <f t="shared" si="188"/>
        <v>342349837.50000012</v>
      </c>
      <c r="I249" s="67">
        <f t="shared" si="188"/>
        <v>357755580.18750012</v>
      </c>
      <c r="J249" s="67">
        <f t="shared" si="188"/>
        <v>0</v>
      </c>
      <c r="K249" s="67">
        <f t="shared" si="188"/>
        <v>0</v>
      </c>
      <c r="L249" s="67">
        <f t="shared" si="188"/>
        <v>0</v>
      </c>
      <c r="M249" s="67">
        <f t="shared" si="188"/>
        <v>0</v>
      </c>
      <c r="N249" s="67">
        <f t="shared" si="188"/>
        <v>0</v>
      </c>
      <c r="O249" s="67"/>
      <c r="P249" s="326">
        <f>SUM(D249:N249)</f>
        <v>1641212917.6875</v>
      </c>
      <c r="R249" s="2"/>
    </row>
    <row r="250" spans="1:18" x14ac:dyDescent="0.15">
      <c r="B250" s="340" t="s">
        <v>690</v>
      </c>
      <c r="C250" s="354" t="s">
        <v>690</v>
      </c>
      <c r="D250" s="67">
        <f t="shared" si="186"/>
        <v>0</v>
      </c>
      <c r="E250" s="67">
        <f>E163</f>
        <v>0</v>
      </c>
      <c r="F250" s="67">
        <f t="shared" ref="F250:N250" si="189">F163</f>
        <v>0</v>
      </c>
      <c r="G250" s="67">
        <f t="shared" si="189"/>
        <v>0</v>
      </c>
      <c r="H250" s="67">
        <f t="shared" si="189"/>
        <v>0</v>
      </c>
      <c r="I250" s="67">
        <f t="shared" si="189"/>
        <v>0</v>
      </c>
      <c r="J250" s="67">
        <f t="shared" si="189"/>
        <v>0</v>
      </c>
      <c r="K250" s="67">
        <f t="shared" si="189"/>
        <v>0</v>
      </c>
      <c r="L250" s="67">
        <f t="shared" si="189"/>
        <v>0</v>
      </c>
      <c r="M250" s="67">
        <f t="shared" si="189"/>
        <v>0</v>
      </c>
      <c r="N250" s="67">
        <f t="shared" si="189"/>
        <v>0</v>
      </c>
      <c r="O250" s="289"/>
      <c r="P250" s="326">
        <f t="shared" ref="P250:P272" si="190">SUM(D250:N250)</f>
        <v>0</v>
      </c>
      <c r="R250" s="2"/>
    </row>
    <row r="251" spans="1:18" x14ac:dyDescent="0.15">
      <c r="B251" s="355" t="s">
        <v>691</v>
      </c>
      <c r="C251" s="362" t="s">
        <v>691</v>
      </c>
      <c r="D251" s="331">
        <f t="shared" si="186"/>
        <v>0</v>
      </c>
      <c r="E251" s="331">
        <f>E164*1.15</f>
        <v>0</v>
      </c>
      <c r="F251" s="331">
        <f t="shared" ref="F251:N251" si="191">F164*1.15</f>
        <v>0</v>
      </c>
      <c r="G251" s="331">
        <f t="shared" si="191"/>
        <v>0</v>
      </c>
      <c r="H251" s="331">
        <f t="shared" si="191"/>
        <v>0</v>
      </c>
      <c r="I251" s="331">
        <f t="shared" si="191"/>
        <v>0</v>
      </c>
      <c r="J251" s="331">
        <f t="shared" si="191"/>
        <v>0</v>
      </c>
      <c r="K251" s="331">
        <f t="shared" si="191"/>
        <v>0</v>
      </c>
      <c r="L251" s="331">
        <f t="shared" si="191"/>
        <v>0</v>
      </c>
      <c r="M251" s="331">
        <f t="shared" si="191"/>
        <v>0</v>
      </c>
      <c r="N251" s="331">
        <f t="shared" si="191"/>
        <v>0</v>
      </c>
      <c r="O251" s="331"/>
      <c r="P251" s="356">
        <f t="shared" si="190"/>
        <v>0</v>
      </c>
      <c r="R251" s="2"/>
    </row>
    <row r="252" spans="1:18" x14ac:dyDescent="0.15">
      <c r="B252" s="340" t="s">
        <v>695</v>
      </c>
      <c r="C252" s="12"/>
      <c r="D252" s="67">
        <f t="shared" si="186"/>
        <v>0</v>
      </c>
      <c r="E252" s="67">
        <f>E251+E250+E249</f>
        <v>300000000</v>
      </c>
      <c r="F252" s="67">
        <f t="shared" ref="F252:N252" si="192">F251+F250+F249</f>
        <v>313500000.00000006</v>
      </c>
      <c r="G252" s="67">
        <f t="shared" si="192"/>
        <v>327607500.00000006</v>
      </c>
      <c r="H252" s="67">
        <f t="shared" si="192"/>
        <v>342349837.50000012</v>
      </c>
      <c r="I252" s="67">
        <f t="shared" si="192"/>
        <v>357755580.18750012</v>
      </c>
      <c r="J252" s="67">
        <f t="shared" si="192"/>
        <v>0</v>
      </c>
      <c r="K252" s="67">
        <f t="shared" si="192"/>
        <v>0</v>
      </c>
      <c r="L252" s="67">
        <f t="shared" si="192"/>
        <v>0</v>
      </c>
      <c r="M252" s="67">
        <f t="shared" si="192"/>
        <v>0</v>
      </c>
      <c r="N252" s="67">
        <f t="shared" si="192"/>
        <v>0</v>
      </c>
      <c r="O252" s="67"/>
      <c r="P252" s="326">
        <f t="shared" si="190"/>
        <v>1641212917.6875</v>
      </c>
      <c r="R252" s="2"/>
    </row>
    <row r="253" spans="1:18" x14ac:dyDescent="0.15">
      <c r="B253" s="340" t="s">
        <v>696</v>
      </c>
      <c r="C253" s="12" t="s">
        <v>289</v>
      </c>
      <c r="D253" s="67">
        <f t="shared" si="186"/>
        <v>0</v>
      </c>
      <c r="E253" s="67">
        <f>Expenses!D18+Expenses!D25+(Expenses!D32*1.15)+Expenses!D39+Expenses!D44+(Expenses!D49*1.15)+Expenses!D56+Expenses!D95-Expenses!D77</f>
        <v>230170000</v>
      </c>
      <c r="F253" s="67">
        <f>Expenses!E18+Expenses!E25+(Expenses!E32*1.15)+Expenses!E39+Expenses!E44+(Expenses!E49*1.15)+Expenses!E56+Expenses!E95-Expenses!E77</f>
        <v>253018375.00000003</v>
      </c>
      <c r="G253" s="67">
        <f>Expenses!F18+Expenses!F25+(Expenses!F32*1.15)+Expenses!F39+Expenses!F44+(Expenses!F49*1.15)+Expenses!F56+Expenses!F95-Expenses!F77</f>
        <v>278725718.45125008</v>
      </c>
      <c r="H253" s="67">
        <f>Expenses!G18+Expenses!G25+(Expenses!G32*1.15)+Expenses!G39+Expenses!G44+(Expenses!G49*1.15)+Expenses!G56+Expenses!G95-Expenses!G77</f>
        <v>307665975.06072807</v>
      </c>
      <c r="I253" s="67">
        <f>Expenses!H18+Expenses!H25+(Expenses!H32*1.15)+Expenses!H39+Expenses!H44+(Expenses!H49*1.15)+Expenses!H56+Expenses!H95-Expenses!H77</f>
        <v>340262566.36057305</v>
      </c>
      <c r="J253" s="67">
        <f>Expenses!I18+Expenses!I25+(Expenses!I32*1.15)+Expenses!I39+Expenses!I44+(Expenses!I49*1.15)+Expenses!I56+Expenses!I95-Expenses!I77</f>
        <v>0</v>
      </c>
      <c r="K253" s="67">
        <f>Expenses!J18+Expenses!J25+(Expenses!J32*1.15)+Expenses!J39+Expenses!J44+(Expenses!J49*1.15)+Expenses!J56+Expenses!J95-Expenses!J77</f>
        <v>0</v>
      </c>
      <c r="L253" s="67">
        <f>Expenses!K18+Expenses!K25+(Expenses!K32*1.15)+Expenses!K39+Expenses!K44+(Expenses!K49*1.15)+Expenses!K56+Expenses!K95-Expenses!K77</f>
        <v>0</v>
      </c>
      <c r="M253" s="67">
        <f>Expenses!L18+Expenses!L25+(Expenses!L32*1.15)+Expenses!L39+Expenses!L44+(Expenses!L49*1.15)+Expenses!L56+Expenses!L95-Expenses!L77</f>
        <v>0</v>
      </c>
      <c r="N253" s="67">
        <f>Expenses!M18+Expenses!M25+(Expenses!M32*1.15)+Expenses!M39+Expenses!M44+(Expenses!M49*1.15)+Expenses!M56+Expenses!M95-Expenses!M77</f>
        <v>0</v>
      </c>
      <c r="O253" s="67">
        <v>0</v>
      </c>
      <c r="P253" s="326">
        <f t="shared" si="190"/>
        <v>1409842634.8725512</v>
      </c>
      <c r="R253" s="2"/>
    </row>
    <row r="254" spans="1:18" x14ac:dyDescent="0.15">
      <c r="B254" s="340">
        <v>3</v>
      </c>
      <c r="C254" s="12" t="s">
        <v>290</v>
      </c>
      <c r="D254" s="67">
        <f t="shared" si="186"/>
        <v>0</v>
      </c>
      <c r="E254" s="67">
        <f>E252-E253</f>
        <v>69830000</v>
      </c>
      <c r="F254" s="67">
        <f t="shared" ref="F254:N254" si="193">F252-F253</f>
        <v>60481625.00000003</v>
      </c>
      <c r="G254" s="67">
        <f t="shared" si="193"/>
        <v>48881781.548749983</v>
      </c>
      <c r="H254" s="67">
        <f t="shared" si="193"/>
        <v>34683862.439272046</v>
      </c>
      <c r="I254" s="67">
        <f t="shared" si="193"/>
        <v>17493013.826927066</v>
      </c>
      <c r="J254" s="67">
        <f t="shared" si="193"/>
        <v>0</v>
      </c>
      <c r="K254" s="67">
        <f t="shared" si="193"/>
        <v>0</v>
      </c>
      <c r="L254" s="67">
        <f t="shared" si="193"/>
        <v>0</v>
      </c>
      <c r="M254" s="67">
        <f t="shared" si="193"/>
        <v>0</v>
      </c>
      <c r="N254" s="67">
        <f t="shared" si="193"/>
        <v>0</v>
      </c>
      <c r="O254" s="67">
        <v>0</v>
      </c>
      <c r="P254" s="326">
        <f t="shared" si="190"/>
        <v>231370282.81494913</v>
      </c>
      <c r="R254" s="2"/>
    </row>
    <row r="255" spans="1:18" x14ac:dyDescent="0.15">
      <c r="B255" s="340" t="s">
        <v>697</v>
      </c>
      <c r="C255" s="12" t="s">
        <v>292</v>
      </c>
      <c r="D255" s="67">
        <f t="shared" si="186"/>
        <v>0</v>
      </c>
      <c r="E255" s="67">
        <f>E168</f>
        <v>3772500</v>
      </c>
      <c r="F255" s="67">
        <f t="shared" ref="F255:N255" si="194">F168</f>
        <v>6218850</v>
      </c>
      <c r="G255" s="67">
        <f t="shared" si="194"/>
        <v>4083150</v>
      </c>
      <c r="H255" s="67">
        <f t="shared" si="194"/>
        <v>2775510</v>
      </c>
      <c r="I255" s="67">
        <f t="shared" si="194"/>
        <v>1352955</v>
      </c>
      <c r="J255" s="67">
        <f t="shared" si="194"/>
        <v>0</v>
      </c>
      <c r="K255" s="67">
        <f t="shared" si="194"/>
        <v>0</v>
      </c>
      <c r="L255" s="67">
        <f t="shared" si="194"/>
        <v>0</v>
      </c>
      <c r="M255" s="67">
        <f t="shared" si="194"/>
        <v>0</v>
      </c>
      <c r="N255" s="67">
        <f t="shared" si="194"/>
        <v>0</v>
      </c>
      <c r="O255" s="67">
        <v>0</v>
      </c>
      <c r="P255" s="326">
        <f t="shared" si="190"/>
        <v>18202965</v>
      </c>
      <c r="R255" s="2"/>
    </row>
    <row r="256" spans="1:18" x14ac:dyDescent="0.15">
      <c r="B256" s="340">
        <v>5</v>
      </c>
      <c r="C256" s="12" t="s">
        <v>293</v>
      </c>
      <c r="D256" s="67">
        <f t="shared" si="186"/>
        <v>0</v>
      </c>
      <c r="E256" s="67">
        <f>E254-E255</f>
        <v>66057500</v>
      </c>
      <c r="F256" s="67">
        <f t="shared" ref="F256:N256" si="195">F254-F255</f>
        <v>54262775.00000003</v>
      </c>
      <c r="G256" s="67">
        <f t="shared" si="195"/>
        <v>44798631.548749983</v>
      </c>
      <c r="H256" s="67">
        <f t="shared" si="195"/>
        <v>31908352.439272046</v>
      </c>
      <c r="I256" s="67">
        <f t="shared" si="195"/>
        <v>16140058.826927066</v>
      </c>
      <c r="J256" s="67">
        <f t="shared" si="195"/>
        <v>0</v>
      </c>
      <c r="K256" s="67">
        <f t="shared" si="195"/>
        <v>0</v>
      </c>
      <c r="L256" s="67">
        <f t="shared" si="195"/>
        <v>0</v>
      </c>
      <c r="M256" s="67">
        <f t="shared" si="195"/>
        <v>0</v>
      </c>
      <c r="N256" s="67">
        <f t="shared" si="195"/>
        <v>0</v>
      </c>
      <c r="O256" s="67">
        <v>0</v>
      </c>
      <c r="P256" s="326">
        <f t="shared" si="190"/>
        <v>213167317.81494913</v>
      </c>
      <c r="R256" s="2"/>
    </row>
    <row r="257" spans="1:18" x14ac:dyDescent="0.15">
      <c r="B257" s="340" t="s">
        <v>698</v>
      </c>
      <c r="C257" s="12" t="s">
        <v>295</v>
      </c>
      <c r="D257" s="67">
        <f t="shared" si="186"/>
        <v>0</v>
      </c>
      <c r="E257" s="67">
        <f>E170</f>
        <v>0</v>
      </c>
      <c r="F257" s="67">
        <f t="shared" ref="F257:N257" si="196">F170</f>
        <v>0</v>
      </c>
      <c r="G257" s="67">
        <f t="shared" si="196"/>
        <v>0</v>
      </c>
      <c r="H257" s="67">
        <f t="shared" si="196"/>
        <v>0</v>
      </c>
      <c r="I257" s="67">
        <f t="shared" si="196"/>
        <v>0</v>
      </c>
      <c r="J257" s="67">
        <f t="shared" si="196"/>
        <v>0</v>
      </c>
      <c r="K257" s="67">
        <f t="shared" si="196"/>
        <v>0</v>
      </c>
      <c r="L257" s="67">
        <f t="shared" si="196"/>
        <v>0</v>
      </c>
      <c r="M257" s="67">
        <f t="shared" si="196"/>
        <v>0</v>
      </c>
      <c r="N257" s="67">
        <f t="shared" si="196"/>
        <v>0</v>
      </c>
      <c r="O257" s="67">
        <v>0</v>
      </c>
      <c r="P257" s="326">
        <f t="shared" si="190"/>
        <v>0</v>
      </c>
      <c r="R257" s="2"/>
    </row>
    <row r="258" spans="1:18" x14ac:dyDescent="0.15">
      <c r="B258" s="340">
        <v>7</v>
      </c>
      <c r="C258" s="12" t="s">
        <v>296</v>
      </c>
      <c r="D258" s="67">
        <f t="shared" si="186"/>
        <v>0</v>
      </c>
      <c r="E258" s="67">
        <f>E256-E257</f>
        <v>66057500</v>
      </c>
      <c r="F258" s="67">
        <f t="shared" ref="F258:N258" si="197">F256-F257</f>
        <v>54262775.00000003</v>
      </c>
      <c r="G258" s="67">
        <f t="shared" si="197"/>
        <v>44798631.548749983</v>
      </c>
      <c r="H258" s="67">
        <f t="shared" si="197"/>
        <v>31908352.439272046</v>
      </c>
      <c r="I258" s="67">
        <f t="shared" si="197"/>
        <v>16140058.826927066</v>
      </c>
      <c r="J258" s="67">
        <f t="shared" si="197"/>
        <v>0</v>
      </c>
      <c r="K258" s="67">
        <f t="shared" si="197"/>
        <v>0</v>
      </c>
      <c r="L258" s="67">
        <f t="shared" si="197"/>
        <v>0</v>
      </c>
      <c r="M258" s="67">
        <f t="shared" si="197"/>
        <v>0</v>
      </c>
      <c r="N258" s="67">
        <f t="shared" si="197"/>
        <v>0</v>
      </c>
      <c r="O258" s="67">
        <v>0</v>
      </c>
      <c r="P258" s="326">
        <f t="shared" si="190"/>
        <v>213167317.81494913</v>
      </c>
      <c r="R258" s="2"/>
    </row>
    <row r="259" spans="1:18" x14ac:dyDescent="0.15">
      <c r="B259" s="340">
        <v>8</v>
      </c>
      <c r="C259" s="12" t="s">
        <v>297</v>
      </c>
      <c r="D259" s="67">
        <f t="shared" si="186"/>
        <v>0</v>
      </c>
      <c r="E259" s="67">
        <f>-E258*$D$3</f>
        <v>-19817250</v>
      </c>
      <c r="F259" s="67">
        <f t="shared" ref="F259:N259" si="198">-F258*$D$3</f>
        <v>-16278832.500000007</v>
      </c>
      <c r="G259" s="67">
        <f t="shared" si="198"/>
        <v>-13439589.464624995</v>
      </c>
      <c r="H259" s="67">
        <f t="shared" si="198"/>
        <v>-9572505.7317816131</v>
      </c>
      <c r="I259" s="67">
        <f t="shared" si="198"/>
        <v>-4842017.6480781194</v>
      </c>
      <c r="J259" s="67">
        <f t="shared" si="198"/>
        <v>0</v>
      </c>
      <c r="K259" s="67">
        <f t="shared" si="198"/>
        <v>0</v>
      </c>
      <c r="L259" s="67">
        <f t="shared" si="198"/>
        <v>0</v>
      </c>
      <c r="M259" s="67">
        <f t="shared" si="198"/>
        <v>0</v>
      </c>
      <c r="N259" s="67">
        <f t="shared" si="198"/>
        <v>0</v>
      </c>
      <c r="O259" s="67">
        <v>0</v>
      </c>
      <c r="P259" s="326">
        <f t="shared" si="190"/>
        <v>-63950195.344484739</v>
      </c>
      <c r="R259" s="2"/>
    </row>
    <row r="260" spans="1:18" x14ac:dyDescent="0.15">
      <c r="B260" s="340">
        <v>9</v>
      </c>
      <c r="C260" s="12" t="s">
        <v>298</v>
      </c>
      <c r="D260" s="67">
        <f t="shared" si="186"/>
        <v>0</v>
      </c>
      <c r="E260" s="67">
        <f>E173</f>
        <v>0</v>
      </c>
      <c r="F260" s="67">
        <f t="shared" ref="F260:N260" si="199">F173</f>
        <v>0</v>
      </c>
      <c r="G260" s="67">
        <f t="shared" si="199"/>
        <v>0</v>
      </c>
      <c r="H260" s="67">
        <f t="shared" si="199"/>
        <v>0</v>
      </c>
      <c r="I260" s="67">
        <f t="shared" si="199"/>
        <v>0</v>
      </c>
      <c r="J260" s="67">
        <f t="shared" si="199"/>
        <v>0</v>
      </c>
      <c r="K260" s="67">
        <f t="shared" si="199"/>
        <v>0</v>
      </c>
      <c r="L260" s="67">
        <f t="shared" si="199"/>
        <v>0</v>
      </c>
      <c r="M260" s="67">
        <f t="shared" si="199"/>
        <v>0</v>
      </c>
      <c r="N260" s="67">
        <f t="shared" si="199"/>
        <v>0</v>
      </c>
      <c r="O260" s="67">
        <v>0</v>
      </c>
      <c r="P260" s="326">
        <f t="shared" si="190"/>
        <v>0</v>
      </c>
      <c r="R260" s="2"/>
    </row>
    <row r="261" spans="1:18" x14ac:dyDescent="0.15">
      <c r="B261" s="340">
        <v>10</v>
      </c>
      <c r="C261" s="12" t="s">
        <v>299</v>
      </c>
      <c r="D261" s="67">
        <f t="shared" si="186"/>
        <v>0</v>
      </c>
      <c r="E261" s="67">
        <f>E258+E259+E260</f>
        <v>46240250</v>
      </c>
      <c r="F261" s="67">
        <f t="shared" ref="F261:N261" si="200">F258+F259+F260</f>
        <v>37983942.500000022</v>
      </c>
      <c r="G261" s="67">
        <f t="shared" si="200"/>
        <v>31359042.08412499</v>
      </c>
      <c r="H261" s="67">
        <f t="shared" si="200"/>
        <v>22335846.707490433</v>
      </c>
      <c r="I261" s="67">
        <f t="shared" si="200"/>
        <v>11298041.178848946</v>
      </c>
      <c r="J261" s="67">
        <f t="shared" si="200"/>
        <v>0</v>
      </c>
      <c r="K261" s="67">
        <f t="shared" si="200"/>
        <v>0</v>
      </c>
      <c r="L261" s="67">
        <f t="shared" si="200"/>
        <v>0</v>
      </c>
      <c r="M261" s="67">
        <f t="shared" si="200"/>
        <v>0</v>
      </c>
      <c r="N261" s="67">
        <f t="shared" si="200"/>
        <v>0</v>
      </c>
      <c r="O261" s="67">
        <v>0</v>
      </c>
      <c r="P261" s="326">
        <f t="shared" si="190"/>
        <v>149217122.47046441</v>
      </c>
      <c r="R261" s="2"/>
    </row>
    <row r="262" spans="1:18" x14ac:dyDescent="0.15">
      <c r="B262" s="340" t="s">
        <v>699</v>
      </c>
      <c r="C262" s="12" t="s">
        <v>292</v>
      </c>
      <c r="D262" s="67">
        <f t="shared" si="186"/>
        <v>0</v>
      </c>
      <c r="E262" s="67">
        <f>E175</f>
        <v>3772500</v>
      </c>
      <c r="F262" s="67">
        <f t="shared" ref="F262:N262" si="201">F175</f>
        <v>6218850</v>
      </c>
      <c r="G262" s="67">
        <f t="shared" si="201"/>
        <v>4083150</v>
      </c>
      <c r="H262" s="67">
        <f t="shared" si="201"/>
        <v>2775510</v>
      </c>
      <c r="I262" s="67">
        <f t="shared" si="201"/>
        <v>1352955</v>
      </c>
      <c r="J262" s="67">
        <f t="shared" si="201"/>
        <v>0</v>
      </c>
      <c r="K262" s="67">
        <f t="shared" si="201"/>
        <v>0</v>
      </c>
      <c r="L262" s="67">
        <f t="shared" si="201"/>
        <v>0</v>
      </c>
      <c r="M262" s="67">
        <f t="shared" si="201"/>
        <v>0</v>
      </c>
      <c r="N262" s="67">
        <f t="shared" si="201"/>
        <v>0</v>
      </c>
      <c r="O262" s="67">
        <v>0</v>
      </c>
      <c r="P262" s="326">
        <f t="shared" si="190"/>
        <v>18202965</v>
      </c>
      <c r="R262" s="2"/>
    </row>
    <row r="263" spans="1:18" x14ac:dyDescent="0.15">
      <c r="B263" s="340">
        <v>12</v>
      </c>
      <c r="C263" s="12" t="s">
        <v>301</v>
      </c>
      <c r="D263" s="67">
        <f t="shared" si="186"/>
        <v>0</v>
      </c>
      <c r="E263" s="67">
        <f>E261+E262</f>
        <v>50012750</v>
      </c>
      <c r="F263" s="67">
        <f t="shared" ref="F263:N263" si="202">F261+F262</f>
        <v>44202792.500000022</v>
      </c>
      <c r="G263" s="67">
        <f t="shared" si="202"/>
        <v>35442192.08412499</v>
      </c>
      <c r="H263" s="67">
        <f t="shared" si="202"/>
        <v>25111356.707490433</v>
      </c>
      <c r="I263" s="67">
        <f t="shared" si="202"/>
        <v>12650996.178848946</v>
      </c>
      <c r="J263" s="67">
        <f t="shared" si="202"/>
        <v>0</v>
      </c>
      <c r="K263" s="67">
        <f t="shared" si="202"/>
        <v>0</v>
      </c>
      <c r="L263" s="67">
        <f t="shared" si="202"/>
        <v>0</v>
      </c>
      <c r="M263" s="67">
        <f t="shared" si="202"/>
        <v>0</v>
      </c>
      <c r="N263" s="67">
        <f t="shared" si="202"/>
        <v>0</v>
      </c>
      <c r="O263" s="67">
        <v>0</v>
      </c>
      <c r="P263" s="326">
        <f t="shared" si="190"/>
        <v>167420087.47046441</v>
      </c>
      <c r="R263" s="2"/>
    </row>
    <row r="264" spans="1:18" x14ac:dyDescent="0.15">
      <c r="B264" s="340" t="s">
        <v>700</v>
      </c>
      <c r="C264" s="12" t="s">
        <v>303</v>
      </c>
      <c r="D264" s="67">
        <v>0</v>
      </c>
      <c r="E264" s="67">
        <f t="shared" ref="E264:N264" si="203">E177</f>
        <v>0</v>
      </c>
      <c r="F264" s="67">
        <f t="shared" si="203"/>
        <v>0</v>
      </c>
      <c r="G264" s="67">
        <f t="shared" si="203"/>
        <v>0</v>
      </c>
      <c r="H264" s="67">
        <f t="shared" si="203"/>
        <v>0</v>
      </c>
      <c r="I264" s="67">
        <f t="shared" si="203"/>
        <v>0</v>
      </c>
      <c r="J264" s="67">
        <f t="shared" si="203"/>
        <v>0</v>
      </c>
      <c r="K264" s="67">
        <f t="shared" si="203"/>
        <v>0</v>
      </c>
      <c r="L264" s="67">
        <f t="shared" si="203"/>
        <v>0</v>
      </c>
      <c r="M264" s="67">
        <f t="shared" si="203"/>
        <v>0</v>
      </c>
      <c r="N264" s="67">
        <f t="shared" si="203"/>
        <v>0</v>
      </c>
      <c r="O264" s="67">
        <v>0</v>
      </c>
      <c r="P264" s="326">
        <f t="shared" si="190"/>
        <v>0</v>
      </c>
      <c r="R264" s="2"/>
    </row>
    <row r="265" spans="1:18" x14ac:dyDescent="0.15">
      <c r="B265" s="340">
        <v>14</v>
      </c>
      <c r="C265" s="12" t="s">
        <v>304</v>
      </c>
      <c r="D265" s="67">
        <f t="shared" ref="D265:N271" si="204">D178</f>
        <v>-32550000</v>
      </c>
      <c r="E265" s="67">
        <f t="shared" si="204"/>
        <v>0</v>
      </c>
      <c r="F265" s="67">
        <f t="shared" si="204"/>
        <v>0</v>
      </c>
      <c r="G265" s="67">
        <f t="shared" si="204"/>
        <v>0</v>
      </c>
      <c r="H265" s="67">
        <f t="shared" si="204"/>
        <v>0</v>
      </c>
      <c r="I265" s="67">
        <f t="shared" si="204"/>
        <v>14347035</v>
      </c>
      <c r="J265" s="67">
        <f t="shared" si="204"/>
        <v>0</v>
      </c>
      <c r="K265" s="67">
        <f t="shared" si="204"/>
        <v>0</v>
      </c>
      <c r="L265" s="67">
        <f t="shared" si="204"/>
        <v>0</v>
      </c>
      <c r="M265" s="67">
        <f t="shared" si="204"/>
        <v>0</v>
      </c>
      <c r="N265" s="67">
        <f t="shared" si="204"/>
        <v>0</v>
      </c>
      <c r="O265" s="67">
        <v>0</v>
      </c>
      <c r="P265" s="326">
        <f t="shared" si="190"/>
        <v>-18202965</v>
      </c>
      <c r="R265" s="2"/>
    </row>
    <row r="266" spans="1:18" x14ac:dyDescent="0.15">
      <c r="B266" s="340" t="s">
        <v>701</v>
      </c>
      <c r="C266" s="12" t="s">
        <v>207</v>
      </c>
      <c r="D266" s="67">
        <f t="shared" si="204"/>
        <v>-31050000</v>
      </c>
      <c r="E266" s="67">
        <f t="shared" si="204"/>
        <v>0</v>
      </c>
      <c r="F266" s="67">
        <f t="shared" si="204"/>
        <v>0</v>
      </c>
      <c r="G266" s="67">
        <f t="shared" si="204"/>
        <v>0</v>
      </c>
      <c r="H266" s="67">
        <f t="shared" si="204"/>
        <v>0</v>
      </c>
      <c r="I266" s="67">
        <f t="shared" si="204"/>
        <v>12847035</v>
      </c>
      <c r="J266" s="67">
        <f t="shared" si="204"/>
        <v>0</v>
      </c>
      <c r="K266" s="67">
        <f t="shared" si="204"/>
        <v>0</v>
      </c>
      <c r="L266" s="67">
        <f t="shared" si="204"/>
        <v>0</v>
      </c>
      <c r="M266" s="67">
        <f t="shared" si="204"/>
        <v>0</v>
      </c>
      <c r="N266" s="67">
        <f t="shared" si="204"/>
        <v>0</v>
      </c>
      <c r="O266" s="67">
        <v>0</v>
      </c>
      <c r="P266" s="326">
        <f t="shared" si="190"/>
        <v>-18202965</v>
      </c>
      <c r="R266" s="2"/>
    </row>
    <row r="267" spans="1:18" x14ac:dyDescent="0.15">
      <c r="B267" s="340" t="s">
        <v>702</v>
      </c>
      <c r="C267" s="12" t="s">
        <v>307</v>
      </c>
      <c r="D267" s="67">
        <f t="shared" si="204"/>
        <v>-1500000</v>
      </c>
      <c r="E267" s="67">
        <f t="shared" si="204"/>
        <v>0</v>
      </c>
      <c r="F267" s="67">
        <f t="shared" si="204"/>
        <v>0</v>
      </c>
      <c r="G267" s="67">
        <f t="shared" si="204"/>
        <v>0</v>
      </c>
      <c r="H267" s="67">
        <f t="shared" si="204"/>
        <v>0</v>
      </c>
      <c r="I267" s="67">
        <f t="shared" si="204"/>
        <v>1500000</v>
      </c>
      <c r="J267" s="67">
        <f t="shared" si="204"/>
        <v>0</v>
      </c>
      <c r="K267" s="67">
        <f t="shared" si="204"/>
        <v>0</v>
      </c>
      <c r="L267" s="67">
        <f t="shared" si="204"/>
        <v>0</v>
      </c>
      <c r="M267" s="67">
        <f t="shared" si="204"/>
        <v>0</v>
      </c>
      <c r="N267" s="67">
        <f t="shared" si="204"/>
        <v>0</v>
      </c>
      <c r="O267" s="67">
        <v>0</v>
      </c>
      <c r="P267" s="326">
        <f t="shared" si="190"/>
        <v>0</v>
      </c>
      <c r="R267" s="2"/>
    </row>
    <row r="268" spans="1:18" x14ac:dyDescent="0.15">
      <c r="B268" s="340" t="s">
        <v>703</v>
      </c>
      <c r="C268" s="12" t="s">
        <v>309</v>
      </c>
      <c r="D268" s="67">
        <f t="shared" si="204"/>
        <v>0</v>
      </c>
      <c r="E268" s="67">
        <f t="shared" si="204"/>
        <v>0</v>
      </c>
      <c r="F268" s="67">
        <f t="shared" si="204"/>
        <v>0</v>
      </c>
      <c r="G268" s="67">
        <f t="shared" si="204"/>
        <v>0</v>
      </c>
      <c r="H268" s="67">
        <f t="shared" si="204"/>
        <v>0</v>
      </c>
      <c r="I268" s="67">
        <f t="shared" si="204"/>
        <v>0</v>
      </c>
      <c r="J268" s="67">
        <f t="shared" si="204"/>
        <v>0</v>
      </c>
      <c r="K268" s="67">
        <f t="shared" si="204"/>
        <v>0</v>
      </c>
      <c r="L268" s="67">
        <f t="shared" si="204"/>
        <v>0</v>
      </c>
      <c r="M268" s="67">
        <f t="shared" si="204"/>
        <v>0</v>
      </c>
      <c r="N268" s="67">
        <f t="shared" si="204"/>
        <v>0</v>
      </c>
      <c r="O268" s="67">
        <v>0</v>
      </c>
      <c r="P268" s="326">
        <f t="shared" si="190"/>
        <v>0</v>
      </c>
      <c r="R268" s="2"/>
    </row>
    <row r="269" spans="1:18" x14ac:dyDescent="0.15">
      <c r="B269" s="340" t="s">
        <v>704</v>
      </c>
      <c r="C269" s="12" t="s">
        <v>311</v>
      </c>
      <c r="D269" s="67">
        <f t="shared" si="204"/>
        <v>0</v>
      </c>
      <c r="E269" s="67">
        <f t="shared" si="204"/>
        <v>0</v>
      </c>
      <c r="F269" s="67">
        <f t="shared" si="204"/>
        <v>0</v>
      </c>
      <c r="G269" s="67">
        <f t="shared" si="204"/>
        <v>0</v>
      </c>
      <c r="H269" s="67">
        <f t="shared" si="204"/>
        <v>0</v>
      </c>
      <c r="I269" s="67">
        <f t="shared" si="204"/>
        <v>-2596968.7000000002</v>
      </c>
      <c r="J269" s="67">
        <f t="shared" si="204"/>
        <v>0</v>
      </c>
      <c r="K269" s="67">
        <f t="shared" si="204"/>
        <v>0</v>
      </c>
      <c r="L269" s="67">
        <f t="shared" si="204"/>
        <v>0</v>
      </c>
      <c r="M269" s="67">
        <f t="shared" si="204"/>
        <v>0</v>
      </c>
      <c r="N269" s="67">
        <f t="shared" si="204"/>
        <v>0</v>
      </c>
      <c r="O269" s="67">
        <v>0</v>
      </c>
      <c r="P269" s="326">
        <f t="shared" si="190"/>
        <v>-2596968.7000000002</v>
      </c>
      <c r="R269" s="2"/>
    </row>
    <row r="270" spans="1:18" ht="14" thickBot="1" x14ac:dyDescent="0.2">
      <c r="B270" s="340" t="s">
        <v>705</v>
      </c>
      <c r="C270" s="12" t="s">
        <v>115</v>
      </c>
      <c r="D270" s="67">
        <f t="shared" si="204"/>
        <v>-60000000</v>
      </c>
      <c r="E270" s="67">
        <f t="shared" si="204"/>
        <v>0</v>
      </c>
      <c r="F270" s="67">
        <f t="shared" si="204"/>
        <v>0</v>
      </c>
      <c r="G270" s="67">
        <f t="shared" si="204"/>
        <v>0</v>
      </c>
      <c r="H270" s="67">
        <f t="shared" si="204"/>
        <v>0</v>
      </c>
      <c r="I270" s="67">
        <f t="shared" si="204"/>
        <v>60000000</v>
      </c>
      <c r="J270" s="67">
        <f t="shared" si="204"/>
        <v>0</v>
      </c>
      <c r="K270" s="67">
        <f t="shared" si="204"/>
        <v>0</v>
      </c>
      <c r="L270" s="67">
        <f t="shared" si="204"/>
        <v>0</v>
      </c>
      <c r="M270" s="67">
        <f t="shared" si="204"/>
        <v>0</v>
      </c>
      <c r="N270" s="67">
        <f t="shared" si="204"/>
        <v>0</v>
      </c>
      <c r="O270" s="67">
        <v>0</v>
      </c>
      <c r="P270" s="326">
        <f t="shared" si="190"/>
        <v>0</v>
      </c>
      <c r="R270" s="2"/>
    </row>
    <row r="271" spans="1:18" x14ac:dyDescent="0.15">
      <c r="B271" s="340">
        <v>17</v>
      </c>
      <c r="C271" s="12" t="s">
        <v>313</v>
      </c>
      <c r="D271" s="67">
        <f t="shared" si="204"/>
        <v>-92550000</v>
      </c>
      <c r="E271" s="67">
        <f t="shared" si="204"/>
        <v>0</v>
      </c>
      <c r="F271" s="67">
        <f t="shared" si="204"/>
        <v>0</v>
      </c>
      <c r="G271" s="67">
        <f t="shared" si="204"/>
        <v>0</v>
      </c>
      <c r="H271" s="67">
        <f t="shared" si="204"/>
        <v>0</v>
      </c>
      <c r="I271" s="67">
        <f t="shared" si="204"/>
        <v>71750066.299999997</v>
      </c>
      <c r="J271" s="67">
        <f t="shared" si="204"/>
        <v>0</v>
      </c>
      <c r="K271" s="67">
        <f t="shared" si="204"/>
        <v>0</v>
      </c>
      <c r="L271" s="67">
        <f t="shared" si="204"/>
        <v>0</v>
      </c>
      <c r="M271" s="67">
        <f t="shared" si="204"/>
        <v>0</v>
      </c>
      <c r="N271" s="67">
        <f t="shared" si="204"/>
        <v>0</v>
      </c>
      <c r="O271" s="67">
        <v>0</v>
      </c>
      <c r="P271" s="326">
        <f t="shared" si="190"/>
        <v>-20799933.700000003</v>
      </c>
      <c r="Q271" s="357" t="s">
        <v>693</v>
      </c>
      <c r="R271" s="2"/>
    </row>
    <row r="272" spans="1:18" ht="14" thickBot="1" x14ac:dyDescent="0.2">
      <c r="A272" s="1" t="s">
        <v>711</v>
      </c>
      <c r="B272" s="355">
        <v>18</v>
      </c>
      <c r="C272" s="335" t="s">
        <v>314</v>
      </c>
      <c r="D272" s="331">
        <f>D271+D263</f>
        <v>-92550000</v>
      </c>
      <c r="E272" s="331">
        <f t="shared" ref="E272:N272" si="205">E271+E263</f>
        <v>50012750</v>
      </c>
      <c r="F272" s="331">
        <f t="shared" si="205"/>
        <v>44202792.500000022</v>
      </c>
      <c r="G272" s="331">
        <f t="shared" si="205"/>
        <v>35442192.08412499</v>
      </c>
      <c r="H272" s="331">
        <f t="shared" si="205"/>
        <v>25111356.707490433</v>
      </c>
      <c r="I272" s="331">
        <f t="shared" si="205"/>
        <v>84401062.478848949</v>
      </c>
      <c r="J272" s="331">
        <f t="shared" si="205"/>
        <v>0</v>
      </c>
      <c r="K272" s="331">
        <f t="shared" si="205"/>
        <v>0</v>
      </c>
      <c r="L272" s="331">
        <f t="shared" si="205"/>
        <v>0</v>
      </c>
      <c r="M272" s="331">
        <f t="shared" si="205"/>
        <v>0</v>
      </c>
      <c r="N272" s="331">
        <f t="shared" si="205"/>
        <v>0</v>
      </c>
      <c r="O272" s="331">
        <v>0</v>
      </c>
      <c r="P272" s="356">
        <f t="shared" si="190"/>
        <v>146620153.77046439</v>
      </c>
      <c r="Q272" s="358">
        <f>IF(ISNUMBER(IRR(D272:N272)),IRR(D272:N272),"NMF")</f>
        <v>0.40549033935008683</v>
      </c>
      <c r="R272" s="1" t="s">
        <v>711</v>
      </c>
    </row>
    <row r="273" spans="1:18" x14ac:dyDescent="0.15">
      <c r="R273" s="2"/>
    </row>
    <row r="274" spans="1:18" ht="14" thickBot="1" x14ac:dyDescent="0.2">
      <c r="R274" s="2"/>
    </row>
    <row r="275" spans="1:18" ht="14" thickBot="1" x14ac:dyDescent="0.2">
      <c r="B275" s="359" t="s">
        <v>282</v>
      </c>
      <c r="C275" s="360" t="s">
        <v>283</v>
      </c>
      <c r="D275" s="360"/>
      <c r="E275" s="360">
        <v>1</v>
      </c>
      <c r="F275" s="360">
        <v>2</v>
      </c>
      <c r="G275" s="360">
        <v>3</v>
      </c>
      <c r="H275" s="360">
        <v>4</v>
      </c>
      <c r="I275" s="360">
        <v>5</v>
      </c>
      <c r="J275" s="360">
        <v>6</v>
      </c>
      <c r="K275" s="360">
        <v>7</v>
      </c>
      <c r="L275" s="360">
        <v>8</v>
      </c>
      <c r="M275" s="360">
        <v>9</v>
      </c>
      <c r="N275" s="360">
        <v>10</v>
      </c>
      <c r="O275" s="360" t="s">
        <v>284</v>
      </c>
      <c r="P275" s="361" t="s">
        <v>285</v>
      </c>
      <c r="R275" s="2"/>
    </row>
    <row r="276" spans="1:18" x14ac:dyDescent="0.15">
      <c r="B276" s="339" t="s">
        <v>687</v>
      </c>
      <c r="C276" s="302" t="s">
        <v>287</v>
      </c>
      <c r="D276" s="322">
        <f t="shared" ref="D276:D291" si="206">D161</f>
        <v>0</v>
      </c>
      <c r="E276" s="322">
        <f t="shared" ref="E276:N276" si="207">E161</f>
        <v>300000000</v>
      </c>
      <c r="F276" s="322">
        <f t="shared" si="207"/>
        <v>313500000.00000006</v>
      </c>
      <c r="G276" s="322">
        <f t="shared" si="207"/>
        <v>327607500.00000006</v>
      </c>
      <c r="H276" s="322">
        <f t="shared" si="207"/>
        <v>342349837.50000012</v>
      </c>
      <c r="I276" s="322">
        <f t="shared" si="207"/>
        <v>357755580.18750012</v>
      </c>
      <c r="J276" s="322">
        <f t="shared" si="207"/>
        <v>0</v>
      </c>
      <c r="K276" s="322">
        <f t="shared" si="207"/>
        <v>0</v>
      </c>
      <c r="L276" s="322">
        <f t="shared" si="207"/>
        <v>0</v>
      </c>
      <c r="M276" s="322">
        <f t="shared" si="207"/>
        <v>0</v>
      </c>
      <c r="N276" s="322">
        <f t="shared" si="207"/>
        <v>0</v>
      </c>
      <c r="O276" s="322">
        <v>0</v>
      </c>
      <c r="P276" s="325">
        <f>SUM(D276:N276)</f>
        <v>1641212917.6875</v>
      </c>
      <c r="R276" s="2"/>
    </row>
    <row r="277" spans="1:18" x14ac:dyDescent="0.15">
      <c r="A277" s="1" t="s">
        <v>712</v>
      </c>
      <c r="B277" s="340" t="s">
        <v>689</v>
      </c>
      <c r="C277" s="354" t="s">
        <v>689</v>
      </c>
      <c r="D277" s="67">
        <f t="shared" si="206"/>
        <v>0</v>
      </c>
      <c r="E277" s="67">
        <f>E162</f>
        <v>300000000</v>
      </c>
      <c r="F277" s="67">
        <f t="shared" ref="F277:N277" si="208">F162</f>
        <v>313500000.00000006</v>
      </c>
      <c r="G277" s="67">
        <f t="shared" si="208"/>
        <v>327607500.00000006</v>
      </c>
      <c r="H277" s="67">
        <f t="shared" si="208"/>
        <v>342349837.50000012</v>
      </c>
      <c r="I277" s="67">
        <f t="shared" si="208"/>
        <v>357755580.18750012</v>
      </c>
      <c r="J277" s="67">
        <f t="shared" si="208"/>
        <v>0</v>
      </c>
      <c r="K277" s="67">
        <f t="shared" si="208"/>
        <v>0</v>
      </c>
      <c r="L277" s="67">
        <f t="shared" si="208"/>
        <v>0</v>
      </c>
      <c r="M277" s="67">
        <f t="shared" si="208"/>
        <v>0</v>
      </c>
      <c r="N277" s="67">
        <f t="shared" si="208"/>
        <v>0</v>
      </c>
      <c r="O277" s="67"/>
      <c r="P277" s="326">
        <f>SUM(D277:N277)</f>
        <v>1641212917.6875</v>
      </c>
      <c r="R277" s="2"/>
    </row>
    <row r="278" spans="1:18" x14ac:dyDescent="0.15">
      <c r="B278" s="340" t="s">
        <v>690</v>
      </c>
      <c r="C278" s="354" t="s">
        <v>690</v>
      </c>
      <c r="D278" s="67">
        <f t="shared" si="206"/>
        <v>0</v>
      </c>
      <c r="E278" s="67">
        <f>E163</f>
        <v>0</v>
      </c>
      <c r="F278" s="67">
        <f t="shared" ref="F278:N278" si="209">F163</f>
        <v>0</v>
      </c>
      <c r="G278" s="67">
        <f t="shared" si="209"/>
        <v>0</v>
      </c>
      <c r="H278" s="67">
        <f t="shared" si="209"/>
        <v>0</v>
      </c>
      <c r="I278" s="67">
        <f t="shared" si="209"/>
        <v>0</v>
      </c>
      <c r="J278" s="67">
        <f t="shared" si="209"/>
        <v>0</v>
      </c>
      <c r="K278" s="67">
        <f t="shared" si="209"/>
        <v>0</v>
      </c>
      <c r="L278" s="67">
        <f t="shared" si="209"/>
        <v>0</v>
      </c>
      <c r="M278" s="67">
        <f t="shared" si="209"/>
        <v>0</v>
      </c>
      <c r="N278" s="67">
        <f t="shared" si="209"/>
        <v>0</v>
      </c>
      <c r="O278" s="289"/>
      <c r="P278" s="326">
        <f t="shared" ref="P278:P300" si="210">SUM(D278:N278)</f>
        <v>0</v>
      </c>
      <c r="R278" s="2"/>
    </row>
    <row r="279" spans="1:18" x14ac:dyDescent="0.15">
      <c r="B279" s="355" t="s">
        <v>691</v>
      </c>
      <c r="C279" s="362" t="s">
        <v>691</v>
      </c>
      <c r="D279" s="331">
        <f t="shared" si="206"/>
        <v>0</v>
      </c>
      <c r="E279" s="331">
        <f>E164*1.2</f>
        <v>0</v>
      </c>
      <c r="F279" s="331">
        <f t="shared" ref="F279:N279" si="211">F164*1.2</f>
        <v>0</v>
      </c>
      <c r="G279" s="331">
        <f t="shared" si="211"/>
        <v>0</v>
      </c>
      <c r="H279" s="331">
        <f t="shared" si="211"/>
        <v>0</v>
      </c>
      <c r="I279" s="331">
        <f t="shared" si="211"/>
        <v>0</v>
      </c>
      <c r="J279" s="331">
        <f t="shared" si="211"/>
        <v>0</v>
      </c>
      <c r="K279" s="331">
        <f t="shared" si="211"/>
        <v>0</v>
      </c>
      <c r="L279" s="331">
        <f t="shared" si="211"/>
        <v>0</v>
      </c>
      <c r="M279" s="331">
        <f t="shared" si="211"/>
        <v>0</v>
      </c>
      <c r="N279" s="331">
        <f t="shared" si="211"/>
        <v>0</v>
      </c>
      <c r="O279" s="331"/>
      <c r="P279" s="356">
        <f t="shared" si="210"/>
        <v>0</v>
      </c>
      <c r="R279" s="2"/>
    </row>
    <row r="280" spans="1:18" x14ac:dyDescent="0.15">
      <c r="B280" s="340" t="s">
        <v>695</v>
      </c>
      <c r="C280" s="12"/>
      <c r="D280" s="67">
        <f t="shared" si="206"/>
        <v>0</v>
      </c>
      <c r="E280" s="67">
        <f>E279+E278+E277</f>
        <v>300000000</v>
      </c>
      <c r="F280" s="67">
        <f t="shared" ref="F280:N280" si="212">F279+F278+F277</f>
        <v>313500000.00000006</v>
      </c>
      <c r="G280" s="67">
        <f t="shared" si="212"/>
        <v>327607500.00000006</v>
      </c>
      <c r="H280" s="67">
        <f t="shared" si="212"/>
        <v>342349837.50000012</v>
      </c>
      <c r="I280" s="67">
        <f t="shared" si="212"/>
        <v>357755580.18750012</v>
      </c>
      <c r="J280" s="67">
        <f t="shared" si="212"/>
        <v>0</v>
      </c>
      <c r="K280" s="67">
        <f t="shared" si="212"/>
        <v>0</v>
      </c>
      <c r="L280" s="67">
        <f t="shared" si="212"/>
        <v>0</v>
      </c>
      <c r="M280" s="67">
        <f t="shared" si="212"/>
        <v>0</v>
      </c>
      <c r="N280" s="67">
        <f t="shared" si="212"/>
        <v>0</v>
      </c>
      <c r="O280" s="67"/>
      <c r="P280" s="326">
        <f t="shared" si="210"/>
        <v>1641212917.6875</v>
      </c>
      <c r="R280" s="2"/>
    </row>
    <row r="281" spans="1:18" x14ac:dyDescent="0.15">
      <c r="B281" s="340" t="s">
        <v>696</v>
      </c>
      <c r="C281" s="12" t="s">
        <v>289</v>
      </c>
      <c r="D281" s="67">
        <f t="shared" si="206"/>
        <v>0</v>
      </c>
      <c r="E281" s="67">
        <f>Expenses!D18+Expenses!D25+(Expenses!D32*1.2)+Expenses!D39+Expenses!D44+(Expenses!D49*1.2)+Expenses!D56+Expenses!D95-Expenses!D77</f>
        <v>230170000</v>
      </c>
      <c r="F281" s="67">
        <f>Expenses!E18+Expenses!E25+(Expenses!E32*1.2)+Expenses!E39+Expenses!E44+(Expenses!E49*1.2)+Expenses!E56+Expenses!E95-Expenses!E77</f>
        <v>253018375.00000003</v>
      </c>
      <c r="G281" s="67">
        <f>Expenses!F18+Expenses!F25+(Expenses!F32*1.2)+Expenses!F39+Expenses!F44+(Expenses!F49*1.2)+Expenses!F56+Expenses!F95-Expenses!F77</f>
        <v>278725718.45125008</v>
      </c>
      <c r="H281" s="67">
        <f>Expenses!G18+Expenses!G25+(Expenses!G32*1.2)+Expenses!G39+Expenses!G44+(Expenses!G49*1.2)+Expenses!G56+Expenses!G95-Expenses!G77</f>
        <v>307665975.06072807</v>
      </c>
      <c r="I281" s="67">
        <f>Expenses!H18+Expenses!H25+(Expenses!H32*1.2)+Expenses!H39+Expenses!H44+(Expenses!H49*1.2)+Expenses!H56+Expenses!H95-Expenses!H77</f>
        <v>340262566.36057305</v>
      </c>
      <c r="J281" s="67">
        <f>Expenses!I18+Expenses!I25+(Expenses!I32*1.2)+Expenses!I39+Expenses!I44+(Expenses!I49*1.2)+Expenses!I56+Expenses!I95-Expenses!I77</f>
        <v>0</v>
      </c>
      <c r="K281" s="67">
        <f>Expenses!J18+Expenses!J25+(Expenses!J32*1.2)+Expenses!J39+Expenses!J44+(Expenses!J49*1.2)+Expenses!J56+Expenses!J95-Expenses!J77</f>
        <v>0</v>
      </c>
      <c r="L281" s="67">
        <f>Expenses!K18+Expenses!K25+(Expenses!K32*1.2)+Expenses!K39+Expenses!K44+(Expenses!K49*1.2)+Expenses!K56+Expenses!K95-Expenses!K77</f>
        <v>0</v>
      </c>
      <c r="M281" s="67">
        <f>Expenses!L18+Expenses!L25+(Expenses!L32*1.2)+Expenses!L39+Expenses!L44+(Expenses!L49*1.2)+Expenses!L56+Expenses!L95-Expenses!L77</f>
        <v>0</v>
      </c>
      <c r="N281" s="67">
        <f>Expenses!M18+Expenses!M25+(Expenses!M32*1.2)+Expenses!M39+Expenses!M44+(Expenses!M49*1.2)+Expenses!M56+Expenses!M95-Expenses!M77</f>
        <v>0</v>
      </c>
      <c r="O281" s="67">
        <v>0</v>
      </c>
      <c r="P281" s="326">
        <f t="shared" si="210"/>
        <v>1409842634.8725512</v>
      </c>
      <c r="R281" s="2"/>
    </row>
    <row r="282" spans="1:18" x14ac:dyDescent="0.15">
      <c r="B282" s="340">
        <v>3</v>
      </c>
      <c r="C282" s="12" t="s">
        <v>290</v>
      </c>
      <c r="D282" s="67">
        <f t="shared" si="206"/>
        <v>0</v>
      </c>
      <c r="E282" s="67">
        <f>E280-E281</f>
        <v>69830000</v>
      </c>
      <c r="F282" s="67">
        <f t="shared" ref="F282:N282" si="213">F280-F281</f>
        <v>60481625.00000003</v>
      </c>
      <c r="G282" s="67">
        <f t="shared" si="213"/>
        <v>48881781.548749983</v>
      </c>
      <c r="H282" s="67">
        <f t="shared" si="213"/>
        <v>34683862.439272046</v>
      </c>
      <c r="I282" s="67">
        <f t="shared" si="213"/>
        <v>17493013.826927066</v>
      </c>
      <c r="J282" s="67">
        <f t="shared" si="213"/>
        <v>0</v>
      </c>
      <c r="K282" s="67">
        <f t="shared" si="213"/>
        <v>0</v>
      </c>
      <c r="L282" s="67">
        <f t="shared" si="213"/>
        <v>0</v>
      </c>
      <c r="M282" s="67">
        <f t="shared" si="213"/>
        <v>0</v>
      </c>
      <c r="N282" s="67">
        <f t="shared" si="213"/>
        <v>0</v>
      </c>
      <c r="O282" s="67">
        <v>0</v>
      </c>
      <c r="P282" s="326">
        <f t="shared" si="210"/>
        <v>231370282.81494913</v>
      </c>
      <c r="R282" s="2"/>
    </row>
    <row r="283" spans="1:18" x14ac:dyDescent="0.15">
      <c r="B283" s="340" t="s">
        <v>697</v>
      </c>
      <c r="C283" s="12" t="s">
        <v>292</v>
      </c>
      <c r="D283" s="67">
        <f t="shared" si="206"/>
        <v>0</v>
      </c>
      <c r="E283" s="67">
        <f>E168</f>
        <v>3772500</v>
      </c>
      <c r="F283" s="67">
        <f t="shared" ref="F283:N283" si="214">F168</f>
        <v>6218850</v>
      </c>
      <c r="G283" s="67">
        <f t="shared" si="214"/>
        <v>4083150</v>
      </c>
      <c r="H283" s="67">
        <f t="shared" si="214"/>
        <v>2775510</v>
      </c>
      <c r="I283" s="67">
        <f t="shared" si="214"/>
        <v>1352955</v>
      </c>
      <c r="J283" s="67">
        <f t="shared" si="214"/>
        <v>0</v>
      </c>
      <c r="K283" s="67">
        <f t="shared" si="214"/>
        <v>0</v>
      </c>
      <c r="L283" s="67">
        <f t="shared" si="214"/>
        <v>0</v>
      </c>
      <c r="M283" s="67">
        <f t="shared" si="214"/>
        <v>0</v>
      </c>
      <c r="N283" s="67">
        <f t="shared" si="214"/>
        <v>0</v>
      </c>
      <c r="O283" s="67">
        <v>0</v>
      </c>
      <c r="P283" s="326">
        <f t="shared" si="210"/>
        <v>18202965</v>
      </c>
      <c r="R283" s="2"/>
    </row>
    <row r="284" spans="1:18" x14ac:dyDescent="0.15">
      <c r="B284" s="340">
        <v>5</v>
      </c>
      <c r="C284" s="12" t="s">
        <v>293</v>
      </c>
      <c r="D284" s="67">
        <f t="shared" si="206"/>
        <v>0</v>
      </c>
      <c r="E284" s="67">
        <f>E282-E283</f>
        <v>66057500</v>
      </c>
      <c r="F284" s="67">
        <f t="shared" ref="F284:N284" si="215">F282-F283</f>
        <v>54262775.00000003</v>
      </c>
      <c r="G284" s="67">
        <f t="shared" si="215"/>
        <v>44798631.548749983</v>
      </c>
      <c r="H284" s="67">
        <f t="shared" si="215"/>
        <v>31908352.439272046</v>
      </c>
      <c r="I284" s="67">
        <f t="shared" si="215"/>
        <v>16140058.826927066</v>
      </c>
      <c r="J284" s="67">
        <f t="shared" si="215"/>
        <v>0</v>
      </c>
      <c r="K284" s="67">
        <f t="shared" si="215"/>
        <v>0</v>
      </c>
      <c r="L284" s="67">
        <f t="shared" si="215"/>
        <v>0</v>
      </c>
      <c r="M284" s="67">
        <f t="shared" si="215"/>
        <v>0</v>
      </c>
      <c r="N284" s="67">
        <f t="shared" si="215"/>
        <v>0</v>
      </c>
      <c r="O284" s="67">
        <v>0</v>
      </c>
      <c r="P284" s="326">
        <f t="shared" si="210"/>
        <v>213167317.81494913</v>
      </c>
      <c r="R284" s="2"/>
    </row>
    <row r="285" spans="1:18" x14ac:dyDescent="0.15">
      <c r="B285" s="340" t="s">
        <v>698</v>
      </c>
      <c r="C285" s="12" t="s">
        <v>295</v>
      </c>
      <c r="D285" s="67">
        <f t="shared" si="206"/>
        <v>0</v>
      </c>
      <c r="E285" s="67">
        <f>E170</f>
        <v>0</v>
      </c>
      <c r="F285" s="67">
        <f t="shared" ref="F285:N285" si="216">F170</f>
        <v>0</v>
      </c>
      <c r="G285" s="67">
        <f t="shared" si="216"/>
        <v>0</v>
      </c>
      <c r="H285" s="67">
        <f t="shared" si="216"/>
        <v>0</v>
      </c>
      <c r="I285" s="67">
        <f t="shared" si="216"/>
        <v>0</v>
      </c>
      <c r="J285" s="67">
        <f t="shared" si="216"/>
        <v>0</v>
      </c>
      <c r="K285" s="67">
        <f t="shared" si="216"/>
        <v>0</v>
      </c>
      <c r="L285" s="67">
        <f t="shared" si="216"/>
        <v>0</v>
      </c>
      <c r="M285" s="67">
        <f t="shared" si="216"/>
        <v>0</v>
      </c>
      <c r="N285" s="67">
        <f t="shared" si="216"/>
        <v>0</v>
      </c>
      <c r="O285" s="67">
        <v>0</v>
      </c>
      <c r="P285" s="326">
        <f t="shared" si="210"/>
        <v>0</v>
      </c>
      <c r="R285" s="2"/>
    </row>
    <row r="286" spans="1:18" x14ac:dyDescent="0.15">
      <c r="B286" s="340">
        <v>7</v>
      </c>
      <c r="C286" s="12" t="s">
        <v>296</v>
      </c>
      <c r="D286" s="67">
        <f t="shared" si="206"/>
        <v>0</v>
      </c>
      <c r="E286" s="67">
        <f>E284-E285</f>
        <v>66057500</v>
      </c>
      <c r="F286" s="67">
        <f t="shared" ref="F286:N286" si="217">F284-F285</f>
        <v>54262775.00000003</v>
      </c>
      <c r="G286" s="67">
        <f t="shared" si="217"/>
        <v>44798631.548749983</v>
      </c>
      <c r="H286" s="67">
        <f t="shared" si="217"/>
        <v>31908352.439272046</v>
      </c>
      <c r="I286" s="67">
        <f t="shared" si="217"/>
        <v>16140058.826927066</v>
      </c>
      <c r="J286" s="67">
        <f t="shared" si="217"/>
        <v>0</v>
      </c>
      <c r="K286" s="67">
        <f t="shared" si="217"/>
        <v>0</v>
      </c>
      <c r="L286" s="67">
        <f t="shared" si="217"/>
        <v>0</v>
      </c>
      <c r="M286" s="67">
        <f t="shared" si="217"/>
        <v>0</v>
      </c>
      <c r="N286" s="67">
        <f t="shared" si="217"/>
        <v>0</v>
      </c>
      <c r="O286" s="67">
        <v>0</v>
      </c>
      <c r="P286" s="326">
        <f t="shared" si="210"/>
        <v>213167317.81494913</v>
      </c>
      <c r="R286" s="2"/>
    </row>
    <row r="287" spans="1:18" x14ac:dyDescent="0.15">
      <c r="B287" s="340">
        <v>8</v>
      </c>
      <c r="C287" s="12" t="s">
        <v>297</v>
      </c>
      <c r="D287" s="67">
        <f t="shared" si="206"/>
        <v>0</v>
      </c>
      <c r="E287" s="67">
        <f>-E286*$D$3</f>
        <v>-19817250</v>
      </c>
      <c r="F287" s="67">
        <f t="shared" ref="F287:N287" si="218">-F286*$D$3</f>
        <v>-16278832.500000007</v>
      </c>
      <c r="G287" s="67">
        <f t="shared" si="218"/>
        <v>-13439589.464624995</v>
      </c>
      <c r="H287" s="67">
        <f t="shared" si="218"/>
        <v>-9572505.7317816131</v>
      </c>
      <c r="I287" s="67">
        <f t="shared" si="218"/>
        <v>-4842017.6480781194</v>
      </c>
      <c r="J287" s="67">
        <f t="shared" si="218"/>
        <v>0</v>
      </c>
      <c r="K287" s="67">
        <f t="shared" si="218"/>
        <v>0</v>
      </c>
      <c r="L287" s="67">
        <f t="shared" si="218"/>
        <v>0</v>
      </c>
      <c r="M287" s="67">
        <f t="shared" si="218"/>
        <v>0</v>
      </c>
      <c r="N287" s="67">
        <f t="shared" si="218"/>
        <v>0</v>
      </c>
      <c r="O287" s="67">
        <v>0</v>
      </c>
      <c r="P287" s="326">
        <f t="shared" si="210"/>
        <v>-63950195.344484739</v>
      </c>
      <c r="R287" s="2"/>
    </row>
    <row r="288" spans="1:18" x14ac:dyDescent="0.15">
      <c r="B288" s="340">
        <v>9</v>
      </c>
      <c r="C288" s="12" t="s">
        <v>298</v>
      </c>
      <c r="D288" s="67">
        <f t="shared" si="206"/>
        <v>0</v>
      </c>
      <c r="E288" s="67">
        <f>E173</f>
        <v>0</v>
      </c>
      <c r="F288" s="67">
        <f t="shared" ref="F288:N288" si="219">F173</f>
        <v>0</v>
      </c>
      <c r="G288" s="67">
        <f t="shared" si="219"/>
        <v>0</v>
      </c>
      <c r="H288" s="67">
        <f t="shared" si="219"/>
        <v>0</v>
      </c>
      <c r="I288" s="67">
        <f t="shared" si="219"/>
        <v>0</v>
      </c>
      <c r="J288" s="67">
        <f t="shared" si="219"/>
        <v>0</v>
      </c>
      <c r="K288" s="67">
        <f t="shared" si="219"/>
        <v>0</v>
      </c>
      <c r="L288" s="67">
        <f t="shared" si="219"/>
        <v>0</v>
      </c>
      <c r="M288" s="67">
        <f t="shared" si="219"/>
        <v>0</v>
      </c>
      <c r="N288" s="67">
        <f t="shared" si="219"/>
        <v>0</v>
      </c>
      <c r="O288" s="67">
        <v>0</v>
      </c>
      <c r="P288" s="326">
        <f t="shared" si="210"/>
        <v>0</v>
      </c>
      <c r="R288" s="2"/>
    </row>
    <row r="289" spans="1:18" x14ac:dyDescent="0.15">
      <c r="B289" s="340">
        <v>10</v>
      </c>
      <c r="C289" s="12" t="s">
        <v>299</v>
      </c>
      <c r="D289" s="67">
        <f t="shared" si="206"/>
        <v>0</v>
      </c>
      <c r="E289" s="67">
        <f>E286+E287+E288</f>
        <v>46240250</v>
      </c>
      <c r="F289" s="67">
        <f t="shared" ref="F289:N289" si="220">F286+F287+F288</f>
        <v>37983942.500000022</v>
      </c>
      <c r="G289" s="67">
        <f t="shared" si="220"/>
        <v>31359042.08412499</v>
      </c>
      <c r="H289" s="67">
        <f t="shared" si="220"/>
        <v>22335846.707490433</v>
      </c>
      <c r="I289" s="67">
        <f t="shared" si="220"/>
        <v>11298041.178848946</v>
      </c>
      <c r="J289" s="67">
        <f t="shared" si="220"/>
        <v>0</v>
      </c>
      <c r="K289" s="67">
        <f t="shared" si="220"/>
        <v>0</v>
      </c>
      <c r="L289" s="67">
        <f t="shared" si="220"/>
        <v>0</v>
      </c>
      <c r="M289" s="67">
        <f t="shared" si="220"/>
        <v>0</v>
      </c>
      <c r="N289" s="67">
        <f t="shared" si="220"/>
        <v>0</v>
      </c>
      <c r="O289" s="67">
        <v>0</v>
      </c>
      <c r="P289" s="326">
        <f t="shared" si="210"/>
        <v>149217122.47046441</v>
      </c>
      <c r="R289" s="2"/>
    </row>
    <row r="290" spans="1:18" x14ac:dyDescent="0.15">
      <c r="B290" s="340" t="s">
        <v>699</v>
      </c>
      <c r="C290" s="12" t="s">
        <v>292</v>
      </c>
      <c r="D290" s="67">
        <f t="shared" si="206"/>
        <v>0</v>
      </c>
      <c r="E290" s="67">
        <f>E175</f>
        <v>3772500</v>
      </c>
      <c r="F290" s="67">
        <f t="shared" ref="F290:N290" si="221">F175</f>
        <v>6218850</v>
      </c>
      <c r="G290" s="67">
        <f t="shared" si="221"/>
        <v>4083150</v>
      </c>
      <c r="H290" s="67">
        <f t="shared" si="221"/>
        <v>2775510</v>
      </c>
      <c r="I290" s="67">
        <f t="shared" si="221"/>
        <v>1352955</v>
      </c>
      <c r="J290" s="67">
        <f t="shared" si="221"/>
        <v>0</v>
      </c>
      <c r="K290" s="67">
        <f t="shared" si="221"/>
        <v>0</v>
      </c>
      <c r="L290" s="67">
        <f t="shared" si="221"/>
        <v>0</v>
      </c>
      <c r="M290" s="67">
        <f t="shared" si="221"/>
        <v>0</v>
      </c>
      <c r="N290" s="67">
        <f t="shared" si="221"/>
        <v>0</v>
      </c>
      <c r="O290" s="67">
        <v>0</v>
      </c>
      <c r="P290" s="326">
        <f t="shared" si="210"/>
        <v>18202965</v>
      </c>
      <c r="R290" s="2"/>
    </row>
    <row r="291" spans="1:18" x14ac:dyDescent="0.15">
      <c r="B291" s="340">
        <v>12</v>
      </c>
      <c r="C291" s="12" t="s">
        <v>301</v>
      </c>
      <c r="D291" s="67">
        <f t="shared" si="206"/>
        <v>0</v>
      </c>
      <c r="E291" s="67">
        <f>E289+E290</f>
        <v>50012750</v>
      </c>
      <c r="F291" s="67">
        <f t="shared" ref="F291:N291" si="222">F289+F290</f>
        <v>44202792.500000022</v>
      </c>
      <c r="G291" s="67">
        <f t="shared" si="222"/>
        <v>35442192.08412499</v>
      </c>
      <c r="H291" s="67">
        <f t="shared" si="222"/>
        <v>25111356.707490433</v>
      </c>
      <c r="I291" s="67">
        <f t="shared" si="222"/>
        <v>12650996.178848946</v>
      </c>
      <c r="J291" s="67">
        <f t="shared" si="222"/>
        <v>0</v>
      </c>
      <c r="K291" s="67">
        <f t="shared" si="222"/>
        <v>0</v>
      </c>
      <c r="L291" s="67">
        <f t="shared" si="222"/>
        <v>0</v>
      </c>
      <c r="M291" s="67">
        <f t="shared" si="222"/>
        <v>0</v>
      </c>
      <c r="N291" s="67">
        <f t="shared" si="222"/>
        <v>0</v>
      </c>
      <c r="O291" s="67">
        <v>0</v>
      </c>
      <c r="P291" s="326">
        <f t="shared" si="210"/>
        <v>167420087.47046441</v>
      </c>
      <c r="R291" s="2"/>
    </row>
    <row r="292" spans="1:18" x14ac:dyDescent="0.15">
      <c r="B292" s="340" t="s">
        <v>700</v>
      </c>
      <c r="C292" s="12" t="s">
        <v>303</v>
      </c>
      <c r="D292" s="67">
        <v>0</v>
      </c>
      <c r="E292" s="67">
        <f t="shared" ref="E292:N292" si="223">E177</f>
        <v>0</v>
      </c>
      <c r="F292" s="67">
        <f t="shared" si="223"/>
        <v>0</v>
      </c>
      <c r="G292" s="67">
        <f t="shared" si="223"/>
        <v>0</v>
      </c>
      <c r="H292" s="67">
        <f t="shared" si="223"/>
        <v>0</v>
      </c>
      <c r="I292" s="67">
        <f t="shared" si="223"/>
        <v>0</v>
      </c>
      <c r="J292" s="67">
        <f t="shared" si="223"/>
        <v>0</v>
      </c>
      <c r="K292" s="67">
        <f t="shared" si="223"/>
        <v>0</v>
      </c>
      <c r="L292" s="67">
        <f t="shared" si="223"/>
        <v>0</v>
      </c>
      <c r="M292" s="67">
        <f t="shared" si="223"/>
        <v>0</v>
      </c>
      <c r="N292" s="67">
        <f t="shared" si="223"/>
        <v>0</v>
      </c>
      <c r="O292" s="67">
        <v>0</v>
      </c>
      <c r="P292" s="326">
        <f t="shared" si="210"/>
        <v>0</v>
      </c>
      <c r="R292" s="2"/>
    </row>
    <row r="293" spans="1:18" x14ac:dyDescent="0.15">
      <c r="B293" s="340">
        <v>14</v>
      </c>
      <c r="C293" s="12" t="s">
        <v>304</v>
      </c>
      <c r="D293" s="67">
        <f t="shared" ref="D293:N299" si="224">D178</f>
        <v>-32550000</v>
      </c>
      <c r="E293" s="67">
        <f t="shared" si="224"/>
        <v>0</v>
      </c>
      <c r="F293" s="67">
        <f t="shared" si="224"/>
        <v>0</v>
      </c>
      <c r="G293" s="67">
        <f t="shared" si="224"/>
        <v>0</v>
      </c>
      <c r="H293" s="67">
        <f t="shared" si="224"/>
        <v>0</v>
      </c>
      <c r="I293" s="67">
        <f t="shared" si="224"/>
        <v>14347035</v>
      </c>
      <c r="J293" s="67">
        <f t="shared" si="224"/>
        <v>0</v>
      </c>
      <c r="K293" s="67">
        <f t="shared" si="224"/>
        <v>0</v>
      </c>
      <c r="L293" s="67">
        <f t="shared" si="224"/>
        <v>0</v>
      </c>
      <c r="M293" s="67">
        <f t="shared" si="224"/>
        <v>0</v>
      </c>
      <c r="N293" s="67">
        <f t="shared" si="224"/>
        <v>0</v>
      </c>
      <c r="O293" s="67">
        <v>0</v>
      </c>
      <c r="P293" s="326">
        <f t="shared" si="210"/>
        <v>-18202965</v>
      </c>
      <c r="R293" s="2"/>
    </row>
    <row r="294" spans="1:18" x14ac:dyDescent="0.15">
      <c r="B294" s="340" t="s">
        <v>701</v>
      </c>
      <c r="C294" s="12" t="s">
        <v>207</v>
      </c>
      <c r="D294" s="67">
        <f t="shared" si="224"/>
        <v>-31050000</v>
      </c>
      <c r="E294" s="67">
        <f t="shared" si="224"/>
        <v>0</v>
      </c>
      <c r="F294" s="67">
        <f t="shared" si="224"/>
        <v>0</v>
      </c>
      <c r="G294" s="67">
        <f t="shared" si="224"/>
        <v>0</v>
      </c>
      <c r="H294" s="67">
        <f t="shared" si="224"/>
        <v>0</v>
      </c>
      <c r="I294" s="67">
        <f t="shared" si="224"/>
        <v>12847035</v>
      </c>
      <c r="J294" s="67">
        <f t="shared" si="224"/>
        <v>0</v>
      </c>
      <c r="K294" s="67">
        <f t="shared" si="224"/>
        <v>0</v>
      </c>
      <c r="L294" s="67">
        <f t="shared" si="224"/>
        <v>0</v>
      </c>
      <c r="M294" s="67">
        <f t="shared" si="224"/>
        <v>0</v>
      </c>
      <c r="N294" s="67">
        <f t="shared" si="224"/>
        <v>0</v>
      </c>
      <c r="O294" s="67">
        <v>0</v>
      </c>
      <c r="P294" s="326">
        <f t="shared" si="210"/>
        <v>-18202965</v>
      </c>
      <c r="R294" s="2"/>
    </row>
    <row r="295" spans="1:18" x14ac:dyDescent="0.15">
      <c r="B295" s="340" t="s">
        <v>702</v>
      </c>
      <c r="C295" s="12" t="s">
        <v>307</v>
      </c>
      <c r="D295" s="67">
        <f t="shared" si="224"/>
        <v>-1500000</v>
      </c>
      <c r="E295" s="67">
        <f t="shared" si="224"/>
        <v>0</v>
      </c>
      <c r="F295" s="67">
        <f t="shared" si="224"/>
        <v>0</v>
      </c>
      <c r="G295" s="67">
        <f t="shared" si="224"/>
        <v>0</v>
      </c>
      <c r="H295" s="67">
        <f t="shared" si="224"/>
        <v>0</v>
      </c>
      <c r="I295" s="67">
        <f t="shared" si="224"/>
        <v>1500000</v>
      </c>
      <c r="J295" s="67">
        <f t="shared" si="224"/>
        <v>0</v>
      </c>
      <c r="K295" s="67">
        <f t="shared" si="224"/>
        <v>0</v>
      </c>
      <c r="L295" s="67">
        <f t="shared" si="224"/>
        <v>0</v>
      </c>
      <c r="M295" s="67">
        <f t="shared" si="224"/>
        <v>0</v>
      </c>
      <c r="N295" s="67">
        <f t="shared" si="224"/>
        <v>0</v>
      </c>
      <c r="O295" s="67">
        <v>0</v>
      </c>
      <c r="P295" s="326">
        <f t="shared" si="210"/>
        <v>0</v>
      </c>
      <c r="R295" s="2"/>
    </row>
    <row r="296" spans="1:18" x14ac:dyDescent="0.15">
      <c r="B296" s="340" t="s">
        <v>703</v>
      </c>
      <c r="C296" s="12" t="s">
        <v>309</v>
      </c>
      <c r="D296" s="67">
        <f t="shared" si="224"/>
        <v>0</v>
      </c>
      <c r="E296" s="67">
        <f t="shared" si="224"/>
        <v>0</v>
      </c>
      <c r="F296" s="67">
        <f t="shared" si="224"/>
        <v>0</v>
      </c>
      <c r="G296" s="67">
        <f t="shared" si="224"/>
        <v>0</v>
      </c>
      <c r="H296" s="67">
        <f t="shared" si="224"/>
        <v>0</v>
      </c>
      <c r="I296" s="67">
        <f t="shared" si="224"/>
        <v>0</v>
      </c>
      <c r="J296" s="67">
        <f t="shared" si="224"/>
        <v>0</v>
      </c>
      <c r="K296" s="67">
        <f t="shared" si="224"/>
        <v>0</v>
      </c>
      <c r="L296" s="67">
        <f t="shared" si="224"/>
        <v>0</v>
      </c>
      <c r="M296" s="67">
        <f t="shared" si="224"/>
        <v>0</v>
      </c>
      <c r="N296" s="67">
        <f t="shared" si="224"/>
        <v>0</v>
      </c>
      <c r="O296" s="67">
        <v>0</v>
      </c>
      <c r="P296" s="326">
        <f t="shared" si="210"/>
        <v>0</v>
      </c>
      <c r="R296" s="2"/>
    </row>
    <row r="297" spans="1:18" x14ac:dyDescent="0.15">
      <c r="B297" s="340" t="s">
        <v>704</v>
      </c>
      <c r="C297" s="12" t="s">
        <v>311</v>
      </c>
      <c r="D297" s="67">
        <f t="shared" si="224"/>
        <v>0</v>
      </c>
      <c r="E297" s="67">
        <f t="shared" si="224"/>
        <v>0</v>
      </c>
      <c r="F297" s="67">
        <f t="shared" si="224"/>
        <v>0</v>
      </c>
      <c r="G297" s="67">
        <f t="shared" si="224"/>
        <v>0</v>
      </c>
      <c r="H297" s="67">
        <f t="shared" si="224"/>
        <v>0</v>
      </c>
      <c r="I297" s="67">
        <f t="shared" si="224"/>
        <v>-2596968.7000000002</v>
      </c>
      <c r="J297" s="67">
        <f t="shared" si="224"/>
        <v>0</v>
      </c>
      <c r="K297" s="67">
        <f t="shared" si="224"/>
        <v>0</v>
      </c>
      <c r="L297" s="67">
        <f t="shared" si="224"/>
        <v>0</v>
      </c>
      <c r="M297" s="67">
        <f t="shared" si="224"/>
        <v>0</v>
      </c>
      <c r="N297" s="67">
        <f t="shared" si="224"/>
        <v>0</v>
      </c>
      <c r="O297" s="67">
        <v>0</v>
      </c>
      <c r="P297" s="326">
        <f t="shared" si="210"/>
        <v>-2596968.7000000002</v>
      </c>
      <c r="R297" s="2"/>
    </row>
    <row r="298" spans="1:18" ht="14" thickBot="1" x14ac:dyDescent="0.2">
      <c r="B298" s="340" t="s">
        <v>705</v>
      </c>
      <c r="C298" s="12" t="s">
        <v>115</v>
      </c>
      <c r="D298" s="67">
        <f t="shared" si="224"/>
        <v>-60000000</v>
      </c>
      <c r="E298" s="67">
        <f t="shared" si="224"/>
        <v>0</v>
      </c>
      <c r="F298" s="67">
        <f t="shared" si="224"/>
        <v>0</v>
      </c>
      <c r="G298" s="67">
        <f t="shared" si="224"/>
        <v>0</v>
      </c>
      <c r="H298" s="67">
        <f t="shared" si="224"/>
        <v>0</v>
      </c>
      <c r="I298" s="67">
        <f t="shared" si="224"/>
        <v>60000000</v>
      </c>
      <c r="J298" s="67">
        <f t="shared" si="224"/>
        <v>0</v>
      </c>
      <c r="K298" s="67">
        <f t="shared" si="224"/>
        <v>0</v>
      </c>
      <c r="L298" s="67">
        <f t="shared" si="224"/>
        <v>0</v>
      </c>
      <c r="M298" s="67">
        <f t="shared" si="224"/>
        <v>0</v>
      </c>
      <c r="N298" s="67">
        <f t="shared" si="224"/>
        <v>0</v>
      </c>
      <c r="O298" s="67">
        <v>0</v>
      </c>
      <c r="P298" s="326">
        <f t="shared" si="210"/>
        <v>0</v>
      </c>
      <c r="R298" s="2"/>
    </row>
    <row r="299" spans="1:18" x14ac:dyDescent="0.15">
      <c r="B299" s="340">
        <v>17</v>
      </c>
      <c r="C299" s="12" t="s">
        <v>313</v>
      </c>
      <c r="D299" s="67">
        <f t="shared" si="224"/>
        <v>-92550000</v>
      </c>
      <c r="E299" s="67">
        <f t="shared" si="224"/>
        <v>0</v>
      </c>
      <c r="F299" s="67">
        <f t="shared" si="224"/>
        <v>0</v>
      </c>
      <c r="G299" s="67">
        <f t="shared" si="224"/>
        <v>0</v>
      </c>
      <c r="H299" s="67">
        <f t="shared" si="224"/>
        <v>0</v>
      </c>
      <c r="I299" s="67">
        <f t="shared" si="224"/>
        <v>71750066.299999997</v>
      </c>
      <c r="J299" s="67">
        <f t="shared" si="224"/>
        <v>0</v>
      </c>
      <c r="K299" s="67">
        <f t="shared" si="224"/>
        <v>0</v>
      </c>
      <c r="L299" s="67">
        <f t="shared" si="224"/>
        <v>0</v>
      </c>
      <c r="M299" s="67">
        <f t="shared" si="224"/>
        <v>0</v>
      </c>
      <c r="N299" s="67">
        <f t="shared" si="224"/>
        <v>0</v>
      </c>
      <c r="O299" s="67">
        <v>0</v>
      </c>
      <c r="P299" s="326">
        <f t="shared" si="210"/>
        <v>-20799933.700000003</v>
      </c>
      <c r="Q299" s="357" t="s">
        <v>693</v>
      </c>
      <c r="R299" s="2"/>
    </row>
    <row r="300" spans="1:18" ht="14" thickBot="1" x14ac:dyDescent="0.2">
      <c r="A300" s="1" t="s">
        <v>712</v>
      </c>
      <c r="B300" s="355">
        <v>18</v>
      </c>
      <c r="C300" s="335" t="s">
        <v>314</v>
      </c>
      <c r="D300" s="331">
        <f>D299+D291</f>
        <v>-92550000</v>
      </c>
      <c r="E300" s="331">
        <f t="shared" ref="E300:N300" si="225">E299+E291</f>
        <v>50012750</v>
      </c>
      <c r="F300" s="331">
        <f t="shared" si="225"/>
        <v>44202792.500000022</v>
      </c>
      <c r="G300" s="331">
        <f t="shared" si="225"/>
        <v>35442192.08412499</v>
      </c>
      <c r="H300" s="331">
        <f t="shared" si="225"/>
        <v>25111356.707490433</v>
      </c>
      <c r="I300" s="331">
        <f t="shared" si="225"/>
        <v>84401062.478848949</v>
      </c>
      <c r="J300" s="331">
        <f t="shared" si="225"/>
        <v>0</v>
      </c>
      <c r="K300" s="331">
        <f t="shared" si="225"/>
        <v>0</v>
      </c>
      <c r="L300" s="331">
        <f t="shared" si="225"/>
        <v>0</v>
      </c>
      <c r="M300" s="331">
        <f t="shared" si="225"/>
        <v>0</v>
      </c>
      <c r="N300" s="331">
        <f t="shared" si="225"/>
        <v>0</v>
      </c>
      <c r="O300" s="331">
        <v>0</v>
      </c>
      <c r="P300" s="356">
        <f t="shared" si="210"/>
        <v>146620153.77046439</v>
      </c>
      <c r="Q300" s="358">
        <f>IF(ISNUMBER(IRR(D300:N300)),IRR(D300:N300),"NMF")</f>
        <v>0.40549033935008683</v>
      </c>
      <c r="R300" s="1" t="s">
        <v>712</v>
      </c>
    </row>
    <row r="301" spans="1:18" x14ac:dyDescent="0.15">
      <c r="R301" s="2"/>
    </row>
    <row r="302" spans="1:18" ht="14" thickBot="1" x14ac:dyDescent="0.2">
      <c r="R302" s="2"/>
    </row>
    <row r="303" spans="1:18" ht="14" thickBot="1" x14ac:dyDescent="0.2">
      <c r="A303" t="s">
        <v>713</v>
      </c>
      <c r="B303" s="359" t="s">
        <v>282</v>
      </c>
      <c r="C303" s="360" t="s">
        <v>283</v>
      </c>
      <c r="D303" s="360"/>
      <c r="E303" s="360">
        <v>1</v>
      </c>
      <c r="F303" s="360">
        <v>2</v>
      </c>
      <c r="G303" s="360">
        <v>3</v>
      </c>
      <c r="H303" s="360">
        <v>4</v>
      </c>
      <c r="I303" s="360">
        <v>5</v>
      </c>
      <c r="J303" s="360">
        <v>6</v>
      </c>
      <c r="K303" s="360">
        <v>7</v>
      </c>
      <c r="L303" s="360">
        <v>8</v>
      </c>
      <c r="M303" s="360">
        <v>9</v>
      </c>
      <c r="N303" s="360">
        <v>10</v>
      </c>
      <c r="O303" s="360" t="s">
        <v>284</v>
      </c>
      <c r="P303" s="361" t="s">
        <v>285</v>
      </c>
    </row>
    <row r="304" spans="1:18" x14ac:dyDescent="0.15">
      <c r="B304" s="339" t="s">
        <v>687</v>
      </c>
      <c r="C304" s="302" t="s">
        <v>287</v>
      </c>
      <c r="D304" s="322">
        <f t="shared" ref="D304:D319" si="226">D161</f>
        <v>0</v>
      </c>
      <c r="E304" s="322">
        <f t="shared" ref="E304:N304" si="227">E161</f>
        <v>300000000</v>
      </c>
      <c r="F304" s="322">
        <f t="shared" si="227"/>
        <v>313500000.00000006</v>
      </c>
      <c r="G304" s="322">
        <f t="shared" si="227"/>
        <v>327607500.00000006</v>
      </c>
      <c r="H304" s="322">
        <f t="shared" si="227"/>
        <v>342349837.50000012</v>
      </c>
      <c r="I304" s="322">
        <f t="shared" si="227"/>
        <v>357755580.18750012</v>
      </c>
      <c r="J304" s="322">
        <f t="shared" si="227"/>
        <v>0</v>
      </c>
      <c r="K304" s="322">
        <f t="shared" si="227"/>
        <v>0</v>
      </c>
      <c r="L304" s="322">
        <f t="shared" si="227"/>
        <v>0</v>
      </c>
      <c r="M304" s="322">
        <f t="shared" si="227"/>
        <v>0</v>
      </c>
      <c r="N304" s="322">
        <f t="shared" si="227"/>
        <v>0</v>
      </c>
      <c r="O304" s="322">
        <v>0</v>
      </c>
      <c r="P304" s="325">
        <f>SUM(D304:N304)</f>
        <v>1641212917.6875</v>
      </c>
    </row>
    <row r="305" spans="1:16" x14ac:dyDescent="0.15">
      <c r="A305" s="1" t="s">
        <v>714</v>
      </c>
      <c r="B305" s="340" t="s">
        <v>689</v>
      </c>
      <c r="C305" s="354" t="s">
        <v>689</v>
      </c>
      <c r="D305" s="67">
        <f t="shared" si="226"/>
        <v>0</v>
      </c>
      <c r="E305" s="67">
        <f>E162</f>
        <v>300000000</v>
      </c>
      <c r="F305" s="67">
        <f t="shared" ref="F305:N305" si="228">F162</f>
        <v>313500000.00000006</v>
      </c>
      <c r="G305" s="67">
        <f t="shared" si="228"/>
        <v>327607500.00000006</v>
      </c>
      <c r="H305" s="67">
        <f t="shared" si="228"/>
        <v>342349837.50000012</v>
      </c>
      <c r="I305" s="67">
        <f t="shared" si="228"/>
        <v>357755580.18750012</v>
      </c>
      <c r="J305" s="67">
        <f t="shared" si="228"/>
        <v>0</v>
      </c>
      <c r="K305" s="67">
        <f t="shared" si="228"/>
        <v>0</v>
      </c>
      <c r="L305" s="67">
        <f t="shared" si="228"/>
        <v>0</v>
      </c>
      <c r="M305" s="67">
        <f t="shared" si="228"/>
        <v>0</v>
      </c>
      <c r="N305" s="67">
        <f t="shared" si="228"/>
        <v>0</v>
      </c>
      <c r="O305" s="67"/>
      <c r="P305" s="326">
        <f>SUM(D305:N305)</f>
        <v>1641212917.6875</v>
      </c>
    </row>
    <row r="306" spans="1:16" x14ac:dyDescent="0.15">
      <c r="B306" s="340" t="s">
        <v>690</v>
      </c>
      <c r="C306" s="354" t="s">
        <v>690</v>
      </c>
      <c r="D306" s="67">
        <f t="shared" si="226"/>
        <v>0</v>
      </c>
      <c r="E306" s="67">
        <f>E163</f>
        <v>0</v>
      </c>
      <c r="F306" s="67">
        <f t="shared" ref="F306:N306" si="229">F163</f>
        <v>0</v>
      </c>
      <c r="G306" s="67">
        <f t="shared" si="229"/>
        <v>0</v>
      </c>
      <c r="H306" s="67">
        <f t="shared" si="229"/>
        <v>0</v>
      </c>
      <c r="I306" s="67">
        <f t="shared" si="229"/>
        <v>0</v>
      </c>
      <c r="J306" s="67">
        <f t="shared" si="229"/>
        <v>0</v>
      </c>
      <c r="K306" s="67">
        <f t="shared" si="229"/>
        <v>0</v>
      </c>
      <c r="L306" s="67">
        <f t="shared" si="229"/>
        <v>0</v>
      </c>
      <c r="M306" s="67">
        <f t="shared" si="229"/>
        <v>0</v>
      </c>
      <c r="N306" s="67">
        <f t="shared" si="229"/>
        <v>0</v>
      </c>
      <c r="O306" s="289"/>
      <c r="P306" s="326">
        <f t="shared" ref="P306:P328" si="230">SUM(D306:N306)</f>
        <v>0</v>
      </c>
    </row>
    <row r="307" spans="1:16" x14ac:dyDescent="0.15">
      <c r="B307" s="355" t="s">
        <v>691</v>
      </c>
      <c r="C307" s="362" t="s">
        <v>691</v>
      </c>
      <c r="D307" s="331">
        <f t="shared" si="226"/>
        <v>0</v>
      </c>
      <c r="E307" s="331">
        <f>E164*1.25</f>
        <v>0</v>
      </c>
      <c r="F307" s="331">
        <f t="shared" ref="F307:N307" si="231">F164*1.25</f>
        <v>0</v>
      </c>
      <c r="G307" s="331">
        <f t="shared" si="231"/>
        <v>0</v>
      </c>
      <c r="H307" s="331">
        <f t="shared" si="231"/>
        <v>0</v>
      </c>
      <c r="I307" s="331">
        <f t="shared" si="231"/>
        <v>0</v>
      </c>
      <c r="J307" s="331">
        <f t="shared" si="231"/>
        <v>0</v>
      </c>
      <c r="K307" s="331">
        <f t="shared" si="231"/>
        <v>0</v>
      </c>
      <c r="L307" s="331">
        <f t="shared" si="231"/>
        <v>0</v>
      </c>
      <c r="M307" s="331">
        <f t="shared" si="231"/>
        <v>0</v>
      </c>
      <c r="N307" s="331">
        <f t="shared" si="231"/>
        <v>0</v>
      </c>
      <c r="O307" s="331"/>
      <c r="P307" s="356">
        <f t="shared" si="230"/>
        <v>0</v>
      </c>
    </row>
    <row r="308" spans="1:16" x14ac:dyDescent="0.15">
      <c r="B308" s="340" t="s">
        <v>695</v>
      </c>
      <c r="C308" s="12"/>
      <c r="D308" s="67">
        <f t="shared" si="226"/>
        <v>0</v>
      </c>
      <c r="E308" s="67">
        <f>E307+E306+E305</f>
        <v>300000000</v>
      </c>
      <c r="F308" s="67">
        <f t="shared" ref="F308:N308" si="232">F307+F306+F305</f>
        <v>313500000.00000006</v>
      </c>
      <c r="G308" s="67">
        <f t="shared" si="232"/>
        <v>327607500.00000006</v>
      </c>
      <c r="H308" s="67">
        <f t="shared" si="232"/>
        <v>342349837.50000012</v>
      </c>
      <c r="I308" s="67">
        <f t="shared" si="232"/>
        <v>357755580.18750012</v>
      </c>
      <c r="J308" s="67">
        <f t="shared" si="232"/>
        <v>0</v>
      </c>
      <c r="K308" s="67">
        <f t="shared" si="232"/>
        <v>0</v>
      </c>
      <c r="L308" s="67">
        <f t="shared" si="232"/>
        <v>0</v>
      </c>
      <c r="M308" s="67">
        <f t="shared" si="232"/>
        <v>0</v>
      </c>
      <c r="N308" s="67">
        <f t="shared" si="232"/>
        <v>0</v>
      </c>
      <c r="O308" s="67"/>
      <c r="P308" s="326">
        <f t="shared" si="230"/>
        <v>1641212917.6875</v>
      </c>
    </row>
    <row r="309" spans="1:16" x14ac:dyDescent="0.15">
      <c r="B309" s="340" t="s">
        <v>696</v>
      </c>
      <c r="C309" s="12" t="s">
        <v>289</v>
      </c>
      <c r="D309" s="67">
        <f t="shared" si="226"/>
        <v>0</v>
      </c>
      <c r="E309" s="67">
        <f>Expenses!D18+Expenses!D25+(Expenses!D32*1.25)+Expenses!D39+Expenses!D44+(Expenses!D49*1.25)+Expenses!D56+Expenses!D95-Expenses!D77</f>
        <v>230170000</v>
      </c>
      <c r="F309" s="67">
        <f>Expenses!E18+Expenses!E25+(Expenses!E32*1.25)+Expenses!E39+Expenses!E44+(Expenses!E49*1.25)+Expenses!E56+Expenses!E95-Expenses!E77</f>
        <v>253018375.00000003</v>
      </c>
      <c r="G309" s="67">
        <f>Expenses!F18+Expenses!F25+(Expenses!F32*1.25)+Expenses!F39+Expenses!F44+(Expenses!F49*1.25)+Expenses!F56+Expenses!F95-Expenses!F77</f>
        <v>278725718.45125008</v>
      </c>
      <c r="H309" s="67">
        <f>Expenses!G18+Expenses!G25+(Expenses!G32*1.25)+Expenses!G39+Expenses!G44+(Expenses!G49*1.25)+Expenses!G56+Expenses!G95-Expenses!G77</f>
        <v>307665975.06072807</v>
      </c>
      <c r="I309" s="67">
        <f>Expenses!H18+Expenses!H25+(Expenses!H32*1.25)+Expenses!H39+Expenses!H44+(Expenses!H49*1.25)+Expenses!H56+Expenses!H95-Expenses!H77</f>
        <v>340262566.36057305</v>
      </c>
      <c r="J309" s="67">
        <f>Expenses!I18+Expenses!I25+(Expenses!I32*1.25)+Expenses!I39+Expenses!I44+(Expenses!I49*1.25)+Expenses!I56+Expenses!I95-Expenses!I77</f>
        <v>0</v>
      </c>
      <c r="K309" s="67">
        <f>Expenses!J18+Expenses!J25+(Expenses!J32*1.25)+Expenses!J39+Expenses!J44+(Expenses!J49*1.25)+Expenses!J56+Expenses!J95-Expenses!J77</f>
        <v>0</v>
      </c>
      <c r="L309" s="67">
        <f>Expenses!K18+Expenses!K25+(Expenses!K32*1.25)+Expenses!K39+Expenses!K44+(Expenses!K49*1.25)+Expenses!K56+Expenses!K95-Expenses!K77</f>
        <v>0</v>
      </c>
      <c r="M309" s="67">
        <f>Expenses!L18+Expenses!L25+(Expenses!L32*1.25)+Expenses!L39+Expenses!L44+(Expenses!L49*1.25)+Expenses!L56+Expenses!L95-Expenses!L77</f>
        <v>0</v>
      </c>
      <c r="N309" s="67">
        <f>Expenses!M18+Expenses!M25+(Expenses!M32*1.25)+Expenses!M39+Expenses!M44+(Expenses!M49*1.25)+Expenses!M56+Expenses!M95-Expenses!M77</f>
        <v>0</v>
      </c>
      <c r="O309" s="67">
        <v>0</v>
      </c>
      <c r="P309" s="326">
        <f t="shared" si="230"/>
        <v>1409842634.8725512</v>
      </c>
    </row>
    <row r="310" spans="1:16" x14ac:dyDescent="0.15">
      <c r="B310" s="340">
        <v>3</v>
      </c>
      <c r="C310" s="12" t="s">
        <v>290</v>
      </c>
      <c r="D310" s="67">
        <f t="shared" si="226"/>
        <v>0</v>
      </c>
      <c r="E310" s="67">
        <f>E308-E309</f>
        <v>69830000</v>
      </c>
      <c r="F310" s="67">
        <f t="shared" ref="F310:N310" si="233">F308-F309</f>
        <v>60481625.00000003</v>
      </c>
      <c r="G310" s="67">
        <f t="shared" si="233"/>
        <v>48881781.548749983</v>
      </c>
      <c r="H310" s="67">
        <f t="shared" si="233"/>
        <v>34683862.439272046</v>
      </c>
      <c r="I310" s="67">
        <f t="shared" si="233"/>
        <v>17493013.826927066</v>
      </c>
      <c r="J310" s="67">
        <f t="shared" si="233"/>
        <v>0</v>
      </c>
      <c r="K310" s="67">
        <f t="shared" si="233"/>
        <v>0</v>
      </c>
      <c r="L310" s="67">
        <f t="shared" si="233"/>
        <v>0</v>
      </c>
      <c r="M310" s="67">
        <f t="shared" si="233"/>
        <v>0</v>
      </c>
      <c r="N310" s="67">
        <f t="shared" si="233"/>
        <v>0</v>
      </c>
      <c r="O310" s="67">
        <v>0</v>
      </c>
      <c r="P310" s="326">
        <f t="shared" si="230"/>
        <v>231370282.81494913</v>
      </c>
    </row>
    <row r="311" spans="1:16" x14ac:dyDescent="0.15">
      <c r="B311" s="340" t="s">
        <v>697</v>
      </c>
      <c r="C311" s="12" t="s">
        <v>292</v>
      </c>
      <c r="D311" s="67">
        <f t="shared" si="226"/>
        <v>0</v>
      </c>
      <c r="E311" s="67">
        <f>E168</f>
        <v>3772500</v>
      </c>
      <c r="F311" s="67">
        <f t="shared" ref="F311:N311" si="234">F168</f>
        <v>6218850</v>
      </c>
      <c r="G311" s="67">
        <f t="shared" si="234"/>
        <v>4083150</v>
      </c>
      <c r="H311" s="67">
        <f t="shared" si="234"/>
        <v>2775510</v>
      </c>
      <c r="I311" s="67">
        <f t="shared" si="234"/>
        <v>1352955</v>
      </c>
      <c r="J311" s="67">
        <f t="shared" si="234"/>
        <v>0</v>
      </c>
      <c r="K311" s="67">
        <f t="shared" si="234"/>
        <v>0</v>
      </c>
      <c r="L311" s="67">
        <f t="shared" si="234"/>
        <v>0</v>
      </c>
      <c r="M311" s="67">
        <f t="shared" si="234"/>
        <v>0</v>
      </c>
      <c r="N311" s="67">
        <f t="shared" si="234"/>
        <v>0</v>
      </c>
      <c r="O311" s="67">
        <v>0</v>
      </c>
      <c r="P311" s="326">
        <f t="shared" si="230"/>
        <v>18202965</v>
      </c>
    </row>
    <row r="312" spans="1:16" x14ac:dyDescent="0.15">
      <c r="B312" s="340">
        <v>5</v>
      </c>
      <c r="C312" s="12" t="s">
        <v>293</v>
      </c>
      <c r="D312" s="67">
        <f t="shared" si="226"/>
        <v>0</v>
      </c>
      <c r="E312" s="67">
        <f>E310-E311</f>
        <v>66057500</v>
      </c>
      <c r="F312" s="67">
        <f t="shared" ref="F312:N312" si="235">F310-F311</f>
        <v>54262775.00000003</v>
      </c>
      <c r="G312" s="67">
        <f t="shared" si="235"/>
        <v>44798631.548749983</v>
      </c>
      <c r="H312" s="67">
        <f t="shared" si="235"/>
        <v>31908352.439272046</v>
      </c>
      <c r="I312" s="67">
        <f t="shared" si="235"/>
        <v>16140058.826927066</v>
      </c>
      <c r="J312" s="67">
        <f t="shared" si="235"/>
        <v>0</v>
      </c>
      <c r="K312" s="67">
        <f t="shared" si="235"/>
        <v>0</v>
      </c>
      <c r="L312" s="67">
        <f t="shared" si="235"/>
        <v>0</v>
      </c>
      <c r="M312" s="67">
        <f t="shared" si="235"/>
        <v>0</v>
      </c>
      <c r="N312" s="67">
        <f t="shared" si="235"/>
        <v>0</v>
      </c>
      <c r="O312" s="67">
        <v>0</v>
      </c>
      <c r="P312" s="326">
        <f t="shared" si="230"/>
        <v>213167317.81494913</v>
      </c>
    </row>
    <row r="313" spans="1:16" x14ac:dyDescent="0.15">
      <c r="B313" s="340" t="s">
        <v>698</v>
      </c>
      <c r="C313" s="12" t="s">
        <v>295</v>
      </c>
      <c r="D313" s="67">
        <f t="shared" si="226"/>
        <v>0</v>
      </c>
      <c r="E313" s="67">
        <f>E170</f>
        <v>0</v>
      </c>
      <c r="F313" s="67">
        <f t="shared" ref="F313:N313" si="236">F170</f>
        <v>0</v>
      </c>
      <c r="G313" s="67">
        <f t="shared" si="236"/>
        <v>0</v>
      </c>
      <c r="H313" s="67">
        <f t="shared" si="236"/>
        <v>0</v>
      </c>
      <c r="I313" s="67">
        <f t="shared" si="236"/>
        <v>0</v>
      </c>
      <c r="J313" s="67">
        <f t="shared" si="236"/>
        <v>0</v>
      </c>
      <c r="K313" s="67">
        <f t="shared" si="236"/>
        <v>0</v>
      </c>
      <c r="L313" s="67">
        <f t="shared" si="236"/>
        <v>0</v>
      </c>
      <c r="M313" s="67">
        <f t="shared" si="236"/>
        <v>0</v>
      </c>
      <c r="N313" s="67">
        <f t="shared" si="236"/>
        <v>0</v>
      </c>
      <c r="O313" s="67">
        <v>0</v>
      </c>
      <c r="P313" s="326">
        <f t="shared" si="230"/>
        <v>0</v>
      </c>
    </row>
    <row r="314" spans="1:16" x14ac:dyDescent="0.15">
      <c r="B314" s="340">
        <v>7</v>
      </c>
      <c r="C314" s="12" t="s">
        <v>296</v>
      </c>
      <c r="D314" s="67">
        <f t="shared" si="226"/>
        <v>0</v>
      </c>
      <c r="E314" s="67">
        <f>E312-E313</f>
        <v>66057500</v>
      </c>
      <c r="F314" s="67">
        <f t="shared" ref="F314:N314" si="237">F312-F313</f>
        <v>54262775.00000003</v>
      </c>
      <c r="G314" s="67">
        <f t="shared" si="237"/>
        <v>44798631.548749983</v>
      </c>
      <c r="H314" s="67">
        <f t="shared" si="237"/>
        <v>31908352.439272046</v>
      </c>
      <c r="I314" s="67">
        <f t="shared" si="237"/>
        <v>16140058.826927066</v>
      </c>
      <c r="J314" s="67">
        <f t="shared" si="237"/>
        <v>0</v>
      </c>
      <c r="K314" s="67">
        <f t="shared" si="237"/>
        <v>0</v>
      </c>
      <c r="L314" s="67">
        <f t="shared" si="237"/>
        <v>0</v>
      </c>
      <c r="M314" s="67">
        <f t="shared" si="237"/>
        <v>0</v>
      </c>
      <c r="N314" s="67">
        <f t="shared" si="237"/>
        <v>0</v>
      </c>
      <c r="O314" s="67">
        <v>0</v>
      </c>
      <c r="P314" s="326">
        <f t="shared" si="230"/>
        <v>213167317.81494913</v>
      </c>
    </row>
    <row r="315" spans="1:16" x14ac:dyDescent="0.15">
      <c r="B315" s="340">
        <v>8</v>
      </c>
      <c r="C315" s="12" t="s">
        <v>297</v>
      </c>
      <c r="D315" s="67">
        <f t="shared" si="226"/>
        <v>0</v>
      </c>
      <c r="E315" s="67">
        <f>-E314*$D$3</f>
        <v>-19817250</v>
      </c>
      <c r="F315" s="67">
        <f t="shared" ref="F315:N315" si="238">-F314*$D$3</f>
        <v>-16278832.500000007</v>
      </c>
      <c r="G315" s="67">
        <f t="shared" si="238"/>
        <v>-13439589.464624995</v>
      </c>
      <c r="H315" s="67">
        <f t="shared" si="238"/>
        <v>-9572505.7317816131</v>
      </c>
      <c r="I315" s="67">
        <f t="shared" si="238"/>
        <v>-4842017.6480781194</v>
      </c>
      <c r="J315" s="67">
        <f t="shared" si="238"/>
        <v>0</v>
      </c>
      <c r="K315" s="67">
        <f t="shared" si="238"/>
        <v>0</v>
      </c>
      <c r="L315" s="67">
        <f t="shared" si="238"/>
        <v>0</v>
      </c>
      <c r="M315" s="67">
        <f t="shared" si="238"/>
        <v>0</v>
      </c>
      <c r="N315" s="67">
        <f t="shared" si="238"/>
        <v>0</v>
      </c>
      <c r="O315" s="67">
        <v>0</v>
      </c>
      <c r="P315" s="326">
        <f t="shared" si="230"/>
        <v>-63950195.344484739</v>
      </c>
    </row>
    <row r="316" spans="1:16" x14ac:dyDescent="0.15">
      <c r="B316" s="340">
        <v>9</v>
      </c>
      <c r="C316" s="12" t="s">
        <v>298</v>
      </c>
      <c r="D316" s="67">
        <f t="shared" si="226"/>
        <v>0</v>
      </c>
      <c r="E316" s="67">
        <f>E173</f>
        <v>0</v>
      </c>
      <c r="F316" s="67">
        <f t="shared" ref="F316:N316" si="239">F173</f>
        <v>0</v>
      </c>
      <c r="G316" s="67">
        <f t="shared" si="239"/>
        <v>0</v>
      </c>
      <c r="H316" s="67">
        <f t="shared" si="239"/>
        <v>0</v>
      </c>
      <c r="I316" s="67">
        <f t="shared" si="239"/>
        <v>0</v>
      </c>
      <c r="J316" s="67">
        <f t="shared" si="239"/>
        <v>0</v>
      </c>
      <c r="K316" s="67">
        <f t="shared" si="239"/>
        <v>0</v>
      </c>
      <c r="L316" s="67">
        <f t="shared" si="239"/>
        <v>0</v>
      </c>
      <c r="M316" s="67">
        <f t="shared" si="239"/>
        <v>0</v>
      </c>
      <c r="N316" s="67">
        <f t="shared" si="239"/>
        <v>0</v>
      </c>
      <c r="O316" s="67">
        <v>0</v>
      </c>
      <c r="P316" s="326">
        <f t="shared" si="230"/>
        <v>0</v>
      </c>
    </row>
    <row r="317" spans="1:16" x14ac:dyDescent="0.15">
      <c r="B317" s="340">
        <v>10</v>
      </c>
      <c r="C317" s="12" t="s">
        <v>299</v>
      </c>
      <c r="D317" s="67">
        <f t="shared" si="226"/>
        <v>0</v>
      </c>
      <c r="E317" s="67">
        <f>E314+E315+E316</f>
        <v>46240250</v>
      </c>
      <c r="F317" s="67">
        <f t="shared" ref="F317:N317" si="240">F314+F315+F316</f>
        <v>37983942.500000022</v>
      </c>
      <c r="G317" s="67">
        <f t="shared" si="240"/>
        <v>31359042.08412499</v>
      </c>
      <c r="H317" s="67">
        <f t="shared" si="240"/>
        <v>22335846.707490433</v>
      </c>
      <c r="I317" s="67">
        <f t="shared" si="240"/>
        <v>11298041.178848946</v>
      </c>
      <c r="J317" s="67">
        <f t="shared" si="240"/>
        <v>0</v>
      </c>
      <c r="K317" s="67">
        <f t="shared" si="240"/>
        <v>0</v>
      </c>
      <c r="L317" s="67">
        <f t="shared" si="240"/>
        <v>0</v>
      </c>
      <c r="M317" s="67">
        <f t="shared" si="240"/>
        <v>0</v>
      </c>
      <c r="N317" s="67">
        <f t="shared" si="240"/>
        <v>0</v>
      </c>
      <c r="O317" s="67">
        <v>0</v>
      </c>
      <c r="P317" s="326">
        <f t="shared" si="230"/>
        <v>149217122.47046441</v>
      </c>
    </row>
    <row r="318" spans="1:16" x14ac:dyDescent="0.15">
      <c r="B318" s="340" t="s">
        <v>699</v>
      </c>
      <c r="C318" s="12" t="s">
        <v>292</v>
      </c>
      <c r="D318" s="67">
        <f t="shared" si="226"/>
        <v>0</v>
      </c>
      <c r="E318" s="67">
        <f>E175</f>
        <v>3772500</v>
      </c>
      <c r="F318" s="67">
        <f t="shared" ref="F318:N318" si="241">F175</f>
        <v>6218850</v>
      </c>
      <c r="G318" s="67">
        <f t="shared" si="241"/>
        <v>4083150</v>
      </c>
      <c r="H318" s="67">
        <f t="shared" si="241"/>
        <v>2775510</v>
      </c>
      <c r="I318" s="67">
        <f t="shared" si="241"/>
        <v>1352955</v>
      </c>
      <c r="J318" s="67">
        <f t="shared" si="241"/>
        <v>0</v>
      </c>
      <c r="K318" s="67">
        <f t="shared" si="241"/>
        <v>0</v>
      </c>
      <c r="L318" s="67">
        <f t="shared" si="241"/>
        <v>0</v>
      </c>
      <c r="M318" s="67">
        <f t="shared" si="241"/>
        <v>0</v>
      </c>
      <c r="N318" s="67">
        <f t="shared" si="241"/>
        <v>0</v>
      </c>
      <c r="O318" s="67">
        <v>0</v>
      </c>
      <c r="P318" s="326">
        <f t="shared" si="230"/>
        <v>18202965</v>
      </c>
    </row>
    <row r="319" spans="1:16" x14ac:dyDescent="0.15">
      <c r="B319" s="340">
        <v>12</v>
      </c>
      <c r="C319" s="12" t="s">
        <v>301</v>
      </c>
      <c r="D319" s="67">
        <f t="shared" si="226"/>
        <v>0</v>
      </c>
      <c r="E319" s="67">
        <f>E317+E318</f>
        <v>50012750</v>
      </c>
      <c r="F319" s="67">
        <f t="shared" ref="F319:N319" si="242">F317+F318</f>
        <v>44202792.500000022</v>
      </c>
      <c r="G319" s="67">
        <f t="shared" si="242"/>
        <v>35442192.08412499</v>
      </c>
      <c r="H319" s="67">
        <f t="shared" si="242"/>
        <v>25111356.707490433</v>
      </c>
      <c r="I319" s="67">
        <f t="shared" si="242"/>
        <v>12650996.178848946</v>
      </c>
      <c r="J319" s="67">
        <f t="shared" si="242"/>
        <v>0</v>
      </c>
      <c r="K319" s="67">
        <f t="shared" si="242"/>
        <v>0</v>
      </c>
      <c r="L319" s="67">
        <f t="shared" si="242"/>
        <v>0</v>
      </c>
      <c r="M319" s="67">
        <f t="shared" si="242"/>
        <v>0</v>
      </c>
      <c r="N319" s="67">
        <f t="shared" si="242"/>
        <v>0</v>
      </c>
      <c r="O319" s="67">
        <v>0</v>
      </c>
      <c r="P319" s="326">
        <f t="shared" si="230"/>
        <v>167420087.47046441</v>
      </c>
    </row>
    <row r="320" spans="1:16" x14ac:dyDescent="0.15">
      <c r="B320" s="340" t="s">
        <v>700</v>
      </c>
      <c r="C320" s="12" t="s">
        <v>303</v>
      </c>
      <c r="D320" s="67">
        <v>0</v>
      </c>
      <c r="E320" s="67">
        <f t="shared" ref="E320:N320" si="243">E177</f>
        <v>0</v>
      </c>
      <c r="F320" s="67">
        <f t="shared" si="243"/>
        <v>0</v>
      </c>
      <c r="G320" s="67">
        <f t="shared" si="243"/>
        <v>0</v>
      </c>
      <c r="H320" s="67">
        <f t="shared" si="243"/>
        <v>0</v>
      </c>
      <c r="I320" s="67">
        <f t="shared" si="243"/>
        <v>0</v>
      </c>
      <c r="J320" s="67">
        <f t="shared" si="243"/>
        <v>0</v>
      </c>
      <c r="K320" s="67">
        <f t="shared" si="243"/>
        <v>0</v>
      </c>
      <c r="L320" s="67">
        <f t="shared" si="243"/>
        <v>0</v>
      </c>
      <c r="M320" s="67">
        <f t="shared" si="243"/>
        <v>0</v>
      </c>
      <c r="N320" s="67">
        <f t="shared" si="243"/>
        <v>0</v>
      </c>
      <c r="O320" s="67">
        <v>0</v>
      </c>
      <c r="P320" s="326">
        <f t="shared" si="230"/>
        <v>0</v>
      </c>
    </row>
    <row r="321" spans="1:18" x14ac:dyDescent="0.15">
      <c r="B321" s="340">
        <v>14</v>
      </c>
      <c r="C321" s="12" t="s">
        <v>304</v>
      </c>
      <c r="D321" s="67">
        <f t="shared" ref="D321:N327" si="244">D178</f>
        <v>-32550000</v>
      </c>
      <c r="E321" s="67">
        <f t="shared" si="244"/>
        <v>0</v>
      </c>
      <c r="F321" s="67">
        <f t="shared" si="244"/>
        <v>0</v>
      </c>
      <c r="G321" s="67">
        <f t="shared" si="244"/>
        <v>0</v>
      </c>
      <c r="H321" s="67">
        <f t="shared" si="244"/>
        <v>0</v>
      </c>
      <c r="I321" s="67">
        <f t="shared" si="244"/>
        <v>14347035</v>
      </c>
      <c r="J321" s="67">
        <f t="shared" si="244"/>
        <v>0</v>
      </c>
      <c r="K321" s="67">
        <f t="shared" si="244"/>
        <v>0</v>
      </c>
      <c r="L321" s="67">
        <f t="shared" si="244"/>
        <v>0</v>
      </c>
      <c r="M321" s="67">
        <f t="shared" si="244"/>
        <v>0</v>
      </c>
      <c r="N321" s="67">
        <f t="shared" si="244"/>
        <v>0</v>
      </c>
      <c r="O321" s="67">
        <v>0</v>
      </c>
      <c r="P321" s="326">
        <f t="shared" si="230"/>
        <v>-18202965</v>
      </c>
    </row>
    <row r="322" spans="1:18" x14ac:dyDescent="0.15">
      <c r="B322" s="340" t="s">
        <v>701</v>
      </c>
      <c r="C322" s="12" t="s">
        <v>207</v>
      </c>
      <c r="D322" s="67">
        <f t="shared" si="244"/>
        <v>-31050000</v>
      </c>
      <c r="E322" s="67">
        <f t="shared" si="244"/>
        <v>0</v>
      </c>
      <c r="F322" s="67">
        <f t="shared" si="244"/>
        <v>0</v>
      </c>
      <c r="G322" s="67">
        <f t="shared" si="244"/>
        <v>0</v>
      </c>
      <c r="H322" s="67">
        <f t="shared" si="244"/>
        <v>0</v>
      </c>
      <c r="I322" s="67">
        <f t="shared" si="244"/>
        <v>12847035</v>
      </c>
      <c r="J322" s="67">
        <f t="shared" si="244"/>
        <v>0</v>
      </c>
      <c r="K322" s="67">
        <f t="shared" si="244"/>
        <v>0</v>
      </c>
      <c r="L322" s="67">
        <f t="shared" si="244"/>
        <v>0</v>
      </c>
      <c r="M322" s="67">
        <f t="shared" si="244"/>
        <v>0</v>
      </c>
      <c r="N322" s="67">
        <f t="shared" si="244"/>
        <v>0</v>
      </c>
      <c r="O322" s="67">
        <v>0</v>
      </c>
      <c r="P322" s="326">
        <f t="shared" si="230"/>
        <v>-18202965</v>
      </c>
    </row>
    <row r="323" spans="1:18" x14ac:dyDescent="0.15">
      <c r="B323" s="340" t="s">
        <v>702</v>
      </c>
      <c r="C323" s="12" t="s">
        <v>307</v>
      </c>
      <c r="D323" s="67">
        <f t="shared" si="244"/>
        <v>-1500000</v>
      </c>
      <c r="E323" s="67">
        <f t="shared" si="244"/>
        <v>0</v>
      </c>
      <c r="F323" s="67">
        <f t="shared" si="244"/>
        <v>0</v>
      </c>
      <c r="G323" s="67">
        <f t="shared" si="244"/>
        <v>0</v>
      </c>
      <c r="H323" s="67">
        <f t="shared" si="244"/>
        <v>0</v>
      </c>
      <c r="I323" s="67">
        <f t="shared" si="244"/>
        <v>1500000</v>
      </c>
      <c r="J323" s="67">
        <f t="shared" si="244"/>
        <v>0</v>
      </c>
      <c r="K323" s="67">
        <f t="shared" si="244"/>
        <v>0</v>
      </c>
      <c r="L323" s="67">
        <f t="shared" si="244"/>
        <v>0</v>
      </c>
      <c r="M323" s="67">
        <f t="shared" si="244"/>
        <v>0</v>
      </c>
      <c r="N323" s="67">
        <f t="shared" si="244"/>
        <v>0</v>
      </c>
      <c r="O323" s="67">
        <v>0</v>
      </c>
      <c r="P323" s="326">
        <f t="shared" si="230"/>
        <v>0</v>
      </c>
    </row>
    <row r="324" spans="1:18" x14ac:dyDescent="0.15">
      <c r="B324" s="340" t="s">
        <v>703</v>
      </c>
      <c r="C324" s="12" t="s">
        <v>309</v>
      </c>
      <c r="D324" s="67">
        <f t="shared" si="244"/>
        <v>0</v>
      </c>
      <c r="E324" s="67">
        <f t="shared" si="244"/>
        <v>0</v>
      </c>
      <c r="F324" s="67">
        <f t="shared" si="244"/>
        <v>0</v>
      </c>
      <c r="G324" s="67">
        <f t="shared" si="244"/>
        <v>0</v>
      </c>
      <c r="H324" s="67">
        <f t="shared" si="244"/>
        <v>0</v>
      </c>
      <c r="I324" s="67">
        <f t="shared" si="244"/>
        <v>0</v>
      </c>
      <c r="J324" s="67">
        <f t="shared" si="244"/>
        <v>0</v>
      </c>
      <c r="K324" s="67">
        <f t="shared" si="244"/>
        <v>0</v>
      </c>
      <c r="L324" s="67">
        <f t="shared" si="244"/>
        <v>0</v>
      </c>
      <c r="M324" s="67">
        <f t="shared" si="244"/>
        <v>0</v>
      </c>
      <c r="N324" s="67">
        <f t="shared" si="244"/>
        <v>0</v>
      </c>
      <c r="O324" s="67">
        <v>0</v>
      </c>
      <c r="P324" s="326">
        <f t="shared" si="230"/>
        <v>0</v>
      </c>
    </row>
    <row r="325" spans="1:18" x14ac:dyDescent="0.15">
      <c r="B325" s="340" t="s">
        <v>704</v>
      </c>
      <c r="C325" s="12" t="s">
        <v>311</v>
      </c>
      <c r="D325" s="67">
        <f t="shared" si="244"/>
        <v>0</v>
      </c>
      <c r="E325" s="67">
        <f t="shared" si="244"/>
        <v>0</v>
      </c>
      <c r="F325" s="67">
        <f t="shared" si="244"/>
        <v>0</v>
      </c>
      <c r="G325" s="67">
        <f t="shared" si="244"/>
        <v>0</v>
      </c>
      <c r="H325" s="67">
        <f t="shared" si="244"/>
        <v>0</v>
      </c>
      <c r="I325" s="67">
        <f t="shared" si="244"/>
        <v>-2596968.7000000002</v>
      </c>
      <c r="J325" s="67">
        <f t="shared" si="244"/>
        <v>0</v>
      </c>
      <c r="K325" s="67">
        <f t="shared" si="244"/>
        <v>0</v>
      </c>
      <c r="L325" s="67">
        <f t="shared" si="244"/>
        <v>0</v>
      </c>
      <c r="M325" s="67">
        <f t="shared" si="244"/>
        <v>0</v>
      </c>
      <c r="N325" s="67">
        <f t="shared" si="244"/>
        <v>0</v>
      </c>
      <c r="O325" s="67">
        <v>0</v>
      </c>
      <c r="P325" s="326">
        <f t="shared" si="230"/>
        <v>-2596968.7000000002</v>
      </c>
    </row>
    <row r="326" spans="1:18" ht="14" thickBot="1" x14ac:dyDescent="0.2">
      <c r="B326" s="340" t="s">
        <v>705</v>
      </c>
      <c r="C326" s="12" t="s">
        <v>115</v>
      </c>
      <c r="D326" s="67">
        <f t="shared" si="244"/>
        <v>-60000000</v>
      </c>
      <c r="E326" s="67">
        <f t="shared" si="244"/>
        <v>0</v>
      </c>
      <c r="F326" s="67">
        <f t="shared" si="244"/>
        <v>0</v>
      </c>
      <c r="G326" s="67">
        <f t="shared" si="244"/>
        <v>0</v>
      </c>
      <c r="H326" s="67">
        <f t="shared" si="244"/>
        <v>0</v>
      </c>
      <c r="I326" s="67">
        <f t="shared" si="244"/>
        <v>60000000</v>
      </c>
      <c r="J326" s="67">
        <f t="shared" si="244"/>
        <v>0</v>
      </c>
      <c r="K326" s="67">
        <f t="shared" si="244"/>
        <v>0</v>
      </c>
      <c r="L326" s="67">
        <f t="shared" si="244"/>
        <v>0</v>
      </c>
      <c r="M326" s="67">
        <f t="shared" si="244"/>
        <v>0</v>
      </c>
      <c r="N326" s="67">
        <f t="shared" si="244"/>
        <v>0</v>
      </c>
      <c r="O326" s="67">
        <v>0</v>
      </c>
      <c r="P326" s="326">
        <f t="shared" si="230"/>
        <v>0</v>
      </c>
    </row>
    <row r="327" spans="1:18" x14ac:dyDescent="0.15">
      <c r="B327" s="340">
        <v>17</v>
      </c>
      <c r="C327" s="12" t="s">
        <v>313</v>
      </c>
      <c r="D327" s="67">
        <f t="shared" si="244"/>
        <v>-92550000</v>
      </c>
      <c r="E327" s="67">
        <f t="shared" si="244"/>
        <v>0</v>
      </c>
      <c r="F327" s="67">
        <f t="shared" si="244"/>
        <v>0</v>
      </c>
      <c r="G327" s="67">
        <f t="shared" si="244"/>
        <v>0</v>
      </c>
      <c r="H327" s="67">
        <f t="shared" si="244"/>
        <v>0</v>
      </c>
      <c r="I327" s="67">
        <f t="shared" si="244"/>
        <v>71750066.299999997</v>
      </c>
      <c r="J327" s="67">
        <f t="shared" si="244"/>
        <v>0</v>
      </c>
      <c r="K327" s="67">
        <f t="shared" si="244"/>
        <v>0</v>
      </c>
      <c r="L327" s="67">
        <f t="shared" si="244"/>
        <v>0</v>
      </c>
      <c r="M327" s="67">
        <f t="shared" si="244"/>
        <v>0</v>
      </c>
      <c r="N327" s="67">
        <f t="shared" si="244"/>
        <v>0</v>
      </c>
      <c r="O327" s="67">
        <v>0</v>
      </c>
      <c r="P327" s="326">
        <f t="shared" si="230"/>
        <v>-20799933.700000003</v>
      </c>
      <c r="Q327" s="357" t="s">
        <v>693</v>
      </c>
    </row>
    <row r="328" spans="1:18" ht="14" thickBot="1" x14ac:dyDescent="0.2">
      <c r="A328" s="1" t="s">
        <v>714</v>
      </c>
      <c r="B328" s="355">
        <v>18</v>
      </c>
      <c r="C328" s="335" t="s">
        <v>314</v>
      </c>
      <c r="D328" s="331">
        <f>D327+D319</f>
        <v>-92550000</v>
      </c>
      <c r="E328" s="331">
        <f t="shared" ref="E328:N328" si="245">E327+E319</f>
        <v>50012750</v>
      </c>
      <c r="F328" s="331">
        <f t="shared" si="245"/>
        <v>44202792.500000022</v>
      </c>
      <c r="G328" s="331">
        <f t="shared" si="245"/>
        <v>35442192.08412499</v>
      </c>
      <c r="H328" s="331">
        <f t="shared" si="245"/>
        <v>25111356.707490433</v>
      </c>
      <c r="I328" s="331">
        <f t="shared" si="245"/>
        <v>84401062.478848949</v>
      </c>
      <c r="J328" s="331">
        <f t="shared" si="245"/>
        <v>0</v>
      </c>
      <c r="K328" s="331">
        <f t="shared" si="245"/>
        <v>0</v>
      </c>
      <c r="L328" s="331">
        <f t="shared" si="245"/>
        <v>0</v>
      </c>
      <c r="M328" s="331">
        <f t="shared" si="245"/>
        <v>0</v>
      </c>
      <c r="N328" s="331">
        <f t="shared" si="245"/>
        <v>0</v>
      </c>
      <c r="O328" s="331">
        <v>0</v>
      </c>
      <c r="P328" s="356">
        <f t="shared" si="230"/>
        <v>146620153.77046439</v>
      </c>
      <c r="Q328" s="358">
        <f>IF(ISNUMBER(IRR(D328:N328)),IRR(D328:N328),"NMF")</f>
        <v>0.40549033935008683</v>
      </c>
      <c r="R328" s="1" t="s">
        <v>714</v>
      </c>
    </row>
  </sheetData>
  <sheetProtection password="AA36" sheet="1" objects="1" scenarios="1"/>
  <phoneticPr fontId="0" type="noConversion"/>
  <pageMargins left="0.75" right="0.75" top="1" bottom="1" header="0.5" footer="0.5"/>
  <pageSetup orientation="portrait" horizontalDpi="0" verticalDpi="0"/>
  <headerFooter alignWithMargins="0"/>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S325"/>
  <sheetViews>
    <sheetView zoomScale="75" workbookViewId="0"/>
  </sheetViews>
  <sheetFormatPr baseColWidth="10" defaultColWidth="8.83203125" defaultRowHeight="13" x14ac:dyDescent="0.15"/>
  <cols>
    <col min="1" max="1" width="12.1640625" customWidth="1"/>
    <col min="2" max="2" width="21.5" customWidth="1"/>
    <col min="3" max="3" width="38.5" customWidth="1"/>
    <col min="4" max="4" width="13.5" bestFit="1" customWidth="1"/>
    <col min="5" max="7" width="14.5" bestFit="1" customWidth="1"/>
    <col min="8" max="8" width="14.5" customWidth="1"/>
    <col min="9" max="9" width="16" customWidth="1"/>
    <col min="10" max="10" width="12.6640625" bestFit="1" customWidth="1"/>
    <col min="11" max="11" width="16" customWidth="1"/>
    <col min="12" max="14" width="11.6640625" bestFit="1" customWidth="1"/>
    <col min="15" max="15" width="4.83203125" customWidth="1"/>
    <col min="16" max="16" width="14.5" bestFit="1" customWidth="1"/>
  </cols>
  <sheetData>
    <row r="1" spans="1:11" ht="19" thickBot="1" x14ac:dyDescent="0.25">
      <c r="A1" s="549" t="s">
        <v>721</v>
      </c>
    </row>
    <row r="2" spans="1:11" ht="14" thickBot="1" x14ac:dyDescent="0.2">
      <c r="H2" s="323" t="s">
        <v>436</v>
      </c>
      <c r="I2" s="365" t="s">
        <v>685</v>
      </c>
      <c r="J2" s="320" t="s">
        <v>341</v>
      </c>
      <c r="K2" s="365" t="s">
        <v>685</v>
      </c>
    </row>
    <row r="3" spans="1:11" ht="18" thickBot="1" x14ac:dyDescent="0.25">
      <c r="C3" s="343" t="s">
        <v>279</v>
      </c>
      <c r="D3" s="344">
        <f>'Initial Inputs'!C43</f>
        <v>0.3</v>
      </c>
      <c r="G3" s="378" t="s">
        <v>412</v>
      </c>
      <c r="H3" s="379">
        <f>Q42</f>
        <v>0.93834602241149812</v>
      </c>
      <c r="I3" s="372">
        <f>IF(H3="NMF","NMF",(H3-$H$8)/$H$8)</f>
        <v>1.3141020422717431</v>
      </c>
      <c r="J3" s="380">
        <f>NPV($D$7,E42:N42)+D42</f>
        <v>217139867.777798</v>
      </c>
      <c r="K3" s="372">
        <f>IF(J3="NMF","NMF",IF(ISNUMBER((J3-$J$8)/$J$8),(J3-$J$8)/$J$8,0))</f>
        <v>2.6085420080934751</v>
      </c>
    </row>
    <row r="4" spans="1:11" ht="18" thickBot="1" x14ac:dyDescent="0.25">
      <c r="C4" s="345" t="s">
        <v>280</v>
      </c>
      <c r="D4" s="346">
        <f>'Initial Inputs'!C45</f>
        <v>0.18</v>
      </c>
      <c r="G4" s="381" t="s">
        <v>413</v>
      </c>
      <c r="H4" s="382">
        <f>Q70</f>
        <v>0.8382418168511121</v>
      </c>
      <c r="I4" s="373">
        <f t="shared" ref="I4:I10" si="0">IF(H4="NMF","NMF",(H4-$H$8)/$H$8)</f>
        <v>1.0672300558248371</v>
      </c>
      <c r="J4" s="383">
        <f>NPV($D$7,E70:N70)+D70</f>
        <v>185746664.34772295</v>
      </c>
      <c r="K4" s="372">
        <f t="shared" ref="K4:K13" si="1">IF(J4="NMF","NMF",IF(ISNUMBER((J4-$J$8)/$J$8),(J4-$J$8)/$J$8,0))</f>
        <v>2.0868336064747792</v>
      </c>
    </row>
    <row r="5" spans="1:11" ht="18" thickBot="1" x14ac:dyDescent="0.25">
      <c r="C5" s="371" t="s">
        <v>281</v>
      </c>
      <c r="D5" s="350">
        <f>'Initial Inputs'!A47</f>
        <v>0</v>
      </c>
      <c r="G5" s="381" t="s">
        <v>414</v>
      </c>
      <c r="H5" s="382">
        <f>Q98</f>
        <v>0.73574936913191769</v>
      </c>
      <c r="I5" s="373">
        <f t="shared" si="0"/>
        <v>0.81446830598027209</v>
      </c>
      <c r="J5" s="383">
        <f>NPV($D$7,E98:N98)+D98</f>
        <v>154353460.91764802</v>
      </c>
      <c r="K5" s="372">
        <f t="shared" si="1"/>
        <v>1.5651252048560853</v>
      </c>
    </row>
    <row r="6" spans="1:11" ht="17" thickBot="1" x14ac:dyDescent="0.25">
      <c r="C6" s="336"/>
      <c r="D6" s="349"/>
      <c r="G6" s="381" t="s">
        <v>415</v>
      </c>
      <c r="H6" s="382">
        <f>Q126</f>
        <v>0.63018709181444055</v>
      </c>
      <c r="I6" s="373">
        <f t="shared" si="0"/>
        <v>0.55413589587484113</v>
      </c>
      <c r="J6" s="383">
        <f>NPV($D$7,E126:N126)+D126</f>
        <v>122960257.48757306</v>
      </c>
      <c r="K6" s="372">
        <f t="shared" si="1"/>
        <v>1.0434168032373907</v>
      </c>
    </row>
    <row r="7" spans="1:11" ht="18" thickBot="1" x14ac:dyDescent="0.25">
      <c r="C7" s="351" t="s">
        <v>686</v>
      </c>
      <c r="D7" s="352">
        <f>'Initial Inputs'!C5</f>
        <v>0.16</v>
      </c>
      <c r="G7" s="381" t="s">
        <v>416</v>
      </c>
      <c r="H7" s="382">
        <f>Q154</f>
        <v>0.52058261799260319</v>
      </c>
      <c r="I7" s="373">
        <f t="shared" si="0"/>
        <v>0.28383482286405232</v>
      </c>
      <c r="J7" s="383">
        <f>NPV($D$7,E154:N154)+D154</f>
        <v>91567054.057498068</v>
      </c>
      <c r="K7" s="372">
        <f t="shared" si="1"/>
        <v>0.52170840161869558</v>
      </c>
    </row>
    <row r="8" spans="1:11" ht="17" thickBot="1" x14ac:dyDescent="0.25">
      <c r="C8" s="336"/>
      <c r="D8" s="349"/>
      <c r="G8" s="381" t="s">
        <v>653</v>
      </c>
      <c r="H8" s="382">
        <f>Q182</f>
        <v>0.40549033935008683</v>
      </c>
      <c r="I8" s="373">
        <f t="shared" si="0"/>
        <v>0</v>
      </c>
      <c r="J8" s="383">
        <f>NPV($D$7,E182:N182)+D182</f>
        <v>60173850.627423048</v>
      </c>
      <c r="K8" s="372">
        <f t="shared" si="1"/>
        <v>0</v>
      </c>
    </row>
    <row r="9" spans="1:11" ht="17" thickBot="1" x14ac:dyDescent="0.25">
      <c r="C9" s="336"/>
      <c r="D9" s="349"/>
      <c r="G9" s="381" t="s">
        <v>418</v>
      </c>
      <c r="H9" s="382">
        <f>Q213</f>
        <v>0.28264387824202131</v>
      </c>
      <c r="I9" s="373">
        <f t="shared" si="0"/>
        <v>-0.30295779994404254</v>
      </c>
      <c r="J9" s="383">
        <f>NPV($D$7,E213:N213)+D213</f>
        <v>28780647.197348014</v>
      </c>
      <c r="K9" s="372">
        <f t="shared" si="1"/>
        <v>-0.52170840161869581</v>
      </c>
    </row>
    <row r="10" spans="1:11" ht="17" thickBot="1" x14ac:dyDescent="0.25">
      <c r="C10" s="336"/>
      <c r="D10" s="349"/>
      <c r="G10" s="381" t="s">
        <v>419</v>
      </c>
      <c r="H10" s="382">
        <f>Q241</f>
        <v>0.14823424950054842</v>
      </c>
      <c r="I10" s="373">
        <f t="shared" si="0"/>
        <v>-0.63443210573614206</v>
      </c>
      <c r="J10" s="383">
        <f>NPV($D$7,E241:N241)+D241</f>
        <v>-2612556.2327269614</v>
      </c>
      <c r="K10" s="372">
        <f t="shared" si="1"/>
        <v>-1.0434168032373907</v>
      </c>
    </row>
    <row r="11" spans="1:11" ht="17" thickBot="1" x14ac:dyDescent="0.25">
      <c r="C11" s="336"/>
      <c r="D11" s="349"/>
      <c r="G11" s="381" t="s">
        <v>420</v>
      </c>
      <c r="H11" s="382">
        <f>Q269</f>
        <v>-4.7435193714794321E-3</v>
      </c>
      <c r="I11" s="373">
        <f>IF(H11="NMF","NMF",(H11-$H$8)/$H$8)</f>
        <v>-1.0116982302934325</v>
      </c>
      <c r="J11" s="383">
        <f>NPV($D$7,E269:N269)+D269</f>
        <v>-34005759.662801869</v>
      </c>
      <c r="K11" s="372">
        <f t="shared" si="1"/>
        <v>-1.5651252048560842</v>
      </c>
    </row>
    <row r="12" spans="1:11" ht="17" thickBot="1" x14ac:dyDescent="0.25">
      <c r="C12" s="336"/>
      <c r="D12" s="342"/>
      <c r="G12" s="381" t="s">
        <v>421</v>
      </c>
      <c r="H12" s="382">
        <f>Q297</f>
        <v>-0.19047551995716649</v>
      </c>
      <c r="I12" s="373">
        <f>IF(H12="NMF","NMF",(H12-$H$8)/$H$8)</f>
        <v>-1.4697412033600048</v>
      </c>
      <c r="J12" s="383">
        <f>NPV($D$7,E297:N297)+D297</f>
        <v>-65398963.092876844</v>
      </c>
      <c r="K12" s="372">
        <f t="shared" si="1"/>
        <v>-2.0868336064747792</v>
      </c>
    </row>
    <row r="13" spans="1:11" ht="17" thickBot="1" x14ac:dyDescent="0.25">
      <c r="C13" s="336"/>
      <c r="D13" s="342"/>
      <c r="G13" s="384" t="s">
        <v>422</v>
      </c>
      <c r="H13" s="385" t="str">
        <f>Q325</f>
        <v>NMF</v>
      </c>
      <c r="I13" s="374" t="str">
        <f>IF(H13="NMF","NMF",(H13-$H$8)/$H$8)</f>
        <v>NMF</v>
      </c>
      <c r="J13" s="386">
        <f>NPV($D$7,E325:N325)+D325</f>
        <v>-96792166.522951901</v>
      </c>
      <c r="K13" s="372">
        <f t="shared" si="1"/>
        <v>-2.6085420080934751</v>
      </c>
    </row>
    <row r="14" spans="1:11" ht="16" x14ac:dyDescent="0.2">
      <c r="C14" s="336"/>
      <c r="D14" s="342"/>
      <c r="G14" s="348"/>
    </row>
    <row r="15" spans="1:11" ht="16" x14ac:dyDescent="0.2">
      <c r="B15" s="48" t="s">
        <v>721</v>
      </c>
      <c r="G15" s="90"/>
    </row>
    <row r="16" spans="1:11" ht="14" thickBot="1" x14ac:dyDescent="0.2"/>
    <row r="17" spans="1:16" ht="14" thickBot="1" x14ac:dyDescent="0.2">
      <c r="B17" s="323" t="str">
        <f>'After Tax Analysis'!B7</f>
        <v>Line/Source</v>
      </c>
      <c r="C17" s="324" t="str">
        <f>'After Tax Analysis'!C7</f>
        <v>Description</v>
      </c>
      <c r="D17" s="324"/>
      <c r="E17" s="324">
        <f>'After Tax Analysis'!E7</f>
        <v>1</v>
      </c>
      <c r="F17" s="324">
        <f>'After Tax Analysis'!F7</f>
        <v>2</v>
      </c>
      <c r="G17" s="324">
        <f>'After Tax Analysis'!G7</f>
        <v>3</v>
      </c>
      <c r="H17" s="324">
        <f>'After Tax Analysis'!H7</f>
        <v>4</v>
      </c>
      <c r="I17" s="324">
        <f>'After Tax Analysis'!I7</f>
        <v>5</v>
      </c>
      <c r="J17" s="324">
        <f>'After Tax Analysis'!J7</f>
        <v>6</v>
      </c>
      <c r="K17" s="324">
        <f>'After Tax Analysis'!K7</f>
        <v>7</v>
      </c>
      <c r="L17" s="324">
        <f>'After Tax Analysis'!L7</f>
        <v>8</v>
      </c>
      <c r="M17" s="324">
        <f>'After Tax Analysis'!M7</f>
        <v>9</v>
      </c>
      <c r="N17" s="324">
        <f>'After Tax Analysis'!N7</f>
        <v>10</v>
      </c>
      <c r="O17" s="324" t="str">
        <f>'After Tax Analysis'!O7</f>
        <v>10A</v>
      </c>
      <c r="P17" s="320" t="str">
        <f>'After Tax Analysis'!P7</f>
        <v>TOTAL</v>
      </c>
    </row>
    <row r="18" spans="1:16" x14ac:dyDescent="0.15">
      <c r="B18" s="339" t="s">
        <v>687</v>
      </c>
      <c r="C18" s="302" t="str">
        <f>'After Tax Analysis'!C8</f>
        <v>Operating Revenue</v>
      </c>
      <c r="D18" s="322">
        <f>D158</f>
        <v>0</v>
      </c>
      <c r="E18" s="322">
        <f>E158</f>
        <v>300000000</v>
      </c>
      <c r="F18" s="322">
        <f t="shared" ref="F18:N18" si="2">F158</f>
        <v>313500000.00000006</v>
      </c>
      <c r="G18" s="322">
        <f t="shared" si="2"/>
        <v>327607500.00000006</v>
      </c>
      <c r="H18" s="322">
        <f t="shared" si="2"/>
        <v>342349837.50000012</v>
      </c>
      <c r="I18" s="322">
        <f t="shared" si="2"/>
        <v>357755580.18750012</v>
      </c>
      <c r="J18" s="322">
        <f t="shared" si="2"/>
        <v>0</v>
      </c>
      <c r="K18" s="322">
        <f t="shared" si="2"/>
        <v>0</v>
      </c>
      <c r="L18" s="322">
        <f t="shared" si="2"/>
        <v>0</v>
      </c>
      <c r="M18" s="322">
        <f t="shared" si="2"/>
        <v>0</v>
      </c>
      <c r="N18" s="322">
        <f t="shared" si="2"/>
        <v>0</v>
      </c>
      <c r="O18" s="322">
        <f>'After Tax Analysis'!O8</f>
        <v>0</v>
      </c>
      <c r="P18" s="368">
        <f t="shared" ref="P18:P42" si="3">SUM(E18:N18)</f>
        <v>1641212917.6875</v>
      </c>
    </row>
    <row r="19" spans="1:16" x14ac:dyDescent="0.15">
      <c r="A19" s="1" t="s">
        <v>688</v>
      </c>
      <c r="B19" s="340" t="s">
        <v>689</v>
      </c>
      <c r="C19" s="354" t="s">
        <v>689</v>
      </c>
      <c r="D19" s="67">
        <f t="shared" ref="D19:N34" si="4">D159</f>
        <v>0</v>
      </c>
      <c r="E19" s="67">
        <f t="shared" si="4"/>
        <v>300000000</v>
      </c>
      <c r="F19" s="67">
        <f t="shared" si="4"/>
        <v>313500000.00000006</v>
      </c>
      <c r="G19" s="67">
        <f t="shared" si="4"/>
        <v>327607500.00000006</v>
      </c>
      <c r="H19" s="67">
        <f t="shared" si="4"/>
        <v>342349837.50000012</v>
      </c>
      <c r="I19" s="67">
        <f t="shared" si="4"/>
        <v>357755580.18750012</v>
      </c>
      <c r="J19" s="67">
        <f t="shared" si="4"/>
        <v>0</v>
      </c>
      <c r="K19" s="67">
        <f t="shared" si="4"/>
        <v>0</v>
      </c>
      <c r="L19" s="67">
        <f t="shared" si="4"/>
        <v>0</v>
      </c>
      <c r="M19" s="67">
        <f t="shared" si="4"/>
        <v>0</v>
      </c>
      <c r="N19" s="67">
        <f t="shared" si="4"/>
        <v>0</v>
      </c>
      <c r="O19" s="67"/>
      <c r="P19" s="369">
        <f t="shared" si="3"/>
        <v>1641212917.6875</v>
      </c>
    </row>
    <row r="20" spans="1:16" x14ac:dyDescent="0.15">
      <c r="B20" s="340" t="s">
        <v>690</v>
      </c>
      <c r="C20" s="354" t="s">
        <v>690</v>
      </c>
      <c r="D20" s="67">
        <f t="shared" si="4"/>
        <v>0</v>
      </c>
      <c r="E20" s="67">
        <f t="shared" si="4"/>
        <v>0</v>
      </c>
      <c r="F20" s="67">
        <f t="shared" si="4"/>
        <v>0</v>
      </c>
      <c r="G20" s="67">
        <f t="shared" si="4"/>
        <v>0</v>
      </c>
      <c r="H20" s="67">
        <f t="shared" si="4"/>
        <v>0</v>
      </c>
      <c r="I20" s="67">
        <f t="shared" si="4"/>
        <v>0</v>
      </c>
      <c r="J20" s="67">
        <f t="shared" si="4"/>
        <v>0</v>
      </c>
      <c r="K20" s="67">
        <f t="shared" si="4"/>
        <v>0</v>
      </c>
      <c r="L20" s="67">
        <f t="shared" si="4"/>
        <v>0</v>
      </c>
      <c r="M20" s="67">
        <f t="shared" si="4"/>
        <v>0</v>
      </c>
      <c r="N20" s="67">
        <f t="shared" si="4"/>
        <v>0</v>
      </c>
      <c r="O20" s="67"/>
      <c r="P20" s="369">
        <f t="shared" si="3"/>
        <v>0</v>
      </c>
    </row>
    <row r="21" spans="1:16" x14ac:dyDescent="0.15">
      <c r="B21" s="340" t="s">
        <v>691</v>
      </c>
      <c r="C21" s="354" t="s">
        <v>691</v>
      </c>
      <c r="D21" s="67">
        <f t="shared" si="4"/>
        <v>0</v>
      </c>
      <c r="E21" s="67">
        <f t="shared" si="4"/>
        <v>0</v>
      </c>
      <c r="F21" s="67">
        <f t="shared" si="4"/>
        <v>0</v>
      </c>
      <c r="G21" s="67">
        <f t="shared" si="4"/>
        <v>0</v>
      </c>
      <c r="H21" s="67">
        <f t="shared" si="4"/>
        <v>0</v>
      </c>
      <c r="I21" s="67">
        <f t="shared" si="4"/>
        <v>0</v>
      </c>
      <c r="J21" s="67">
        <f t="shared" si="4"/>
        <v>0</v>
      </c>
      <c r="K21" s="67">
        <f t="shared" si="4"/>
        <v>0</v>
      </c>
      <c r="L21" s="67">
        <f t="shared" si="4"/>
        <v>0</v>
      </c>
      <c r="M21" s="67">
        <f t="shared" si="4"/>
        <v>0</v>
      </c>
      <c r="N21" s="67">
        <f t="shared" si="4"/>
        <v>0</v>
      </c>
      <c r="O21" s="67"/>
      <c r="P21" s="369">
        <f t="shared" si="3"/>
        <v>0</v>
      </c>
    </row>
    <row r="22" spans="1:16" x14ac:dyDescent="0.15">
      <c r="B22" s="340" t="s">
        <v>692</v>
      </c>
      <c r="C22" s="354" t="s">
        <v>692</v>
      </c>
      <c r="D22" s="67">
        <f t="shared" si="4"/>
        <v>0</v>
      </c>
      <c r="E22" s="67">
        <f t="shared" si="4"/>
        <v>300000000</v>
      </c>
      <c r="F22" s="67">
        <f t="shared" si="4"/>
        <v>313500000.00000006</v>
      </c>
      <c r="G22" s="67">
        <f t="shared" si="4"/>
        <v>327607500.00000006</v>
      </c>
      <c r="H22" s="67">
        <f t="shared" si="4"/>
        <v>342349837.50000012</v>
      </c>
      <c r="I22" s="67">
        <f t="shared" si="4"/>
        <v>357755580.18750012</v>
      </c>
      <c r="J22" s="67">
        <f t="shared" si="4"/>
        <v>0</v>
      </c>
      <c r="K22" s="67">
        <f t="shared" si="4"/>
        <v>0</v>
      </c>
      <c r="L22" s="67">
        <f t="shared" si="4"/>
        <v>0</v>
      </c>
      <c r="M22" s="67">
        <f t="shared" si="4"/>
        <v>0</v>
      </c>
      <c r="N22" s="67">
        <f t="shared" si="4"/>
        <v>0</v>
      </c>
      <c r="O22" s="67"/>
      <c r="P22" s="369">
        <f t="shared" si="3"/>
        <v>1641212917.6875</v>
      </c>
    </row>
    <row r="23" spans="1:16" x14ac:dyDescent="0.15">
      <c r="B23" s="355" t="str">
        <f>'After Tax Analysis'!B9</f>
        <v>2 / "Expenses"</v>
      </c>
      <c r="C23" s="335" t="str">
        <f>'After Tax Analysis'!C9</f>
        <v>Cash Expenses (Not including depreciation)</v>
      </c>
      <c r="D23" s="331">
        <f t="shared" si="4"/>
        <v>0</v>
      </c>
      <c r="E23" s="331">
        <f>E163*0.75</f>
        <v>172627500</v>
      </c>
      <c r="F23" s="331">
        <f t="shared" ref="F23:O23" si="5">F163*0.75</f>
        <v>189763781.25000003</v>
      </c>
      <c r="G23" s="331">
        <f t="shared" si="5"/>
        <v>209044288.83843756</v>
      </c>
      <c r="H23" s="331">
        <f t="shared" si="5"/>
        <v>230749481.29554605</v>
      </c>
      <c r="I23" s="331">
        <f t="shared" si="5"/>
        <v>255196924.77042979</v>
      </c>
      <c r="J23" s="331">
        <f t="shared" si="5"/>
        <v>0</v>
      </c>
      <c r="K23" s="331">
        <f t="shared" si="5"/>
        <v>0</v>
      </c>
      <c r="L23" s="331">
        <f t="shared" si="5"/>
        <v>0</v>
      </c>
      <c r="M23" s="331">
        <f t="shared" si="5"/>
        <v>0</v>
      </c>
      <c r="N23" s="331">
        <f t="shared" si="5"/>
        <v>0</v>
      </c>
      <c r="O23" s="331">
        <f t="shared" si="5"/>
        <v>0</v>
      </c>
      <c r="P23" s="370">
        <f t="shared" si="3"/>
        <v>1057381976.1544135</v>
      </c>
    </row>
    <row r="24" spans="1:16" x14ac:dyDescent="0.15">
      <c r="B24" s="340">
        <f>'After Tax Analysis'!B10</f>
        <v>3</v>
      </c>
      <c r="C24" s="12" t="str">
        <f>'After Tax Analysis'!C10</f>
        <v>Oper. Income (1-2)</v>
      </c>
      <c r="D24" s="67">
        <f t="shared" si="4"/>
        <v>0</v>
      </c>
      <c r="E24" s="67">
        <f>E22-E23</f>
        <v>127372500</v>
      </c>
      <c r="F24" s="67">
        <f t="shared" ref="F24:N24" si="6">F22-F23</f>
        <v>123736218.75000003</v>
      </c>
      <c r="G24" s="67">
        <f t="shared" si="6"/>
        <v>118563211.1615625</v>
      </c>
      <c r="H24" s="67">
        <f t="shared" si="6"/>
        <v>111600356.20445406</v>
      </c>
      <c r="I24" s="67">
        <f t="shared" si="6"/>
        <v>102558655.41707033</v>
      </c>
      <c r="J24" s="67">
        <f t="shared" si="6"/>
        <v>0</v>
      </c>
      <c r="K24" s="67">
        <f t="shared" si="6"/>
        <v>0</v>
      </c>
      <c r="L24" s="67">
        <f t="shared" si="6"/>
        <v>0</v>
      </c>
      <c r="M24" s="67">
        <f t="shared" si="6"/>
        <v>0</v>
      </c>
      <c r="N24" s="67">
        <f t="shared" si="6"/>
        <v>0</v>
      </c>
      <c r="O24" s="67">
        <f>'After Tax Analysis'!O10</f>
        <v>0</v>
      </c>
      <c r="P24" s="369">
        <f t="shared" si="3"/>
        <v>583830941.53308702</v>
      </c>
    </row>
    <row r="25" spans="1:16" x14ac:dyDescent="0.15">
      <c r="B25" s="340" t="str">
        <f>'After Tax Analysis'!B11</f>
        <v>4 / "Expenses"</v>
      </c>
      <c r="C25" s="12" t="str">
        <f>'After Tax Analysis'!C11</f>
        <v>Depreciation</v>
      </c>
      <c r="D25" s="67">
        <f t="shared" si="4"/>
        <v>0</v>
      </c>
      <c r="E25" s="67">
        <f t="shared" si="4"/>
        <v>3772500</v>
      </c>
      <c r="F25" s="67">
        <f t="shared" si="4"/>
        <v>6218850</v>
      </c>
      <c r="G25" s="67">
        <f t="shared" si="4"/>
        <v>4083150</v>
      </c>
      <c r="H25" s="67">
        <f t="shared" si="4"/>
        <v>2775510</v>
      </c>
      <c r="I25" s="67">
        <f t="shared" si="4"/>
        <v>1352955</v>
      </c>
      <c r="J25" s="67">
        <f t="shared" si="4"/>
        <v>0</v>
      </c>
      <c r="K25" s="67">
        <f t="shared" si="4"/>
        <v>0</v>
      </c>
      <c r="L25" s="67">
        <f t="shared" si="4"/>
        <v>0</v>
      </c>
      <c r="M25" s="67">
        <f t="shared" si="4"/>
        <v>0</v>
      </c>
      <c r="N25" s="67">
        <f t="shared" si="4"/>
        <v>0</v>
      </c>
      <c r="O25" s="67">
        <f>'After Tax Analysis'!O11</f>
        <v>0</v>
      </c>
      <c r="P25" s="369">
        <f t="shared" si="3"/>
        <v>18202965</v>
      </c>
    </row>
    <row r="26" spans="1:16" x14ac:dyDescent="0.15">
      <c r="B26" s="340">
        <f>'After Tax Analysis'!B12</f>
        <v>5</v>
      </c>
      <c r="C26" s="12" t="str">
        <f>'After Tax Analysis'!C12</f>
        <v>Oper. Income (3-4)</v>
      </c>
      <c r="D26" s="67">
        <f t="shared" si="4"/>
        <v>0</v>
      </c>
      <c r="E26" s="67">
        <f>E24-E25</f>
        <v>123600000</v>
      </c>
      <c r="F26" s="67">
        <f t="shared" ref="F26:N26" si="7">F24-F25</f>
        <v>117517368.75000003</v>
      </c>
      <c r="G26" s="67">
        <f t="shared" si="7"/>
        <v>114480061.1615625</v>
      </c>
      <c r="H26" s="67">
        <f t="shared" si="7"/>
        <v>108824846.20445406</v>
      </c>
      <c r="I26" s="67">
        <f t="shared" si="7"/>
        <v>101205700.41707033</v>
      </c>
      <c r="J26" s="67">
        <f t="shared" si="7"/>
        <v>0</v>
      </c>
      <c r="K26" s="67">
        <f t="shared" si="7"/>
        <v>0</v>
      </c>
      <c r="L26" s="67">
        <f t="shared" si="7"/>
        <v>0</v>
      </c>
      <c r="M26" s="67">
        <f t="shared" si="7"/>
        <v>0</v>
      </c>
      <c r="N26" s="67">
        <f t="shared" si="7"/>
        <v>0</v>
      </c>
      <c r="O26" s="67">
        <f>'After Tax Analysis'!O12</f>
        <v>0</v>
      </c>
      <c r="P26" s="369">
        <f t="shared" si="3"/>
        <v>565627976.53308702</v>
      </c>
    </row>
    <row r="27" spans="1:16" x14ac:dyDescent="0.15">
      <c r="B27" s="340" t="str">
        <f>'After Tax Analysis'!B13</f>
        <v>6 / "Loan Amortization"</v>
      </c>
      <c r="C27" s="12" t="str">
        <f>'After Tax Analysis'!C13</f>
        <v>Interest expense</v>
      </c>
      <c r="D27" s="67">
        <f t="shared" si="4"/>
        <v>0</v>
      </c>
      <c r="E27" s="67">
        <f t="shared" si="4"/>
        <v>0</v>
      </c>
      <c r="F27" s="67">
        <f t="shared" si="4"/>
        <v>0</v>
      </c>
      <c r="G27" s="67">
        <f t="shared" si="4"/>
        <v>0</v>
      </c>
      <c r="H27" s="67">
        <f t="shared" si="4"/>
        <v>0</v>
      </c>
      <c r="I27" s="67">
        <f t="shared" si="4"/>
        <v>0</v>
      </c>
      <c r="J27" s="67">
        <f t="shared" si="4"/>
        <v>0</v>
      </c>
      <c r="K27" s="67">
        <f t="shared" si="4"/>
        <v>0</v>
      </c>
      <c r="L27" s="67">
        <f t="shared" si="4"/>
        <v>0</v>
      </c>
      <c r="M27" s="67">
        <f t="shared" si="4"/>
        <v>0</v>
      </c>
      <c r="N27" s="67">
        <f t="shared" si="4"/>
        <v>0</v>
      </c>
      <c r="O27" s="67">
        <f>'After Tax Analysis'!O13</f>
        <v>0</v>
      </c>
      <c r="P27" s="369">
        <f t="shared" si="3"/>
        <v>0</v>
      </c>
    </row>
    <row r="28" spans="1:16" x14ac:dyDescent="0.15">
      <c r="B28" s="340">
        <f>'After Tax Analysis'!B14</f>
        <v>7</v>
      </c>
      <c r="C28" s="12" t="str">
        <f>'After Tax Analysis'!C14</f>
        <v>Pretax Net Income (5-6)</v>
      </c>
      <c r="D28" s="67">
        <f t="shared" si="4"/>
        <v>0</v>
      </c>
      <c r="E28" s="67">
        <f>E26-E27</f>
        <v>123600000</v>
      </c>
      <c r="F28" s="67">
        <f t="shared" ref="F28:N28" si="8">F26-F27</f>
        <v>117517368.75000003</v>
      </c>
      <c r="G28" s="67">
        <f t="shared" si="8"/>
        <v>114480061.1615625</v>
      </c>
      <c r="H28" s="67">
        <f t="shared" si="8"/>
        <v>108824846.20445406</v>
      </c>
      <c r="I28" s="67">
        <f t="shared" si="8"/>
        <v>101205700.41707033</v>
      </c>
      <c r="J28" s="67">
        <f t="shared" si="8"/>
        <v>0</v>
      </c>
      <c r="K28" s="67">
        <f t="shared" si="8"/>
        <v>0</v>
      </c>
      <c r="L28" s="67">
        <f t="shared" si="8"/>
        <v>0</v>
      </c>
      <c r="M28" s="67">
        <f t="shared" si="8"/>
        <v>0</v>
      </c>
      <c r="N28" s="67">
        <f t="shared" si="8"/>
        <v>0</v>
      </c>
      <c r="O28" s="67">
        <f>'After Tax Analysis'!O14</f>
        <v>0</v>
      </c>
      <c r="P28" s="369">
        <f t="shared" si="3"/>
        <v>565627976.53308702</v>
      </c>
    </row>
    <row r="29" spans="1:16" x14ac:dyDescent="0.15">
      <c r="B29" s="340">
        <f>'After Tax Analysis'!B15</f>
        <v>8</v>
      </c>
      <c r="C29" s="12" t="str">
        <f>'After Tax Analysis'!C15</f>
        <v>Income taxes (at rate above)</v>
      </c>
      <c r="D29" s="67">
        <f t="shared" si="4"/>
        <v>0</v>
      </c>
      <c r="E29" s="67">
        <f>-E28*$D$3</f>
        <v>-37080000</v>
      </c>
      <c r="F29" s="67">
        <f t="shared" ref="F29:N29" si="9">-F28*$D$3</f>
        <v>-35255210.625000007</v>
      </c>
      <c r="G29" s="67">
        <f t="shared" si="9"/>
        <v>-34344018.348468751</v>
      </c>
      <c r="H29" s="67">
        <f t="shared" si="9"/>
        <v>-32647453.861336216</v>
      </c>
      <c r="I29" s="67">
        <f t="shared" si="9"/>
        <v>-30361710.125121098</v>
      </c>
      <c r="J29" s="67">
        <f t="shared" si="9"/>
        <v>0</v>
      </c>
      <c r="K29" s="67">
        <f t="shared" si="9"/>
        <v>0</v>
      </c>
      <c r="L29" s="67">
        <f t="shared" si="9"/>
        <v>0</v>
      </c>
      <c r="M29" s="67">
        <f t="shared" si="9"/>
        <v>0</v>
      </c>
      <c r="N29" s="67">
        <f t="shared" si="9"/>
        <v>0</v>
      </c>
      <c r="O29" s="67">
        <f>'After Tax Analysis'!O15</f>
        <v>0</v>
      </c>
      <c r="P29" s="369">
        <f t="shared" si="3"/>
        <v>-169688392.95992604</v>
      </c>
    </row>
    <row r="30" spans="1:16" x14ac:dyDescent="0.15">
      <c r="B30" s="340">
        <f>'After Tax Analysis'!B16</f>
        <v>9</v>
      </c>
      <c r="C30" s="12" t="str">
        <f>'After Tax Analysis'!C16</f>
        <v>Investment Tax Credit For Year 1 (at rate above)</v>
      </c>
      <c r="D30" s="67">
        <f t="shared" si="4"/>
        <v>0</v>
      </c>
      <c r="E30" s="67">
        <f t="shared" si="4"/>
        <v>0</v>
      </c>
      <c r="F30" s="67">
        <f t="shared" si="4"/>
        <v>0</v>
      </c>
      <c r="G30" s="67">
        <f t="shared" si="4"/>
        <v>0</v>
      </c>
      <c r="H30" s="67">
        <f t="shared" si="4"/>
        <v>0</v>
      </c>
      <c r="I30" s="67">
        <f t="shared" si="4"/>
        <v>0</v>
      </c>
      <c r="J30" s="67">
        <f t="shared" si="4"/>
        <v>0</v>
      </c>
      <c r="K30" s="67">
        <f t="shared" si="4"/>
        <v>0</v>
      </c>
      <c r="L30" s="67">
        <f t="shared" si="4"/>
        <v>0</v>
      </c>
      <c r="M30" s="67">
        <f t="shared" si="4"/>
        <v>0</v>
      </c>
      <c r="N30" s="67">
        <f t="shared" si="4"/>
        <v>0</v>
      </c>
      <c r="O30" s="67">
        <f>'After Tax Analysis'!O16</f>
        <v>0</v>
      </c>
      <c r="P30" s="369">
        <f t="shared" si="3"/>
        <v>0</v>
      </c>
    </row>
    <row r="31" spans="1:16" x14ac:dyDescent="0.15">
      <c r="B31" s="340">
        <f>'After Tax Analysis'!B17</f>
        <v>10</v>
      </c>
      <c r="C31" s="12" t="str">
        <f>'After Tax Analysis'!C17</f>
        <v>Net Income AT (7-8+9)</v>
      </c>
      <c r="D31" s="67">
        <f t="shared" si="4"/>
        <v>0</v>
      </c>
      <c r="E31" s="67">
        <f>E28+E29+E30</f>
        <v>86520000</v>
      </c>
      <c r="F31" s="67">
        <f t="shared" ref="F31:N31" si="10">F28+F29+F30</f>
        <v>82262158.12500003</v>
      </c>
      <c r="G31" s="67">
        <f t="shared" si="10"/>
        <v>80136042.813093752</v>
      </c>
      <c r="H31" s="67">
        <f t="shared" si="10"/>
        <v>76177392.343117848</v>
      </c>
      <c r="I31" s="67">
        <f t="shared" si="10"/>
        <v>70843990.291949227</v>
      </c>
      <c r="J31" s="67">
        <f t="shared" si="10"/>
        <v>0</v>
      </c>
      <c r="K31" s="67">
        <f t="shared" si="10"/>
        <v>0</v>
      </c>
      <c r="L31" s="67">
        <f t="shared" si="10"/>
        <v>0</v>
      </c>
      <c r="M31" s="67">
        <f t="shared" si="10"/>
        <v>0</v>
      </c>
      <c r="N31" s="67">
        <f t="shared" si="10"/>
        <v>0</v>
      </c>
      <c r="O31" s="67">
        <f>'After Tax Analysis'!O17</f>
        <v>0</v>
      </c>
      <c r="P31" s="369">
        <f t="shared" si="3"/>
        <v>395939583.57316083</v>
      </c>
    </row>
    <row r="32" spans="1:16" x14ac:dyDescent="0.15">
      <c r="B32" s="340" t="str">
        <f>'After Tax Analysis'!B18</f>
        <v>11 / "Expenses"</v>
      </c>
      <c r="C32" s="12" t="str">
        <f>'After Tax Analysis'!C18</f>
        <v>Depreciation</v>
      </c>
      <c r="D32" s="67">
        <f t="shared" si="4"/>
        <v>0</v>
      </c>
      <c r="E32" s="67">
        <f t="shared" si="4"/>
        <v>3772500</v>
      </c>
      <c r="F32" s="67">
        <f t="shared" si="4"/>
        <v>6218850</v>
      </c>
      <c r="G32" s="67">
        <f t="shared" si="4"/>
        <v>4083150</v>
      </c>
      <c r="H32" s="67">
        <f t="shared" si="4"/>
        <v>2775510</v>
      </c>
      <c r="I32" s="67">
        <f t="shared" si="4"/>
        <v>1352955</v>
      </c>
      <c r="J32" s="67">
        <f t="shared" si="4"/>
        <v>0</v>
      </c>
      <c r="K32" s="67">
        <f t="shared" si="4"/>
        <v>0</v>
      </c>
      <c r="L32" s="67">
        <f t="shared" si="4"/>
        <v>0</v>
      </c>
      <c r="M32" s="67">
        <f t="shared" si="4"/>
        <v>0</v>
      </c>
      <c r="N32" s="67">
        <f t="shared" si="4"/>
        <v>0</v>
      </c>
      <c r="O32" s="67">
        <f>'After Tax Analysis'!O18</f>
        <v>0</v>
      </c>
      <c r="P32" s="369">
        <f t="shared" si="3"/>
        <v>18202965</v>
      </c>
    </row>
    <row r="33" spans="1:19" x14ac:dyDescent="0.15">
      <c r="B33" s="340">
        <f>'After Tax Analysis'!B19</f>
        <v>12</v>
      </c>
      <c r="C33" s="12" t="str">
        <f>'After Tax Analysis'!C19</f>
        <v>Net C.F. from Oper.(10+11)</v>
      </c>
      <c r="D33" s="67">
        <f t="shared" si="4"/>
        <v>0</v>
      </c>
      <c r="E33" s="67">
        <f>E31+E32</f>
        <v>90292500</v>
      </c>
      <c r="F33" s="67">
        <f t="shared" ref="F33:N33" si="11">F31+F32</f>
        <v>88481008.12500003</v>
      </c>
      <c r="G33" s="67">
        <f t="shared" si="11"/>
        <v>84219192.813093752</v>
      </c>
      <c r="H33" s="67">
        <f t="shared" si="11"/>
        <v>78952902.343117848</v>
      </c>
      <c r="I33" s="67">
        <f t="shared" si="11"/>
        <v>72196945.291949227</v>
      </c>
      <c r="J33" s="67">
        <f t="shared" si="11"/>
        <v>0</v>
      </c>
      <c r="K33" s="67">
        <f t="shared" si="11"/>
        <v>0</v>
      </c>
      <c r="L33" s="67">
        <f t="shared" si="11"/>
        <v>0</v>
      </c>
      <c r="M33" s="67">
        <f t="shared" si="11"/>
        <v>0</v>
      </c>
      <c r="N33" s="67">
        <f t="shared" si="11"/>
        <v>0</v>
      </c>
      <c r="O33" s="67">
        <f>'After Tax Analysis'!O19</f>
        <v>0</v>
      </c>
      <c r="P33" s="369">
        <f t="shared" si="3"/>
        <v>414142548.57316083</v>
      </c>
    </row>
    <row r="34" spans="1:19" x14ac:dyDescent="0.15">
      <c r="B34" s="340" t="str">
        <f>'After Tax Analysis'!B20</f>
        <v>13 / "Loan Amortization"</v>
      </c>
      <c r="C34" s="12" t="str">
        <f>'After Tax Analysis'!C20</f>
        <v>Principal Repayment</v>
      </c>
      <c r="D34" s="67">
        <f t="shared" si="4"/>
        <v>0</v>
      </c>
      <c r="E34" s="67">
        <f t="shared" si="4"/>
        <v>0</v>
      </c>
      <c r="F34" s="67">
        <f t="shared" si="4"/>
        <v>0</v>
      </c>
      <c r="G34" s="67">
        <f t="shared" si="4"/>
        <v>0</v>
      </c>
      <c r="H34" s="67">
        <f t="shared" si="4"/>
        <v>0</v>
      </c>
      <c r="I34" s="67">
        <f t="shared" si="4"/>
        <v>0</v>
      </c>
      <c r="J34" s="67">
        <f t="shared" si="4"/>
        <v>0</v>
      </c>
      <c r="K34" s="67">
        <f t="shared" si="4"/>
        <v>0</v>
      </c>
      <c r="L34" s="67">
        <f t="shared" si="4"/>
        <v>0</v>
      </c>
      <c r="M34" s="67">
        <f t="shared" si="4"/>
        <v>0</v>
      </c>
      <c r="N34" s="67">
        <f t="shared" si="4"/>
        <v>0</v>
      </c>
      <c r="O34" s="67">
        <f>'After Tax Analysis'!O20</f>
        <v>0</v>
      </c>
      <c r="P34" s="369">
        <f t="shared" si="3"/>
        <v>0</v>
      </c>
    </row>
    <row r="35" spans="1:19" x14ac:dyDescent="0.15">
      <c r="B35" s="340">
        <f>'After Tax Analysis'!B21</f>
        <v>14</v>
      </c>
      <c r="C35" s="12" t="str">
        <f>'After Tax Analysis'!C21</f>
        <v>Equity Capital (14a+14b+14c)</v>
      </c>
      <c r="D35" s="67">
        <f t="shared" ref="D35:N35" si="12">D175</f>
        <v>-32550000</v>
      </c>
      <c r="E35" s="67">
        <f t="shared" si="12"/>
        <v>0</v>
      </c>
      <c r="F35" s="67">
        <f t="shared" si="12"/>
        <v>0</v>
      </c>
      <c r="G35" s="67">
        <f t="shared" si="12"/>
        <v>0</v>
      </c>
      <c r="H35" s="67">
        <f t="shared" si="12"/>
        <v>0</v>
      </c>
      <c r="I35" s="67">
        <f t="shared" si="12"/>
        <v>14347035</v>
      </c>
      <c r="J35" s="67">
        <f t="shared" si="12"/>
        <v>0</v>
      </c>
      <c r="K35" s="67">
        <f t="shared" si="12"/>
        <v>0</v>
      </c>
      <c r="L35" s="67">
        <f t="shared" si="12"/>
        <v>0</v>
      </c>
      <c r="M35" s="67">
        <f t="shared" si="12"/>
        <v>0</v>
      </c>
      <c r="N35" s="67">
        <f t="shared" si="12"/>
        <v>0</v>
      </c>
      <c r="O35" s="67">
        <f>'After Tax Analysis'!O21</f>
        <v>0</v>
      </c>
      <c r="P35" s="369">
        <f t="shared" si="3"/>
        <v>14347035</v>
      </c>
    </row>
    <row r="36" spans="1:19" x14ac:dyDescent="0.15">
      <c r="B36" s="340" t="str">
        <f>'After Tax Analysis'!B22</f>
        <v>14a / "Capital &amp; Depr"</v>
      </c>
      <c r="C36" s="12" t="str">
        <f>'After Tax Analysis'!C22</f>
        <v>Depreciable Capital</v>
      </c>
      <c r="D36" s="67">
        <f t="shared" ref="D36:N36" si="13">D176</f>
        <v>-31050000</v>
      </c>
      <c r="E36" s="67">
        <f t="shared" si="13"/>
        <v>0</v>
      </c>
      <c r="F36" s="67">
        <f t="shared" si="13"/>
        <v>0</v>
      </c>
      <c r="G36" s="67">
        <f t="shared" si="13"/>
        <v>0</v>
      </c>
      <c r="H36" s="67">
        <f t="shared" si="13"/>
        <v>0</v>
      </c>
      <c r="I36" s="67">
        <f t="shared" si="13"/>
        <v>12847035</v>
      </c>
      <c r="J36" s="67">
        <f t="shared" si="13"/>
        <v>0</v>
      </c>
      <c r="K36" s="67">
        <f t="shared" si="13"/>
        <v>0</v>
      </c>
      <c r="L36" s="67">
        <f t="shared" si="13"/>
        <v>0</v>
      </c>
      <c r="M36" s="67">
        <f t="shared" si="13"/>
        <v>0</v>
      </c>
      <c r="N36" s="67">
        <f t="shared" si="13"/>
        <v>0</v>
      </c>
      <c r="O36" s="67">
        <f>'After Tax Analysis'!O22</f>
        <v>0</v>
      </c>
      <c r="P36" s="369">
        <f t="shared" si="3"/>
        <v>12847035</v>
      </c>
    </row>
    <row r="37" spans="1:19" x14ac:dyDescent="0.15">
      <c r="B37" s="340" t="str">
        <f>'After Tax Analysis'!B23</f>
        <v>14b / "Capital &amp; Depr"</v>
      </c>
      <c r="C37" s="12" t="str">
        <f>'After Tax Analysis'!C23</f>
        <v>Non-depreciable capital</v>
      </c>
      <c r="D37" s="67">
        <f t="shared" ref="D37:N37" si="14">D177</f>
        <v>-1500000</v>
      </c>
      <c r="E37" s="67">
        <f t="shared" si="14"/>
        <v>0</v>
      </c>
      <c r="F37" s="67">
        <f t="shared" si="14"/>
        <v>0</v>
      </c>
      <c r="G37" s="67">
        <f t="shared" si="14"/>
        <v>0</v>
      </c>
      <c r="H37" s="67">
        <f t="shared" si="14"/>
        <v>0</v>
      </c>
      <c r="I37" s="67">
        <f t="shared" si="14"/>
        <v>1500000</v>
      </c>
      <c r="J37" s="67">
        <f t="shared" si="14"/>
        <v>0</v>
      </c>
      <c r="K37" s="67">
        <f t="shared" si="14"/>
        <v>0</v>
      </c>
      <c r="L37" s="67">
        <f t="shared" si="14"/>
        <v>0</v>
      </c>
      <c r="M37" s="67">
        <f t="shared" si="14"/>
        <v>0</v>
      </c>
      <c r="N37" s="67">
        <f t="shared" si="14"/>
        <v>0</v>
      </c>
      <c r="O37" s="67">
        <f>'After Tax Analysis'!O23</f>
        <v>0</v>
      </c>
      <c r="P37" s="369">
        <f t="shared" si="3"/>
        <v>1500000</v>
      </c>
    </row>
    <row r="38" spans="1:19" x14ac:dyDescent="0.15">
      <c r="B38" s="340" t="str">
        <f>'After Tax Analysis'!B24</f>
        <v>14c / "Capital &amp; Depr"</v>
      </c>
      <c r="C38" s="12" t="str">
        <f>'After Tax Analysis'!C24</f>
        <v>Loan Proceeds</v>
      </c>
      <c r="D38" s="67">
        <f t="shared" ref="D38:N38" si="15">D178</f>
        <v>0</v>
      </c>
      <c r="E38" s="67">
        <f t="shared" si="15"/>
        <v>0</v>
      </c>
      <c r="F38" s="67">
        <f t="shared" si="15"/>
        <v>0</v>
      </c>
      <c r="G38" s="67">
        <f t="shared" si="15"/>
        <v>0</v>
      </c>
      <c r="H38" s="67">
        <f t="shared" si="15"/>
        <v>0</v>
      </c>
      <c r="I38" s="67">
        <f t="shared" si="15"/>
        <v>0</v>
      </c>
      <c r="J38" s="67">
        <f t="shared" si="15"/>
        <v>0</v>
      </c>
      <c r="K38" s="67">
        <f t="shared" si="15"/>
        <v>0</v>
      </c>
      <c r="L38" s="67">
        <f t="shared" si="15"/>
        <v>0</v>
      </c>
      <c r="M38" s="67">
        <f t="shared" si="15"/>
        <v>0</v>
      </c>
      <c r="N38" s="67">
        <f t="shared" si="15"/>
        <v>0</v>
      </c>
      <c r="O38" s="67">
        <f>'After Tax Analysis'!O24</f>
        <v>0</v>
      </c>
      <c r="P38" s="369">
        <f t="shared" si="3"/>
        <v>0</v>
      </c>
    </row>
    <row r="39" spans="1:19" x14ac:dyDescent="0.15">
      <c r="B39" s="340" t="str">
        <f>'After Tax Analysis'!B25</f>
        <v>15 / "Capital Gains Wksht"</v>
      </c>
      <c r="C39" s="12" t="str">
        <f>'After Tax Analysis'!C25</f>
        <v>Capital Gains/Losses</v>
      </c>
      <c r="D39" s="67">
        <f t="shared" ref="D39:N39" si="16">D179</f>
        <v>0</v>
      </c>
      <c r="E39" s="67">
        <f t="shared" si="16"/>
        <v>0</v>
      </c>
      <c r="F39" s="67">
        <f t="shared" si="16"/>
        <v>0</v>
      </c>
      <c r="G39" s="67">
        <f t="shared" si="16"/>
        <v>0</v>
      </c>
      <c r="H39" s="67">
        <f t="shared" si="16"/>
        <v>0</v>
      </c>
      <c r="I39" s="67">
        <f t="shared" si="16"/>
        <v>-2596968.7000000002</v>
      </c>
      <c r="J39" s="67">
        <f t="shared" si="16"/>
        <v>0</v>
      </c>
      <c r="K39" s="67">
        <f t="shared" si="16"/>
        <v>0</v>
      </c>
      <c r="L39" s="67">
        <f t="shared" si="16"/>
        <v>0</v>
      </c>
      <c r="M39" s="67">
        <f t="shared" si="16"/>
        <v>0</v>
      </c>
      <c r="N39" s="67">
        <f t="shared" si="16"/>
        <v>0</v>
      </c>
      <c r="O39" s="67">
        <f>'After Tax Analysis'!O25</f>
        <v>0</v>
      </c>
      <c r="P39" s="369">
        <f t="shared" si="3"/>
        <v>-2596968.7000000002</v>
      </c>
    </row>
    <row r="40" spans="1:19" ht="14" thickBot="1" x14ac:dyDescent="0.2">
      <c r="B40" s="340" t="str">
        <f>'After Tax Analysis'!B26</f>
        <v>16 / "Initial Inputs"</v>
      </c>
      <c r="C40" s="12" t="str">
        <f>'After Tax Analysis'!C26</f>
        <v>Working Capital</v>
      </c>
      <c r="D40" s="67">
        <f t="shared" ref="D40:N40" si="17">D180</f>
        <v>-60000000</v>
      </c>
      <c r="E40" s="67">
        <f t="shared" si="17"/>
        <v>0</v>
      </c>
      <c r="F40" s="67">
        <f t="shared" si="17"/>
        <v>0</v>
      </c>
      <c r="G40" s="67">
        <f t="shared" si="17"/>
        <v>0</v>
      </c>
      <c r="H40" s="67">
        <f t="shared" si="17"/>
        <v>0</v>
      </c>
      <c r="I40" s="67">
        <f t="shared" si="17"/>
        <v>60000000</v>
      </c>
      <c r="J40" s="67">
        <f t="shared" si="17"/>
        <v>0</v>
      </c>
      <c r="K40" s="67">
        <f t="shared" si="17"/>
        <v>0</v>
      </c>
      <c r="L40" s="67">
        <f t="shared" si="17"/>
        <v>0</v>
      </c>
      <c r="M40" s="67">
        <f t="shared" si="17"/>
        <v>0</v>
      </c>
      <c r="N40" s="67">
        <f t="shared" si="17"/>
        <v>0</v>
      </c>
      <c r="O40" s="67">
        <f>'After Tax Analysis'!O26</f>
        <v>0</v>
      </c>
      <c r="P40" s="369">
        <f t="shared" si="3"/>
        <v>60000000</v>
      </c>
    </row>
    <row r="41" spans="1:19" ht="14" thickBot="1" x14ac:dyDescent="0.2">
      <c r="B41" s="340">
        <f>'After Tax Analysis'!B27</f>
        <v>17</v>
      </c>
      <c r="C41" s="12" t="str">
        <f>'After Tax Analysis'!C27</f>
        <v>Net Capital Cash Flow (13+14a+14b+14c+15+16)</v>
      </c>
      <c r="D41" s="67">
        <f>D34+D35+D39+D40</f>
        <v>-92550000</v>
      </c>
      <c r="E41" s="67">
        <f t="shared" ref="E41:N41" si="18">E181</f>
        <v>0</v>
      </c>
      <c r="F41" s="67">
        <f t="shared" si="18"/>
        <v>0</v>
      </c>
      <c r="G41" s="67">
        <f t="shared" si="18"/>
        <v>0</v>
      </c>
      <c r="H41" s="67">
        <f t="shared" si="18"/>
        <v>0</v>
      </c>
      <c r="I41" s="67">
        <f t="shared" si="18"/>
        <v>71750066.299999997</v>
      </c>
      <c r="J41" s="67">
        <f t="shared" si="18"/>
        <v>0</v>
      </c>
      <c r="K41" s="67">
        <f t="shared" si="18"/>
        <v>0</v>
      </c>
      <c r="L41" s="67">
        <f t="shared" si="18"/>
        <v>0</v>
      </c>
      <c r="M41" s="67">
        <f t="shared" si="18"/>
        <v>0</v>
      </c>
      <c r="N41" s="67">
        <f t="shared" si="18"/>
        <v>0</v>
      </c>
      <c r="O41" s="67">
        <f>'After Tax Analysis'!O27</f>
        <v>0</v>
      </c>
      <c r="P41" s="369">
        <f t="shared" si="3"/>
        <v>71750066.299999997</v>
      </c>
      <c r="Q41" s="357" t="s">
        <v>693</v>
      </c>
      <c r="S41" s="334"/>
    </row>
    <row r="42" spans="1:19" ht="14" thickBot="1" x14ac:dyDescent="0.2">
      <c r="A42" s="1" t="s">
        <v>688</v>
      </c>
      <c r="B42" s="355">
        <f>'After Tax Analysis'!B28</f>
        <v>18</v>
      </c>
      <c r="C42" s="335" t="str">
        <f>'After Tax Analysis'!C28</f>
        <v>Total Cash Flow (12+17)</v>
      </c>
      <c r="D42" s="331">
        <f>D41+D33</f>
        <v>-92550000</v>
      </c>
      <c r="E42" s="331">
        <f t="shared" ref="E42:N42" si="19">E41+E33</f>
        <v>90292500</v>
      </c>
      <c r="F42" s="331">
        <f t="shared" si="19"/>
        <v>88481008.12500003</v>
      </c>
      <c r="G42" s="331">
        <f t="shared" si="19"/>
        <v>84219192.813093752</v>
      </c>
      <c r="H42" s="331">
        <f t="shared" si="19"/>
        <v>78952902.343117848</v>
      </c>
      <c r="I42" s="331">
        <f t="shared" si="19"/>
        <v>143947011.59194922</v>
      </c>
      <c r="J42" s="331">
        <f t="shared" si="19"/>
        <v>0</v>
      </c>
      <c r="K42" s="331">
        <f t="shared" si="19"/>
        <v>0</v>
      </c>
      <c r="L42" s="331">
        <f t="shared" si="19"/>
        <v>0</v>
      </c>
      <c r="M42" s="331">
        <f t="shared" si="19"/>
        <v>0</v>
      </c>
      <c r="N42" s="331">
        <f t="shared" si="19"/>
        <v>0</v>
      </c>
      <c r="O42" s="331">
        <f>'After Tax Analysis'!O28</f>
        <v>0</v>
      </c>
      <c r="P42" s="369">
        <f t="shared" si="3"/>
        <v>485892614.87316084</v>
      </c>
      <c r="Q42" s="358">
        <f>IF(ISNUMBER(IRR(D42:N42)),IRR(D42:N42),"NMF")</f>
        <v>0.93834602241149812</v>
      </c>
      <c r="R42" s="1" t="s">
        <v>688</v>
      </c>
    </row>
    <row r="43" spans="1:19" x14ac:dyDescent="0.15">
      <c r="R43" s="2"/>
    </row>
    <row r="44" spans="1:19" ht="14" thickBot="1" x14ac:dyDescent="0.2">
      <c r="R44" s="2"/>
    </row>
    <row r="45" spans="1:19" ht="14" thickBot="1" x14ac:dyDescent="0.2">
      <c r="B45" s="359" t="s">
        <v>282</v>
      </c>
      <c r="C45" s="360" t="s">
        <v>283</v>
      </c>
      <c r="D45" s="360"/>
      <c r="E45" s="360">
        <v>1</v>
      </c>
      <c r="F45" s="360">
        <v>2</v>
      </c>
      <c r="G45" s="360">
        <v>3</v>
      </c>
      <c r="H45" s="360">
        <v>4</v>
      </c>
      <c r="I45" s="360">
        <v>5</v>
      </c>
      <c r="J45" s="360">
        <v>6</v>
      </c>
      <c r="K45" s="360">
        <v>7</v>
      </c>
      <c r="L45" s="360">
        <v>8</v>
      </c>
      <c r="M45" s="360">
        <v>9</v>
      </c>
      <c r="N45" s="360">
        <v>10</v>
      </c>
      <c r="O45" s="360" t="s">
        <v>284</v>
      </c>
      <c r="P45" s="361" t="s">
        <v>285</v>
      </c>
      <c r="R45" s="2"/>
    </row>
    <row r="46" spans="1:19" x14ac:dyDescent="0.15">
      <c r="B46" s="339" t="s">
        <v>687</v>
      </c>
      <c r="C46" s="302" t="s">
        <v>287</v>
      </c>
      <c r="D46" s="322">
        <f>D158</f>
        <v>0</v>
      </c>
      <c r="E46" s="322">
        <f t="shared" ref="E46:N46" si="20">E158</f>
        <v>300000000</v>
      </c>
      <c r="F46" s="322">
        <f t="shared" si="20"/>
        <v>313500000.00000006</v>
      </c>
      <c r="G46" s="322">
        <f t="shared" si="20"/>
        <v>327607500.00000006</v>
      </c>
      <c r="H46" s="322">
        <f t="shared" si="20"/>
        <v>342349837.50000012</v>
      </c>
      <c r="I46" s="322">
        <f t="shared" si="20"/>
        <v>357755580.18750012</v>
      </c>
      <c r="J46" s="322">
        <f t="shared" si="20"/>
        <v>0</v>
      </c>
      <c r="K46" s="322">
        <f t="shared" si="20"/>
        <v>0</v>
      </c>
      <c r="L46" s="322">
        <f t="shared" si="20"/>
        <v>0</v>
      </c>
      <c r="M46" s="322">
        <f t="shared" si="20"/>
        <v>0</v>
      </c>
      <c r="N46" s="322">
        <f t="shared" si="20"/>
        <v>0</v>
      </c>
      <c r="O46" s="366">
        <v>0</v>
      </c>
      <c r="P46" s="368">
        <f t="shared" ref="P46:P70" si="21">SUM(E46:N46)</f>
        <v>1641212917.6875</v>
      </c>
      <c r="R46" s="2"/>
    </row>
    <row r="47" spans="1:19" x14ac:dyDescent="0.15">
      <c r="A47" s="1" t="s">
        <v>694</v>
      </c>
      <c r="B47" s="340" t="s">
        <v>689</v>
      </c>
      <c r="C47" s="354" t="s">
        <v>689</v>
      </c>
      <c r="D47" s="67">
        <f t="shared" ref="D47:N62" si="22">D159</f>
        <v>0</v>
      </c>
      <c r="E47" s="67">
        <f t="shared" si="22"/>
        <v>300000000</v>
      </c>
      <c r="F47" s="67">
        <f t="shared" si="22"/>
        <v>313500000.00000006</v>
      </c>
      <c r="G47" s="67">
        <f t="shared" si="22"/>
        <v>327607500.00000006</v>
      </c>
      <c r="H47" s="67">
        <f t="shared" si="22"/>
        <v>342349837.50000012</v>
      </c>
      <c r="I47" s="67">
        <f t="shared" si="22"/>
        <v>357755580.18750012</v>
      </c>
      <c r="J47" s="67">
        <f t="shared" si="22"/>
        <v>0</v>
      </c>
      <c r="K47" s="67">
        <f t="shared" si="22"/>
        <v>0</v>
      </c>
      <c r="L47" s="67">
        <f t="shared" si="22"/>
        <v>0</v>
      </c>
      <c r="M47" s="67">
        <f t="shared" si="22"/>
        <v>0</v>
      </c>
      <c r="N47" s="67">
        <f t="shared" si="22"/>
        <v>0</v>
      </c>
      <c r="O47" s="93"/>
      <c r="P47" s="369">
        <f t="shared" si="21"/>
        <v>1641212917.6875</v>
      </c>
      <c r="R47" s="2"/>
    </row>
    <row r="48" spans="1:19" x14ac:dyDescent="0.15">
      <c r="B48" s="340" t="s">
        <v>690</v>
      </c>
      <c r="C48" s="354" t="s">
        <v>690</v>
      </c>
      <c r="D48" s="67">
        <f t="shared" si="22"/>
        <v>0</v>
      </c>
      <c r="E48" s="67">
        <f t="shared" si="22"/>
        <v>0</v>
      </c>
      <c r="F48" s="67">
        <f t="shared" si="22"/>
        <v>0</v>
      </c>
      <c r="G48" s="67">
        <f t="shared" si="22"/>
        <v>0</v>
      </c>
      <c r="H48" s="67">
        <f t="shared" si="22"/>
        <v>0</v>
      </c>
      <c r="I48" s="67">
        <f t="shared" si="22"/>
        <v>0</v>
      </c>
      <c r="J48" s="67">
        <f t="shared" si="22"/>
        <v>0</v>
      </c>
      <c r="K48" s="67">
        <f t="shared" si="22"/>
        <v>0</v>
      </c>
      <c r="L48" s="67">
        <f t="shared" si="22"/>
        <v>0</v>
      </c>
      <c r="M48" s="67">
        <f t="shared" si="22"/>
        <v>0</v>
      </c>
      <c r="N48" s="67">
        <f t="shared" si="22"/>
        <v>0</v>
      </c>
      <c r="O48" s="367"/>
      <c r="P48" s="369">
        <f t="shared" si="21"/>
        <v>0</v>
      </c>
      <c r="R48" s="2"/>
    </row>
    <row r="49" spans="2:18" x14ac:dyDescent="0.15">
      <c r="B49" s="340" t="s">
        <v>691</v>
      </c>
      <c r="C49" s="354" t="s">
        <v>691</v>
      </c>
      <c r="D49" s="67">
        <f t="shared" si="22"/>
        <v>0</v>
      </c>
      <c r="E49" s="67">
        <f t="shared" si="22"/>
        <v>0</v>
      </c>
      <c r="F49" s="67">
        <f t="shared" si="22"/>
        <v>0</v>
      </c>
      <c r="G49" s="67">
        <f t="shared" si="22"/>
        <v>0</v>
      </c>
      <c r="H49" s="67">
        <f t="shared" si="22"/>
        <v>0</v>
      </c>
      <c r="I49" s="67">
        <f t="shared" si="22"/>
        <v>0</v>
      </c>
      <c r="J49" s="67">
        <f t="shared" si="22"/>
        <v>0</v>
      </c>
      <c r="K49" s="67">
        <f t="shared" si="22"/>
        <v>0</v>
      </c>
      <c r="L49" s="67">
        <f t="shared" si="22"/>
        <v>0</v>
      </c>
      <c r="M49" s="67">
        <f t="shared" si="22"/>
        <v>0</v>
      </c>
      <c r="N49" s="67">
        <f t="shared" si="22"/>
        <v>0</v>
      </c>
      <c r="O49" s="93"/>
      <c r="P49" s="369">
        <f t="shared" si="21"/>
        <v>0</v>
      </c>
      <c r="R49" s="2"/>
    </row>
    <row r="50" spans="2:18" x14ac:dyDescent="0.15">
      <c r="B50" s="340" t="s">
        <v>695</v>
      </c>
      <c r="C50" s="12"/>
      <c r="D50" s="67">
        <f t="shared" si="22"/>
        <v>0</v>
      </c>
      <c r="E50" s="67">
        <f t="shared" si="22"/>
        <v>300000000</v>
      </c>
      <c r="F50" s="67">
        <f t="shared" si="22"/>
        <v>313500000.00000006</v>
      </c>
      <c r="G50" s="67">
        <f t="shared" si="22"/>
        <v>327607500.00000006</v>
      </c>
      <c r="H50" s="67">
        <f t="shared" si="22"/>
        <v>342349837.50000012</v>
      </c>
      <c r="I50" s="67">
        <f t="shared" si="22"/>
        <v>357755580.18750012</v>
      </c>
      <c r="J50" s="67">
        <f t="shared" si="22"/>
        <v>0</v>
      </c>
      <c r="K50" s="67">
        <f t="shared" si="22"/>
        <v>0</v>
      </c>
      <c r="L50" s="67">
        <f t="shared" si="22"/>
        <v>0</v>
      </c>
      <c r="M50" s="67">
        <f t="shared" si="22"/>
        <v>0</v>
      </c>
      <c r="N50" s="67">
        <f t="shared" si="22"/>
        <v>0</v>
      </c>
      <c r="O50" s="93"/>
      <c r="P50" s="369">
        <f t="shared" si="21"/>
        <v>1641212917.6875</v>
      </c>
      <c r="R50" s="2"/>
    </row>
    <row r="51" spans="2:18" x14ac:dyDescent="0.15">
      <c r="B51" s="355" t="s">
        <v>696</v>
      </c>
      <c r="C51" s="335" t="s">
        <v>289</v>
      </c>
      <c r="D51" s="331">
        <f t="shared" si="22"/>
        <v>0</v>
      </c>
      <c r="E51" s="331">
        <f>E163*0.8</f>
        <v>184136000</v>
      </c>
      <c r="F51" s="331">
        <f t="shared" ref="F51:N51" si="23">F163*0.8</f>
        <v>202414700.00000003</v>
      </c>
      <c r="G51" s="331">
        <f t="shared" si="23"/>
        <v>222980574.76100007</v>
      </c>
      <c r="H51" s="331">
        <f t="shared" si="23"/>
        <v>246132780.04858246</v>
      </c>
      <c r="I51" s="331">
        <f t="shared" si="23"/>
        <v>272210053.08845848</v>
      </c>
      <c r="J51" s="331">
        <f t="shared" si="23"/>
        <v>0</v>
      </c>
      <c r="K51" s="331">
        <f t="shared" si="23"/>
        <v>0</v>
      </c>
      <c r="L51" s="331">
        <f t="shared" si="23"/>
        <v>0</v>
      </c>
      <c r="M51" s="331">
        <f t="shared" si="23"/>
        <v>0</v>
      </c>
      <c r="N51" s="331">
        <f t="shared" si="23"/>
        <v>0</v>
      </c>
      <c r="O51" s="332">
        <v>0</v>
      </c>
      <c r="P51" s="370">
        <f t="shared" si="21"/>
        <v>1127874107.898041</v>
      </c>
      <c r="R51" s="2"/>
    </row>
    <row r="52" spans="2:18" x14ac:dyDescent="0.15">
      <c r="B52" s="340">
        <v>3</v>
      </c>
      <c r="C52" s="12" t="s">
        <v>290</v>
      </c>
      <c r="D52" s="67">
        <f t="shared" si="22"/>
        <v>0</v>
      </c>
      <c r="E52" s="67">
        <f>E50-E51</f>
        <v>115864000</v>
      </c>
      <c r="F52" s="67">
        <f t="shared" ref="F52:N52" si="24">F50-F51</f>
        <v>111085300.00000003</v>
      </c>
      <c r="G52" s="67">
        <f t="shared" si="24"/>
        <v>104626925.23899999</v>
      </c>
      <c r="H52" s="67">
        <f t="shared" si="24"/>
        <v>96217057.451417655</v>
      </c>
      <c r="I52" s="67">
        <f t="shared" si="24"/>
        <v>85545527.099041641</v>
      </c>
      <c r="J52" s="67">
        <f t="shared" si="24"/>
        <v>0</v>
      </c>
      <c r="K52" s="67">
        <f t="shared" si="24"/>
        <v>0</v>
      </c>
      <c r="L52" s="67">
        <f t="shared" si="24"/>
        <v>0</v>
      </c>
      <c r="M52" s="67">
        <f t="shared" si="24"/>
        <v>0</v>
      </c>
      <c r="N52" s="67">
        <f t="shared" si="24"/>
        <v>0</v>
      </c>
      <c r="O52" s="93">
        <v>0</v>
      </c>
      <c r="P52" s="369">
        <f t="shared" si="21"/>
        <v>513338809.78945929</v>
      </c>
      <c r="R52" s="2"/>
    </row>
    <row r="53" spans="2:18" x14ac:dyDescent="0.15">
      <c r="B53" s="340" t="s">
        <v>697</v>
      </c>
      <c r="C53" s="12" t="s">
        <v>292</v>
      </c>
      <c r="D53" s="67">
        <f t="shared" si="22"/>
        <v>0</v>
      </c>
      <c r="E53" s="67">
        <f t="shared" si="22"/>
        <v>3772500</v>
      </c>
      <c r="F53" s="67">
        <f t="shared" si="22"/>
        <v>6218850</v>
      </c>
      <c r="G53" s="67">
        <f t="shared" si="22"/>
        <v>4083150</v>
      </c>
      <c r="H53" s="67">
        <f t="shared" si="22"/>
        <v>2775510</v>
      </c>
      <c r="I53" s="67">
        <f t="shared" si="22"/>
        <v>1352955</v>
      </c>
      <c r="J53" s="67">
        <f t="shared" si="22"/>
        <v>0</v>
      </c>
      <c r="K53" s="67">
        <f t="shared" si="22"/>
        <v>0</v>
      </c>
      <c r="L53" s="67">
        <f t="shared" si="22"/>
        <v>0</v>
      </c>
      <c r="M53" s="67">
        <f t="shared" si="22"/>
        <v>0</v>
      </c>
      <c r="N53" s="67">
        <f t="shared" si="22"/>
        <v>0</v>
      </c>
      <c r="O53" s="93">
        <v>0</v>
      </c>
      <c r="P53" s="369">
        <f t="shared" si="21"/>
        <v>18202965</v>
      </c>
      <c r="R53" s="2"/>
    </row>
    <row r="54" spans="2:18" x14ac:dyDescent="0.15">
      <c r="B54" s="340">
        <v>5</v>
      </c>
      <c r="C54" s="12" t="s">
        <v>293</v>
      </c>
      <c r="D54" s="67">
        <f t="shared" si="22"/>
        <v>0</v>
      </c>
      <c r="E54" s="67">
        <f>E52-E53</f>
        <v>112091500</v>
      </c>
      <c r="F54" s="67">
        <f t="shared" ref="F54:N54" si="25">F52-F53</f>
        <v>104866450.00000003</v>
      </c>
      <c r="G54" s="67">
        <f t="shared" si="25"/>
        <v>100543775.23899999</v>
      </c>
      <c r="H54" s="67">
        <f t="shared" si="25"/>
        <v>93441547.451417655</v>
      </c>
      <c r="I54" s="67">
        <f t="shared" si="25"/>
        <v>84192572.099041641</v>
      </c>
      <c r="J54" s="67">
        <f t="shared" si="25"/>
        <v>0</v>
      </c>
      <c r="K54" s="67">
        <f t="shared" si="25"/>
        <v>0</v>
      </c>
      <c r="L54" s="67">
        <f t="shared" si="25"/>
        <v>0</v>
      </c>
      <c r="M54" s="67">
        <f t="shared" si="25"/>
        <v>0</v>
      </c>
      <c r="N54" s="67">
        <f t="shared" si="25"/>
        <v>0</v>
      </c>
      <c r="O54" s="93">
        <v>0</v>
      </c>
      <c r="P54" s="369">
        <f t="shared" si="21"/>
        <v>495135844.78945929</v>
      </c>
      <c r="R54" s="2"/>
    </row>
    <row r="55" spans="2:18" x14ac:dyDescent="0.15">
      <c r="B55" s="340" t="s">
        <v>698</v>
      </c>
      <c r="C55" s="12" t="s">
        <v>295</v>
      </c>
      <c r="D55" s="67">
        <f t="shared" si="22"/>
        <v>0</v>
      </c>
      <c r="E55" s="67">
        <f t="shared" si="22"/>
        <v>0</v>
      </c>
      <c r="F55" s="67">
        <f t="shared" si="22"/>
        <v>0</v>
      </c>
      <c r="G55" s="67">
        <f t="shared" si="22"/>
        <v>0</v>
      </c>
      <c r="H55" s="67">
        <f t="shared" si="22"/>
        <v>0</v>
      </c>
      <c r="I55" s="67">
        <f t="shared" si="22"/>
        <v>0</v>
      </c>
      <c r="J55" s="67">
        <f t="shared" si="22"/>
        <v>0</v>
      </c>
      <c r="K55" s="67">
        <f t="shared" si="22"/>
        <v>0</v>
      </c>
      <c r="L55" s="67">
        <f t="shared" si="22"/>
        <v>0</v>
      </c>
      <c r="M55" s="67">
        <f t="shared" si="22"/>
        <v>0</v>
      </c>
      <c r="N55" s="67">
        <f t="shared" si="22"/>
        <v>0</v>
      </c>
      <c r="O55" s="93">
        <v>0</v>
      </c>
      <c r="P55" s="369">
        <f t="shared" si="21"/>
        <v>0</v>
      </c>
      <c r="R55" s="2"/>
    </row>
    <row r="56" spans="2:18" x14ac:dyDescent="0.15">
      <c r="B56" s="340">
        <v>7</v>
      </c>
      <c r="C56" s="12" t="s">
        <v>296</v>
      </c>
      <c r="D56" s="67">
        <f t="shared" si="22"/>
        <v>0</v>
      </c>
      <c r="E56" s="67">
        <f>E54-E55</f>
        <v>112091500</v>
      </c>
      <c r="F56" s="67">
        <f t="shared" ref="F56:N56" si="26">F54-F55</f>
        <v>104866450.00000003</v>
      </c>
      <c r="G56" s="67">
        <f t="shared" si="26"/>
        <v>100543775.23899999</v>
      </c>
      <c r="H56" s="67">
        <f t="shared" si="26"/>
        <v>93441547.451417655</v>
      </c>
      <c r="I56" s="67">
        <f t="shared" si="26"/>
        <v>84192572.099041641</v>
      </c>
      <c r="J56" s="67">
        <f t="shared" si="26"/>
        <v>0</v>
      </c>
      <c r="K56" s="67">
        <f t="shared" si="26"/>
        <v>0</v>
      </c>
      <c r="L56" s="67">
        <f t="shared" si="26"/>
        <v>0</v>
      </c>
      <c r="M56" s="67">
        <f t="shared" si="26"/>
        <v>0</v>
      </c>
      <c r="N56" s="67">
        <f t="shared" si="26"/>
        <v>0</v>
      </c>
      <c r="O56" s="93">
        <v>0</v>
      </c>
      <c r="P56" s="369">
        <f t="shared" si="21"/>
        <v>495135844.78945929</v>
      </c>
      <c r="R56" s="2"/>
    </row>
    <row r="57" spans="2:18" x14ac:dyDescent="0.15">
      <c r="B57" s="340">
        <v>8</v>
      </c>
      <c r="C57" s="12" t="s">
        <v>297</v>
      </c>
      <c r="D57" s="67">
        <f t="shared" si="22"/>
        <v>0</v>
      </c>
      <c r="E57" s="67">
        <f>-E56*$D$3</f>
        <v>-33627450</v>
      </c>
      <c r="F57" s="67">
        <f t="shared" ref="F57:N57" si="27">-F56*$D$3</f>
        <v>-31459935.000000007</v>
      </c>
      <c r="G57" s="67">
        <f t="shared" si="27"/>
        <v>-30163132.571699996</v>
      </c>
      <c r="H57" s="67">
        <f t="shared" si="27"/>
        <v>-28032464.235425297</v>
      </c>
      <c r="I57" s="67">
        <f t="shared" si="27"/>
        <v>-25257771.629712492</v>
      </c>
      <c r="J57" s="67">
        <f t="shared" si="27"/>
        <v>0</v>
      </c>
      <c r="K57" s="67">
        <f t="shared" si="27"/>
        <v>0</v>
      </c>
      <c r="L57" s="67">
        <f t="shared" si="27"/>
        <v>0</v>
      </c>
      <c r="M57" s="67">
        <f t="shared" si="27"/>
        <v>0</v>
      </c>
      <c r="N57" s="67">
        <f t="shared" si="27"/>
        <v>0</v>
      </c>
      <c r="O57" s="93">
        <v>0</v>
      </c>
      <c r="P57" s="369">
        <f t="shared" si="21"/>
        <v>-148540753.43683779</v>
      </c>
      <c r="R57" s="2"/>
    </row>
    <row r="58" spans="2:18" x14ac:dyDescent="0.15">
      <c r="B58" s="340">
        <v>9</v>
      </c>
      <c r="C58" s="12" t="s">
        <v>298</v>
      </c>
      <c r="D58" s="67">
        <f t="shared" si="22"/>
        <v>0</v>
      </c>
      <c r="E58" s="67">
        <f t="shared" si="22"/>
        <v>0</v>
      </c>
      <c r="F58" s="67">
        <f t="shared" si="22"/>
        <v>0</v>
      </c>
      <c r="G58" s="67">
        <f t="shared" si="22"/>
        <v>0</v>
      </c>
      <c r="H58" s="67">
        <f t="shared" si="22"/>
        <v>0</v>
      </c>
      <c r="I58" s="67">
        <f t="shared" si="22"/>
        <v>0</v>
      </c>
      <c r="J58" s="67">
        <f t="shared" si="22"/>
        <v>0</v>
      </c>
      <c r="K58" s="67">
        <f t="shared" si="22"/>
        <v>0</v>
      </c>
      <c r="L58" s="67">
        <f t="shared" si="22"/>
        <v>0</v>
      </c>
      <c r="M58" s="67">
        <f t="shared" si="22"/>
        <v>0</v>
      </c>
      <c r="N58" s="67">
        <f t="shared" si="22"/>
        <v>0</v>
      </c>
      <c r="O58" s="93">
        <v>0</v>
      </c>
      <c r="P58" s="369">
        <f t="shared" si="21"/>
        <v>0</v>
      </c>
      <c r="R58" s="2"/>
    </row>
    <row r="59" spans="2:18" x14ac:dyDescent="0.15">
      <c r="B59" s="340">
        <v>10</v>
      </c>
      <c r="C59" s="12" t="s">
        <v>299</v>
      </c>
      <c r="D59" s="67">
        <f t="shared" si="22"/>
        <v>0</v>
      </c>
      <c r="E59" s="67">
        <f>E56+E57+E58</f>
        <v>78464050</v>
      </c>
      <c r="F59" s="67">
        <f t="shared" ref="F59:N59" si="28">F56+F57+F58</f>
        <v>73406515.00000003</v>
      </c>
      <c r="G59" s="67">
        <f t="shared" si="28"/>
        <v>70380642.667300001</v>
      </c>
      <c r="H59" s="67">
        <f t="shared" si="28"/>
        <v>65409083.215992361</v>
      </c>
      <c r="I59" s="67">
        <f t="shared" si="28"/>
        <v>58934800.469329149</v>
      </c>
      <c r="J59" s="67">
        <f t="shared" si="28"/>
        <v>0</v>
      </c>
      <c r="K59" s="67">
        <f t="shared" si="28"/>
        <v>0</v>
      </c>
      <c r="L59" s="67">
        <f t="shared" si="28"/>
        <v>0</v>
      </c>
      <c r="M59" s="67">
        <f t="shared" si="28"/>
        <v>0</v>
      </c>
      <c r="N59" s="67">
        <f t="shared" si="28"/>
        <v>0</v>
      </c>
      <c r="O59" s="93">
        <v>0</v>
      </c>
      <c r="P59" s="369">
        <f t="shared" si="21"/>
        <v>346595091.35262156</v>
      </c>
      <c r="R59" s="2"/>
    </row>
    <row r="60" spans="2:18" x14ac:dyDescent="0.15">
      <c r="B60" s="340" t="s">
        <v>699</v>
      </c>
      <c r="C60" s="12" t="s">
        <v>292</v>
      </c>
      <c r="D60" s="67">
        <f t="shared" si="22"/>
        <v>0</v>
      </c>
      <c r="E60" s="67">
        <f t="shared" si="22"/>
        <v>3772500</v>
      </c>
      <c r="F60" s="67">
        <f t="shared" si="22"/>
        <v>6218850</v>
      </c>
      <c r="G60" s="67">
        <f t="shared" si="22"/>
        <v>4083150</v>
      </c>
      <c r="H60" s="67">
        <f t="shared" si="22"/>
        <v>2775510</v>
      </c>
      <c r="I60" s="67">
        <f t="shared" si="22"/>
        <v>1352955</v>
      </c>
      <c r="J60" s="67">
        <f t="shared" si="22"/>
        <v>0</v>
      </c>
      <c r="K60" s="67">
        <f t="shared" si="22"/>
        <v>0</v>
      </c>
      <c r="L60" s="67">
        <f t="shared" si="22"/>
        <v>0</v>
      </c>
      <c r="M60" s="67">
        <f t="shared" si="22"/>
        <v>0</v>
      </c>
      <c r="N60" s="67">
        <f t="shared" si="22"/>
        <v>0</v>
      </c>
      <c r="O60" s="93">
        <v>0</v>
      </c>
      <c r="P60" s="369">
        <f t="shared" si="21"/>
        <v>18202965</v>
      </c>
      <c r="R60" s="2"/>
    </row>
    <row r="61" spans="2:18" x14ac:dyDescent="0.15">
      <c r="B61" s="340">
        <v>12</v>
      </c>
      <c r="C61" s="12" t="s">
        <v>301</v>
      </c>
      <c r="D61" s="67">
        <f t="shared" si="22"/>
        <v>0</v>
      </c>
      <c r="E61" s="67">
        <f>E59+E60</f>
        <v>82236550</v>
      </c>
      <c r="F61" s="67">
        <f t="shared" ref="F61:N61" si="29">F59+F60</f>
        <v>79625365.00000003</v>
      </c>
      <c r="G61" s="67">
        <f t="shared" si="29"/>
        <v>74463792.667300001</v>
      </c>
      <c r="H61" s="67">
        <f t="shared" si="29"/>
        <v>68184593.215992361</v>
      </c>
      <c r="I61" s="67">
        <f t="shared" si="29"/>
        <v>60287755.469329149</v>
      </c>
      <c r="J61" s="67">
        <f t="shared" si="29"/>
        <v>0</v>
      </c>
      <c r="K61" s="67">
        <f t="shared" si="29"/>
        <v>0</v>
      </c>
      <c r="L61" s="67">
        <f t="shared" si="29"/>
        <v>0</v>
      </c>
      <c r="M61" s="67">
        <f t="shared" si="29"/>
        <v>0</v>
      </c>
      <c r="N61" s="67">
        <f t="shared" si="29"/>
        <v>0</v>
      </c>
      <c r="O61" s="93">
        <v>0</v>
      </c>
      <c r="P61" s="369">
        <f t="shared" si="21"/>
        <v>364798056.35262156</v>
      </c>
      <c r="R61" s="2"/>
    </row>
    <row r="62" spans="2:18" x14ac:dyDescent="0.15">
      <c r="B62" s="340" t="s">
        <v>700</v>
      </c>
      <c r="C62" s="12" t="s">
        <v>303</v>
      </c>
      <c r="D62" s="67">
        <f t="shared" si="22"/>
        <v>0</v>
      </c>
      <c r="E62" s="67">
        <f t="shared" si="22"/>
        <v>0</v>
      </c>
      <c r="F62" s="67">
        <f t="shared" si="22"/>
        <v>0</v>
      </c>
      <c r="G62" s="67">
        <f t="shared" si="22"/>
        <v>0</v>
      </c>
      <c r="H62" s="67">
        <f t="shared" si="22"/>
        <v>0</v>
      </c>
      <c r="I62" s="67">
        <f t="shared" si="22"/>
        <v>0</v>
      </c>
      <c r="J62" s="67">
        <f t="shared" si="22"/>
        <v>0</v>
      </c>
      <c r="K62" s="67">
        <f t="shared" si="22"/>
        <v>0</v>
      </c>
      <c r="L62" s="67">
        <f t="shared" si="22"/>
        <v>0</v>
      </c>
      <c r="M62" s="67">
        <f t="shared" si="22"/>
        <v>0</v>
      </c>
      <c r="N62" s="67">
        <f t="shared" si="22"/>
        <v>0</v>
      </c>
      <c r="O62" s="93">
        <v>0</v>
      </c>
      <c r="P62" s="369">
        <f t="shared" si="21"/>
        <v>0</v>
      </c>
      <c r="R62" s="2"/>
    </row>
    <row r="63" spans="2:18" x14ac:dyDescent="0.15">
      <c r="B63" s="340">
        <v>14</v>
      </c>
      <c r="C63" s="12" t="s">
        <v>304</v>
      </c>
      <c r="D63" s="67">
        <f t="shared" ref="D63:N63" si="30">D175</f>
        <v>-32550000</v>
      </c>
      <c r="E63" s="67">
        <f t="shared" si="30"/>
        <v>0</v>
      </c>
      <c r="F63" s="67">
        <f t="shared" si="30"/>
        <v>0</v>
      </c>
      <c r="G63" s="67">
        <f t="shared" si="30"/>
        <v>0</v>
      </c>
      <c r="H63" s="67">
        <f t="shared" si="30"/>
        <v>0</v>
      </c>
      <c r="I63" s="67">
        <f t="shared" si="30"/>
        <v>14347035</v>
      </c>
      <c r="J63" s="67">
        <f t="shared" si="30"/>
        <v>0</v>
      </c>
      <c r="K63" s="67">
        <f t="shared" si="30"/>
        <v>0</v>
      </c>
      <c r="L63" s="67">
        <f t="shared" si="30"/>
        <v>0</v>
      </c>
      <c r="M63" s="67">
        <f t="shared" si="30"/>
        <v>0</v>
      </c>
      <c r="N63" s="67">
        <f t="shared" si="30"/>
        <v>0</v>
      </c>
      <c r="O63" s="93">
        <v>0</v>
      </c>
      <c r="P63" s="369">
        <f t="shared" si="21"/>
        <v>14347035</v>
      </c>
      <c r="R63" s="2"/>
    </row>
    <row r="64" spans="2:18" x14ac:dyDescent="0.15">
      <c r="B64" s="340" t="s">
        <v>701</v>
      </c>
      <c r="C64" s="12" t="s">
        <v>207</v>
      </c>
      <c r="D64" s="67">
        <f t="shared" ref="D64:N64" si="31">D176</f>
        <v>-31050000</v>
      </c>
      <c r="E64" s="67">
        <f t="shared" si="31"/>
        <v>0</v>
      </c>
      <c r="F64" s="67">
        <f t="shared" si="31"/>
        <v>0</v>
      </c>
      <c r="G64" s="67">
        <f t="shared" si="31"/>
        <v>0</v>
      </c>
      <c r="H64" s="67">
        <f t="shared" si="31"/>
        <v>0</v>
      </c>
      <c r="I64" s="67">
        <f t="shared" si="31"/>
        <v>12847035</v>
      </c>
      <c r="J64" s="67">
        <f t="shared" si="31"/>
        <v>0</v>
      </c>
      <c r="K64" s="67">
        <f t="shared" si="31"/>
        <v>0</v>
      </c>
      <c r="L64" s="67">
        <f t="shared" si="31"/>
        <v>0</v>
      </c>
      <c r="M64" s="67">
        <f t="shared" si="31"/>
        <v>0</v>
      </c>
      <c r="N64" s="67">
        <f t="shared" si="31"/>
        <v>0</v>
      </c>
      <c r="O64" s="93">
        <v>0</v>
      </c>
      <c r="P64" s="369">
        <f t="shared" si="21"/>
        <v>12847035</v>
      </c>
      <c r="R64" s="2"/>
    </row>
    <row r="65" spans="1:18" x14ac:dyDescent="0.15">
      <c r="B65" s="340" t="s">
        <v>702</v>
      </c>
      <c r="C65" s="12" t="s">
        <v>307</v>
      </c>
      <c r="D65" s="67">
        <f t="shared" ref="D65:N65" si="32">D177</f>
        <v>-1500000</v>
      </c>
      <c r="E65" s="67">
        <f t="shared" si="32"/>
        <v>0</v>
      </c>
      <c r="F65" s="67">
        <f t="shared" si="32"/>
        <v>0</v>
      </c>
      <c r="G65" s="67">
        <f t="shared" si="32"/>
        <v>0</v>
      </c>
      <c r="H65" s="67">
        <f t="shared" si="32"/>
        <v>0</v>
      </c>
      <c r="I65" s="67">
        <f t="shared" si="32"/>
        <v>1500000</v>
      </c>
      <c r="J65" s="67">
        <f t="shared" si="32"/>
        <v>0</v>
      </c>
      <c r="K65" s="67">
        <f t="shared" si="32"/>
        <v>0</v>
      </c>
      <c r="L65" s="67">
        <f t="shared" si="32"/>
        <v>0</v>
      </c>
      <c r="M65" s="67">
        <f t="shared" si="32"/>
        <v>0</v>
      </c>
      <c r="N65" s="67">
        <f t="shared" si="32"/>
        <v>0</v>
      </c>
      <c r="O65" s="93">
        <v>0</v>
      </c>
      <c r="P65" s="369">
        <f t="shared" si="21"/>
        <v>1500000</v>
      </c>
      <c r="R65" s="2"/>
    </row>
    <row r="66" spans="1:18" x14ac:dyDescent="0.15">
      <c r="B66" s="340" t="s">
        <v>703</v>
      </c>
      <c r="C66" s="12" t="s">
        <v>309</v>
      </c>
      <c r="D66" s="67">
        <f t="shared" ref="D66:N66" si="33">D178</f>
        <v>0</v>
      </c>
      <c r="E66" s="67">
        <f t="shared" si="33"/>
        <v>0</v>
      </c>
      <c r="F66" s="67">
        <f t="shared" si="33"/>
        <v>0</v>
      </c>
      <c r="G66" s="67">
        <f t="shared" si="33"/>
        <v>0</v>
      </c>
      <c r="H66" s="67">
        <f t="shared" si="33"/>
        <v>0</v>
      </c>
      <c r="I66" s="67">
        <f t="shared" si="33"/>
        <v>0</v>
      </c>
      <c r="J66" s="67">
        <f t="shared" si="33"/>
        <v>0</v>
      </c>
      <c r="K66" s="67">
        <f t="shared" si="33"/>
        <v>0</v>
      </c>
      <c r="L66" s="67">
        <f t="shared" si="33"/>
        <v>0</v>
      </c>
      <c r="M66" s="67">
        <f t="shared" si="33"/>
        <v>0</v>
      </c>
      <c r="N66" s="67">
        <f t="shared" si="33"/>
        <v>0</v>
      </c>
      <c r="O66" s="93">
        <v>0</v>
      </c>
      <c r="P66" s="369">
        <f t="shared" si="21"/>
        <v>0</v>
      </c>
      <c r="R66" s="2"/>
    </row>
    <row r="67" spans="1:18" x14ac:dyDescent="0.15">
      <c r="B67" s="340" t="s">
        <v>704</v>
      </c>
      <c r="C67" s="12" t="s">
        <v>311</v>
      </c>
      <c r="D67" s="67">
        <f t="shared" ref="D67:N67" si="34">D179</f>
        <v>0</v>
      </c>
      <c r="E67" s="67">
        <f t="shared" si="34"/>
        <v>0</v>
      </c>
      <c r="F67" s="67">
        <f t="shared" si="34"/>
        <v>0</v>
      </c>
      <c r="G67" s="67">
        <f t="shared" si="34"/>
        <v>0</v>
      </c>
      <c r="H67" s="67">
        <f t="shared" si="34"/>
        <v>0</v>
      </c>
      <c r="I67" s="67">
        <f t="shared" si="34"/>
        <v>-2596968.7000000002</v>
      </c>
      <c r="J67" s="67">
        <f t="shared" si="34"/>
        <v>0</v>
      </c>
      <c r="K67" s="67">
        <f t="shared" si="34"/>
        <v>0</v>
      </c>
      <c r="L67" s="67">
        <f t="shared" si="34"/>
        <v>0</v>
      </c>
      <c r="M67" s="67">
        <f t="shared" si="34"/>
        <v>0</v>
      </c>
      <c r="N67" s="67">
        <f t="shared" si="34"/>
        <v>0</v>
      </c>
      <c r="O67" s="93">
        <v>0</v>
      </c>
      <c r="P67" s="369">
        <f t="shared" si="21"/>
        <v>-2596968.7000000002</v>
      </c>
      <c r="R67" s="2"/>
    </row>
    <row r="68" spans="1:18" ht="14" thickBot="1" x14ac:dyDescent="0.2">
      <c r="B68" s="340" t="s">
        <v>705</v>
      </c>
      <c r="C68" s="12" t="s">
        <v>115</v>
      </c>
      <c r="D68" s="67">
        <f t="shared" ref="D68:N68" si="35">D180</f>
        <v>-60000000</v>
      </c>
      <c r="E68" s="67">
        <f t="shared" si="35"/>
        <v>0</v>
      </c>
      <c r="F68" s="67">
        <f t="shared" si="35"/>
        <v>0</v>
      </c>
      <c r="G68" s="67">
        <f t="shared" si="35"/>
        <v>0</v>
      </c>
      <c r="H68" s="67">
        <f t="shared" si="35"/>
        <v>0</v>
      </c>
      <c r="I68" s="67">
        <f t="shared" si="35"/>
        <v>60000000</v>
      </c>
      <c r="J68" s="67">
        <f t="shared" si="35"/>
        <v>0</v>
      </c>
      <c r="K68" s="67">
        <f t="shared" si="35"/>
        <v>0</v>
      </c>
      <c r="L68" s="67">
        <f t="shared" si="35"/>
        <v>0</v>
      </c>
      <c r="M68" s="67">
        <f t="shared" si="35"/>
        <v>0</v>
      </c>
      <c r="N68" s="67">
        <f t="shared" si="35"/>
        <v>0</v>
      </c>
      <c r="O68" s="93">
        <v>0</v>
      </c>
      <c r="P68" s="369">
        <f t="shared" si="21"/>
        <v>60000000</v>
      </c>
      <c r="R68" s="2"/>
    </row>
    <row r="69" spans="1:18" x14ac:dyDescent="0.15">
      <c r="B69" s="340">
        <v>17</v>
      </c>
      <c r="C69" s="12" t="s">
        <v>313</v>
      </c>
      <c r="D69" s="67">
        <f t="shared" ref="D69:N69" si="36">D181</f>
        <v>-92550000</v>
      </c>
      <c r="E69" s="67">
        <f t="shared" si="36"/>
        <v>0</v>
      </c>
      <c r="F69" s="67">
        <f t="shared" si="36"/>
        <v>0</v>
      </c>
      <c r="G69" s="67">
        <f t="shared" si="36"/>
        <v>0</v>
      </c>
      <c r="H69" s="67">
        <f t="shared" si="36"/>
        <v>0</v>
      </c>
      <c r="I69" s="67">
        <f t="shared" si="36"/>
        <v>71750066.299999997</v>
      </c>
      <c r="J69" s="67">
        <f t="shared" si="36"/>
        <v>0</v>
      </c>
      <c r="K69" s="67">
        <f t="shared" si="36"/>
        <v>0</v>
      </c>
      <c r="L69" s="67">
        <f t="shared" si="36"/>
        <v>0</v>
      </c>
      <c r="M69" s="67">
        <f t="shared" si="36"/>
        <v>0</v>
      </c>
      <c r="N69" s="67">
        <f t="shared" si="36"/>
        <v>0</v>
      </c>
      <c r="O69" s="93">
        <v>0</v>
      </c>
      <c r="P69" s="369">
        <f t="shared" si="21"/>
        <v>71750066.299999997</v>
      </c>
      <c r="Q69" s="357" t="s">
        <v>693</v>
      </c>
      <c r="R69" s="2"/>
    </row>
    <row r="70" spans="1:18" ht="14" thickBot="1" x14ac:dyDescent="0.2">
      <c r="A70" s="1" t="s">
        <v>694</v>
      </c>
      <c r="B70" s="355">
        <v>18</v>
      </c>
      <c r="C70" s="335" t="s">
        <v>314</v>
      </c>
      <c r="D70" s="331">
        <f>D69+D61</f>
        <v>-92550000</v>
      </c>
      <c r="E70" s="331">
        <f t="shared" ref="E70:N70" si="37">E69+E61</f>
        <v>82236550</v>
      </c>
      <c r="F70" s="331">
        <f t="shared" si="37"/>
        <v>79625365.00000003</v>
      </c>
      <c r="G70" s="331">
        <f t="shared" si="37"/>
        <v>74463792.667300001</v>
      </c>
      <c r="H70" s="331">
        <f t="shared" si="37"/>
        <v>68184593.215992361</v>
      </c>
      <c r="I70" s="331">
        <f t="shared" si="37"/>
        <v>132037821.76932915</v>
      </c>
      <c r="J70" s="331">
        <f t="shared" si="37"/>
        <v>0</v>
      </c>
      <c r="K70" s="331">
        <f t="shared" si="37"/>
        <v>0</v>
      </c>
      <c r="L70" s="331">
        <f t="shared" si="37"/>
        <v>0</v>
      </c>
      <c r="M70" s="331">
        <f t="shared" si="37"/>
        <v>0</v>
      </c>
      <c r="N70" s="331">
        <f t="shared" si="37"/>
        <v>0</v>
      </c>
      <c r="O70" s="332">
        <v>0</v>
      </c>
      <c r="P70" s="369">
        <f t="shared" si="21"/>
        <v>436548122.65262157</v>
      </c>
      <c r="Q70" s="358">
        <f>IF(ISNUMBER(IRR(D70:N70)),IRR(D70:N70),"NMF")</f>
        <v>0.8382418168511121</v>
      </c>
      <c r="R70" s="1" t="s">
        <v>694</v>
      </c>
    </row>
    <row r="71" spans="1:18" x14ac:dyDescent="0.15">
      <c r="B71" s="145"/>
      <c r="R71" s="2"/>
    </row>
    <row r="72" spans="1:18" ht="14" thickBot="1" x14ac:dyDescent="0.2">
      <c r="B72" s="145"/>
      <c r="R72" s="2"/>
    </row>
    <row r="73" spans="1:18" ht="14" thickBot="1" x14ac:dyDescent="0.2">
      <c r="B73" s="359" t="s">
        <v>282</v>
      </c>
      <c r="C73" s="360" t="s">
        <v>283</v>
      </c>
      <c r="D73" s="360"/>
      <c r="E73" s="360">
        <v>1</v>
      </c>
      <c r="F73" s="360">
        <v>2</v>
      </c>
      <c r="G73" s="360">
        <v>3</v>
      </c>
      <c r="H73" s="360">
        <v>4</v>
      </c>
      <c r="I73" s="360">
        <v>5</v>
      </c>
      <c r="J73" s="360">
        <v>6</v>
      </c>
      <c r="K73" s="360">
        <v>7</v>
      </c>
      <c r="L73" s="360">
        <v>8</v>
      </c>
      <c r="M73" s="360">
        <v>9</v>
      </c>
      <c r="N73" s="360">
        <v>10</v>
      </c>
      <c r="O73" s="360" t="s">
        <v>284</v>
      </c>
      <c r="P73" s="361" t="s">
        <v>285</v>
      </c>
      <c r="R73" s="2"/>
    </row>
    <row r="74" spans="1:18" x14ac:dyDescent="0.15">
      <c r="B74" s="339" t="s">
        <v>687</v>
      </c>
      <c r="C74" s="302" t="s">
        <v>287</v>
      </c>
      <c r="D74" s="322">
        <f>D158</f>
        <v>0</v>
      </c>
      <c r="E74" s="322">
        <f t="shared" ref="E74:N74" si="38">E158</f>
        <v>300000000</v>
      </c>
      <c r="F74" s="322">
        <f t="shared" si="38"/>
        <v>313500000.00000006</v>
      </c>
      <c r="G74" s="322">
        <f t="shared" si="38"/>
        <v>327607500.00000006</v>
      </c>
      <c r="H74" s="322">
        <f t="shared" si="38"/>
        <v>342349837.50000012</v>
      </c>
      <c r="I74" s="322">
        <f t="shared" si="38"/>
        <v>357755580.18750012</v>
      </c>
      <c r="J74" s="322">
        <f t="shared" si="38"/>
        <v>0</v>
      </c>
      <c r="K74" s="322">
        <f t="shared" si="38"/>
        <v>0</v>
      </c>
      <c r="L74" s="322">
        <f t="shared" si="38"/>
        <v>0</v>
      </c>
      <c r="M74" s="322">
        <f t="shared" si="38"/>
        <v>0</v>
      </c>
      <c r="N74" s="322">
        <f t="shared" si="38"/>
        <v>0</v>
      </c>
      <c r="O74" s="322">
        <v>0</v>
      </c>
      <c r="P74" s="368">
        <f t="shared" ref="P74:P98" si="39">SUM(E74:N74)</f>
        <v>1641212917.6875</v>
      </c>
      <c r="R74" s="2"/>
    </row>
    <row r="75" spans="1:18" x14ac:dyDescent="0.15">
      <c r="A75" s="1" t="s">
        <v>706</v>
      </c>
      <c r="B75" s="340" t="s">
        <v>689</v>
      </c>
      <c r="C75" s="354" t="s">
        <v>689</v>
      </c>
      <c r="D75" s="67">
        <f t="shared" ref="D75:N90" si="40">D159</f>
        <v>0</v>
      </c>
      <c r="E75" s="67">
        <f t="shared" si="40"/>
        <v>300000000</v>
      </c>
      <c r="F75" s="67">
        <f t="shared" si="40"/>
        <v>313500000.00000006</v>
      </c>
      <c r="G75" s="67">
        <f t="shared" si="40"/>
        <v>327607500.00000006</v>
      </c>
      <c r="H75" s="67">
        <f t="shared" si="40"/>
        <v>342349837.50000012</v>
      </c>
      <c r="I75" s="67">
        <f t="shared" si="40"/>
        <v>357755580.18750012</v>
      </c>
      <c r="J75" s="67">
        <f t="shared" si="40"/>
        <v>0</v>
      </c>
      <c r="K75" s="67">
        <f t="shared" si="40"/>
        <v>0</v>
      </c>
      <c r="L75" s="67">
        <f t="shared" si="40"/>
        <v>0</v>
      </c>
      <c r="M75" s="67">
        <f t="shared" si="40"/>
        <v>0</v>
      </c>
      <c r="N75" s="67">
        <f t="shared" si="40"/>
        <v>0</v>
      </c>
      <c r="O75" s="67"/>
      <c r="P75" s="369">
        <f t="shared" si="39"/>
        <v>1641212917.6875</v>
      </c>
      <c r="R75" s="2"/>
    </row>
    <row r="76" spans="1:18" x14ac:dyDescent="0.15">
      <c r="B76" s="340" t="s">
        <v>690</v>
      </c>
      <c r="C76" s="354" t="s">
        <v>690</v>
      </c>
      <c r="D76" s="67">
        <f t="shared" si="40"/>
        <v>0</v>
      </c>
      <c r="E76" s="67">
        <f t="shared" si="40"/>
        <v>0</v>
      </c>
      <c r="F76" s="67">
        <f t="shared" si="40"/>
        <v>0</v>
      </c>
      <c r="G76" s="67">
        <f t="shared" si="40"/>
        <v>0</v>
      </c>
      <c r="H76" s="67">
        <f t="shared" si="40"/>
        <v>0</v>
      </c>
      <c r="I76" s="67">
        <f t="shared" si="40"/>
        <v>0</v>
      </c>
      <c r="J76" s="67">
        <f t="shared" si="40"/>
        <v>0</v>
      </c>
      <c r="K76" s="67">
        <f t="shared" si="40"/>
        <v>0</v>
      </c>
      <c r="L76" s="67">
        <f t="shared" si="40"/>
        <v>0</v>
      </c>
      <c r="M76" s="67">
        <f t="shared" si="40"/>
        <v>0</v>
      </c>
      <c r="N76" s="67">
        <f t="shared" si="40"/>
        <v>0</v>
      </c>
      <c r="O76" s="294"/>
      <c r="P76" s="369">
        <f t="shared" si="39"/>
        <v>0</v>
      </c>
      <c r="R76" s="2"/>
    </row>
    <row r="77" spans="1:18" x14ac:dyDescent="0.15">
      <c r="B77" s="340" t="s">
        <v>691</v>
      </c>
      <c r="C77" s="354" t="s">
        <v>691</v>
      </c>
      <c r="D77" s="67">
        <f t="shared" si="40"/>
        <v>0</v>
      </c>
      <c r="E77" s="67">
        <f t="shared" si="40"/>
        <v>0</v>
      </c>
      <c r="F77" s="67">
        <f t="shared" si="40"/>
        <v>0</v>
      </c>
      <c r="G77" s="67">
        <f t="shared" si="40"/>
        <v>0</v>
      </c>
      <c r="H77" s="67">
        <f t="shared" si="40"/>
        <v>0</v>
      </c>
      <c r="I77" s="67">
        <f t="shared" si="40"/>
        <v>0</v>
      </c>
      <c r="J77" s="67">
        <f t="shared" si="40"/>
        <v>0</v>
      </c>
      <c r="K77" s="67">
        <f t="shared" si="40"/>
        <v>0</v>
      </c>
      <c r="L77" s="67">
        <f t="shared" si="40"/>
        <v>0</v>
      </c>
      <c r="M77" s="67">
        <f t="shared" si="40"/>
        <v>0</v>
      </c>
      <c r="N77" s="67">
        <f t="shared" si="40"/>
        <v>0</v>
      </c>
      <c r="O77" s="67"/>
      <c r="P77" s="369">
        <f t="shared" si="39"/>
        <v>0</v>
      </c>
      <c r="R77" s="2"/>
    </row>
    <row r="78" spans="1:18" x14ac:dyDescent="0.15">
      <c r="B78" s="340" t="s">
        <v>695</v>
      </c>
      <c r="C78" s="12"/>
      <c r="D78" s="67">
        <f t="shared" si="40"/>
        <v>0</v>
      </c>
      <c r="E78" s="67">
        <f t="shared" si="40"/>
        <v>300000000</v>
      </c>
      <c r="F78" s="67">
        <f t="shared" si="40"/>
        <v>313500000.00000006</v>
      </c>
      <c r="G78" s="67">
        <f t="shared" si="40"/>
        <v>327607500.00000006</v>
      </c>
      <c r="H78" s="67">
        <f t="shared" si="40"/>
        <v>342349837.50000012</v>
      </c>
      <c r="I78" s="67">
        <f t="shared" si="40"/>
        <v>357755580.18750012</v>
      </c>
      <c r="J78" s="67">
        <f t="shared" si="40"/>
        <v>0</v>
      </c>
      <c r="K78" s="67">
        <f t="shared" si="40"/>
        <v>0</v>
      </c>
      <c r="L78" s="67">
        <f t="shared" si="40"/>
        <v>0</v>
      </c>
      <c r="M78" s="67">
        <f t="shared" si="40"/>
        <v>0</v>
      </c>
      <c r="N78" s="67">
        <f t="shared" si="40"/>
        <v>0</v>
      </c>
      <c r="O78" s="67"/>
      <c r="P78" s="369">
        <f t="shared" si="39"/>
        <v>1641212917.6875</v>
      </c>
      <c r="R78" s="2"/>
    </row>
    <row r="79" spans="1:18" x14ac:dyDescent="0.15">
      <c r="B79" s="355" t="s">
        <v>696</v>
      </c>
      <c r="C79" s="335" t="s">
        <v>289</v>
      </c>
      <c r="D79" s="331">
        <f t="shared" si="40"/>
        <v>0</v>
      </c>
      <c r="E79" s="331">
        <f>E163*0.85</f>
        <v>195644500</v>
      </c>
      <c r="F79" s="331">
        <f t="shared" ref="F79:N79" si="41">F163*0.85</f>
        <v>215065618.75000003</v>
      </c>
      <c r="G79" s="331">
        <f t="shared" si="41"/>
        <v>236916860.68356255</v>
      </c>
      <c r="H79" s="331">
        <f t="shared" si="41"/>
        <v>261516078.80161884</v>
      </c>
      <c r="I79" s="331">
        <f t="shared" si="41"/>
        <v>289223181.40648711</v>
      </c>
      <c r="J79" s="331">
        <f t="shared" si="41"/>
        <v>0</v>
      </c>
      <c r="K79" s="331">
        <f t="shared" si="41"/>
        <v>0</v>
      </c>
      <c r="L79" s="331">
        <f t="shared" si="41"/>
        <v>0</v>
      </c>
      <c r="M79" s="331">
        <f t="shared" si="41"/>
        <v>0</v>
      </c>
      <c r="N79" s="331">
        <f t="shared" si="41"/>
        <v>0</v>
      </c>
      <c r="O79" s="331">
        <v>0</v>
      </c>
      <c r="P79" s="370">
        <f t="shared" si="39"/>
        <v>1198366239.6416683</v>
      </c>
      <c r="R79" s="2"/>
    </row>
    <row r="80" spans="1:18" x14ac:dyDescent="0.15">
      <c r="B80" s="340">
        <v>3</v>
      </c>
      <c r="C80" s="12" t="s">
        <v>290</v>
      </c>
      <c r="D80" s="67">
        <f t="shared" si="40"/>
        <v>0</v>
      </c>
      <c r="E80" s="67">
        <f>E78-E79</f>
        <v>104355500</v>
      </c>
      <c r="F80" s="67">
        <f t="shared" ref="F80:N80" si="42">F78-F79</f>
        <v>98434381.25000003</v>
      </c>
      <c r="G80" s="67">
        <f t="shared" si="42"/>
        <v>90690639.316437513</v>
      </c>
      <c r="H80" s="67">
        <f t="shared" si="42"/>
        <v>80833758.698381275</v>
      </c>
      <c r="I80" s="67">
        <f t="shared" si="42"/>
        <v>68532398.781013012</v>
      </c>
      <c r="J80" s="67">
        <f t="shared" si="42"/>
        <v>0</v>
      </c>
      <c r="K80" s="67">
        <f t="shared" si="42"/>
        <v>0</v>
      </c>
      <c r="L80" s="67">
        <f t="shared" si="42"/>
        <v>0</v>
      </c>
      <c r="M80" s="67">
        <f t="shared" si="42"/>
        <v>0</v>
      </c>
      <c r="N80" s="67">
        <f t="shared" si="42"/>
        <v>0</v>
      </c>
      <c r="O80" s="67">
        <v>0</v>
      </c>
      <c r="P80" s="369">
        <f t="shared" si="39"/>
        <v>442846678.0458318</v>
      </c>
      <c r="R80" s="2"/>
    </row>
    <row r="81" spans="2:18" x14ac:dyDescent="0.15">
      <c r="B81" s="340" t="s">
        <v>697</v>
      </c>
      <c r="C81" s="12" t="s">
        <v>292</v>
      </c>
      <c r="D81" s="67">
        <f t="shared" si="40"/>
        <v>0</v>
      </c>
      <c r="E81" s="67">
        <f t="shared" si="40"/>
        <v>3772500</v>
      </c>
      <c r="F81" s="67">
        <f t="shared" si="40"/>
        <v>6218850</v>
      </c>
      <c r="G81" s="67">
        <f t="shared" si="40"/>
        <v>4083150</v>
      </c>
      <c r="H81" s="67">
        <f t="shared" si="40"/>
        <v>2775510</v>
      </c>
      <c r="I81" s="67">
        <f t="shared" si="40"/>
        <v>1352955</v>
      </c>
      <c r="J81" s="67">
        <f t="shared" si="40"/>
        <v>0</v>
      </c>
      <c r="K81" s="67">
        <f t="shared" si="40"/>
        <v>0</v>
      </c>
      <c r="L81" s="67">
        <f t="shared" si="40"/>
        <v>0</v>
      </c>
      <c r="M81" s="67">
        <f t="shared" si="40"/>
        <v>0</v>
      </c>
      <c r="N81" s="67">
        <f t="shared" si="40"/>
        <v>0</v>
      </c>
      <c r="O81" s="67">
        <v>0</v>
      </c>
      <c r="P81" s="369">
        <f t="shared" si="39"/>
        <v>18202965</v>
      </c>
      <c r="R81" s="2"/>
    </row>
    <row r="82" spans="2:18" x14ac:dyDescent="0.15">
      <c r="B82" s="340">
        <v>5</v>
      </c>
      <c r="C82" s="12" t="s">
        <v>293</v>
      </c>
      <c r="D82" s="67">
        <f t="shared" si="40"/>
        <v>0</v>
      </c>
      <c r="E82" s="67">
        <f>E80-E81</f>
        <v>100583000</v>
      </c>
      <c r="F82" s="67">
        <f t="shared" ref="F82:N82" si="43">F80-F81</f>
        <v>92215531.25000003</v>
      </c>
      <c r="G82" s="67">
        <f t="shared" si="43"/>
        <v>86607489.316437513</v>
      </c>
      <c r="H82" s="67">
        <f t="shared" si="43"/>
        <v>78058248.698381275</v>
      </c>
      <c r="I82" s="67">
        <f t="shared" si="43"/>
        <v>67179443.781013012</v>
      </c>
      <c r="J82" s="67">
        <f t="shared" si="43"/>
        <v>0</v>
      </c>
      <c r="K82" s="67">
        <f t="shared" si="43"/>
        <v>0</v>
      </c>
      <c r="L82" s="67">
        <f t="shared" si="43"/>
        <v>0</v>
      </c>
      <c r="M82" s="67">
        <f t="shared" si="43"/>
        <v>0</v>
      </c>
      <c r="N82" s="67">
        <f t="shared" si="43"/>
        <v>0</v>
      </c>
      <c r="O82" s="67">
        <v>0</v>
      </c>
      <c r="P82" s="369">
        <f t="shared" si="39"/>
        <v>424643713.0458318</v>
      </c>
      <c r="R82" s="2"/>
    </row>
    <row r="83" spans="2:18" x14ac:dyDescent="0.15">
      <c r="B83" s="340" t="s">
        <v>698</v>
      </c>
      <c r="C83" s="12" t="s">
        <v>295</v>
      </c>
      <c r="D83" s="67">
        <f t="shared" si="40"/>
        <v>0</v>
      </c>
      <c r="E83" s="67">
        <f t="shared" si="40"/>
        <v>0</v>
      </c>
      <c r="F83" s="67">
        <f t="shared" si="40"/>
        <v>0</v>
      </c>
      <c r="G83" s="67">
        <f t="shared" si="40"/>
        <v>0</v>
      </c>
      <c r="H83" s="67">
        <f t="shared" si="40"/>
        <v>0</v>
      </c>
      <c r="I83" s="67">
        <f t="shared" si="40"/>
        <v>0</v>
      </c>
      <c r="J83" s="67">
        <f t="shared" si="40"/>
        <v>0</v>
      </c>
      <c r="K83" s="67">
        <f t="shared" si="40"/>
        <v>0</v>
      </c>
      <c r="L83" s="67">
        <f t="shared" si="40"/>
        <v>0</v>
      </c>
      <c r="M83" s="67">
        <f t="shared" si="40"/>
        <v>0</v>
      </c>
      <c r="N83" s="67">
        <f t="shared" si="40"/>
        <v>0</v>
      </c>
      <c r="O83" s="67">
        <v>0</v>
      </c>
      <c r="P83" s="369">
        <f t="shared" si="39"/>
        <v>0</v>
      </c>
      <c r="R83" s="2"/>
    </row>
    <row r="84" spans="2:18" x14ac:dyDescent="0.15">
      <c r="B84" s="340">
        <v>7</v>
      </c>
      <c r="C84" s="12" t="s">
        <v>296</v>
      </c>
      <c r="D84" s="67">
        <f t="shared" si="40"/>
        <v>0</v>
      </c>
      <c r="E84" s="67">
        <f>E82-E83</f>
        <v>100583000</v>
      </c>
      <c r="F84" s="67">
        <f t="shared" ref="F84:N84" si="44">F82-F83</f>
        <v>92215531.25000003</v>
      </c>
      <c r="G84" s="67">
        <f t="shared" si="44"/>
        <v>86607489.316437513</v>
      </c>
      <c r="H84" s="67">
        <f t="shared" si="44"/>
        <v>78058248.698381275</v>
      </c>
      <c r="I84" s="67">
        <f t="shared" si="44"/>
        <v>67179443.781013012</v>
      </c>
      <c r="J84" s="67">
        <f t="shared" si="44"/>
        <v>0</v>
      </c>
      <c r="K84" s="67">
        <f t="shared" si="44"/>
        <v>0</v>
      </c>
      <c r="L84" s="67">
        <f t="shared" si="44"/>
        <v>0</v>
      </c>
      <c r="M84" s="67">
        <f t="shared" si="44"/>
        <v>0</v>
      </c>
      <c r="N84" s="67">
        <f t="shared" si="44"/>
        <v>0</v>
      </c>
      <c r="O84" s="67">
        <v>0</v>
      </c>
      <c r="P84" s="369">
        <f t="shared" si="39"/>
        <v>424643713.0458318</v>
      </c>
      <c r="R84" s="2"/>
    </row>
    <row r="85" spans="2:18" x14ac:dyDescent="0.15">
      <c r="B85" s="340">
        <v>8</v>
      </c>
      <c r="C85" s="12" t="s">
        <v>297</v>
      </c>
      <c r="D85" s="67">
        <f t="shared" si="40"/>
        <v>0</v>
      </c>
      <c r="E85" s="67">
        <f>-E84*$D$3</f>
        <v>-30174900</v>
      </c>
      <c r="F85" s="67">
        <f t="shared" ref="F85:N85" si="45">-F84*$D$3</f>
        <v>-27664659.375000007</v>
      </c>
      <c r="G85" s="67">
        <f t="shared" si="45"/>
        <v>-25982246.794931252</v>
      </c>
      <c r="H85" s="67">
        <f t="shared" si="45"/>
        <v>-23417474.609514382</v>
      </c>
      <c r="I85" s="67">
        <f t="shared" si="45"/>
        <v>-20153833.134303901</v>
      </c>
      <c r="J85" s="67">
        <f t="shared" si="45"/>
        <v>0</v>
      </c>
      <c r="K85" s="67">
        <f t="shared" si="45"/>
        <v>0</v>
      </c>
      <c r="L85" s="67">
        <f t="shared" si="45"/>
        <v>0</v>
      </c>
      <c r="M85" s="67">
        <f t="shared" si="45"/>
        <v>0</v>
      </c>
      <c r="N85" s="67">
        <f t="shared" si="45"/>
        <v>0</v>
      </c>
      <c r="O85" s="67">
        <v>0</v>
      </c>
      <c r="P85" s="369">
        <f t="shared" si="39"/>
        <v>-127393113.91374955</v>
      </c>
      <c r="R85" s="2"/>
    </row>
    <row r="86" spans="2:18" x14ac:dyDescent="0.15">
      <c r="B86" s="340">
        <v>9</v>
      </c>
      <c r="C86" s="12" t="s">
        <v>298</v>
      </c>
      <c r="D86" s="67">
        <f t="shared" si="40"/>
        <v>0</v>
      </c>
      <c r="E86" s="67">
        <f t="shared" si="40"/>
        <v>0</v>
      </c>
      <c r="F86" s="67">
        <f t="shared" ref="F86:N86" si="46">F170</f>
        <v>0</v>
      </c>
      <c r="G86" s="67">
        <f t="shared" si="46"/>
        <v>0</v>
      </c>
      <c r="H86" s="67">
        <f t="shared" si="46"/>
        <v>0</v>
      </c>
      <c r="I86" s="67">
        <f t="shared" si="46"/>
        <v>0</v>
      </c>
      <c r="J86" s="67">
        <f t="shared" si="46"/>
        <v>0</v>
      </c>
      <c r="K86" s="67">
        <f t="shared" si="46"/>
        <v>0</v>
      </c>
      <c r="L86" s="67">
        <f t="shared" si="46"/>
        <v>0</v>
      </c>
      <c r="M86" s="67">
        <f t="shared" si="46"/>
        <v>0</v>
      </c>
      <c r="N86" s="67">
        <f t="shared" si="46"/>
        <v>0</v>
      </c>
      <c r="O86" s="67">
        <v>0</v>
      </c>
      <c r="P86" s="369">
        <f t="shared" si="39"/>
        <v>0</v>
      </c>
      <c r="R86" s="2"/>
    </row>
    <row r="87" spans="2:18" x14ac:dyDescent="0.15">
      <c r="B87" s="340">
        <v>10</v>
      </c>
      <c r="C87" s="12" t="s">
        <v>299</v>
      </c>
      <c r="D87" s="67">
        <f t="shared" si="40"/>
        <v>0</v>
      </c>
      <c r="E87" s="67">
        <f>E84+E85+E86</f>
        <v>70408100</v>
      </c>
      <c r="F87" s="67">
        <f t="shared" ref="F87:N87" si="47">F84+F85+F86</f>
        <v>64550871.875000022</v>
      </c>
      <c r="G87" s="67">
        <f t="shared" si="47"/>
        <v>60625242.521506265</v>
      </c>
      <c r="H87" s="67">
        <f t="shared" si="47"/>
        <v>54640774.088866889</v>
      </c>
      <c r="I87" s="67">
        <f t="shared" si="47"/>
        <v>47025610.646709114</v>
      </c>
      <c r="J87" s="67">
        <f t="shared" si="47"/>
        <v>0</v>
      </c>
      <c r="K87" s="67">
        <f t="shared" si="47"/>
        <v>0</v>
      </c>
      <c r="L87" s="67">
        <f t="shared" si="47"/>
        <v>0</v>
      </c>
      <c r="M87" s="67">
        <f t="shared" si="47"/>
        <v>0</v>
      </c>
      <c r="N87" s="67">
        <f t="shared" si="47"/>
        <v>0</v>
      </c>
      <c r="O87" s="67">
        <v>0</v>
      </c>
      <c r="P87" s="369">
        <f t="shared" si="39"/>
        <v>297250599.13208234</v>
      </c>
      <c r="R87" s="2"/>
    </row>
    <row r="88" spans="2:18" x14ac:dyDescent="0.15">
      <c r="B88" s="340" t="s">
        <v>699</v>
      </c>
      <c r="C88" s="12" t="s">
        <v>292</v>
      </c>
      <c r="D88" s="67">
        <f t="shared" si="40"/>
        <v>0</v>
      </c>
      <c r="E88" s="67">
        <f t="shared" si="40"/>
        <v>3772500</v>
      </c>
      <c r="F88" s="67">
        <f t="shared" si="40"/>
        <v>6218850</v>
      </c>
      <c r="G88" s="67">
        <f t="shared" si="40"/>
        <v>4083150</v>
      </c>
      <c r="H88" s="67">
        <f t="shared" si="40"/>
        <v>2775510</v>
      </c>
      <c r="I88" s="67">
        <f t="shared" si="40"/>
        <v>1352955</v>
      </c>
      <c r="J88" s="67">
        <f t="shared" si="40"/>
        <v>0</v>
      </c>
      <c r="K88" s="67">
        <f t="shared" si="40"/>
        <v>0</v>
      </c>
      <c r="L88" s="67">
        <f t="shared" si="40"/>
        <v>0</v>
      </c>
      <c r="M88" s="67">
        <f t="shared" si="40"/>
        <v>0</v>
      </c>
      <c r="N88" s="67">
        <f t="shared" si="40"/>
        <v>0</v>
      </c>
      <c r="O88" s="67">
        <v>0</v>
      </c>
      <c r="P88" s="369">
        <f t="shared" si="39"/>
        <v>18202965</v>
      </c>
      <c r="R88" s="2"/>
    </row>
    <row r="89" spans="2:18" x14ac:dyDescent="0.15">
      <c r="B89" s="340">
        <v>12</v>
      </c>
      <c r="C89" s="12" t="s">
        <v>301</v>
      </c>
      <c r="D89" s="67">
        <f t="shared" si="40"/>
        <v>0</v>
      </c>
      <c r="E89" s="67">
        <f>E87+E88</f>
        <v>74180600</v>
      </c>
      <c r="F89" s="67">
        <f t="shared" ref="F89:N89" si="48">F87+F88</f>
        <v>70769721.87500003</v>
      </c>
      <c r="G89" s="67">
        <f t="shared" si="48"/>
        <v>64708392.521506265</v>
      </c>
      <c r="H89" s="67">
        <f t="shared" si="48"/>
        <v>57416284.088866889</v>
      </c>
      <c r="I89" s="67">
        <f t="shared" si="48"/>
        <v>48378565.646709114</v>
      </c>
      <c r="J89" s="67">
        <f t="shared" si="48"/>
        <v>0</v>
      </c>
      <c r="K89" s="67">
        <f t="shared" si="48"/>
        <v>0</v>
      </c>
      <c r="L89" s="67">
        <f t="shared" si="48"/>
        <v>0</v>
      </c>
      <c r="M89" s="67">
        <f t="shared" si="48"/>
        <v>0</v>
      </c>
      <c r="N89" s="67">
        <f t="shared" si="48"/>
        <v>0</v>
      </c>
      <c r="O89" s="67">
        <v>0</v>
      </c>
      <c r="P89" s="369">
        <f t="shared" si="39"/>
        <v>315453564.13208234</v>
      </c>
      <c r="R89" s="2"/>
    </row>
    <row r="90" spans="2:18" x14ac:dyDescent="0.15">
      <c r="B90" s="340" t="s">
        <v>700</v>
      </c>
      <c r="C90" s="12" t="s">
        <v>303</v>
      </c>
      <c r="D90" s="67">
        <f t="shared" si="40"/>
        <v>0</v>
      </c>
      <c r="E90" s="67">
        <f t="shared" si="40"/>
        <v>0</v>
      </c>
      <c r="F90" s="67">
        <f t="shared" si="40"/>
        <v>0</v>
      </c>
      <c r="G90" s="67">
        <f t="shared" si="40"/>
        <v>0</v>
      </c>
      <c r="H90" s="67">
        <f t="shared" si="40"/>
        <v>0</v>
      </c>
      <c r="I90" s="67">
        <f t="shared" si="40"/>
        <v>0</v>
      </c>
      <c r="J90" s="67">
        <f t="shared" si="40"/>
        <v>0</v>
      </c>
      <c r="K90" s="67">
        <f t="shared" si="40"/>
        <v>0</v>
      </c>
      <c r="L90" s="67">
        <f t="shared" si="40"/>
        <v>0</v>
      </c>
      <c r="M90" s="67">
        <f t="shared" si="40"/>
        <v>0</v>
      </c>
      <c r="N90" s="67">
        <f t="shared" si="40"/>
        <v>0</v>
      </c>
      <c r="O90" s="67">
        <v>0</v>
      </c>
      <c r="P90" s="369">
        <f t="shared" si="39"/>
        <v>0</v>
      </c>
      <c r="R90" s="2"/>
    </row>
    <row r="91" spans="2:18" x14ac:dyDescent="0.15">
      <c r="B91" s="340">
        <v>14</v>
      </c>
      <c r="C91" s="12" t="s">
        <v>304</v>
      </c>
      <c r="D91" s="67">
        <f t="shared" ref="D91:N91" si="49">D175</f>
        <v>-32550000</v>
      </c>
      <c r="E91" s="67">
        <f t="shared" si="49"/>
        <v>0</v>
      </c>
      <c r="F91" s="67">
        <f t="shared" si="49"/>
        <v>0</v>
      </c>
      <c r="G91" s="67">
        <f t="shared" si="49"/>
        <v>0</v>
      </c>
      <c r="H91" s="67">
        <f t="shared" si="49"/>
        <v>0</v>
      </c>
      <c r="I91" s="67">
        <f t="shared" si="49"/>
        <v>14347035</v>
      </c>
      <c r="J91" s="67">
        <f t="shared" si="49"/>
        <v>0</v>
      </c>
      <c r="K91" s="67">
        <f t="shared" si="49"/>
        <v>0</v>
      </c>
      <c r="L91" s="67">
        <f t="shared" si="49"/>
        <v>0</v>
      </c>
      <c r="M91" s="67">
        <f t="shared" si="49"/>
        <v>0</v>
      </c>
      <c r="N91" s="67">
        <f t="shared" si="49"/>
        <v>0</v>
      </c>
      <c r="O91" s="67">
        <v>0</v>
      </c>
      <c r="P91" s="369">
        <f t="shared" si="39"/>
        <v>14347035</v>
      </c>
      <c r="R91" s="2"/>
    </row>
    <row r="92" spans="2:18" x14ac:dyDescent="0.15">
      <c r="B92" s="340" t="s">
        <v>701</v>
      </c>
      <c r="C92" s="12" t="s">
        <v>207</v>
      </c>
      <c r="D92" s="67">
        <f t="shared" ref="D92:N92" si="50">D176</f>
        <v>-31050000</v>
      </c>
      <c r="E92" s="67">
        <f t="shared" si="50"/>
        <v>0</v>
      </c>
      <c r="F92" s="67">
        <f t="shared" si="50"/>
        <v>0</v>
      </c>
      <c r="G92" s="67">
        <f t="shared" si="50"/>
        <v>0</v>
      </c>
      <c r="H92" s="67">
        <f t="shared" si="50"/>
        <v>0</v>
      </c>
      <c r="I92" s="67">
        <f t="shared" si="50"/>
        <v>12847035</v>
      </c>
      <c r="J92" s="67">
        <f t="shared" si="50"/>
        <v>0</v>
      </c>
      <c r="K92" s="67">
        <f t="shared" si="50"/>
        <v>0</v>
      </c>
      <c r="L92" s="67">
        <f t="shared" si="50"/>
        <v>0</v>
      </c>
      <c r="M92" s="67">
        <f t="shared" si="50"/>
        <v>0</v>
      </c>
      <c r="N92" s="67">
        <f t="shared" si="50"/>
        <v>0</v>
      </c>
      <c r="O92" s="67">
        <v>0</v>
      </c>
      <c r="P92" s="369">
        <f t="shared" si="39"/>
        <v>12847035</v>
      </c>
      <c r="R92" s="2"/>
    </row>
    <row r="93" spans="2:18" x14ac:dyDescent="0.15">
      <c r="B93" s="340" t="s">
        <v>702</v>
      </c>
      <c r="C93" s="12" t="s">
        <v>307</v>
      </c>
      <c r="D93" s="67">
        <f t="shared" ref="D93:N93" si="51">D177</f>
        <v>-1500000</v>
      </c>
      <c r="E93" s="67">
        <f t="shared" si="51"/>
        <v>0</v>
      </c>
      <c r="F93" s="67">
        <f t="shared" si="51"/>
        <v>0</v>
      </c>
      <c r="G93" s="67">
        <f t="shared" si="51"/>
        <v>0</v>
      </c>
      <c r="H93" s="67">
        <f t="shared" si="51"/>
        <v>0</v>
      </c>
      <c r="I93" s="67">
        <f t="shared" si="51"/>
        <v>1500000</v>
      </c>
      <c r="J93" s="67">
        <f t="shared" si="51"/>
        <v>0</v>
      </c>
      <c r="K93" s="67">
        <f t="shared" si="51"/>
        <v>0</v>
      </c>
      <c r="L93" s="67">
        <f t="shared" si="51"/>
        <v>0</v>
      </c>
      <c r="M93" s="67">
        <f t="shared" si="51"/>
        <v>0</v>
      </c>
      <c r="N93" s="67">
        <f t="shared" si="51"/>
        <v>0</v>
      </c>
      <c r="O93" s="67">
        <v>0</v>
      </c>
      <c r="P93" s="369">
        <f t="shared" si="39"/>
        <v>1500000</v>
      </c>
      <c r="R93" s="2"/>
    </row>
    <row r="94" spans="2:18" x14ac:dyDescent="0.15">
      <c r="B94" s="340" t="s">
        <v>703</v>
      </c>
      <c r="C94" s="12" t="s">
        <v>309</v>
      </c>
      <c r="D94" s="67">
        <f t="shared" ref="D94:N94" si="52">D178</f>
        <v>0</v>
      </c>
      <c r="E94" s="67">
        <f t="shared" si="52"/>
        <v>0</v>
      </c>
      <c r="F94" s="67">
        <f t="shared" si="52"/>
        <v>0</v>
      </c>
      <c r="G94" s="67">
        <f t="shared" si="52"/>
        <v>0</v>
      </c>
      <c r="H94" s="67">
        <f t="shared" si="52"/>
        <v>0</v>
      </c>
      <c r="I94" s="67">
        <f t="shared" si="52"/>
        <v>0</v>
      </c>
      <c r="J94" s="67">
        <f t="shared" si="52"/>
        <v>0</v>
      </c>
      <c r="K94" s="67">
        <f t="shared" si="52"/>
        <v>0</v>
      </c>
      <c r="L94" s="67">
        <f t="shared" si="52"/>
        <v>0</v>
      </c>
      <c r="M94" s="67">
        <f t="shared" si="52"/>
        <v>0</v>
      </c>
      <c r="N94" s="67">
        <f t="shared" si="52"/>
        <v>0</v>
      </c>
      <c r="O94" s="67">
        <v>0</v>
      </c>
      <c r="P94" s="369">
        <f t="shared" si="39"/>
        <v>0</v>
      </c>
      <c r="R94" s="2"/>
    </row>
    <row r="95" spans="2:18" x14ac:dyDescent="0.15">
      <c r="B95" s="340" t="s">
        <v>704</v>
      </c>
      <c r="C95" s="12" t="s">
        <v>311</v>
      </c>
      <c r="D95" s="67">
        <f t="shared" ref="D95:N95" si="53">D179</f>
        <v>0</v>
      </c>
      <c r="E95" s="67">
        <f t="shared" si="53"/>
        <v>0</v>
      </c>
      <c r="F95" s="67">
        <f t="shared" si="53"/>
        <v>0</v>
      </c>
      <c r="G95" s="67">
        <f t="shared" si="53"/>
        <v>0</v>
      </c>
      <c r="H95" s="67">
        <f t="shared" si="53"/>
        <v>0</v>
      </c>
      <c r="I95" s="67">
        <f t="shared" si="53"/>
        <v>-2596968.7000000002</v>
      </c>
      <c r="J95" s="67">
        <f t="shared" si="53"/>
        <v>0</v>
      </c>
      <c r="K95" s="67">
        <f t="shared" si="53"/>
        <v>0</v>
      </c>
      <c r="L95" s="67">
        <f t="shared" si="53"/>
        <v>0</v>
      </c>
      <c r="M95" s="67">
        <f t="shared" si="53"/>
        <v>0</v>
      </c>
      <c r="N95" s="67">
        <f t="shared" si="53"/>
        <v>0</v>
      </c>
      <c r="O95" s="67">
        <v>0</v>
      </c>
      <c r="P95" s="369">
        <f t="shared" si="39"/>
        <v>-2596968.7000000002</v>
      </c>
      <c r="R95" s="2"/>
    </row>
    <row r="96" spans="2:18" ht="14" thickBot="1" x14ac:dyDescent="0.2">
      <c r="B96" s="340" t="s">
        <v>705</v>
      </c>
      <c r="C96" s="12" t="s">
        <v>115</v>
      </c>
      <c r="D96" s="67">
        <f t="shared" ref="D96:N96" si="54">D180</f>
        <v>-60000000</v>
      </c>
      <c r="E96" s="67">
        <f t="shared" si="54"/>
        <v>0</v>
      </c>
      <c r="F96" s="67">
        <f t="shared" si="54"/>
        <v>0</v>
      </c>
      <c r="G96" s="67">
        <f t="shared" si="54"/>
        <v>0</v>
      </c>
      <c r="H96" s="67">
        <f t="shared" si="54"/>
        <v>0</v>
      </c>
      <c r="I96" s="67">
        <f t="shared" si="54"/>
        <v>60000000</v>
      </c>
      <c r="J96" s="67">
        <f t="shared" si="54"/>
        <v>0</v>
      </c>
      <c r="K96" s="67">
        <f t="shared" si="54"/>
        <v>0</v>
      </c>
      <c r="L96" s="67">
        <f t="shared" si="54"/>
        <v>0</v>
      </c>
      <c r="M96" s="67">
        <f t="shared" si="54"/>
        <v>0</v>
      </c>
      <c r="N96" s="67">
        <f t="shared" si="54"/>
        <v>0</v>
      </c>
      <c r="O96" s="67">
        <v>0</v>
      </c>
      <c r="P96" s="369">
        <f t="shared" si="39"/>
        <v>60000000</v>
      </c>
      <c r="R96" s="2"/>
    </row>
    <row r="97" spans="1:18" x14ac:dyDescent="0.15">
      <c r="B97" s="340">
        <v>17</v>
      </c>
      <c r="C97" s="12" t="s">
        <v>313</v>
      </c>
      <c r="D97" s="67">
        <f t="shared" ref="D97:N97" si="55">D181</f>
        <v>-92550000</v>
      </c>
      <c r="E97" s="67">
        <f t="shared" si="55"/>
        <v>0</v>
      </c>
      <c r="F97" s="67">
        <f t="shared" si="55"/>
        <v>0</v>
      </c>
      <c r="G97" s="67">
        <f t="shared" si="55"/>
        <v>0</v>
      </c>
      <c r="H97" s="67">
        <f t="shared" si="55"/>
        <v>0</v>
      </c>
      <c r="I97" s="67">
        <f t="shared" si="55"/>
        <v>71750066.299999997</v>
      </c>
      <c r="J97" s="67">
        <f t="shared" si="55"/>
        <v>0</v>
      </c>
      <c r="K97" s="67">
        <f t="shared" si="55"/>
        <v>0</v>
      </c>
      <c r="L97" s="67">
        <f t="shared" si="55"/>
        <v>0</v>
      </c>
      <c r="M97" s="67">
        <f t="shared" si="55"/>
        <v>0</v>
      </c>
      <c r="N97" s="67">
        <f t="shared" si="55"/>
        <v>0</v>
      </c>
      <c r="O97" s="67">
        <v>0</v>
      </c>
      <c r="P97" s="369">
        <f t="shared" si="39"/>
        <v>71750066.299999997</v>
      </c>
      <c r="Q97" s="357" t="s">
        <v>693</v>
      </c>
      <c r="R97" s="2"/>
    </row>
    <row r="98" spans="1:18" ht="14" thickBot="1" x14ac:dyDescent="0.2">
      <c r="A98" s="1" t="s">
        <v>706</v>
      </c>
      <c r="B98" s="355">
        <v>18</v>
      </c>
      <c r="C98" s="335" t="s">
        <v>314</v>
      </c>
      <c r="D98" s="331">
        <f>D97+D89</f>
        <v>-92550000</v>
      </c>
      <c r="E98" s="331">
        <f t="shared" ref="E98:N98" si="56">E97+E89</f>
        <v>74180600</v>
      </c>
      <c r="F98" s="331">
        <f t="shared" si="56"/>
        <v>70769721.87500003</v>
      </c>
      <c r="G98" s="331">
        <f t="shared" si="56"/>
        <v>64708392.521506265</v>
      </c>
      <c r="H98" s="331">
        <f t="shared" si="56"/>
        <v>57416284.088866889</v>
      </c>
      <c r="I98" s="331">
        <f t="shared" si="56"/>
        <v>120128631.94670911</v>
      </c>
      <c r="J98" s="331">
        <f t="shared" si="56"/>
        <v>0</v>
      </c>
      <c r="K98" s="331">
        <f t="shared" si="56"/>
        <v>0</v>
      </c>
      <c r="L98" s="331">
        <f t="shared" si="56"/>
        <v>0</v>
      </c>
      <c r="M98" s="331">
        <f t="shared" si="56"/>
        <v>0</v>
      </c>
      <c r="N98" s="331">
        <f t="shared" si="56"/>
        <v>0</v>
      </c>
      <c r="O98" s="331">
        <v>0</v>
      </c>
      <c r="P98" s="369">
        <f t="shared" si="39"/>
        <v>387203630.4320823</v>
      </c>
      <c r="Q98" s="358">
        <f>IF(ISNUMBER(IRR(D98:N98)),IRR(D98:N98),"NMF")</f>
        <v>0.73574936913191769</v>
      </c>
      <c r="R98" s="1" t="s">
        <v>706</v>
      </c>
    </row>
    <row r="99" spans="1:18" x14ac:dyDescent="0.15">
      <c r="B99" s="145"/>
      <c r="R99" s="2"/>
    </row>
    <row r="100" spans="1:18" ht="14" thickBot="1" x14ac:dyDescent="0.2">
      <c r="B100" s="145"/>
      <c r="R100" s="2"/>
    </row>
    <row r="101" spans="1:18" ht="14" thickBot="1" x14ac:dyDescent="0.2">
      <c r="B101" s="359" t="s">
        <v>282</v>
      </c>
      <c r="C101" s="360" t="s">
        <v>283</v>
      </c>
      <c r="D101" s="360"/>
      <c r="E101" s="360">
        <v>1</v>
      </c>
      <c r="F101" s="360">
        <v>2</v>
      </c>
      <c r="G101" s="360">
        <v>3</v>
      </c>
      <c r="H101" s="360">
        <v>4</v>
      </c>
      <c r="I101" s="360">
        <v>5</v>
      </c>
      <c r="J101" s="360">
        <v>6</v>
      </c>
      <c r="K101" s="360">
        <v>7</v>
      </c>
      <c r="L101" s="360">
        <v>8</v>
      </c>
      <c r="M101" s="360">
        <v>9</v>
      </c>
      <c r="N101" s="360">
        <v>10</v>
      </c>
      <c r="O101" s="360" t="s">
        <v>284</v>
      </c>
      <c r="P101" s="361" t="s">
        <v>285</v>
      </c>
      <c r="R101" s="2"/>
    </row>
    <row r="102" spans="1:18" x14ac:dyDescent="0.15">
      <c r="B102" s="339" t="s">
        <v>687</v>
      </c>
      <c r="C102" s="302" t="s">
        <v>287</v>
      </c>
      <c r="D102" s="322">
        <f>D158</f>
        <v>0</v>
      </c>
      <c r="E102" s="322">
        <f t="shared" ref="E102:N102" si="57">E158</f>
        <v>300000000</v>
      </c>
      <c r="F102" s="322">
        <f t="shared" si="57"/>
        <v>313500000.00000006</v>
      </c>
      <c r="G102" s="322">
        <f t="shared" si="57"/>
        <v>327607500.00000006</v>
      </c>
      <c r="H102" s="322">
        <f t="shared" si="57"/>
        <v>342349837.50000012</v>
      </c>
      <c r="I102" s="322">
        <f t="shared" si="57"/>
        <v>357755580.18750012</v>
      </c>
      <c r="J102" s="322">
        <f t="shared" si="57"/>
        <v>0</v>
      </c>
      <c r="K102" s="322">
        <f t="shared" si="57"/>
        <v>0</v>
      </c>
      <c r="L102" s="322">
        <f t="shared" si="57"/>
        <v>0</v>
      </c>
      <c r="M102" s="322">
        <f t="shared" si="57"/>
        <v>0</v>
      </c>
      <c r="N102" s="322">
        <f t="shared" si="57"/>
        <v>0</v>
      </c>
      <c r="O102" s="322">
        <v>0</v>
      </c>
      <c r="P102" s="368">
        <f t="shared" ref="P102:P126" si="58">SUM(E102:N102)</f>
        <v>1641212917.6875</v>
      </c>
      <c r="R102" s="2"/>
    </row>
    <row r="103" spans="1:18" x14ac:dyDescent="0.15">
      <c r="A103" s="1" t="s">
        <v>707</v>
      </c>
      <c r="B103" s="340" t="s">
        <v>689</v>
      </c>
      <c r="C103" s="354" t="s">
        <v>689</v>
      </c>
      <c r="D103" s="67">
        <f t="shared" ref="D103:N118" si="59">D159</f>
        <v>0</v>
      </c>
      <c r="E103" s="67">
        <f t="shared" si="59"/>
        <v>300000000</v>
      </c>
      <c r="F103" s="67">
        <f t="shared" si="59"/>
        <v>313500000.00000006</v>
      </c>
      <c r="G103" s="67">
        <f t="shared" si="59"/>
        <v>327607500.00000006</v>
      </c>
      <c r="H103" s="67">
        <f t="shared" si="59"/>
        <v>342349837.50000012</v>
      </c>
      <c r="I103" s="67">
        <f t="shared" si="59"/>
        <v>357755580.18750012</v>
      </c>
      <c r="J103" s="67">
        <f t="shared" si="59"/>
        <v>0</v>
      </c>
      <c r="K103" s="67">
        <f t="shared" si="59"/>
        <v>0</v>
      </c>
      <c r="L103" s="67">
        <f t="shared" si="59"/>
        <v>0</v>
      </c>
      <c r="M103" s="67">
        <f t="shared" si="59"/>
        <v>0</v>
      </c>
      <c r="N103" s="67">
        <f t="shared" si="59"/>
        <v>0</v>
      </c>
      <c r="O103" s="67"/>
      <c r="P103" s="369">
        <f t="shared" si="58"/>
        <v>1641212917.6875</v>
      </c>
      <c r="R103" s="2"/>
    </row>
    <row r="104" spans="1:18" x14ac:dyDescent="0.15">
      <c r="B104" s="340" t="s">
        <v>690</v>
      </c>
      <c r="C104" s="354" t="s">
        <v>690</v>
      </c>
      <c r="D104" s="67">
        <f t="shared" si="59"/>
        <v>0</v>
      </c>
      <c r="E104" s="67">
        <f t="shared" si="59"/>
        <v>0</v>
      </c>
      <c r="F104" s="67">
        <f t="shared" si="59"/>
        <v>0</v>
      </c>
      <c r="G104" s="67">
        <f t="shared" si="59"/>
        <v>0</v>
      </c>
      <c r="H104" s="67">
        <f t="shared" si="59"/>
        <v>0</v>
      </c>
      <c r="I104" s="67">
        <f t="shared" si="59"/>
        <v>0</v>
      </c>
      <c r="J104" s="67">
        <f t="shared" si="59"/>
        <v>0</v>
      </c>
      <c r="K104" s="67">
        <f t="shared" si="59"/>
        <v>0</v>
      </c>
      <c r="L104" s="67">
        <f t="shared" si="59"/>
        <v>0</v>
      </c>
      <c r="M104" s="67">
        <f t="shared" si="59"/>
        <v>0</v>
      </c>
      <c r="N104" s="67">
        <f t="shared" si="59"/>
        <v>0</v>
      </c>
      <c r="O104" s="294"/>
      <c r="P104" s="369">
        <f t="shared" si="58"/>
        <v>0</v>
      </c>
      <c r="R104" s="2"/>
    </row>
    <row r="105" spans="1:18" x14ac:dyDescent="0.15">
      <c r="B105" s="340" t="s">
        <v>691</v>
      </c>
      <c r="C105" s="354" t="s">
        <v>691</v>
      </c>
      <c r="D105" s="67">
        <f t="shared" si="59"/>
        <v>0</v>
      </c>
      <c r="E105" s="67">
        <f t="shared" si="59"/>
        <v>0</v>
      </c>
      <c r="F105" s="67">
        <f t="shared" si="59"/>
        <v>0</v>
      </c>
      <c r="G105" s="67">
        <f t="shared" si="59"/>
        <v>0</v>
      </c>
      <c r="H105" s="67">
        <f t="shared" si="59"/>
        <v>0</v>
      </c>
      <c r="I105" s="67">
        <f t="shared" si="59"/>
        <v>0</v>
      </c>
      <c r="J105" s="67">
        <f t="shared" si="59"/>
        <v>0</v>
      </c>
      <c r="K105" s="67">
        <f t="shared" si="59"/>
        <v>0</v>
      </c>
      <c r="L105" s="67">
        <f t="shared" si="59"/>
        <v>0</v>
      </c>
      <c r="M105" s="67">
        <f t="shared" si="59"/>
        <v>0</v>
      </c>
      <c r="N105" s="67">
        <f t="shared" si="59"/>
        <v>0</v>
      </c>
      <c r="O105" s="67"/>
      <c r="P105" s="369">
        <f t="shared" si="58"/>
        <v>0</v>
      </c>
      <c r="R105" s="2"/>
    </row>
    <row r="106" spans="1:18" x14ac:dyDescent="0.15">
      <c r="B106" s="340" t="s">
        <v>695</v>
      </c>
      <c r="C106" s="12"/>
      <c r="D106" s="67">
        <f t="shared" si="59"/>
        <v>0</v>
      </c>
      <c r="E106" s="67">
        <f t="shared" si="59"/>
        <v>300000000</v>
      </c>
      <c r="F106" s="67">
        <f t="shared" si="59"/>
        <v>313500000.00000006</v>
      </c>
      <c r="G106" s="67">
        <f t="shared" si="59"/>
        <v>327607500.00000006</v>
      </c>
      <c r="H106" s="67">
        <f t="shared" si="59"/>
        <v>342349837.50000012</v>
      </c>
      <c r="I106" s="67">
        <f t="shared" si="59"/>
        <v>357755580.18750012</v>
      </c>
      <c r="J106" s="67">
        <f t="shared" si="59"/>
        <v>0</v>
      </c>
      <c r="K106" s="67">
        <f t="shared" si="59"/>
        <v>0</v>
      </c>
      <c r="L106" s="67">
        <f t="shared" si="59"/>
        <v>0</v>
      </c>
      <c r="M106" s="67">
        <f t="shared" si="59"/>
        <v>0</v>
      </c>
      <c r="N106" s="67">
        <f t="shared" si="59"/>
        <v>0</v>
      </c>
      <c r="O106" s="67"/>
      <c r="P106" s="369">
        <f t="shared" si="58"/>
        <v>1641212917.6875</v>
      </c>
      <c r="R106" s="2"/>
    </row>
    <row r="107" spans="1:18" x14ac:dyDescent="0.15">
      <c r="B107" s="355" t="s">
        <v>696</v>
      </c>
      <c r="C107" s="335" t="s">
        <v>289</v>
      </c>
      <c r="D107" s="331">
        <f t="shared" si="59"/>
        <v>0</v>
      </c>
      <c r="E107" s="331">
        <f>E163*0.9</f>
        <v>207153000</v>
      </c>
      <c r="F107" s="331">
        <f t="shared" ref="F107:O107" si="60">F163*0.9</f>
        <v>227716537.50000003</v>
      </c>
      <c r="G107" s="331">
        <f t="shared" si="60"/>
        <v>250853146.60612509</v>
      </c>
      <c r="H107" s="331">
        <f t="shared" si="60"/>
        <v>276899377.55465525</v>
      </c>
      <c r="I107" s="331">
        <f t="shared" si="60"/>
        <v>306236309.72451574</v>
      </c>
      <c r="J107" s="331">
        <f t="shared" si="60"/>
        <v>0</v>
      </c>
      <c r="K107" s="331">
        <f t="shared" si="60"/>
        <v>0</v>
      </c>
      <c r="L107" s="331">
        <f t="shared" si="60"/>
        <v>0</v>
      </c>
      <c r="M107" s="331">
        <f t="shared" si="60"/>
        <v>0</v>
      </c>
      <c r="N107" s="331">
        <f t="shared" si="60"/>
        <v>0</v>
      </c>
      <c r="O107" s="331">
        <f t="shared" si="60"/>
        <v>0</v>
      </c>
      <c r="P107" s="370">
        <f t="shared" si="58"/>
        <v>1268858371.3852961</v>
      </c>
      <c r="R107" s="2"/>
    </row>
    <row r="108" spans="1:18" x14ac:dyDescent="0.15">
      <c r="B108" s="340">
        <v>3</v>
      </c>
      <c r="C108" s="12" t="s">
        <v>290</v>
      </c>
      <c r="D108" s="67">
        <f t="shared" si="59"/>
        <v>0</v>
      </c>
      <c r="E108" s="67">
        <f>E106-E107</f>
        <v>92847000</v>
      </c>
      <c r="F108" s="67">
        <f t="shared" ref="F108:N108" si="61">F106-F107</f>
        <v>85783462.50000003</v>
      </c>
      <c r="G108" s="67">
        <f t="shared" si="61"/>
        <v>76754353.393874973</v>
      </c>
      <c r="H108" s="67">
        <f t="shared" si="61"/>
        <v>65450459.945344865</v>
      </c>
      <c r="I108" s="67">
        <f t="shared" si="61"/>
        <v>51519270.462984383</v>
      </c>
      <c r="J108" s="67">
        <f t="shared" si="61"/>
        <v>0</v>
      </c>
      <c r="K108" s="67">
        <f t="shared" si="61"/>
        <v>0</v>
      </c>
      <c r="L108" s="67">
        <f t="shared" si="61"/>
        <v>0</v>
      </c>
      <c r="M108" s="67">
        <f t="shared" si="61"/>
        <v>0</v>
      </c>
      <c r="N108" s="67">
        <f t="shared" si="61"/>
        <v>0</v>
      </c>
      <c r="O108" s="67">
        <v>0</v>
      </c>
      <c r="P108" s="369">
        <f t="shared" si="58"/>
        <v>372354546.30220425</v>
      </c>
      <c r="R108" s="2"/>
    </row>
    <row r="109" spans="1:18" x14ac:dyDescent="0.15">
      <c r="B109" s="340" t="s">
        <v>697</v>
      </c>
      <c r="C109" s="12" t="s">
        <v>292</v>
      </c>
      <c r="D109" s="67">
        <f t="shared" si="59"/>
        <v>0</v>
      </c>
      <c r="E109" s="67">
        <f t="shared" si="59"/>
        <v>3772500</v>
      </c>
      <c r="F109" s="67">
        <f t="shared" ref="F109:N109" si="62">F165</f>
        <v>6218850</v>
      </c>
      <c r="G109" s="67">
        <f t="shared" si="62"/>
        <v>4083150</v>
      </c>
      <c r="H109" s="67">
        <f t="shared" si="62"/>
        <v>2775510</v>
      </c>
      <c r="I109" s="67">
        <f t="shared" si="62"/>
        <v>1352955</v>
      </c>
      <c r="J109" s="67">
        <f t="shared" si="62"/>
        <v>0</v>
      </c>
      <c r="K109" s="67">
        <f t="shared" si="62"/>
        <v>0</v>
      </c>
      <c r="L109" s="67">
        <f t="shared" si="62"/>
        <v>0</v>
      </c>
      <c r="M109" s="67">
        <f t="shared" si="62"/>
        <v>0</v>
      </c>
      <c r="N109" s="67">
        <f t="shared" si="62"/>
        <v>0</v>
      </c>
      <c r="O109" s="67">
        <v>0</v>
      </c>
      <c r="P109" s="369">
        <f t="shared" si="58"/>
        <v>18202965</v>
      </c>
      <c r="R109" s="2"/>
    </row>
    <row r="110" spans="1:18" x14ac:dyDescent="0.15">
      <c r="B110" s="340">
        <v>5</v>
      </c>
      <c r="C110" s="12" t="s">
        <v>293</v>
      </c>
      <c r="D110" s="67">
        <f t="shared" si="59"/>
        <v>0</v>
      </c>
      <c r="E110" s="67">
        <f>E108-E109</f>
        <v>89074500</v>
      </c>
      <c r="F110" s="67">
        <f t="shared" ref="F110:N110" si="63">F108-F109</f>
        <v>79564612.50000003</v>
      </c>
      <c r="G110" s="67">
        <f t="shared" si="63"/>
        <v>72671203.393874973</v>
      </c>
      <c r="H110" s="67">
        <f t="shared" si="63"/>
        <v>62674949.945344865</v>
      </c>
      <c r="I110" s="67">
        <f t="shared" si="63"/>
        <v>50166315.462984383</v>
      </c>
      <c r="J110" s="67">
        <f t="shared" si="63"/>
        <v>0</v>
      </c>
      <c r="K110" s="67">
        <f t="shared" si="63"/>
        <v>0</v>
      </c>
      <c r="L110" s="67">
        <f t="shared" si="63"/>
        <v>0</v>
      </c>
      <c r="M110" s="67">
        <f t="shared" si="63"/>
        <v>0</v>
      </c>
      <c r="N110" s="67">
        <f t="shared" si="63"/>
        <v>0</v>
      </c>
      <c r="O110" s="67">
        <v>0</v>
      </c>
      <c r="P110" s="369">
        <f t="shared" si="58"/>
        <v>354151581.30220425</v>
      </c>
      <c r="R110" s="2"/>
    </row>
    <row r="111" spans="1:18" x14ac:dyDescent="0.15">
      <c r="B111" s="340" t="s">
        <v>698</v>
      </c>
      <c r="C111" s="12" t="s">
        <v>295</v>
      </c>
      <c r="D111" s="67">
        <f t="shared" si="59"/>
        <v>0</v>
      </c>
      <c r="E111" s="67">
        <f t="shared" si="59"/>
        <v>0</v>
      </c>
      <c r="F111" s="67">
        <f t="shared" si="59"/>
        <v>0</v>
      </c>
      <c r="G111" s="67">
        <f t="shared" si="59"/>
        <v>0</v>
      </c>
      <c r="H111" s="67">
        <f t="shared" si="59"/>
        <v>0</v>
      </c>
      <c r="I111" s="67">
        <f t="shared" si="59"/>
        <v>0</v>
      </c>
      <c r="J111" s="67">
        <f t="shared" si="59"/>
        <v>0</v>
      </c>
      <c r="K111" s="67">
        <f t="shared" si="59"/>
        <v>0</v>
      </c>
      <c r="L111" s="67">
        <f t="shared" si="59"/>
        <v>0</v>
      </c>
      <c r="M111" s="67">
        <f t="shared" si="59"/>
        <v>0</v>
      </c>
      <c r="N111" s="67">
        <f t="shared" si="59"/>
        <v>0</v>
      </c>
      <c r="O111" s="67">
        <v>0</v>
      </c>
      <c r="P111" s="369">
        <f t="shared" si="58"/>
        <v>0</v>
      </c>
      <c r="R111" s="2"/>
    </row>
    <row r="112" spans="1:18" x14ac:dyDescent="0.15">
      <c r="B112" s="340">
        <v>7</v>
      </c>
      <c r="C112" s="12" t="s">
        <v>296</v>
      </c>
      <c r="D112" s="67">
        <f t="shared" si="59"/>
        <v>0</v>
      </c>
      <c r="E112" s="67">
        <f>E110-E111</f>
        <v>89074500</v>
      </c>
      <c r="F112" s="67">
        <f t="shared" ref="F112:N112" si="64">F110-F111</f>
        <v>79564612.50000003</v>
      </c>
      <c r="G112" s="67">
        <f t="shared" si="64"/>
        <v>72671203.393874973</v>
      </c>
      <c r="H112" s="67">
        <f t="shared" si="64"/>
        <v>62674949.945344865</v>
      </c>
      <c r="I112" s="67">
        <f t="shared" si="64"/>
        <v>50166315.462984383</v>
      </c>
      <c r="J112" s="67">
        <f t="shared" si="64"/>
        <v>0</v>
      </c>
      <c r="K112" s="67">
        <f t="shared" si="64"/>
        <v>0</v>
      </c>
      <c r="L112" s="67">
        <f t="shared" si="64"/>
        <v>0</v>
      </c>
      <c r="M112" s="67">
        <f t="shared" si="64"/>
        <v>0</v>
      </c>
      <c r="N112" s="67">
        <f t="shared" si="64"/>
        <v>0</v>
      </c>
      <c r="O112" s="67">
        <v>0</v>
      </c>
      <c r="P112" s="369">
        <f t="shared" si="58"/>
        <v>354151581.30220425</v>
      </c>
      <c r="R112" s="2"/>
    </row>
    <row r="113" spans="1:18" x14ac:dyDescent="0.15">
      <c r="B113" s="340">
        <v>8</v>
      </c>
      <c r="C113" s="12" t="s">
        <v>297</v>
      </c>
      <c r="D113" s="67">
        <f t="shared" si="59"/>
        <v>0</v>
      </c>
      <c r="E113" s="67">
        <f>-E112*$D$3</f>
        <v>-26722350</v>
      </c>
      <c r="F113" s="67">
        <f t="shared" ref="F113:N113" si="65">-F112*$D$3</f>
        <v>-23869383.750000007</v>
      </c>
      <c r="G113" s="67">
        <f t="shared" si="65"/>
        <v>-21801361.018162493</v>
      </c>
      <c r="H113" s="67">
        <f t="shared" si="65"/>
        <v>-18802484.983603459</v>
      </c>
      <c r="I113" s="67">
        <f t="shared" si="65"/>
        <v>-15049894.638895314</v>
      </c>
      <c r="J113" s="67">
        <f t="shared" si="65"/>
        <v>0</v>
      </c>
      <c r="K113" s="67">
        <f t="shared" si="65"/>
        <v>0</v>
      </c>
      <c r="L113" s="67">
        <f t="shared" si="65"/>
        <v>0</v>
      </c>
      <c r="M113" s="67">
        <f t="shared" si="65"/>
        <v>0</v>
      </c>
      <c r="N113" s="67">
        <f t="shared" si="65"/>
        <v>0</v>
      </c>
      <c r="O113" s="67">
        <v>0</v>
      </c>
      <c r="P113" s="369">
        <f t="shared" si="58"/>
        <v>-106245474.39066128</v>
      </c>
      <c r="R113" s="2"/>
    </row>
    <row r="114" spans="1:18" x14ac:dyDescent="0.15">
      <c r="B114" s="340">
        <v>9</v>
      </c>
      <c r="C114" s="12" t="s">
        <v>298</v>
      </c>
      <c r="D114" s="67">
        <f t="shared" si="59"/>
        <v>0</v>
      </c>
      <c r="E114" s="67">
        <f t="shared" si="59"/>
        <v>0</v>
      </c>
      <c r="F114" s="67">
        <f t="shared" ref="F114:N114" si="66">F170</f>
        <v>0</v>
      </c>
      <c r="G114" s="67">
        <f t="shared" si="66"/>
        <v>0</v>
      </c>
      <c r="H114" s="67">
        <f t="shared" si="66"/>
        <v>0</v>
      </c>
      <c r="I114" s="67">
        <f t="shared" si="66"/>
        <v>0</v>
      </c>
      <c r="J114" s="67">
        <f t="shared" si="66"/>
        <v>0</v>
      </c>
      <c r="K114" s="67">
        <f t="shared" si="66"/>
        <v>0</v>
      </c>
      <c r="L114" s="67">
        <f t="shared" si="66"/>
        <v>0</v>
      </c>
      <c r="M114" s="67">
        <f t="shared" si="66"/>
        <v>0</v>
      </c>
      <c r="N114" s="67">
        <f t="shared" si="66"/>
        <v>0</v>
      </c>
      <c r="O114" s="67">
        <v>0</v>
      </c>
      <c r="P114" s="369">
        <f t="shared" si="58"/>
        <v>0</v>
      </c>
      <c r="R114" s="2"/>
    </row>
    <row r="115" spans="1:18" x14ac:dyDescent="0.15">
      <c r="B115" s="340">
        <v>10</v>
      </c>
      <c r="C115" s="12" t="s">
        <v>299</v>
      </c>
      <c r="D115" s="67">
        <f t="shared" si="59"/>
        <v>0</v>
      </c>
      <c r="E115" s="67">
        <f>E112+E113+E114</f>
        <v>62352150</v>
      </c>
      <c r="F115" s="67">
        <f t="shared" ref="F115:N115" si="67">F112+F113+F114</f>
        <v>55695228.750000022</v>
      </c>
      <c r="G115" s="67">
        <f t="shared" si="67"/>
        <v>50869842.375712484</v>
      </c>
      <c r="H115" s="67">
        <f t="shared" si="67"/>
        <v>43872464.961741403</v>
      </c>
      <c r="I115" s="67">
        <f t="shared" si="67"/>
        <v>35116420.824089065</v>
      </c>
      <c r="J115" s="67">
        <f t="shared" si="67"/>
        <v>0</v>
      </c>
      <c r="K115" s="67">
        <f t="shared" si="67"/>
        <v>0</v>
      </c>
      <c r="L115" s="67">
        <f t="shared" si="67"/>
        <v>0</v>
      </c>
      <c r="M115" s="67">
        <f t="shared" si="67"/>
        <v>0</v>
      </c>
      <c r="N115" s="67">
        <f t="shared" si="67"/>
        <v>0</v>
      </c>
      <c r="O115" s="67">
        <v>0</v>
      </c>
      <c r="P115" s="369">
        <f t="shared" si="58"/>
        <v>247906106.91154295</v>
      </c>
      <c r="R115" s="2"/>
    </row>
    <row r="116" spans="1:18" x14ac:dyDescent="0.15">
      <c r="B116" s="340" t="s">
        <v>699</v>
      </c>
      <c r="C116" s="12" t="s">
        <v>292</v>
      </c>
      <c r="D116" s="67">
        <f t="shared" si="59"/>
        <v>0</v>
      </c>
      <c r="E116" s="67">
        <f t="shared" si="59"/>
        <v>3772500</v>
      </c>
      <c r="F116" s="67">
        <f t="shared" si="59"/>
        <v>6218850</v>
      </c>
      <c r="G116" s="67">
        <f t="shared" si="59"/>
        <v>4083150</v>
      </c>
      <c r="H116" s="67">
        <f t="shared" si="59"/>
        <v>2775510</v>
      </c>
      <c r="I116" s="67">
        <f t="shared" si="59"/>
        <v>1352955</v>
      </c>
      <c r="J116" s="67">
        <f t="shared" si="59"/>
        <v>0</v>
      </c>
      <c r="K116" s="67">
        <f t="shared" si="59"/>
        <v>0</v>
      </c>
      <c r="L116" s="67">
        <f t="shared" si="59"/>
        <v>0</v>
      </c>
      <c r="M116" s="67">
        <f t="shared" si="59"/>
        <v>0</v>
      </c>
      <c r="N116" s="67">
        <f t="shared" si="59"/>
        <v>0</v>
      </c>
      <c r="O116" s="67">
        <v>0</v>
      </c>
      <c r="P116" s="369">
        <f t="shared" si="58"/>
        <v>18202965</v>
      </c>
      <c r="R116" s="2"/>
    </row>
    <row r="117" spans="1:18" x14ac:dyDescent="0.15">
      <c r="B117" s="340">
        <v>12</v>
      </c>
      <c r="C117" s="12" t="s">
        <v>301</v>
      </c>
      <c r="D117" s="67">
        <f t="shared" si="59"/>
        <v>0</v>
      </c>
      <c r="E117" s="67">
        <f>E115+E116</f>
        <v>66124650</v>
      </c>
      <c r="F117" s="67">
        <f t="shared" ref="F117:N117" si="68">F115+F116</f>
        <v>61914078.750000022</v>
      </c>
      <c r="G117" s="67">
        <f t="shared" si="68"/>
        <v>54952992.375712484</v>
      </c>
      <c r="H117" s="67">
        <f t="shared" si="68"/>
        <v>46647974.961741403</v>
      </c>
      <c r="I117" s="67">
        <f t="shared" si="68"/>
        <v>36469375.824089065</v>
      </c>
      <c r="J117" s="67">
        <f t="shared" si="68"/>
        <v>0</v>
      </c>
      <c r="K117" s="67">
        <f t="shared" si="68"/>
        <v>0</v>
      </c>
      <c r="L117" s="67">
        <f t="shared" si="68"/>
        <v>0</v>
      </c>
      <c r="M117" s="67">
        <f t="shared" si="68"/>
        <v>0</v>
      </c>
      <c r="N117" s="67">
        <f t="shared" si="68"/>
        <v>0</v>
      </c>
      <c r="O117" s="67">
        <v>0</v>
      </c>
      <c r="P117" s="369">
        <f t="shared" si="58"/>
        <v>266109071.91154295</v>
      </c>
      <c r="R117" s="2"/>
    </row>
    <row r="118" spans="1:18" x14ac:dyDescent="0.15">
      <c r="B118" s="340" t="s">
        <v>700</v>
      </c>
      <c r="C118" s="12" t="s">
        <v>303</v>
      </c>
      <c r="D118" s="67">
        <f t="shared" si="59"/>
        <v>0</v>
      </c>
      <c r="E118" s="67">
        <f t="shared" si="59"/>
        <v>0</v>
      </c>
      <c r="F118" s="67">
        <f t="shared" si="59"/>
        <v>0</v>
      </c>
      <c r="G118" s="67">
        <f t="shared" si="59"/>
        <v>0</v>
      </c>
      <c r="H118" s="67">
        <f t="shared" si="59"/>
        <v>0</v>
      </c>
      <c r="I118" s="67">
        <f t="shared" si="59"/>
        <v>0</v>
      </c>
      <c r="J118" s="67">
        <f t="shared" si="59"/>
        <v>0</v>
      </c>
      <c r="K118" s="67">
        <f t="shared" si="59"/>
        <v>0</v>
      </c>
      <c r="L118" s="67">
        <f t="shared" si="59"/>
        <v>0</v>
      </c>
      <c r="M118" s="67">
        <f t="shared" si="59"/>
        <v>0</v>
      </c>
      <c r="N118" s="67">
        <f t="shared" si="59"/>
        <v>0</v>
      </c>
      <c r="O118" s="67">
        <v>0</v>
      </c>
      <c r="P118" s="369">
        <f t="shared" si="58"/>
        <v>0</v>
      </c>
      <c r="R118" s="2"/>
    </row>
    <row r="119" spans="1:18" x14ac:dyDescent="0.15">
      <c r="B119" s="340">
        <v>14</v>
      </c>
      <c r="C119" s="12" t="s">
        <v>304</v>
      </c>
      <c r="D119" s="67">
        <f t="shared" ref="D119:N119" si="69">D175</f>
        <v>-32550000</v>
      </c>
      <c r="E119" s="67">
        <f t="shared" si="69"/>
        <v>0</v>
      </c>
      <c r="F119" s="67">
        <f t="shared" si="69"/>
        <v>0</v>
      </c>
      <c r="G119" s="67">
        <f t="shared" si="69"/>
        <v>0</v>
      </c>
      <c r="H119" s="67">
        <f t="shared" si="69"/>
        <v>0</v>
      </c>
      <c r="I119" s="67">
        <f t="shared" si="69"/>
        <v>14347035</v>
      </c>
      <c r="J119" s="67">
        <f t="shared" si="69"/>
        <v>0</v>
      </c>
      <c r="K119" s="67">
        <f t="shared" si="69"/>
        <v>0</v>
      </c>
      <c r="L119" s="67">
        <f t="shared" si="69"/>
        <v>0</v>
      </c>
      <c r="M119" s="67">
        <f t="shared" si="69"/>
        <v>0</v>
      </c>
      <c r="N119" s="67">
        <f t="shared" si="69"/>
        <v>0</v>
      </c>
      <c r="O119" s="67">
        <v>0</v>
      </c>
      <c r="P119" s="369">
        <f t="shared" si="58"/>
        <v>14347035</v>
      </c>
      <c r="R119" s="2"/>
    </row>
    <row r="120" spans="1:18" x14ac:dyDescent="0.15">
      <c r="B120" s="340" t="s">
        <v>701</v>
      </c>
      <c r="C120" s="12" t="s">
        <v>207</v>
      </c>
      <c r="D120" s="67">
        <f t="shared" ref="D120:N120" si="70">D176</f>
        <v>-31050000</v>
      </c>
      <c r="E120" s="67">
        <f t="shared" si="70"/>
        <v>0</v>
      </c>
      <c r="F120" s="67">
        <f t="shared" si="70"/>
        <v>0</v>
      </c>
      <c r="G120" s="67">
        <f t="shared" si="70"/>
        <v>0</v>
      </c>
      <c r="H120" s="67">
        <f t="shared" si="70"/>
        <v>0</v>
      </c>
      <c r="I120" s="67">
        <f t="shared" si="70"/>
        <v>12847035</v>
      </c>
      <c r="J120" s="67">
        <f t="shared" si="70"/>
        <v>0</v>
      </c>
      <c r="K120" s="67">
        <f t="shared" si="70"/>
        <v>0</v>
      </c>
      <c r="L120" s="67">
        <f t="shared" si="70"/>
        <v>0</v>
      </c>
      <c r="M120" s="67">
        <f t="shared" si="70"/>
        <v>0</v>
      </c>
      <c r="N120" s="67">
        <f t="shared" si="70"/>
        <v>0</v>
      </c>
      <c r="O120" s="67">
        <v>0</v>
      </c>
      <c r="P120" s="369">
        <f t="shared" si="58"/>
        <v>12847035</v>
      </c>
      <c r="R120" s="2"/>
    </row>
    <row r="121" spans="1:18" x14ac:dyDescent="0.15">
      <c r="B121" s="340" t="s">
        <v>702</v>
      </c>
      <c r="C121" s="12" t="s">
        <v>307</v>
      </c>
      <c r="D121" s="67">
        <f t="shared" ref="D121:N121" si="71">D177</f>
        <v>-1500000</v>
      </c>
      <c r="E121" s="67">
        <f t="shared" si="71"/>
        <v>0</v>
      </c>
      <c r="F121" s="67">
        <f t="shared" si="71"/>
        <v>0</v>
      </c>
      <c r="G121" s="67">
        <f t="shared" si="71"/>
        <v>0</v>
      </c>
      <c r="H121" s="67">
        <f t="shared" si="71"/>
        <v>0</v>
      </c>
      <c r="I121" s="67">
        <f t="shared" si="71"/>
        <v>1500000</v>
      </c>
      <c r="J121" s="67">
        <f t="shared" si="71"/>
        <v>0</v>
      </c>
      <c r="K121" s="67">
        <f t="shared" si="71"/>
        <v>0</v>
      </c>
      <c r="L121" s="67">
        <f t="shared" si="71"/>
        <v>0</v>
      </c>
      <c r="M121" s="67">
        <f t="shared" si="71"/>
        <v>0</v>
      </c>
      <c r="N121" s="67">
        <f t="shared" si="71"/>
        <v>0</v>
      </c>
      <c r="O121" s="67">
        <v>0</v>
      </c>
      <c r="P121" s="369">
        <f t="shared" si="58"/>
        <v>1500000</v>
      </c>
      <c r="R121" s="2"/>
    </row>
    <row r="122" spans="1:18" x14ac:dyDescent="0.15">
      <c r="B122" s="340" t="s">
        <v>703</v>
      </c>
      <c r="C122" s="12" t="s">
        <v>309</v>
      </c>
      <c r="D122" s="67">
        <f t="shared" ref="D122:N122" si="72">D178</f>
        <v>0</v>
      </c>
      <c r="E122" s="67">
        <f t="shared" si="72"/>
        <v>0</v>
      </c>
      <c r="F122" s="67">
        <f t="shared" si="72"/>
        <v>0</v>
      </c>
      <c r="G122" s="67">
        <f t="shared" si="72"/>
        <v>0</v>
      </c>
      <c r="H122" s="67">
        <f t="shared" si="72"/>
        <v>0</v>
      </c>
      <c r="I122" s="67">
        <f t="shared" si="72"/>
        <v>0</v>
      </c>
      <c r="J122" s="67">
        <f t="shared" si="72"/>
        <v>0</v>
      </c>
      <c r="K122" s="67">
        <f t="shared" si="72"/>
        <v>0</v>
      </c>
      <c r="L122" s="67">
        <f t="shared" si="72"/>
        <v>0</v>
      </c>
      <c r="M122" s="67">
        <f t="shared" si="72"/>
        <v>0</v>
      </c>
      <c r="N122" s="67">
        <f t="shared" si="72"/>
        <v>0</v>
      </c>
      <c r="O122" s="67">
        <v>0</v>
      </c>
      <c r="P122" s="369">
        <f t="shared" si="58"/>
        <v>0</v>
      </c>
      <c r="R122" s="2"/>
    </row>
    <row r="123" spans="1:18" x14ac:dyDescent="0.15">
      <c r="B123" s="340" t="s">
        <v>704</v>
      </c>
      <c r="C123" s="12" t="s">
        <v>311</v>
      </c>
      <c r="D123" s="67">
        <f t="shared" ref="D123:N123" si="73">D179</f>
        <v>0</v>
      </c>
      <c r="E123" s="67">
        <f t="shared" si="73"/>
        <v>0</v>
      </c>
      <c r="F123" s="67">
        <f t="shared" si="73"/>
        <v>0</v>
      </c>
      <c r="G123" s="67">
        <f t="shared" si="73"/>
        <v>0</v>
      </c>
      <c r="H123" s="67">
        <f t="shared" si="73"/>
        <v>0</v>
      </c>
      <c r="I123" s="67">
        <f t="shared" si="73"/>
        <v>-2596968.7000000002</v>
      </c>
      <c r="J123" s="67">
        <f t="shared" si="73"/>
        <v>0</v>
      </c>
      <c r="K123" s="67">
        <f t="shared" si="73"/>
        <v>0</v>
      </c>
      <c r="L123" s="67">
        <f t="shared" si="73"/>
        <v>0</v>
      </c>
      <c r="M123" s="67">
        <f t="shared" si="73"/>
        <v>0</v>
      </c>
      <c r="N123" s="67">
        <f t="shared" si="73"/>
        <v>0</v>
      </c>
      <c r="O123" s="67">
        <v>0</v>
      </c>
      <c r="P123" s="369">
        <f t="shared" si="58"/>
        <v>-2596968.7000000002</v>
      </c>
      <c r="R123" s="2"/>
    </row>
    <row r="124" spans="1:18" ht="14" thickBot="1" x14ac:dyDescent="0.2">
      <c r="B124" s="340" t="s">
        <v>705</v>
      </c>
      <c r="C124" s="12" t="s">
        <v>115</v>
      </c>
      <c r="D124" s="67">
        <f t="shared" ref="D124:N124" si="74">D180</f>
        <v>-60000000</v>
      </c>
      <c r="E124" s="67">
        <f t="shared" si="74"/>
        <v>0</v>
      </c>
      <c r="F124" s="67">
        <f t="shared" si="74"/>
        <v>0</v>
      </c>
      <c r="G124" s="67">
        <f t="shared" si="74"/>
        <v>0</v>
      </c>
      <c r="H124" s="67">
        <f t="shared" si="74"/>
        <v>0</v>
      </c>
      <c r="I124" s="67">
        <f t="shared" si="74"/>
        <v>60000000</v>
      </c>
      <c r="J124" s="67">
        <f t="shared" si="74"/>
        <v>0</v>
      </c>
      <c r="K124" s="67">
        <f t="shared" si="74"/>
        <v>0</v>
      </c>
      <c r="L124" s="67">
        <f t="shared" si="74"/>
        <v>0</v>
      </c>
      <c r="M124" s="67">
        <f t="shared" si="74"/>
        <v>0</v>
      </c>
      <c r="N124" s="67">
        <f t="shared" si="74"/>
        <v>0</v>
      </c>
      <c r="O124" s="67">
        <v>0</v>
      </c>
      <c r="P124" s="369">
        <f t="shared" si="58"/>
        <v>60000000</v>
      </c>
      <c r="R124" s="2"/>
    </row>
    <row r="125" spans="1:18" x14ac:dyDescent="0.15">
      <c r="B125" s="340">
        <v>17</v>
      </c>
      <c r="C125" s="12" t="s">
        <v>313</v>
      </c>
      <c r="D125" s="67">
        <f t="shared" ref="D125:N125" si="75">D181</f>
        <v>-92550000</v>
      </c>
      <c r="E125" s="67">
        <f t="shared" si="75"/>
        <v>0</v>
      </c>
      <c r="F125" s="67">
        <f t="shared" si="75"/>
        <v>0</v>
      </c>
      <c r="G125" s="67">
        <f t="shared" si="75"/>
        <v>0</v>
      </c>
      <c r="H125" s="67">
        <f t="shared" si="75"/>
        <v>0</v>
      </c>
      <c r="I125" s="67">
        <f t="shared" si="75"/>
        <v>71750066.299999997</v>
      </c>
      <c r="J125" s="67">
        <f t="shared" si="75"/>
        <v>0</v>
      </c>
      <c r="K125" s="67">
        <f t="shared" si="75"/>
        <v>0</v>
      </c>
      <c r="L125" s="67">
        <f t="shared" si="75"/>
        <v>0</v>
      </c>
      <c r="M125" s="67">
        <f t="shared" si="75"/>
        <v>0</v>
      </c>
      <c r="N125" s="67">
        <f t="shared" si="75"/>
        <v>0</v>
      </c>
      <c r="O125" s="67">
        <v>0</v>
      </c>
      <c r="P125" s="369">
        <f t="shared" si="58"/>
        <v>71750066.299999997</v>
      </c>
      <c r="Q125" s="357" t="s">
        <v>693</v>
      </c>
      <c r="R125" s="2"/>
    </row>
    <row r="126" spans="1:18" ht="14" thickBot="1" x14ac:dyDescent="0.2">
      <c r="A126" s="1" t="s">
        <v>707</v>
      </c>
      <c r="B126" s="355">
        <v>18</v>
      </c>
      <c r="C126" s="335" t="s">
        <v>314</v>
      </c>
      <c r="D126" s="331">
        <f>D125+D117</f>
        <v>-92550000</v>
      </c>
      <c r="E126" s="331">
        <f t="shared" ref="E126:N126" si="76">E125+E117</f>
        <v>66124650</v>
      </c>
      <c r="F126" s="331">
        <f t="shared" si="76"/>
        <v>61914078.750000022</v>
      </c>
      <c r="G126" s="331">
        <f t="shared" si="76"/>
        <v>54952992.375712484</v>
      </c>
      <c r="H126" s="331">
        <f t="shared" si="76"/>
        <v>46647974.961741403</v>
      </c>
      <c r="I126" s="331">
        <f t="shared" si="76"/>
        <v>108219442.12408906</v>
      </c>
      <c r="J126" s="331">
        <f t="shared" si="76"/>
        <v>0</v>
      </c>
      <c r="K126" s="331">
        <f t="shared" si="76"/>
        <v>0</v>
      </c>
      <c r="L126" s="331">
        <f t="shared" si="76"/>
        <v>0</v>
      </c>
      <c r="M126" s="331">
        <f t="shared" si="76"/>
        <v>0</v>
      </c>
      <c r="N126" s="331">
        <f t="shared" si="76"/>
        <v>0</v>
      </c>
      <c r="O126" s="331">
        <v>0</v>
      </c>
      <c r="P126" s="369">
        <f t="shared" si="58"/>
        <v>337859138.21154296</v>
      </c>
      <c r="Q126" s="358">
        <f>IF(ISNUMBER(IRR(D126:N126)),IRR(D126:N126),"NMF")</f>
        <v>0.63018709181444055</v>
      </c>
      <c r="R126" s="1" t="s">
        <v>707</v>
      </c>
    </row>
    <row r="127" spans="1:18" x14ac:dyDescent="0.15">
      <c r="R127" s="2"/>
    </row>
    <row r="128" spans="1:18" ht="14" thickBot="1" x14ac:dyDescent="0.2">
      <c r="R128" s="2"/>
    </row>
    <row r="129" spans="1:18" ht="14" thickBot="1" x14ac:dyDescent="0.2">
      <c r="B129" s="359" t="s">
        <v>282</v>
      </c>
      <c r="C129" s="360" t="s">
        <v>283</v>
      </c>
      <c r="D129" s="360"/>
      <c r="E129" s="360">
        <v>1</v>
      </c>
      <c r="F129" s="360">
        <v>2</v>
      </c>
      <c r="G129" s="360">
        <v>3</v>
      </c>
      <c r="H129" s="360">
        <v>4</v>
      </c>
      <c r="I129" s="360">
        <v>5</v>
      </c>
      <c r="J129" s="360">
        <v>6</v>
      </c>
      <c r="K129" s="360">
        <v>7</v>
      </c>
      <c r="L129" s="360">
        <v>8</v>
      </c>
      <c r="M129" s="360">
        <v>9</v>
      </c>
      <c r="N129" s="360">
        <v>10</v>
      </c>
      <c r="O129" s="360" t="s">
        <v>284</v>
      </c>
      <c r="P129" s="361" t="s">
        <v>285</v>
      </c>
      <c r="R129" s="2"/>
    </row>
    <row r="130" spans="1:18" x14ac:dyDescent="0.15">
      <c r="B130" s="339" t="s">
        <v>687</v>
      </c>
      <c r="C130" s="302" t="s">
        <v>287</v>
      </c>
      <c r="D130" s="322">
        <f>D158</f>
        <v>0</v>
      </c>
      <c r="E130" s="322">
        <f t="shared" ref="E130:N130" si="77">E158</f>
        <v>300000000</v>
      </c>
      <c r="F130" s="322">
        <f t="shared" si="77"/>
        <v>313500000.00000006</v>
      </c>
      <c r="G130" s="322">
        <f t="shared" si="77"/>
        <v>327607500.00000006</v>
      </c>
      <c r="H130" s="322">
        <f t="shared" si="77"/>
        <v>342349837.50000012</v>
      </c>
      <c r="I130" s="322">
        <f t="shared" si="77"/>
        <v>357755580.18750012</v>
      </c>
      <c r="J130" s="322">
        <f t="shared" si="77"/>
        <v>0</v>
      </c>
      <c r="K130" s="322">
        <f t="shared" si="77"/>
        <v>0</v>
      </c>
      <c r="L130" s="322">
        <f t="shared" si="77"/>
        <v>0</v>
      </c>
      <c r="M130" s="322">
        <f t="shared" si="77"/>
        <v>0</v>
      </c>
      <c r="N130" s="322">
        <f t="shared" si="77"/>
        <v>0</v>
      </c>
      <c r="O130" s="322">
        <v>0</v>
      </c>
      <c r="P130" s="368">
        <f t="shared" ref="P130:P154" si="78">SUM(E130:N130)</f>
        <v>1641212917.6875</v>
      </c>
      <c r="R130" s="2"/>
    </row>
    <row r="131" spans="1:18" x14ac:dyDescent="0.15">
      <c r="A131" s="1" t="s">
        <v>708</v>
      </c>
      <c r="B131" s="340" t="s">
        <v>689</v>
      </c>
      <c r="C131" s="354" t="s">
        <v>689</v>
      </c>
      <c r="D131" s="67">
        <f t="shared" ref="D131:N146" si="79">D159</f>
        <v>0</v>
      </c>
      <c r="E131" s="67">
        <f t="shared" si="79"/>
        <v>300000000</v>
      </c>
      <c r="F131" s="67">
        <f t="shared" si="79"/>
        <v>313500000.00000006</v>
      </c>
      <c r="G131" s="67">
        <f t="shared" si="79"/>
        <v>327607500.00000006</v>
      </c>
      <c r="H131" s="67">
        <f t="shared" si="79"/>
        <v>342349837.50000012</v>
      </c>
      <c r="I131" s="67">
        <f t="shared" si="79"/>
        <v>357755580.18750012</v>
      </c>
      <c r="J131" s="67">
        <f t="shared" si="79"/>
        <v>0</v>
      </c>
      <c r="K131" s="67">
        <f t="shared" si="79"/>
        <v>0</v>
      </c>
      <c r="L131" s="67">
        <f t="shared" si="79"/>
        <v>0</v>
      </c>
      <c r="M131" s="67">
        <f t="shared" si="79"/>
        <v>0</v>
      </c>
      <c r="N131" s="67">
        <f t="shared" si="79"/>
        <v>0</v>
      </c>
      <c r="O131" s="67"/>
      <c r="P131" s="369">
        <f t="shared" si="78"/>
        <v>1641212917.6875</v>
      </c>
      <c r="R131" s="2"/>
    </row>
    <row r="132" spans="1:18" x14ac:dyDescent="0.15">
      <c r="B132" s="340" t="s">
        <v>690</v>
      </c>
      <c r="C132" s="354" t="s">
        <v>690</v>
      </c>
      <c r="D132" s="67">
        <f t="shared" si="79"/>
        <v>0</v>
      </c>
      <c r="E132" s="67">
        <f t="shared" si="79"/>
        <v>0</v>
      </c>
      <c r="F132" s="67">
        <f t="shared" si="79"/>
        <v>0</v>
      </c>
      <c r="G132" s="67">
        <f t="shared" si="79"/>
        <v>0</v>
      </c>
      <c r="H132" s="67">
        <f t="shared" si="79"/>
        <v>0</v>
      </c>
      <c r="I132" s="67">
        <f t="shared" si="79"/>
        <v>0</v>
      </c>
      <c r="J132" s="67">
        <f t="shared" si="79"/>
        <v>0</v>
      </c>
      <c r="K132" s="67">
        <f t="shared" si="79"/>
        <v>0</v>
      </c>
      <c r="L132" s="67">
        <f t="shared" si="79"/>
        <v>0</v>
      </c>
      <c r="M132" s="67">
        <f t="shared" si="79"/>
        <v>0</v>
      </c>
      <c r="N132" s="67">
        <f t="shared" si="79"/>
        <v>0</v>
      </c>
      <c r="O132" s="294"/>
      <c r="P132" s="369">
        <f t="shared" si="78"/>
        <v>0</v>
      </c>
      <c r="R132" s="2"/>
    </row>
    <row r="133" spans="1:18" x14ac:dyDescent="0.15">
      <c r="B133" s="340" t="s">
        <v>691</v>
      </c>
      <c r="C133" s="354" t="s">
        <v>691</v>
      </c>
      <c r="D133" s="67">
        <f t="shared" si="79"/>
        <v>0</v>
      </c>
      <c r="E133" s="67">
        <f t="shared" si="79"/>
        <v>0</v>
      </c>
      <c r="F133" s="67">
        <f t="shared" si="79"/>
        <v>0</v>
      </c>
      <c r="G133" s="67">
        <f t="shared" si="79"/>
        <v>0</v>
      </c>
      <c r="H133" s="67">
        <f t="shared" si="79"/>
        <v>0</v>
      </c>
      <c r="I133" s="67">
        <f t="shared" si="79"/>
        <v>0</v>
      </c>
      <c r="J133" s="67">
        <f t="shared" si="79"/>
        <v>0</v>
      </c>
      <c r="K133" s="67">
        <f t="shared" si="79"/>
        <v>0</v>
      </c>
      <c r="L133" s="67">
        <f t="shared" si="79"/>
        <v>0</v>
      </c>
      <c r="M133" s="67">
        <f t="shared" si="79"/>
        <v>0</v>
      </c>
      <c r="N133" s="67">
        <f t="shared" si="79"/>
        <v>0</v>
      </c>
      <c r="O133" s="67"/>
      <c r="P133" s="369">
        <f t="shared" si="78"/>
        <v>0</v>
      </c>
      <c r="R133" s="2"/>
    </row>
    <row r="134" spans="1:18" x14ac:dyDescent="0.15">
      <c r="B134" s="340" t="s">
        <v>695</v>
      </c>
      <c r="C134" s="12"/>
      <c r="D134" s="67">
        <f t="shared" si="79"/>
        <v>0</v>
      </c>
      <c r="E134" s="67">
        <f t="shared" si="79"/>
        <v>300000000</v>
      </c>
      <c r="F134" s="67">
        <f t="shared" si="79"/>
        <v>313500000.00000006</v>
      </c>
      <c r="G134" s="67">
        <f t="shared" si="79"/>
        <v>327607500.00000006</v>
      </c>
      <c r="H134" s="67">
        <f t="shared" si="79"/>
        <v>342349837.50000012</v>
      </c>
      <c r="I134" s="67">
        <f t="shared" si="79"/>
        <v>357755580.18750012</v>
      </c>
      <c r="J134" s="67">
        <f t="shared" si="79"/>
        <v>0</v>
      </c>
      <c r="K134" s="67">
        <f t="shared" si="79"/>
        <v>0</v>
      </c>
      <c r="L134" s="67">
        <f t="shared" si="79"/>
        <v>0</v>
      </c>
      <c r="M134" s="67">
        <f t="shared" si="79"/>
        <v>0</v>
      </c>
      <c r="N134" s="67">
        <f t="shared" si="79"/>
        <v>0</v>
      </c>
      <c r="O134" s="67"/>
      <c r="P134" s="369">
        <f t="shared" si="78"/>
        <v>1641212917.6875</v>
      </c>
      <c r="R134" s="2"/>
    </row>
    <row r="135" spans="1:18" x14ac:dyDescent="0.15">
      <c r="B135" s="355" t="s">
        <v>696</v>
      </c>
      <c r="C135" s="335" t="s">
        <v>289</v>
      </c>
      <c r="D135" s="331">
        <f t="shared" si="79"/>
        <v>0</v>
      </c>
      <c r="E135" s="331">
        <f>E163*0.95</f>
        <v>218661500</v>
      </c>
      <c r="F135" s="331">
        <f t="shared" ref="F135:N135" si="80">F163*0.95</f>
        <v>240367456.25000003</v>
      </c>
      <c r="G135" s="331">
        <f t="shared" si="80"/>
        <v>264789432.52868757</v>
      </c>
      <c r="H135" s="331">
        <f t="shared" si="80"/>
        <v>292282676.30769163</v>
      </c>
      <c r="I135" s="331">
        <f t="shared" si="80"/>
        <v>323249438.04254436</v>
      </c>
      <c r="J135" s="331">
        <f t="shared" si="80"/>
        <v>0</v>
      </c>
      <c r="K135" s="331">
        <f t="shared" si="80"/>
        <v>0</v>
      </c>
      <c r="L135" s="331">
        <f t="shared" si="80"/>
        <v>0</v>
      </c>
      <c r="M135" s="331">
        <f t="shared" si="80"/>
        <v>0</v>
      </c>
      <c r="N135" s="331">
        <f t="shared" si="80"/>
        <v>0</v>
      </c>
      <c r="O135" s="331">
        <v>0</v>
      </c>
      <c r="P135" s="370">
        <f t="shared" si="78"/>
        <v>1339350503.1289237</v>
      </c>
      <c r="R135" s="2"/>
    </row>
    <row r="136" spans="1:18" x14ac:dyDescent="0.15">
      <c r="B136" s="340">
        <v>3</v>
      </c>
      <c r="C136" s="12" t="s">
        <v>290</v>
      </c>
      <c r="D136" s="67">
        <f t="shared" si="79"/>
        <v>0</v>
      </c>
      <c r="E136" s="67">
        <f>E134-E135</f>
        <v>81338500</v>
      </c>
      <c r="F136" s="67">
        <f t="shared" ref="F136:N136" si="81">F134-F135</f>
        <v>73132543.75000003</v>
      </c>
      <c r="G136" s="67">
        <f t="shared" si="81"/>
        <v>62818067.471312493</v>
      </c>
      <c r="H136" s="67">
        <f t="shared" si="81"/>
        <v>50067161.192308486</v>
      </c>
      <c r="I136" s="67">
        <f t="shared" si="81"/>
        <v>34506142.144955754</v>
      </c>
      <c r="J136" s="67">
        <f t="shared" si="81"/>
        <v>0</v>
      </c>
      <c r="K136" s="67">
        <f t="shared" si="81"/>
        <v>0</v>
      </c>
      <c r="L136" s="67">
        <f t="shared" si="81"/>
        <v>0</v>
      </c>
      <c r="M136" s="67">
        <f t="shared" si="81"/>
        <v>0</v>
      </c>
      <c r="N136" s="67">
        <f t="shared" si="81"/>
        <v>0</v>
      </c>
      <c r="O136" s="67">
        <v>0</v>
      </c>
      <c r="P136" s="369">
        <f t="shared" si="78"/>
        <v>301862414.55857676</v>
      </c>
      <c r="R136" s="2"/>
    </row>
    <row r="137" spans="1:18" x14ac:dyDescent="0.15">
      <c r="B137" s="340" t="s">
        <v>697</v>
      </c>
      <c r="C137" s="12" t="s">
        <v>292</v>
      </c>
      <c r="D137" s="67">
        <f t="shared" si="79"/>
        <v>0</v>
      </c>
      <c r="E137" s="67">
        <f t="shared" si="79"/>
        <v>3772500</v>
      </c>
      <c r="F137" s="67">
        <f t="shared" ref="F137:N137" si="82">F165</f>
        <v>6218850</v>
      </c>
      <c r="G137" s="67">
        <f t="shared" si="82"/>
        <v>4083150</v>
      </c>
      <c r="H137" s="67">
        <f t="shared" si="82"/>
        <v>2775510</v>
      </c>
      <c r="I137" s="67">
        <f t="shared" si="82"/>
        <v>1352955</v>
      </c>
      <c r="J137" s="67">
        <f t="shared" si="82"/>
        <v>0</v>
      </c>
      <c r="K137" s="67">
        <f t="shared" si="82"/>
        <v>0</v>
      </c>
      <c r="L137" s="67">
        <f t="shared" si="82"/>
        <v>0</v>
      </c>
      <c r="M137" s="67">
        <f t="shared" si="82"/>
        <v>0</v>
      </c>
      <c r="N137" s="67">
        <f t="shared" si="82"/>
        <v>0</v>
      </c>
      <c r="O137" s="67">
        <v>0</v>
      </c>
      <c r="P137" s="369">
        <f t="shared" si="78"/>
        <v>18202965</v>
      </c>
      <c r="R137" s="2"/>
    </row>
    <row r="138" spans="1:18" x14ac:dyDescent="0.15">
      <c r="B138" s="340">
        <v>5</v>
      </c>
      <c r="C138" s="12" t="s">
        <v>293</v>
      </c>
      <c r="D138" s="67">
        <f t="shared" si="79"/>
        <v>0</v>
      </c>
      <c r="E138" s="67">
        <f>E136-E137</f>
        <v>77566000</v>
      </c>
      <c r="F138" s="67">
        <f t="shared" ref="F138:N138" si="83">F136-F137</f>
        <v>66913693.75000003</v>
      </c>
      <c r="G138" s="67">
        <f t="shared" si="83"/>
        <v>58734917.471312493</v>
      </c>
      <c r="H138" s="67">
        <f t="shared" si="83"/>
        <v>47291651.192308486</v>
      </c>
      <c r="I138" s="67">
        <f t="shared" si="83"/>
        <v>33153187.144955754</v>
      </c>
      <c r="J138" s="67">
        <f t="shared" si="83"/>
        <v>0</v>
      </c>
      <c r="K138" s="67">
        <f t="shared" si="83"/>
        <v>0</v>
      </c>
      <c r="L138" s="67">
        <f t="shared" si="83"/>
        <v>0</v>
      </c>
      <c r="M138" s="67">
        <f t="shared" si="83"/>
        <v>0</v>
      </c>
      <c r="N138" s="67">
        <f t="shared" si="83"/>
        <v>0</v>
      </c>
      <c r="O138" s="67">
        <v>0</v>
      </c>
      <c r="P138" s="369">
        <f t="shared" si="78"/>
        <v>283659449.55857676</v>
      </c>
      <c r="R138" s="2"/>
    </row>
    <row r="139" spans="1:18" x14ac:dyDescent="0.15">
      <c r="B139" s="340" t="s">
        <v>698</v>
      </c>
      <c r="C139" s="12" t="s">
        <v>295</v>
      </c>
      <c r="D139" s="67">
        <f t="shared" si="79"/>
        <v>0</v>
      </c>
      <c r="E139" s="67">
        <f t="shared" si="79"/>
        <v>0</v>
      </c>
      <c r="F139" s="67">
        <f t="shared" si="79"/>
        <v>0</v>
      </c>
      <c r="G139" s="67">
        <f t="shared" si="79"/>
        <v>0</v>
      </c>
      <c r="H139" s="67">
        <f t="shared" si="79"/>
        <v>0</v>
      </c>
      <c r="I139" s="67">
        <f t="shared" si="79"/>
        <v>0</v>
      </c>
      <c r="J139" s="67">
        <f t="shared" si="79"/>
        <v>0</v>
      </c>
      <c r="K139" s="67">
        <f t="shared" si="79"/>
        <v>0</v>
      </c>
      <c r="L139" s="67">
        <f t="shared" si="79"/>
        <v>0</v>
      </c>
      <c r="M139" s="67">
        <f t="shared" si="79"/>
        <v>0</v>
      </c>
      <c r="N139" s="67">
        <f t="shared" si="79"/>
        <v>0</v>
      </c>
      <c r="O139" s="67">
        <v>0</v>
      </c>
      <c r="P139" s="369">
        <f t="shared" si="78"/>
        <v>0</v>
      </c>
      <c r="R139" s="2"/>
    </row>
    <row r="140" spans="1:18" x14ac:dyDescent="0.15">
      <c r="B140" s="340">
        <v>7</v>
      </c>
      <c r="C140" s="12" t="s">
        <v>296</v>
      </c>
      <c r="D140" s="67">
        <f t="shared" si="79"/>
        <v>0</v>
      </c>
      <c r="E140" s="67">
        <f>E138-E139</f>
        <v>77566000</v>
      </c>
      <c r="F140" s="67">
        <f t="shared" ref="F140:N140" si="84">F138-F139</f>
        <v>66913693.75000003</v>
      </c>
      <c r="G140" s="67">
        <f t="shared" si="84"/>
        <v>58734917.471312493</v>
      </c>
      <c r="H140" s="67">
        <f t="shared" si="84"/>
        <v>47291651.192308486</v>
      </c>
      <c r="I140" s="67">
        <f t="shared" si="84"/>
        <v>33153187.144955754</v>
      </c>
      <c r="J140" s="67">
        <f t="shared" si="84"/>
        <v>0</v>
      </c>
      <c r="K140" s="67">
        <f t="shared" si="84"/>
        <v>0</v>
      </c>
      <c r="L140" s="67">
        <f t="shared" si="84"/>
        <v>0</v>
      </c>
      <c r="M140" s="67">
        <f t="shared" si="84"/>
        <v>0</v>
      </c>
      <c r="N140" s="67">
        <f t="shared" si="84"/>
        <v>0</v>
      </c>
      <c r="O140" s="67">
        <v>0</v>
      </c>
      <c r="P140" s="369">
        <f t="shared" si="78"/>
        <v>283659449.55857676</v>
      </c>
      <c r="R140" s="2"/>
    </row>
    <row r="141" spans="1:18" x14ac:dyDescent="0.15">
      <c r="B141" s="340">
        <v>8</v>
      </c>
      <c r="C141" s="12" t="s">
        <v>297</v>
      </c>
      <c r="D141" s="67">
        <f t="shared" si="79"/>
        <v>0</v>
      </c>
      <c r="E141" s="67">
        <f>-E140*$D$3</f>
        <v>-23269800</v>
      </c>
      <c r="F141" s="67">
        <f t="shared" ref="F141:N141" si="85">-F140*$D$3</f>
        <v>-20074108.125000007</v>
      </c>
      <c r="G141" s="67">
        <f t="shared" si="85"/>
        <v>-17620475.241393749</v>
      </c>
      <c r="H141" s="67">
        <f t="shared" si="85"/>
        <v>-14187495.357692545</v>
      </c>
      <c r="I141" s="67">
        <f t="shared" si="85"/>
        <v>-9945956.1434867252</v>
      </c>
      <c r="J141" s="67">
        <f t="shared" si="85"/>
        <v>0</v>
      </c>
      <c r="K141" s="67">
        <f t="shared" si="85"/>
        <v>0</v>
      </c>
      <c r="L141" s="67">
        <f t="shared" si="85"/>
        <v>0</v>
      </c>
      <c r="M141" s="67">
        <f t="shared" si="85"/>
        <v>0</v>
      </c>
      <c r="N141" s="67">
        <f t="shared" si="85"/>
        <v>0</v>
      </c>
      <c r="O141" s="67">
        <v>0</v>
      </c>
      <c r="P141" s="369">
        <f t="shared" si="78"/>
        <v>-85097834.867573023</v>
      </c>
      <c r="R141" s="2"/>
    </row>
    <row r="142" spans="1:18" x14ac:dyDescent="0.15">
      <c r="B142" s="340">
        <v>9</v>
      </c>
      <c r="C142" s="12" t="s">
        <v>298</v>
      </c>
      <c r="D142" s="67">
        <f t="shared" si="79"/>
        <v>0</v>
      </c>
      <c r="E142" s="67">
        <f t="shared" si="79"/>
        <v>0</v>
      </c>
      <c r="F142" s="67">
        <f t="shared" ref="F142:N142" si="86">F170</f>
        <v>0</v>
      </c>
      <c r="G142" s="67">
        <f t="shared" si="86"/>
        <v>0</v>
      </c>
      <c r="H142" s="67">
        <f t="shared" si="86"/>
        <v>0</v>
      </c>
      <c r="I142" s="67">
        <f t="shared" si="86"/>
        <v>0</v>
      </c>
      <c r="J142" s="67">
        <f t="shared" si="86"/>
        <v>0</v>
      </c>
      <c r="K142" s="67">
        <f t="shared" si="86"/>
        <v>0</v>
      </c>
      <c r="L142" s="67">
        <f t="shared" si="86"/>
        <v>0</v>
      </c>
      <c r="M142" s="67">
        <f t="shared" si="86"/>
        <v>0</v>
      </c>
      <c r="N142" s="67">
        <f t="shared" si="86"/>
        <v>0</v>
      </c>
      <c r="O142" s="67">
        <v>0</v>
      </c>
      <c r="P142" s="369">
        <f t="shared" si="78"/>
        <v>0</v>
      </c>
      <c r="R142" s="2"/>
    </row>
    <row r="143" spans="1:18" x14ac:dyDescent="0.15">
      <c r="B143" s="340">
        <v>10</v>
      </c>
      <c r="C143" s="12" t="s">
        <v>299</v>
      </c>
      <c r="D143" s="67">
        <f t="shared" si="79"/>
        <v>0</v>
      </c>
      <c r="E143" s="67">
        <f>E140+E141+E142</f>
        <v>54296200</v>
      </c>
      <c r="F143" s="67">
        <f t="shared" ref="F143:N143" si="87">F140+F141+F142</f>
        <v>46839585.625000022</v>
      </c>
      <c r="G143" s="67">
        <f t="shared" si="87"/>
        <v>41114442.229918748</v>
      </c>
      <c r="H143" s="67">
        <f t="shared" si="87"/>
        <v>33104155.834615938</v>
      </c>
      <c r="I143" s="67">
        <f t="shared" si="87"/>
        <v>23207231.001469031</v>
      </c>
      <c r="J143" s="67">
        <f t="shared" si="87"/>
        <v>0</v>
      </c>
      <c r="K143" s="67">
        <f t="shared" si="87"/>
        <v>0</v>
      </c>
      <c r="L143" s="67">
        <f t="shared" si="87"/>
        <v>0</v>
      </c>
      <c r="M143" s="67">
        <f t="shared" si="87"/>
        <v>0</v>
      </c>
      <c r="N143" s="67">
        <f t="shared" si="87"/>
        <v>0</v>
      </c>
      <c r="O143" s="67">
        <v>0</v>
      </c>
      <c r="P143" s="369">
        <f t="shared" si="78"/>
        <v>198561614.69100374</v>
      </c>
      <c r="R143" s="2"/>
    </row>
    <row r="144" spans="1:18" x14ac:dyDescent="0.15">
      <c r="B144" s="340" t="s">
        <v>699</v>
      </c>
      <c r="C144" s="12" t="s">
        <v>292</v>
      </c>
      <c r="D144" s="67">
        <f t="shared" si="79"/>
        <v>0</v>
      </c>
      <c r="E144" s="67">
        <f t="shared" si="79"/>
        <v>3772500</v>
      </c>
      <c r="F144" s="67">
        <f t="shared" si="79"/>
        <v>6218850</v>
      </c>
      <c r="G144" s="67">
        <f t="shared" si="79"/>
        <v>4083150</v>
      </c>
      <c r="H144" s="67">
        <f t="shared" si="79"/>
        <v>2775510</v>
      </c>
      <c r="I144" s="67">
        <f t="shared" si="79"/>
        <v>1352955</v>
      </c>
      <c r="J144" s="67">
        <f t="shared" si="79"/>
        <v>0</v>
      </c>
      <c r="K144" s="67">
        <f t="shared" si="79"/>
        <v>0</v>
      </c>
      <c r="L144" s="67">
        <f t="shared" si="79"/>
        <v>0</v>
      </c>
      <c r="M144" s="67">
        <f t="shared" si="79"/>
        <v>0</v>
      </c>
      <c r="N144" s="67">
        <f t="shared" si="79"/>
        <v>0</v>
      </c>
      <c r="O144" s="67">
        <v>0</v>
      </c>
      <c r="P144" s="369">
        <f t="shared" si="78"/>
        <v>18202965</v>
      </c>
      <c r="R144" s="2"/>
    </row>
    <row r="145" spans="1:18" x14ac:dyDescent="0.15">
      <c r="B145" s="340">
        <v>12</v>
      </c>
      <c r="C145" s="12" t="s">
        <v>301</v>
      </c>
      <c r="D145" s="67">
        <f t="shared" si="79"/>
        <v>0</v>
      </c>
      <c r="E145" s="67">
        <f>E143+E144</f>
        <v>58068700</v>
      </c>
      <c r="F145" s="67">
        <f t="shared" ref="F145:N145" si="88">F143+F144</f>
        <v>53058435.625000022</v>
      </c>
      <c r="G145" s="67">
        <f t="shared" si="88"/>
        <v>45197592.229918748</v>
      </c>
      <c r="H145" s="67">
        <f t="shared" si="88"/>
        <v>35879665.834615938</v>
      </c>
      <c r="I145" s="67">
        <f t="shared" si="88"/>
        <v>24560186.001469031</v>
      </c>
      <c r="J145" s="67">
        <f t="shared" si="88"/>
        <v>0</v>
      </c>
      <c r="K145" s="67">
        <f t="shared" si="88"/>
        <v>0</v>
      </c>
      <c r="L145" s="67">
        <f t="shared" si="88"/>
        <v>0</v>
      </c>
      <c r="M145" s="67">
        <f t="shared" si="88"/>
        <v>0</v>
      </c>
      <c r="N145" s="67">
        <f t="shared" si="88"/>
        <v>0</v>
      </c>
      <c r="O145" s="67">
        <v>0</v>
      </c>
      <c r="P145" s="369">
        <f t="shared" si="78"/>
        <v>216764579.69100374</v>
      </c>
      <c r="R145" s="2"/>
    </row>
    <row r="146" spans="1:18" x14ac:dyDescent="0.15">
      <c r="B146" s="340" t="s">
        <v>700</v>
      </c>
      <c r="C146" s="12" t="s">
        <v>303</v>
      </c>
      <c r="D146" s="67">
        <f t="shared" si="79"/>
        <v>0</v>
      </c>
      <c r="E146" s="67">
        <f t="shared" si="79"/>
        <v>0</v>
      </c>
      <c r="F146" s="67">
        <f t="shared" si="79"/>
        <v>0</v>
      </c>
      <c r="G146" s="67">
        <f t="shared" si="79"/>
        <v>0</v>
      </c>
      <c r="H146" s="67">
        <f t="shared" si="79"/>
        <v>0</v>
      </c>
      <c r="I146" s="67">
        <f t="shared" si="79"/>
        <v>0</v>
      </c>
      <c r="J146" s="67">
        <f t="shared" si="79"/>
        <v>0</v>
      </c>
      <c r="K146" s="67">
        <f t="shared" si="79"/>
        <v>0</v>
      </c>
      <c r="L146" s="67">
        <f t="shared" si="79"/>
        <v>0</v>
      </c>
      <c r="M146" s="67">
        <f t="shared" si="79"/>
        <v>0</v>
      </c>
      <c r="N146" s="67">
        <f t="shared" si="79"/>
        <v>0</v>
      </c>
      <c r="O146" s="67">
        <v>0</v>
      </c>
      <c r="P146" s="369">
        <f t="shared" si="78"/>
        <v>0</v>
      </c>
      <c r="R146" s="2"/>
    </row>
    <row r="147" spans="1:18" x14ac:dyDescent="0.15">
      <c r="B147" s="340">
        <v>14</v>
      </c>
      <c r="C147" s="12" t="s">
        <v>304</v>
      </c>
      <c r="D147" s="67">
        <f t="shared" ref="D147:N147" si="89">D175</f>
        <v>-32550000</v>
      </c>
      <c r="E147" s="67">
        <f t="shared" si="89"/>
        <v>0</v>
      </c>
      <c r="F147" s="67">
        <f t="shared" si="89"/>
        <v>0</v>
      </c>
      <c r="G147" s="67">
        <f t="shared" si="89"/>
        <v>0</v>
      </c>
      <c r="H147" s="67">
        <f t="shared" si="89"/>
        <v>0</v>
      </c>
      <c r="I147" s="67">
        <f t="shared" si="89"/>
        <v>14347035</v>
      </c>
      <c r="J147" s="67">
        <f t="shared" si="89"/>
        <v>0</v>
      </c>
      <c r="K147" s="67">
        <f t="shared" si="89"/>
        <v>0</v>
      </c>
      <c r="L147" s="67">
        <f t="shared" si="89"/>
        <v>0</v>
      </c>
      <c r="M147" s="67">
        <f t="shared" si="89"/>
        <v>0</v>
      </c>
      <c r="N147" s="67">
        <f t="shared" si="89"/>
        <v>0</v>
      </c>
      <c r="O147" s="67">
        <v>0</v>
      </c>
      <c r="P147" s="369">
        <f t="shared" si="78"/>
        <v>14347035</v>
      </c>
      <c r="R147" s="2"/>
    </row>
    <row r="148" spans="1:18" x14ac:dyDescent="0.15">
      <c r="B148" s="340" t="s">
        <v>701</v>
      </c>
      <c r="C148" s="12" t="s">
        <v>207</v>
      </c>
      <c r="D148" s="67">
        <f t="shared" ref="D148:N148" si="90">D176</f>
        <v>-31050000</v>
      </c>
      <c r="E148" s="67">
        <f t="shared" si="90"/>
        <v>0</v>
      </c>
      <c r="F148" s="67">
        <f t="shared" si="90"/>
        <v>0</v>
      </c>
      <c r="G148" s="67">
        <f t="shared" si="90"/>
        <v>0</v>
      </c>
      <c r="H148" s="67">
        <f t="shared" si="90"/>
        <v>0</v>
      </c>
      <c r="I148" s="67">
        <f t="shared" si="90"/>
        <v>12847035</v>
      </c>
      <c r="J148" s="67">
        <f t="shared" si="90"/>
        <v>0</v>
      </c>
      <c r="K148" s="67">
        <f t="shared" si="90"/>
        <v>0</v>
      </c>
      <c r="L148" s="67">
        <f t="shared" si="90"/>
        <v>0</v>
      </c>
      <c r="M148" s="67">
        <f t="shared" si="90"/>
        <v>0</v>
      </c>
      <c r="N148" s="67">
        <f t="shared" si="90"/>
        <v>0</v>
      </c>
      <c r="O148" s="67">
        <v>0</v>
      </c>
      <c r="P148" s="369">
        <f t="shared" si="78"/>
        <v>12847035</v>
      </c>
      <c r="R148" s="2"/>
    </row>
    <row r="149" spans="1:18" x14ac:dyDescent="0.15">
      <c r="B149" s="340" t="s">
        <v>702</v>
      </c>
      <c r="C149" s="12" t="s">
        <v>307</v>
      </c>
      <c r="D149" s="67">
        <f t="shared" ref="D149:N149" si="91">D177</f>
        <v>-1500000</v>
      </c>
      <c r="E149" s="67">
        <f t="shared" si="91"/>
        <v>0</v>
      </c>
      <c r="F149" s="67">
        <f t="shared" si="91"/>
        <v>0</v>
      </c>
      <c r="G149" s="67">
        <f t="shared" si="91"/>
        <v>0</v>
      </c>
      <c r="H149" s="67">
        <f t="shared" si="91"/>
        <v>0</v>
      </c>
      <c r="I149" s="67">
        <f t="shared" si="91"/>
        <v>1500000</v>
      </c>
      <c r="J149" s="67">
        <f t="shared" si="91"/>
        <v>0</v>
      </c>
      <c r="K149" s="67">
        <f t="shared" si="91"/>
        <v>0</v>
      </c>
      <c r="L149" s="67">
        <f t="shared" si="91"/>
        <v>0</v>
      </c>
      <c r="M149" s="67">
        <f t="shared" si="91"/>
        <v>0</v>
      </c>
      <c r="N149" s="67">
        <f t="shared" si="91"/>
        <v>0</v>
      </c>
      <c r="O149" s="67">
        <v>0</v>
      </c>
      <c r="P149" s="369">
        <f t="shared" si="78"/>
        <v>1500000</v>
      </c>
      <c r="R149" s="2"/>
    </row>
    <row r="150" spans="1:18" x14ac:dyDescent="0.15">
      <c r="B150" s="340" t="s">
        <v>703</v>
      </c>
      <c r="C150" s="12" t="s">
        <v>309</v>
      </c>
      <c r="D150" s="67">
        <f t="shared" ref="D150:N150" si="92">D178</f>
        <v>0</v>
      </c>
      <c r="E150" s="67">
        <f t="shared" si="92"/>
        <v>0</v>
      </c>
      <c r="F150" s="67">
        <f t="shared" si="92"/>
        <v>0</v>
      </c>
      <c r="G150" s="67">
        <f t="shared" si="92"/>
        <v>0</v>
      </c>
      <c r="H150" s="67">
        <f t="shared" si="92"/>
        <v>0</v>
      </c>
      <c r="I150" s="67">
        <f t="shared" si="92"/>
        <v>0</v>
      </c>
      <c r="J150" s="67">
        <f t="shared" si="92"/>
        <v>0</v>
      </c>
      <c r="K150" s="67">
        <f t="shared" si="92"/>
        <v>0</v>
      </c>
      <c r="L150" s="67">
        <f t="shared" si="92"/>
        <v>0</v>
      </c>
      <c r="M150" s="67">
        <f t="shared" si="92"/>
        <v>0</v>
      </c>
      <c r="N150" s="67">
        <f t="shared" si="92"/>
        <v>0</v>
      </c>
      <c r="O150" s="67">
        <v>0</v>
      </c>
      <c r="P150" s="369">
        <f t="shared" si="78"/>
        <v>0</v>
      </c>
      <c r="R150" s="2"/>
    </row>
    <row r="151" spans="1:18" x14ac:dyDescent="0.15">
      <c r="B151" s="340" t="s">
        <v>704</v>
      </c>
      <c r="C151" s="12" t="s">
        <v>311</v>
      </c>
      <c r="D151" s="67">
        <f t="shared" ref="D151:N151" si="93">D179</f>
        <v>0</v>
      </c>
      <c r="E151" s="67">
        <f t="shared" si="93"/>
        <v>0</v>
      </c>
      <c r="F151" s="67">
        <f t="shared" si="93"/>
        <v>0</v>
      </c>
      <c r="G151" s="67">
        <f t="shared" si="93"/>
        <v>0</v>
      </c>
      <c r="H151" s="67">
        <f t="shared" si="93"/>
        <v>0</v>
      </c>
      <c r="I151" s="67">
        <f t="shared" si="93"/>
        <v>-2596968.7000000002</v>
      </c>
      <c r="J151" s="67">
        <f t="shared" si="93"/>
        <v>0</v>
      </c>
      <c r="K151" s="67">
        <f t="shared" si="93"/>
        <v>0</v>
      </c>
      <c r="L151" s="67">
        <f t="shared" si="93"/>
        <v>0</v>
      </c>
      <c r="M151" s="67">
        <f t="shared" si="93"/>
        <v>0</v>
      </c>
      <c r="N151" s="67">
        <f t="shared" si="93"/>
        <v>0</v>
      </c>
      <c r="O151" s="67">
        <v>0</v>
      </c>
      <c r="P151" s="369">
        <f t="shared" si="78"/>
        <v>-2596968.7000000002</v>
      </c>
      <c r="R151" s="2"/>
    </row>
    <row r="152" spans="1:18" ht="14" thickBot="1" x14ac:dyDescent="0.2">
      <c r="B152" s="340" t="s">
        <v>705</v>
      </c>
      <c r="C152" s="12" t="s">
        <v>115</v>
      </c>
      <c r="D152" s="67">
        <f t="shared" ref="D152:N152" si="94">D180</f>
        <v>-60000000</v>
      </c>
      <c r="E152" s="67">
        <f t="shared" si="94"/>
        <v>0</v>
      </c>
      <c r="F152" s="67">
        <f t="shared" si="94"/>
        <v>0</v>
      </c>
      <c r="G152" s="67">
        <f t="shared" si="94"/>
        <v>0</v>
      </c>
      <c r="H152" s="67">
        <f t="shared" si="94"/>
        <v>0</v>
      </c>
      <c r="I152" s="67">
        <f t="shared" si="94"/>
        <v>60000000</v>
      </c>
      <c r="J152" s="67">
        <f t="shared" si="94"/>
        <v>0</v>
      </c>
      <c r="K152" s="67">
        <f t="shared" si="94"/>
        <v>0</v>
      </c>
      <c r="L152" s="67">
        <f t="shared" si="94"/>
        <v>0</v>
      </c>
      <c r="M152" s="67">
        <f t="shared" si="94"/>
        <v>0</v>
      </c>
      <c r="N152" s="67">
        <f t="shared" si="94"/>
        <v>0</v>
      </c>
      <c r="O152" s="67">
        <v>0</v>
      </c>
      <c r="P152" s="369">
        <f t="shared" si="78"/>
        <v>60000000</v>
      </c>
      <c r="R152" s="2"/>
    </row>
    <row r="153" spans="1:18" x14ac:dyDescent="0.15">
      <c r="B153" s="340">
        <v>17</v>
      </c>
      <c r="C153" s="12" t="s">
        <v>313</v>
      </c>
      <c r="D153" s="67">
        <f t="shared" ref="D153:N153" si="95">D181</f>
        <v>-92550000</v>
      </c>
      <c r="E153" s="67">
        <f t="shared" si="95"/>
        <v>0</v>
      </c>
      <c r="F153" s="67">
        <f t="shared" si="95"/>
        <v>0</v>
      </c>
      <c r="G153" s="67">
        <f t="shared" si="95"/>
        <v>0</v>
      </c>
      <c r="H153" s="67">
        <f t="shared" si="95"/>
        <v>0</v>
      </c>
      <c r="I153" s="67">
        <f t="shared" si="95"/>
        <v>71750066.299999997</v>
      </c>
      <c r="J153" s="67">
        <f t="shared" si="95"/>
        <v>0</v>
      </c>
      <c r="K153" s="67">
        <f t="shared" si="95"/>
        <v>0</v>
      </c>
      <c r="L153" s="67">
        <f t="shared" si="95"/>
        <v>0</v>
      </c>
      <c r="M153" s="67">
        <f t="shared" si="95"/>
        <v>0</v>
      </c>
      <c r="N153" s="67">
        <f t="shared" si="95"/>
        <v>0</v>
      </c>
      <c r="O153" s="67">
        <v>0</v>
      </c>
      <c r="P153" s="369">
        <f t="shared" si="78"/>
        <v>71750066.299999997</v>
      </c>
      <c r="Q153" s="357" t="s">
        <v>693</v>
      </c>
      <c r="R153" s="2"/>
    </row>
    <row r="154" spans="1:18" ht="14" thickBot="1" x14ac:dyDescent="0.2">
      <c r="A154" s="1" t="s">
        <v>708</v>
      </c>
      <c r="B154" s="355">
        <v>18</v>
      </c>
      <c r="C154" s="335" t="s">
        <v>314</v>
      </c>
      <c r="D154" s="331">
        <f>D153+D145</f>
        <v>-92550000</v>
      </c>
      <c r="E154" s="331">
        <f t="shared" ref="E154:N154" si="96">E153+E145</f>
        <v>58068700</v>
      </c>
      <c r="F154" s="331">
        <f t="shared" si="96"/>
        <v>53058435.625000022</v>
      </c>
      <c r="G154" s="331">
        <f t="shared" si="96"/>
        <v>45197592.229918748</v>
      </c>
      <c r="H154" s="331">
        <f t="shared" si="96"/>
        <v>35879665.834615938</v>
      </c>
      <c r="I154" s="331">
        <f t="shared" si="96"/>
        <v>96310252.301469028</v>
      </c>
      <c r="J154" s="331">
        <f t="shared" si="96"/>
        <v>0</v>
      </c>
      <c r="K154" s="331">
        <f t="shared" si="96"/>
        <v>0</v>
      </c>
      <c r="L154" s="331">
        <f t="shared" si="96"/>
        <v>0</v>
      </c>
      <c r="M154" s="331">
        <f t="shared" si="96"/>
        <v>0</v>
      </c>
      <c r="N154" s="331">
        <f t="shared" si="96"/>
        <v>0</v>
      </c>
      <c r="O154" s="331">
        <v>0</v>
      </c>
      <c r="P154" s="369">
        <f t="shared" si="78"/>
        <v>288514645.99100375</v>
      </c>
      <c r="Q154" s="358">
        <f>IF(ISNUMBER(IRR(D154:N154)),IRR(D154:N154),"NMF")</f>
        <v>0.52058261799260319</v>
      </c>
      <c r="R154" s="1" t="s">
        <v>708</v>
      </c>
    </row>
    <row r="155" spans="1:18" x14ac:dyDescent="0.15">
      <c r="R155" s="2"/>
    </row>
    <row r="156" spans="1:18" ht="14" thickBot="1" x14ac:dyDescent="0.2">
      <c r="R156" s="2"/>
    </row>
    <row r="157" spans="1:18" ht="14" thickBot="1" x14ac:dyDescent="0.2">
      <c r="B157" s="359" t="s">
        <v>282</v>
      </c>
      <c r="C157" s="360" t="s">
        <v>283</v>
      </c>
      <c r="D157" s="360"/>
      <c r="E157" s="360">
        <v>1</v>
      </c>
      <c r="F157" s="360">
        <v>2</v>
      </c>
      <c r="G157" s="360">
        <v>3</v>
      </c>
      <c r="H157" s="360">
        <v>4</v>
      </c>
      <c r="I157" s="360">
        <v>5</v>
      </c>
      <c r="J157" s="360">
        <v>6</v>
      </c>
      <c r="K157" s="360">
        <v>7</v>
      </c>
      <c r="L157" s="360">
        <v>8</v>
      </c>
      <c r="M157" s="360">
        <v>9</v>
      </c>
      <c r="N157" s="360">
        <v>10</v>
      </c>
      <c r="O157" s="360" t="s">
        <v>284</v>
      </c>
      <c r="P157" s="361" t="s">
        <v>285</v>
      </c>
      <c r="R157" s="2"/>
    </row>
    <row r="158" spans="1:18" ht="14" thickBot="1" x14ac:dyDescent="0.2">
      <c r="B158" s="339" t="s">
        <v>687</v>
      </c>
      <c r="C158" s="302" t="s">
        <v>287</v>
      </c>
      <c r="D158" s="322">
        <f>'After Tax Analysis'!D8</f>
        <v>0</v>
      </c>
      <c r="E158" s="322">
        <f>'After Tax Analysis'!E8</f>
        <v>300000000</v>
      </c>
      <c r="F158" s="322">
        <f>'After Tax Analysis'!F8</f>
        <v>313500000.00000006</v>
      </c>
      <c r="G158" s="322">
        <f>'After Tax Analysis'!G8</f>
        <v>327607500.00000006</v>
      </c>
      <c r="H158" s="322">
        <f>'After Tax Analysis'!H8</f>
        <v>342349837.50000012</v>
      </c>
      <c r="I158" s="322">
        <f>'After Tax Analysis'!I8</f>
        <v>357755580.18750012</v>
      </c>
      <c r="J158" s="322">
        <f>'After Tax Analysis'!J8</f>
        <v>0</v>
      </c>
      <c r="K158" s="322">
        <f>'After Tax Analysis'!K8</f>
        <v>0</v>
      </c>
      <c r="L158" s="322">
        <f>'After Tax Analysis'!L8</f>
        <v>0</v>
      </c>
      <c r="M158" s="322">
        <f>'After Tax Analysis'!M8</f>
        <v>0</v>
      </c>
      <c r="N158" s="322">
        <f>'After Tax Analysis'!N8</f>
        <v>0</v>
      </c>
      <c r="O158" s="322">
        <v>0</v>
      </c>
      <c r="P158" s="325">
        <f>SUM(D158:N158)</f>
        <v>1641212917.6875</v>
      </c>
      <c r="R158" s="2"/>
    </row>
    <row r="159" spans="1:18" ht="14" thickBot="1" x14ac:dyDescent="0.2">
      <c r="A159" s="1" t="s">
        <v>417</v>
      </c>
      <c r="B159" s="340" t="s">
        <v>689</v>
      </c>
      <c r="C159" s="354" t="s">
        <v>689</v>
      </c>
      <c r="D159" s="67"/>
      <c r="E159" s="67">
        <f>Revenues!D9</f>
        <v>300000000</v>
      </c>
      <c r="F159" s="67">
        <f>Revenues!E9</f>
        <v>313500000.00000006</v>
      </c>
      <c r="G159" s="67">
        <f>Revenues!F9</f>
        <v>327607500.00000006</v>
      </c>
      <c r="H159" s="67">
        <f>Revenues!G9</f>
        <v>342349837.50000012</v>
      </c>
      <c r="I159" s="67">
        <f>Revenues!H9</f>
        <v>357755580.18750012</v>
      </c>
      <c r="J159" s="67">
        <f>Revenues!I9</f>
        <v>0</v>
      </c>
      <c r="K159" s="67">
        <f>Revenues!J9</f>
        <v>0</v>
      </c>
      <c r="L159" s="67">
        <f>Revenues!K9</f>
        <v>0</v>
      </c>
      <c r="M159" s="67">
        <f>Revenues!L9</f>
        <v>0</v>
      </c>
      <c r="N159" s="67">
        <f>Revenues!M9</f>
        <v>0</v>
      </c>
      <c r="O159" s="67"/>
      <c r="P159" s="325">
        <f t="shared" ref="P159:P185" si="97">SUM(D159:N159)</f>
        <v>1641212917.6875</v>
      </c>
      <c r="R159" s="2"/>
    </row>
    <row r="160" spans="1:18" ht="14" thickBot="1" x14ac:dyDescent="0.2">
      <c r="B160" s="340" t="s">
        <v>690</v>
      </c>
      <c r="C160" s="354" t="s">
        <v>690</v>
      </c>
      <c r="D160" s="67"/>
      <c r="E160" s="67">
        <f>Revenues!D16</f>
        <v>0</v>
      </c>
      <c r="F160" s="67">
        <f>Revenues!E16</f>
        <v>0</v>
      </c>
      <c r="G160" s="67">
        <f>Revenues!F16</f>
        <v>0</v>
      </c>
      <c r="H160" s="67">
        <f>Revenues!G16</f>
        <v>0</v>
      </c>
      <c r="I160" s="67">
        <f>Revenues!H16</f>
        <v>0</v>
      </c>
      <c r="J160" s="67">
        <f>Revenues!I16</f>
        <v>0</v>
      </c>
      <c r="K160" s="67">
        <f>Revenues!J16</f>
        <v>0</v>
      </c>
      <c r="L160" s="67">
        <f>Revenues!K16</f>
        <v>0</v>
      </c>
      <c r="M160" s="67">
        <f>Revenues!L16</f>
        <v>0</v>
      </c>
      <c r="N160" s="67">
        <f>Revenues!M16</f>
        <v>0</v>
      </c>
      <c r="O160" s="67"/>
      <c r="P160" s="325">
        <f t="shared" si="97"/>
        <v>0</v>
      </c>
      <c r="R160" s="2"/>
    </row>
    <row r="161" spans="2:18" ht="14" thickBot="1" x14ac:dyDescent="0.2">
      <c r="B161" s="340" t="s">
        <v>691</v>
      </c>
      <c r="C161" s="354" t="s">
        <v>691</v>
      </c>
      <c r="D161" s="67"/>
      <c r="E161" s="67">
        <f>Revenues!D23</f>
        <v>0</v>
      </c>
      <c r="F161" s="67">
        <f>Revenues!E23</f>
        <v>0</v>
      </c>
      <c r="G161" s="67">
        <f>Revenues!F23</f>
        <v>0</v>
      </c>
      <c r="H161" s="67">
        <f>Revenues!G23</f>
        <v>0</v>
      </c>
      <c r="I161" s="67">
        <f>Revenues!H23</f>
        <v>0</v>
      </c>
      <c r="J161" s="67">
        <f>Revenues!I23</f>
        <v>0</v>
      </c>
      <c r="K161" s="67">
        <f>Revenues!J23</f>
        <v>0</v>
      </c>
      <c r="L161" s="67">
        <f>Revenues!K23</f>
        <v>0</v>
      </c>
      <c r="M161" s="67">
        <f>Revenues!L23</f>
        <v>0</v>
      </c>
      <c r="N161" s="67">
        <f>Revenues!M23</f>
        <v>0</v>
      </c>
      <c r="O161" s="67"/>
      <c r="P161" s="325">
        <f t="shared" si="97"/>
        <v>0</v>
      </c>
      <c r="R161" s="2"/>
    </row>
    <row r="162" spans="2:18" ht="14" thickBot="1" x14ac:dyDescent="0.2">
      <c r="B162" s="340" t="s">
        <v>695</v>
      </c>
      <c r="C162" s="12"/>
      <c r="D162" s="67">
        <f>SUM(D159:D161)</f>
        <v>0</v>
      </c>
      <c r="E162" s="67">
        <f>SUM(E159:E161)</f>
        <v>300000000</v>
      </c>
      <c r="F162" s="67">
        <f t="shared" ref="F162:N162" si="98">SUM(F159:F161)</f>
        <v>313500000.00000006</v>
      </c>
      <c r="G162" s="67">
        <f t="shared" si="98"/>
        <v>327607500.00000006</v>
      </c>
      <c r="H162" s="67">
        <f t="shared" si="98"/>
        <v>342349837.50000012</v>
      </c>
      <c r="I162" s="67">
        <f t="shared" si="98"/>
        <v>357755580.18750012</v>
      </c>
      <c r="J162" s="67">
        <f t="shared" si="98"/>
        <v>0</v>
      </c>
      <c r="K162" s="67">
        <f t="shared" si="98"/>
        <v>0</v>
      </c>
      <c r="L162" s="67">
        <f t="shared" si="98"/>
        <v>0</v>
      </c>
      <c r="M162" s="67">
        <f t="shared" si="98"/>
        <v>0</v>
      </c>
      <c r="N162" s="67">
        <f t="shared" si="98"/>
        <v>0</v>
      </c>
      <c r="O162" s="67"/>
      <c r="P162" s="325">
        <f t="shared" si="97"/>
        <v>1641212917.6875</v>
      </c>
      <c r="R162" s="2"/>
    </row>
    <row r="163" spans="2:18" ht="14" thickBot="1" x14ac:dyDescent="0.2">
      <c r="B163" s="355" t="s">
        <v>696</v>
      </c>
      <c r="C163" s="335" t="s">
        <v>289</v>
      </c>
      <c r="D163" s="331">
        <f>'After Tax Analysis'!D9</f>
        <v>0</v>
      </c>
      <c r="E163" s="331">
        <f>'After Tax Analysis'!E9</f>
        <v>230170000</v>
      </c>
      <c r="F163" s="331">
        <f>'After Tax Analysis'!F9</f>
        <v>253018375.00000003</v>
      </c>
      <c r="G163" s="331">
        <f>'After Tax Analysis'!G9</f>
        <v>278725718.45125008</v>
      </c>
      <c r="H163" s="331">
        <f>'After Tax Analysis'!H9</f>
        <v>307665975.06072807</v>
      </c>
      <c r="I163" s="331">
        <f>'After Tax Analysis'!I9</f>
        <v>340262566.36057305</v>
      </c>
      <c r="J163" s="331">
        <f>'After Tax Analysis'!J9</f>
        <v>0</v>
      </c>
      <c r="K163" s="331">
        <f>'After Tax Analysis'!K9</f>
        <v>0</v>
      </c>
      <c r="L163" s="331">
        <f>'After Tax Analysis'!L9</f>
        <v>0</v>
      </c>
      <c r="M163" s="331">
        <f>'After Tax Analysis'!M9</f>
        <v>0</v>
      </c>
      <c r="N163" s="331">
        <f>'After Tax Analysis'!N9</f>
        <v>0</v>
      </c>
      <c r="O163" s="331">
        <v>0</v>
      </c>
      <c r="P163" s="325">
        <f t="shared" si="97"/>
        <v>1409842634.8725512</v>
      </c>
      <c r="R163" s="2"/>
    </row>
    <row r="164" spans="2:18" ht="14" thickBot="1" x14ac:dyDescent="0.2">
      <c r="B164" s="340">
        <v>3</v>
      </c>
      <c r="C164" s="12" t="s">
        <v>290</v>
      </c>
      <c r="D164" s="67">
        <f t="shared" ref="D164:N164" si="99">D162-D163</f>
        <v>0</v>
      </c>
      <c r="E164" s="67">
        <f t="shared" si="99"/>
        <v>69830000</v>
      </c>
      <c r="F164" s="67">
        <f t="shared" si="99"/>
        <v>60481625.00000003</v>
      </c>
      <c r="G164" s="67">
        <f t="shared" si="99"/>
        <v>48881781.548749983</v>
      </c>
      <c r="H164" s="67">
        <f t="shared" si="99"/>
        <v>34683862.439272046</v>
      </c>
      <c r="I164" s="67">
        <f t="shared" si="99"/>
        <v>17493013.826927066</v>
      </c>
      <c r="J164" s="67">
        <f t="shared" si="99"/>
        <v>0</v>
      </c>
      <c r="K164" s="67">
        <f t="shared" si="99"/>
        <v>0</v>
      </c>
      <c r="L164" s="67">
        <f t="shared" si="99"/>
        <v>0</v>
      </c>
      <c r="M164" s="67">
        <f t="shared" si="99"/>
        <v>0</v>
      </c>
      <c r="N164" s="67">
        <f t="shared" si="99"/>
        <v>0</v>
      </c>
      <c r="O164" s="67">
        <v>0</v>
      </c>
      <c r="P164" s="325">
        <f t="shared" si="97"/>
        <v>231370282.81494913</v>
      </c>
      <c r="R164" s="2"/>
    </row>
    <row r="165" spans="2:18" ht="14" thickBot="1" x14ac:dyDescent="0.2">
      <c r="B165" s="340" t="s">
        <v>697</v>
      </c>
      <c r="C165" s="12" t="s">
        <v>292</v>
      </c>
      <c r="D165" s="396">
        <f>'After Tax Analysis'!D11</f>
        <v>0</v>
      </c>
      <c r="E165" s="396">
        <f>'After Tax Analysis'!E11</f>
        <v>3772500</v>
      </c>
      <c r="F165" s="396">
        <f>'After Tax Analysis'!F11</f>
        <v>6218850</v>
      </c>
      <c r="G165" s="396">
        <f>'After Tax Analysis'!G11</f>
        <v>4083150</v>
      </c>
      <c r="H165" s="396">
        <f>'After Tax Analysis'!H11</f>
        <v>2775510</v>
      </c>
      <c r="I165" s="396">
        <f>'After Tax Analysis'!I11</f>
        <v>1352955</v>
      </c>
      <c r="J165" s="396">
        <f>'After Tax Analysis'!J11</f>
        <v>0</v>
      </c>
      <c r="K165" s="396">
        <f>'After Tax Analysis'!K11</f>
        <v>0</v>
      </c>
      <c r="L165" s="396">
        <f>'After Tax Analysis'!L11</f>
        <v>0</v>
      </c>
      <c r="M165" s="396">
        <f>'After Tax Analysis'!M11</f>
        <v>0</v>
      </c>
      <c r="N165" s="396">
        <f>'After Tax Analysis'!N11</f>
        <v>0</v>
      </c>
      <c r="O165" s="67">
        <v>0</v>
      </c>
      <c r="P165" s="325">
        <f t="shared" si="97"/>
        <v>18202965</v>
      </c>
      <c r="R165" s="2"/>
    </row>
    <row r="166" spans="2:18" ht="14" thickBot="1" x14ac:dyDescent="0.2">
      <c r="B166" s="340">
        <v>5</v>
      </c>
      <c r="C166" s="12" t="s">
        <v>293</v>
      </c>
      <c r="D166" s="67">
        <f t="shared" ref="D166:N166" si="100">D164-D165</f>
        <v>0</v>
      </c>
      <c r="E166" s="67">
        <f t="shared" si="100"/>
        <v>66057500</v>
      </c>
      <c r="F166" s="67">
        <f t="shared" si="100"/>
        <v>54262775.00000003</v>
      </c>
      <c r="G166" s="67">
        <f t="shared" si="100"/>
        <v>44798631.548749983</v>
      </c>
      <c r="H166" s="67">
        <f t="shared" si="100"/>
        <v>31908352.439272046</v>
      </c>
      <c r="I166" s="67">
        <f t="shared" si="100"/>
        <v>16140058.826927066</v>
      </c>
      <c r="J166" s="67">
        <f t="shared" si="100"/>
        <v>0</v>
      </c>
      <c r="K166" s="67">
        <f t="shared" si="100"/>
        <v>0</v>
      </c>
      <c r="L166" s="67">
        <f t="shared" si="100"/>
        <v>0</v>
      </c>
      <c r="M166" s="67">
        <f t="shared" si="100"/>
        <v>0</v>
      </c>
      <c r="N166" s="67">
        <f t="shared" si="100"/>
        <v>0</v>
      </c>
      <c r="O166" s="67">
        <v>0</v>
      </c>
      <c r="P166" s="325">
        <f t="shared" si="97"/>
        <v>213167317.81494913</v>
      </c>
      <c r="R166" s="2"/>
    </row>
    <row r="167" spans="2:18" ht="14" thickBot="1" x14ac:dyDescent="0.2">
      <c r="B167" s="340" t="s">
        <v>698</v>
      </c>
      <c r="C167" s="12" t="s">
        <v>295</v>
      </c>
      <c r="D167" s="67">
        <f>'After Tax Analysis'!D13</f>
        <v>0</v>
      </c>
      <c r="E167" s="67">
        <f>'After Tax Analysis'!E13</f>
        <v>0</v>
      </c>
      <c r="F167" s="67">
        <f>'After Tax Analysis'!F13</f>
        <v>0</v>
      </c>
      <c r="G167" s="67">
        <f>'After Tax Analysis'!G13</f>
        <v>0</v>
      </c>
      <c r="H167" s="67">
        <f>'After Tax Analysis'!H13</f>
        <v>0</v>
      </c>
      <c r="I167" s="67">
        <f>'After Tax Analysis'!I13</f>
        <v>0</v>
      </c>
      <c r="J167" s="67">
        <f>'After Tax Analysis'!J13</f>
        <v>0</v>
      </c>
      <c r="K167" s="67">
        <f>'After Tax Analysis'!K13</f>
        <v>0</v>
      </c>
      <c r="L167" s="67">
        <f>'After Tax Analysis'!L13</f>
        <v>0</v>
      </c>
      <c r="M167" s="67">
        <f>'After Tax Analysis'!M13</f>
        <v>0</v>
      </c>
      <c r="N167" s="67">
        <f>'After Tax Analysis'!N13</f>
        <v>0</v>
      </c>
      <c r="O167" s="67">
        <v>0</v>
      </c>
      <c r="P167" s="325">
        <f t="shared" si="97"/>
        <v>0</v>
      </c>
      <c r="R167" s="2"/>
    </row>
    <row r="168" spans="2:18" ht="14" thickBot="1" x14ac:dyDescent="0.2">
      <c r="B168" s="340">
        <v>7</v>
      </c>
      <c r="C168" s="12" t="s">
        <v>296</v>
      </c>
      <c r="D168" s="67">
        <f>D166-D167</f>
        <v>0</v>
      </c>
      <c r="E168" s="67">
        <f t="shared" ref="E168:N168" si="101">E166-E167</f>
        <v>66057500</v>
      </c>
      <c r="F168" s="67">
        <f t="shared" si="101"/>
        <v>54262775.00000003</v>
      </c>
      <c r="G168" s="67">
        <f t="shared" si="101"/>
        <v>44798631.548749983</v>
      </c>
      <c r="H168" s="67">
        <f t="shared" si="101"/>
        <v>31908352.439272046</v>
      </c>
      <c r="I168" s="67">
        <f t="shared" si="101"/>
        <v>16140058.826927066</v>
      </c>
      <c r="J168" s="67">
        <f t="shared" si="101"/>
        <v>0</v>
      </c>
      <c r="K168" s="67">
        <f t="shared" si="101"/>
        <v>0</v>
      </c>
      <c r="L168" s="67">
        <f t="shared" si="101"/>
        <v>0</v>
      </c>
      <c r="M168" s="67">
        <f t="shared" si="101"/>
        <v>0</v>
      </c>
      <c r="N168" s="67">
        <f t="shared" si="101"/>
        <v>0</v>
      </c>
      <c r="O168" s="67">
        <v>0</v>
      </c>
      <c r="P168" s="325">
        <f t="shared" si="97"/>
        <v>213167317.81494913</v>
      </c>
      <c r="R168" s="2"/>
    </row>
    <row r="169" spans="2:18" ht="14" thickBot="1" x14ac:dyDescent="0.2">
      <c r="B169" s="340">
        <v>8</v>
      </c>
      <c r="C169" s="12" t="s">
        <v>297</v>
      </c>
      <c r="D169" s="67">
        <f t="shared" ref="D169:N169" si="102">D168*$D$3</f>
        <v>0</v>
      </c>
      <c r="E169" s="67">
        <f t="shared" si="102"/>
        <v>19817250</v>
      </c>
      <c r="F169" s="67">
        <f t="shared" si="102"/>
        <v>16278832.500000007</v>
      </c>
      <c r="G169" s="67">
        <f t="shared" si="102"/>
        <v>13439589.464624995</v>
      </c>
      <c r="H169" s="67">
        <f t="shared" si="102"/>
        <v>9572505.7317816131</v>
      </c>
      <c r="I169" s="67">
        <f t="shared" si="102"/>
        <v>4842017.6480781194</v>
      </c>
      <c r="J169" s="67">
        <f t="shared" si="102"/>
        <v>0</v>
      </c>
      <c r="K169" s="67">
        <f t="shared" si="102"/>
        <v>0</v>
      </c>
      <c r="L169" s="67">
        <f t="shared" si="102"/>
        <v>0</v>
      </c>
      <c r="M169" s="67">
        <f t="shared" si="102"/>
        <v>0</v>
      </c>
      <c r="N169" s="67">
        <f t="shared" si="102"/>
        <v>0</v>
      </c>
      <c r="O169" s="67">
        <v>0</v>
      </c>
      <c r="P169" s="325">
        <f t="shared" si="97"/>
        <v>63950195.344484739</v>
      </c>
      <c r="R169" s="2"/>
    </row>
    <row r="170" spans="2:18" ht="14" thickBot="1" x14ac:dyDescent="0.2">
      <c r="B170" s="340">
        <v>9</v>
      </c>
      <c r="C170" s="12" t="s">
        <v>298</v>
      </c>
      <c r="D170" s="67">
        <f>'After Tax Analysis'!D16</f>
        <v>0</v>
      </c>
      <c r="E170" s="67">
        <f>'After Tax Analysis'!E16</f>
        <v>0</v>
      </c>
      <c r="F170" s="67">
        <f>'After Tax Analysis'!F16</f>
        <v>0</v>
      </c>
      <c r="G170" s="67">
        <f>'After Tax Analysis'!G16</f>
        <v>0</v>
      </c>
      <c r="H170" s="67">
        <f>'After Tax Analysis'!H16</f>
        <v>0</v>
      </c>
      <c r="I170" s="67">
        <f>'After Tax Analysis'!I16</f>
        <v>0</v>
      </c>
      <c r="J170" s="67">
        <f>'After Tax Analysis'!J16</f>
        <v>0</v>
      </c>
      <c r="K170" s="67">
        <f>'After Tax Analysis'!K16</f>
        <v>0</v>
      </c>
      <c r="L170" s="67">
        <f>'After Tax Analysis'!L16</f>
        <v>0</v>
      </c>
      <c r="M170" s="67">
        <f>'After Tax Analysis'!M16</f>
        <v>0</v>
      </c>
      <c r="N170" s="67">
        <f>'After Tax Analysis'!N16</f>
        <v>0</v>
      </c>
      <c r="O170" s="67">
        <v>0</v>
      </c>
      <c r="P170" s="325">
        <f t="shared" si="97"/>
        <v>0</v>
      </c>
      <c r="R170" s="2"/>
    </row>
    <row r="171" spans="2:18" ht="14" thickBot="1" x14ac:dyDescent="0.2">
      <c r="B171" s="340">
        <v>10</v>
      </c>
      <c r="C171" s="12" t="s">
        <v>299</v>
      </c>
      <c r="D171" s="67">
        <f>D168-D169+D170</f>
        <v>0</v>
      </c>
      <c r="E171" s="67">
        <f t="shared" ref="E171:N171" si="103">E168-E169+E170</f>
        <v>46240250</v>
      </c>
      <c r="F171" s="67">
        <f t="shared" si="103"/>
        <v>37983942.500000022</v>
      </c>
      <c r="G171" s="67">
        <f t="shared" si="103"/>
        <v>31359042.08412499</v>
      </c>
      <c r="H171" s="67">
        <f t="shared" si="103"/>
        <v>22335846.707490433</v>
      </c>
      <c r="I171" s="67">
        <f t="shared" si="103"/>
        <v>11298041.178848946</v>
      </c>
      <c r="J171" s="67">
        <f t="shared" si="103"/>
        <v>0</v>
      </c>
      <c r="K171" s="67">
        <f t="shared" si="103"/>
        <v>0</v>
      </c>
      <c r="L171" s="67">
        <f t="shared" si="103"/>
        <v>0</v>
      </c>
      <c r="M171" s="67">
        <f t="shared" si="103"/>
        <v>0</v>
      </c>
      <c r="N171" s="67">
        <f t="shared" si="103"/>
        <v>0</v>
      </c>
      <c r="O171" s="67">
        <v>0</v>
      </c>
      <c r="P171" s="325">
        <f t="shared" si="97"/>
        <v>149217122.47046441</v>
      </c>
      <c r="R171" s="2"/>
    </row>
    <row r="172" spans="2:18" ht="14" thickBot="1" x14ac:dyDescent="0.2">
      <c r="B172" s="340" t="s">
        <v>699</v>
      </c>
      <c r="C172" s="12" t="s">
        <v>292</v>
      </c>
      <c r="D172" s="396">
        <f>'After Tax Analysis'!D18</f>
        <v>0</v>
      </c>
      <c r="E172" s="396">
        <f>'After Tax Analysis'!E18</f>
        <v>3772500</v>
      </c>
      <c r="F172" s="396">
        <f>'After Tax Analysis'!F18</f>
        <v>6218850</v>
      </c>
      <c r="G172" s="396">
        <f>'After Tax Analysis'!G18</f>
        <v>4083150</v>
      </c>
      <c r="H172" s="396">
        <f>'After Tax Analysis'!H18</f>
        <v>2775510</v>
      </c>
      <c r="I172" s="396">
        <f>'After Tax Analysis'!I18</f>
        <v>1352955</v>
      </c>
      <c r="J172" s="396">
        <f>'After Tax Analysis'!J18</f>
        <v>0</v>
      </c>
      <c r="K172" s="396">
        <f>'After Tax Analysis'!K18</f>
        <v>0</v>
      </c>
      <c r="L172" s="396">
        <f>'After Tax Analysis'!L18</f>
        <v>0</v>
      </c>
      <c r="M172" s="396">
        <f>'After Tax Analysis'!M18</f>
        <v>0</v>
      </c>
      <c r="N172" s="396">
        <f>'After Tax Analysis'!N18</f>
        <v>0</v>
      </c>
      <c r="O172" s="67">
        <v>0</v>
      </c>
      <c r="P172" s="325">
        <f t="shared" si="97"/>
        <v>18202965</v>
      </c>
      <c r="R172" s="2"/>
    </row>
    <row r="173" spans="2:18" ht="14" thickBot="1" x14ac:dyDescent="0.2">
      <c r="B173" s="340">
        <v>12</v>
      </c>
      <c r="C173" s="12" t="s">
        <v>301</v>
      </c>
      <c r="D173" s="67">
        <f>D172+D171</f>
        <v>0</v>
      </c>
      <c r="E173" s="67">
        <f t="shared" ref="E173:N173" si="104">E172+E171</f>
        <v>50012750</v>
      </c>
      <c r="F173" s="67">
        <f t="shared" si="104"/>
        <v>44202792.500000022</v>
      </c>
      <c r="G173" s="67">
        <f t="shared" si="104"/>
        <v>35442192.08412499</v>
      </c>
      <c r="H173" s="67">
        <f t="shared" si="104"/>
        <v>25111356.707490433</v>
      </c>
      <c r="I173" s="67">
        <f t="shared" si="104"/>
        <v>12650996.178848946</v>
      </c>
      <c r="J173" s="67">
        <f t="shared" si="104"/>
        <v>0</v>
      </c>
      <c r="K173" s="67">
        <f t="shared" si="104"/>
        <v>0</v>
      </c>
      <c r="L173" s="67">
        <f t="shared" si="104"/>
        <v>0</v>
      </c>
      <c r="M173" s="67">
        <f t="shared" si="104"/>
        <v>0</v>
      </c>
      <c r="N173" s="67">
        <f t="shared" si="104"/>
        <v>0</v>
      </c>
      <c r="O173" s="67">
        <v>0</v>
      </c>
      <c r="P173" s="325">
        <f t="shared" si="97"/>
        <v>167420087.47046441</v>
      </c>
      <c r="R173" s="2"/>
    </row>
    <row r="174" spans="2:18" ht="14" thickBot="1" x14ac:dyDescent="0.2">
      <c r="B174" s="340" t="s">
        <v>700</v>
      </c>
      <c r="C174" s="12" t="s">
        <v>303</v>
      </c>
      <c r="D174" s="67">
        <f>'After Tax Analysis'!D20</f>
        <v>0</v>
      </c>
      <c r="E174" s="67">
        <f>'After Tax Analysis'!E20</f>
        <v>0</v>
      </c>
      <c r="F174" s="67">
        <f>'After Tax Analysis'!F20</f>
        <v>0</v>
      </c>
      <c r="G174" s="67">
        <f>'After Tax Analysis'!G20</f>
        <v>0</v>
      </c>
      <c r="H174" s="67">
        <f>'After Tax Analysis'!H20</f>
        <v>0</v>
      </c>
      <c r="I174" s="67">
        <f>'After Tax Analysis'!I20</f>
        <v>0</v>
      </c>
      <c r="J174" s="67">
        <f>'After Tax Analysis'!J20</f>
        <v>0</v>
      </c>
      <c r="K174" s="67">
        <f>'After Tax Analysis'!K20</f>
        <v>0</v>
      </c>
      <c r="L174" s="67">
        <f>'After Tax Analysis'!L20</f>
        <v>0</v>
      </c>
      <c r="M174" s="67">
        <f>'After Tax Analysis'!M20</f>
        <v>0</v>
      </c>
      <c r="N174" s="67">
        <f>'After Tax Analysis'!N20</f>
        <v>0</v>
      </c>
      <c r="O174" s="67">
        <v>0</v>
      </c>
      <c r="P174" s="325">
        <f t="shared" si="97"/>
        <v>0</v>
      </c>
      <c r="R174" s="2"/>
    </row>
    <row r="175" spans="2:18" ht="14" thickBot="1" x14ac:dyDescent="0.2">
      <c r="B175" s="340">
        <v>14</v>
      </c>
      <c r="C175" s="12" t="s">
        <v>304</v>
      </c>
      <c r="D175" s="67">
        <f>D176+D177+D178</f>
        <v>-32550000</v>
      </c>
      <c r="E175" s="67">
        <f t="shared" ref="E175:N175" si="105">E176+E177+E178</f>
        <v>0</v>
      </c>
      <c r="F175" s="67">
        <f t="shared" si="105"/>
        <v>0</v>
      </c>
      <c r="G175" s="67">
        <f t="shared" si="105"/>
        <v>0</v>
      </c>
      <c r="H175" s="67">
        <f t="shared" si="105"/>
        <v>0</v>
      </c>
      <c r="I175" s="67">
        <f t="shared" si="105"/>
        <v>14347035</v>
      </c>
      <c r="J175" s="67">
        <f t="shared" si="105"/>
        <v>0</v>
      </c>
      <c r="K175" s="67">
        <f t="shared" si="105"/>
        <v>0</v>
      </c>
      <c r="L175" s="67">
        <f t="shared" si="105"/>
        <v>0</v>
      </c>
      <c r="M175" s="67">
        <f t="shared" si="105"/>
        <v>0</v>
      </c>
      <c r="N175" s="67">
        <f t="shared" si="105"/>
        <v>0</v>
      </c>
      <c r="O175" s="67">
        <v>0</v>
      </c>
      <c r="P175" s="325">
        <f t="shared" si="97"/>
        <v>-18202965</v>
      </c>
      <c r="R175" s="2"/>
    </row>
    <row r="176" spans="2:18" ht="14" thickBot="1" x14ac:dyDescent="0.2">
      <c r="B176" s="340" t="s">
        <v>701</v>
      </c>
      <c r="C176" s="12" t="s">
        <v>207</v>
      </c>
      <c r="D176" s="67">
        <f>'After Tax Analysis'!D22</f>
        <v>-31050000</v>
      </c>
      <c r="E176" s="67">
        <f>'After Tax Analysis'!E22</f>
        <v>0</v>
      </c>
      <c r="F176" s="67">
        <f>'After Tax Analysis'!F22</f>
        <v>0</v>
      </c>
      <c r="G176" s="67">
        <f>'After Tax Analysis'!G22</f>
        <v>0</v>
      </c>
      <c r="H176" s="67">
        <f>'After Tax Analysis'!H22</f>
        <v>0</v>
      </c>
      <c r="I176" s="67">
        <f>'After Tax Analysis'!I22</f>
        <v>12847035</v>
      </c>
      <c r="J176" s="67">
        <f>'After Tax Analysis'!J22</f>
        <v>0</v>
      </c>
      <c r="K176" s="67">
        <f>'After Tax Analysis'!K22</f>
        <v>0</v>
      </c>
      <c r="L176" s="67">
        <f>'After Tax Analysis'!L22</f>
        <v>0</v>
      </c>
      <c r="M176" s="67">
        <f>'After Tax Analysis'!M22</f>
        <v>0</v>
      </c>
      <c r="N176" s="67">
        <f>'After Tax Analysis'!N22</f>
        <v>0</v>
      </c>
      <c r="O176" s="67">
        <v>0</v>
      </c>
      <c r="P176" s="325">
        <f t="shared" si="97"/>
        <v>-18202965</v>
      </c>
      <c r="R176" s="2"/>
    </row>
    <row r="177" spans="1:18" ht="14" thickBot="1" x14ac:dyDescent="0.2">
      <c r="B177" s="340" t="s">
        <v>702</v>
      </c>
      <c r="C177" s="12" t="s">
        <v>307</v>
      </c>
      <c r="D177" s="67">
        <f>'After Tax Analysis'!D23</f>
        <v>-1500000</v>
      </c>
      <c r="E177" s="67">
        <f>'After Tax Analysis'!E23</f>
        <v>0</v>
      </c>
      <c r="F177" s="67">
        <f>'After Tax Analysis'!F23</f>
        <v>0</v>
      </c>
      <c r="G177" s="67">
        <f>'After Tax Analysis'!G23</f>
        <v>0</v>
      </c>
      <c r="H177" s="67">
        <f>'After Tax Analysis'!H23</f>
        <v>0</v>
      </c>
      <c r="I177" s="67">
        <f>'After Tax Analysis'!I23</f>
        <v>1500000</v>
      </c>
      <c r="J177" s="67">
        <f>'After Tax Analysis'!J23</f>
        <v>0</v>
      </c>
      <c r="K177" s="67">
        <f>'After Tax Analysis'!K23</f>
        <v>0</v>
      </c>
      <c r="L177" s="67">
        <f>'After Tax Analysis'!L23</f>
        <v>0</v>
      </c>
      <c r="M177" s="67">
        <f>'After Tax Analysis'!M23</f>
        <v>0</v>
      </c>
      <c r="N177" s="67">
        <f>'After Tax Analysis'!N23</f>
        <v>0</v>
      </c>
      <c r="O177" s="67">
        <v>0</v>
      </c>
      <c r="P177" s="325">
        <f t="shared" si="97"/>
        <v>0</v>
      </c>
      <c r="R177" s="2"/>
    </row>
    <row r="178" spans="1:18" ht="14" thickBot="1" x14ac:dyDescent="0.2">
      <c r="B178" s="340" t="s">
        <v>703</v>
      </c>
      <c r="C178" s="12" t="s">
        <v>309</v>
      </c>
      <c r="D178" s="67">
        <f>'After Tax Analysis'!D24</f>
        <v>0</v>
      </c>
      <c r="E178" s="67">
        <f>'After Tax Analysis'!E24</f>
        <v>0</v>
      </c>
      <c r="F178" s="67">
        <f>'After Tax Analysis'!F24</f>
        <v>0</v>
      </c>
      <c r="G178" s="67">
        <f>'After Tax Analysis'!G24</f>
        <v>0</v>
      </c>
      <c r="H178" s="67">
        <f>'After Tax Analysis'!H24</f>
        <v>0</v>
      </c>
      <c r="I178" s="67">
        <f>'After Tax Analysis'!I24</f>
        <v>0</v>
      </c>
      <c r="J178" s="67">
        <f>'After Tax Analysis'!J24</f>
        <v>0</v>
      </c>
      <c r="K178" s="67">
        <f>'After Tax Analysis'!K24</f>
        <v>0</v>
      </c>
      <c r="L178" s="67">
        <f>'After Tax Analysis'!L24</f>
        <v>0</v>
      </c>
      <c r="M178" s="67">
        <f>'After Tax Analysis'!M24</f>
        <v>0</v>
      </c>
      <c r="N178" s="67">
        <f>'After Tax Analysis'!N24</f>
        <v>0</v>
      </c>
      <c r="O178" s="67">
        <v>0</v>
      </c>
      <c r="P178" s="325">
        <f t="shared" si="97"/>
        <v>0</v>
      </c>
      <c r="R178" s="2"/>
    </row>
    <row r="179" spans="1:18" ht="14" thickBot="1" x14ac:dyDescent="0.2">
      <c r="B179" s="340" t="s">
        <v>704</v>
      </c>
      <c r="C179" s="12" t="s">
        <v>311</v>
      </c>
      <c r="D179" s="67">
        <f>'After Tax Analysis'!D25</f>
        <v>0</v>
      </c>
      <c r="E179" s="67">
        <f>'After Tax Analysis'!E25</f>
        <v>0</v>
      </c>
      <c r="F179" s="67">
        <f>'After Tax Analysis'!F25</f>
        <v>0</v>
      </c>
      <c r="G179" s="67">
        <f>'After Tax Analysis'!G25</f>
        <v>0</v>
      </c>
      <c r="H179" s="67">
        <f>'After Tax Analysis'!H25</f>
        <v>0</v>
      </c>
      <c r="I179" s="67">
        <f>'After Tax Analysis'!I25</f>
        <v>-2596968.7000000002</v>
      </c>
      <c r="J179" s="67">
        <f>'After Tax Analysis'!J25</f>
        <v>0</v>
      </c>
      <c r="K179" s="67">
        <f>'After Tax Analysis'!K25</f>
        <v>0</v>
      </c>
      <c r="L179" s="67">
        <f>'After Tax Analysis'!L25</f>
        <v>0</v>
      </c>
      <c r="M179" s="67">
        <f>'After Tax Analysis'!M25</f>
        <v>0</v>
      </c>
      <c r="N179" s="67">
        <f>'After Tax Analysis'!N25</f>
        <v>0</v>
      </c>
      <c r="O179" s="67">
        <v>0</v>
      </c>
      <c r="P179" s="325">
        <f t="shared" si="97"/>
        <v>-2596968.7000000002</v>
      </c>
      <c r="R179" s="2"/>
    </row>
    <row r="180" spans="1:18" ht="14" thickBot="1" x14ac:dyDescent="0.2">
      <c r="B180" s="340" t="s">
        <v>705</v>
      </c>
      <c r="C180" s="12" t="s">
        <v>115</v>
      </c>
      <c r="D180" s="67">
        <f>'After Tax Analysis'!D26</f>
        <v>-60000000</v>
      </c>
      <c r="E180" s="67">
        <f>'After Tax Analysis'!E26</f>
        <v>0</v>
      </c>
      <c r="F180" s="67">
        <f>'After Tax Analysis'!F26</f>
        <v>0</v>
      </c>
      <c r="G180" s="67">
        <f>'After Tax Analysis'!G26</f>
        <v>0</v>
      </c>
      <c r="H180" s="67">
        <f>'After Tax Analysis'!H26</f>
        <v>0</v>
      </c>
      <c r="I180" s="67">
        <f>'After Tax Analysis'!I26</f>
        <v>60000000</v>
      </c>
      <c r="J180" s="67">
        <f>'After Tax Analysis'!J26</f>
        <v>0</v>
      </c>
      <c r="K180" s="67">
        <f>'After Tax Analysis'!K26</f>
        <v>0</v>
      </c>
      <c r="L180" s="67">
        <f>'After Tax Analysis'!L26</f>
        <v>0</v>
      </c>
      <c r="M180" s="67">
        <f>'After Tax Analysis'!M26</f>
        <v>0</v>
      </c>
      <c r="N180" s="67">
        <f>'After Tax Analysis'!N26</f>
        <v>0</v>
      </c>
      <c r="O180" s="67">
        <v>0</v>
      </c>
      <c r="P180" s="325">
        <f t="shared" si="97"/>
        <v>0</v>
      </c>
      <c r="R180" s="2"/>
    </row>
    <row r="181" spans="1:18" ht="14" thickBot="1" x14ac:dyDescent="0.2">
      <c r="B181" s="340">
        <v>17</v>
      </c>
      <c r="C181" s="12" t="s">
        <v>313</v>
      </c>
      <c r="D181" s="67">
        <f>D174+D175+D179+D180</f>
        <v>-92550000</v>
      </c>
      <c r="E181" s="67">
        <f t="shared" ref="E181:N181" si="106">E174+E175+E179+E180</f>
        <v>0</v>
      </c>
      <c r="F181" s="67">
        <f t="shared" si="106"/>
        <v>0</v>
      </c>
      <c r="G181" s="67">
        <f t="shared" si="106"/>
        <v>0</v>
      </c>
      <c r="H181" s="67">
        <f t="shared" si="106"/>
        <v>0</v>
      </c>
      <c r="I181" s="67">
        <f t="shared" si="106"/>
        <v>71750066.299999997</v>
      </c>
      <c r="J181" s="67">
        <f t="shared" si="106"/>
        <v>0</v>
      </c>
      <c r="K181" s="67">
        <f t="shared" si="106"/>
        <v>0</v>
      </c>
      <c r="L181" s="67">
        <f t="shared" si="106"/>
        <v>0</v>
      </c>
      <c r="M181" s="67">
        <f t="shared" si="106"/>
        <v>0</v>
      </c>
      <c r="N181" s="67">
        <f t="shared" si="106"/>
        <v>0</v>
      </c>
      <c r="O181" s="67">
        <v>0</v>
      </c>
      <c r="P181" s="325">
        <f t="shared" si="97"/>
        <v>-20799933.700000003</v>
      </c>
      <c r="Q181" s="357" t="s">
        <v>693</v>
      </c>
      <c r="R181" s="2"/>
    </row>
    <row r="182" spans="1:18" ht="14" thickBot="1" x14ac:dyDescent="0.2">
      <c r="B182" s="355">
        <v>18</v>
      </c>
      <c r="C182" s="335" t="s">
        <v>314</v>
      </c>
      <c r="D182" s="331">
        <f>D181+D173</f>
        <v>-92550000</v>
      </c>
      <c r="E182" s="331">
        <f t="shared" ref="E182:N182" si="107">E181+E173</f>
        <v>50012750</v>
      </c>
      <c r="F182" s="331">
        <f t="shared" si="107"/>
        <v>44202792.500000022</v>
      </c>
      <c r="G182" s="331">
        <f t="shared" si="107"/>
        <v>35442192.08412499</v>
      </c>
      <c r="H182" s="331">
        <f t="shared" si="107"/>
        <v>25111356.707490433</v>
      </c>
      <c r="I182" s="331">
        <f t="shared" si="107"/>
        <v>84401062.478848949</v>
      </c>
      <c r="J182" s="331">
        <f t="shared" si="107"/>
        <v>0</v>
      </c>
      <c r="K182" s="331">
        <f t="shared" si="107"/>
        <v>0</v>
      </c>
      <c r="L182" s="331">
        <f t="shared" si="107"/>
        <v>0</v>
      </c>
      <c r="M182" s="331">
        <f t="shared" si="107"/>
        <v>0</v>
      </c>
      <c r="N182" s="331">
        <f t="shared" si="107"/>
        <v>0</v>
      </c>
      <c r="O182" s="331">
        <v>0</v>
      </c>
      <c r="P182" s="325">
        <f t="shared" si="97"/>
        <v>146620153.77046439</v>
      </c>
      <c r="Q182" s="358">
        <f>IF(ISNUMBER(IRR(D182:N182)),IRR(D182:N182),"NMF")</f>
        <v>0.40549033935008683</v>
      </c>
      <c r="R182" s="353" t="str">
        <f>A159</f>
        <v>Base Case</v>
      </c>
    </row>
    <row r="183" spans="1:18" ht="14" thickBot="1" x14ac:dyDescent="0.2">
      <c r="B183" s="340">
        <v>19</v>
      </c>
      <c r="C183" s="12" t="s">
        <v>315</v>
      </c>
      <c r="D183" s="53">
        <v>1</v>
      </c>
      <c r="E183" s="53">
        <v>0.86956521739130443</v>
      </c>
      <c r="F183" s="53">
        <v>0.7561436672967865</v>
      </c>
      <c r="G183" s="53">
        <v>0.65751623243198831</v>
      </c>
      <c r="H183" s="53">
        <v>0.57175324559303342</v>
      </c>
      <c r="I183" s="53">
        <v>0.49717673529828987</v>
      </c>
      <c r="J183" s="53">
        <v>0.43232759591155645</v>
      </c>
      <c r="K183" s="53">
        <v>0.37593703992309269</v>
      </c>
      <c r="L183" s="53">
        <v>0.32690177384616753</v>
      </c>
      <c r="M183" s="53">
        <v>0.28426241204014574</v>
      </c>
      <c r="N183" s="53">
        <v>0.24718470612186585</v>
      </c>
      <c r="O183" s="67">
        <v>0</v>
      </c>
      <c r="P183" s="325">
        <f t="shared" si="97"/>
        <v>6.0187686258542321</v>
      </c>
      <c r="R183" s="2"/>
    </row>
    <row r="184" spans="1:18" ht="14" thickBot="1" x14ac:dyDescent="0.2">
      <c r="B184" s="340">
        <v>20</v>
      </c>
      <c r="C184" s="12" t="s">
        <v>316</v>
      </c>
      <c r="D184" s="67">
        <f>D183*D182</f>
        <v>-92550000</v>
      </c>
      <c r="E184" s="67">
        <f>E183*E182</f>
        <v>43489347.826086961</v>
      </c>
      <c r="F184" s="67">
        <f t="shared" ref="F184:N184" si="108">F183*F182</f>
        <v>33423661.625708908</v>
      </c>
      <c r="G184" s="67">
        <f t="shared" si="108"/>
        <v>23303816.608284704</v>
      </c>
      <c r="H184" s="67">
        <f t="shared" si="108"/>
        <v>14357499.698752044</v>
      </c>
      <c r="I184" s="67">
        <f t="shared" si="108"/>
        <v>41962244.698941112</v>
      </c>
      <c r="J184" s="67">
        <f t="shared" si="108"/>
        <v>0</v>
      </c>
      <c r="K184" s="67">
        <f t="shared" si="108"/>
        <v>0</v>
      </c>
      <c r="L184" s="67">
        <f t="shared" si="108"/>
        <v>0</v>
      </c>
      <c r="M184" s="67">
        <f t="shared" si="108"/>
        <v>0</v>
      </c>
      <c r="N184" s="67">
        <f t="shared" si="108"/>
        <v>0</v>
      </c>
      <c r="O184" s="67">
        <v>0</v>
      </c>
      <c r="P184" s="325">
        <f t="shared" si="97"/>
        <v>63986570.45777373</v>
      </c>
      <c r="R184" s="2"/>
    </row>
    <row r="185" spans="1:18" ht="14" thickBot="1" x14ac:dyDescent="0.2">
      <c r="B185" s="341">
        <v>21</v>
      </c>
      <c r="C185" s="201" t="s">
        <v>317</v>
      </c>
      <c r="D185" s="327">
        <f>D184</f>
        <v>-92550000</v>
      </c>
      <c r="E185" s="327">
        <f>E184+D185</f>
        <v>-49060652.173913039</v>
      </c>
      <c r="F185" s="327">
        <f t="shared" ref="F185:N185" si="109">F184+E185</f>
        <v>-15636990.548204131</v>
      </c>
      <c r="G185" s="327">
        <f t="shared" si="109"/>
        <v>7666826.060080573</v>
      </c>
      <c r="H185" s="327">
        <f t="shared" si="109"/>
        <v>22024325.758832619</v>
      </c>
      <c r="I185" s="327">
        <f t="shared" si="109"/>
        <v>63986570.45777373</v>
      </c>
      <c r="J185" s="327">
        <f t="shared" si="109"/>
        <v>63986570.45777373</v>
      </c>
      <c r="K185" s="327">
        <f t="shared" si="109"/>
        <v>63986570.45777373</v>
      </c>
      <c r="L185" s="327">
        <f t="shared" si="109"/>
        <v>63986570.45777373</v>
      </c>
      <c r="M185" s="327">
        <f t="shared" si="109"/>
        <v>63986570.45777373</v>
      </c>
      <c r="N185" s="327">
        <f t="shared" si="109"/>
        <v>63986570.45777373</v>
      </c>
      <c r="O185" s="327">
        <v>0</v>
      </c>
      <c r="P185" s="325">
        <f t="shared" si="97"/>
        <v>256362931.84343839</v>
      </c>
      <c r="R185" s="2"/>
    </row>
    <row r="186" spans="1:18" x14ac:dyDescent="0.15">
      <c r="D186" s="2">
        <f>'Volume Sens Wksht Prod Z'!D185</f>
        <v>-92550000</v>
      </c>
      <c r="E186" s="2">
        <f>'Volume Sens Wksht Prod Z'!E185</f>
        <v>50012750</v>
      </c>
      <c r="F186" s="2">
        <f>'Volume Sens Wksht Prod Z'!F185</f>
        <v>44202792.500000022</v>
      </c>
      <c r="G186" s="2">
        <f>'Volume Sens Wksht Prod Z'!G185</f>
        <v>35442192.08412499</v>
      </c>
      <c r="H186" s="2">
        <f>'Volume Sens Wksht Prod Z'!H185</f>
        <v>25111356.707490433</v>
      </c>
      <c r="I186" s="2">
        <f>'Volume Sens Wksht Prod Z'!I185</f>
        <v>84401062.478848949</v>
      </c>
      <c r="J186" s="2">
        <f>'Volume Sens Wksht Prod Z'!J185</f>
        <v>0</v>
      </c>
      <c r="K186" s="2">
        <f>'Volume Sens Wksht Prod Z'!K185</f>
        <v>0</v>
      </c>
      <c r="L186" s="2">
        <f>'Volume Sens Wksht Prod Z'!L185</f>
        <v>0</v>
      </c>
      <c r="M186" s="2">
        <f>'Volume Sens Wksht Prod Z'!M185</f>
        <v>0</v>
      </c>
      <c r="N186" s="2">
        <f>'Volume Sens Wksht Prod Z'!N185</f>
        <v>0</v>
      </c>
      <c r="R186" s="2"/>
    </row>
    <row r="187" spans="1:18" ht="14" thickBot="1" x14ac:dyDescent="0.2">
      <c r="R187" s="2"/>
    </row>
    <row r="188" spans="1:18" ht="14" thickBot="1" x14ac:dyDescent="0.2">
      <c r="B188" s="359" t="s">
        <v>282</v>
      </c>
      <c r="C188" s="360" t="s">
        <v>283</v>
      </c>
      <c r="D188" s="360"/>
      <c r="E188" s="360">
        <v>1</v>
      </c>
      <c r="F188" s="360">
        <v>2</v>
      </c>
      <c r="G188" s="360">
        <v>3</v>
      </c>
      <c r="H188" s="360">
        <v>4</v>
      </c>
      <c r="I188" s="360">
        <v>5</v>
      </c>
      <c r="J188" s="360">
        <v>6</v>
      </c>
      <c r="K188" s="360">
        <v>7</v>
      </c>
      <c r="L188" s="360">
        <v>8</v>
      </c>
      <c r="M188" s="360">
        <v>9</v>
      </c>
      <c r="N188" s="360">
        <v>10</v>
      </c>
      <c r="O188" s="360" t="s">
        <v>284</v>
      </c>
      <c r="P188" s="361" t="s">
        <v>285</v>
      </c>
      <c r="R188" s="2"/>
    </row>
    <row r="189" spans="1:18" x14ac:dyDescent="0.15">
      <c r="B189" s="339" t="s">
        <v>687</v>
      </c>
      <c r="C189" s="302" t="s">
        <v>287</v>
      </c>
      <c r="D189" s="322">
        <f t="shared" ref="D189:D205" si="110">D158</f>
        <v>0</v>
      </c>
      <c r="E189" s="322">
        <f t="shared" ref="E189:N189" si="111">E158</f>
        <v>300000000</v>
      </c>
      <c r="F189" s="322">
        <f t="shared" si="111"/>
        <v>313500000.00000006</v>
      </c>
      <c r="G189" s="322">
        <f t="shared" si="111"/>
        <v>327607500.00000006</v>
      </c>
      <c r="H189" s="322">
        <f t="shared" si="111"/>
        <v>342349837.50000012</v>
      </c>
      <c r="I189" s="322">
        <f t="shared" si="111"/>
        <v>357755580.18750012</v>
      </c>
      <c r="J189" s="322">
        <f t="shared" si="111"/>
        <v>0</v>
      </c>
      <c r="K189" s="322">
        <f t="shared" si="111"/>
        <v>0</v>
      </c>
      <c r="L189" s="322">
        <f t="shared" si="111"/>
        <v>0</v>
      </c>
      <c r="M189" s="322">
        <f t="shared" si="111"/>
        <v>0</v>
      </c>
      <c r="N189" s="322">
        <f t="shared" si="111"/>
        <v>0</v>
      </c>
      <c r="O189" s="322">
        <v>0</v>
      </c>
      <c r="P189" s="368">
        <f t="shared" ref="P189:P213" si="112">SUM(E189:N189)</f>
        <v>1641212917.6875</v>
      </c>
      <c r="R189" s="2"/>
    </row>
    <row r="190" spans="1:18" x14ac:dyDescent="0.15">
      <c r="A190" s="1" t="s">
        <v>709</v>
      </c>
      <c r="B190" s="340" t="s">
        <v>689</v>
      </c>
      <c r="C190" s="354" t="s">
        <v>689</v>
      </c>
      <c r="D190" s="67">
        <f t="shared" si="110"/>
        <v>0</v>
      </c>
      <c r="E190" s="67">
        <f t="shared" ref="E190:N190" si="113">E159</f>
        <v>300000000</v>
      </c>
      <c r="F190" s="67">
        <f t="shared" si="113"/>
        <v>313500000.00000006</v>
      </c>
      <c r="G190" s="67">
        <f t="shared" si="113"/>
        <v>327607500.00000006</v>
      </c>
      <c r="H190" s="67">
        <f t="shared" si="113"/>
        <v>342349837.50000012</v>
      </c>
      <c r="I190" s="67">
        <f t="shared" si="113"/>
        <v>357755580.18750012</v>
      </c>
      <c r="J190" s="67">
        <f t="shared" si="113"/>
        <v>0</v>
      </c>
      <c r="K190" s="67">
        <f t="shared" si="113"/>
        <v>0</v>
      </c>
      <c r="L190" s="67">
        <f t="shared" si="113"/>
        <v>0</v>
      </c>
      <c r="M190" s="67">
        <f t="shared" si="113"/>
        <v>0</v>
      </c>
      <c r="N190" s="67">
        <f t="shared" si="113"/>
        <v>0</v>
      </c>
      <c r="O190" s="67"/>
      <c r="P190" s="369">
        <f t="shared" si="112"/>
        <v>1641212917.6875</v>
      </c>
      <c r="R190" s="2"/>
    </row>
    <row r="191" spans="1:18" x14ac:dyDescent="0.15">
      <c r="B191" s="340" t="s">
        <v>690</v>
      </c>
      <c r="C191" s="354" t="s">
        <v>690</v>
      </c>
      <c r="D191" s="67">
        <f t="shared" si="110"/>
        <v>0</v>
      </c>
      <c r="E191" s="67">
        <f t="shared" ref="E191:N191" si="114">E160</f>
        <v>0</v>
      </c>
      <c r="F191" s="67">
        <f t="shared" si="114"/>
        <v>0</v>
      </c>
      <c r="G191" s="67">
        <f t="shared" si="114"/>
        <v>0</v>
      </c>
      <c r="H191" s="67">
        <f t="shared" si="114"/>
        <v>0</v>
      </c>
      <c r="I191" s="67">
        <f t="shared" si="114"/>
        <v>0</v>
      </c>
      <c r="J191" s="67">
        <f t="shared" si="114"/>
        <v>0</v>
      </c>
      <c r="K191" s="67">
        <f t="shared" si="114"/>
        <v>0</v>
      </c>
      <c r="L191" s="67">
        <f t="shared" si="114"/>
        <v>0</v>
      </c>
      <c r="M191" s="67">
        <f t="shared" si="114"/>
        <v>0</v>
      </c>
      <c r="N191" s="67">
        <f t="shared" si="114"/>
        <v>0</v>
      </c>
      <c r="O191" s="294"/>
      <c r="P191" s="369">
        <f t="shared" si="112"/>
        <v>0</v>
      </c>
      <c r="R191" s="2"/>
    </row>
    <row r="192" spans="1:18" x14ac:dyDescent="0.15">
      <c r="B192" s="340" t="s">
        <v>691</v>
      </c>
      <c r="C192" s="354" t="s">
        <v>691</v>
      </c>
      <c r="D192" s="67">
        <f t="shared" si="110"/>
        <v>0</v>
      </c>
      <c r="E192" s="67">
        <f t="shared" ref="E192:N192" si="115">E161</f>
        <v>0</v>
      </c>
      <c r="F192" s="67">
        <f t="shared" si="115"/>
        <v>0</v>
      </c>
      <c r="G192" s="67">
        <f t="shared" si="115"/>
        <v>0</v>
      </c>
      <c r="H192" s="67">
        <f t="shared" si="115"/>
        <v>0</v>
      </c>
      <c r="I192" s="67">
        <f t="shared" si="115"/>
        <v>0</v>
      </c>
      <c r="J192" s="67">
        <f t="shared" si="115"/>
        <v>0</v>
      </c>
      <c r="K192" s="67">
        <f t="shared" si="115"/>
        <v>0</v>
      </c>
      <c r="L192" s="67">
        <f t="shared" si="115"/>
        <v>0</v>
      </c>
      <c r="M192" s="67">
        <f t="shared" si="115"/>
        <v>0</v>
      </c>
      <c r="N192" s="67">
        <f t="shared" si="115"/>
        <v>0</v>
      </c>
      <c r="O192" s="67"/>
      <c r="P192" s="369">
        <f t="shared" si="112"/>
        <v>0</v>
      </c>
      <c r="R192" s="2"/>
    </row>
    <row r="193" spans="2:18" x14ac:dyDescent="0.15">
      <c r="B193" s="340" t="s">
        <v>695</v>
      </c>
      <c r="C193" s="12"/>
      <c r="D193" s="67">
        <f t="shared" si="110"/>
        <v>0</v>
      </c>
      <c r="E193" s="67">
        <f t="shared" ref="E193:N193" si="116">E162</f>
        <v>300000000</v>
      </c>
      <c r="F193" s="67">
        <f t="shared" si="116"/>
        <v>313500000.00000006</v>
      </c>
      <c r="G193" s="67">
        <f t="shared" si="116"/>
        <v>327607500.00000006</v>
      </c>
      <c r="H193" s="67">
        <f t="shared" si="116"/>
        <v>342349837.50000012</v>
      </c>
      <c r="I193" s="67">
        <f t="shared" si="116"/>
        <v>357755580.18750012</v>
      </c>
      <c r="J193" s="67">
        <f t="shared" si="116"/>
        <v>0</v>
      </c>
      <c r="K193" s="67">
        <f t="shared" si="116"/>
        <v>0</v>
      </c>
      <c r="L193" s="67">
        <f t="shared" si="116"/>
        <v>0</v>
      </c>
      <c r="M193" s="67">
        <f t="shared" si="116"/>
        <v>0</v>
      </c>
      <c r="N193" s="67">
        <f t="shared" si="116"/>
        <v>0</v>
      </c>
      <c r="O193" s="67"/>
      <c r="P193" s="369">
        <f t="shared" si="112"/>
        <v>1641212917.6875</v>
      </c>
      <c r="R193" s="2"/>
    </row>
    <row r="194" spans="2:18" x14ac:dyDescent="0.15">
      <c r="B194" s="355" t="s">
        <v>696</v>
      </c>
      <c r="C194" s="335" t="s">
        <v>289</v>
      </c>
      <c r="D194" s="331">
        <f t="shared" si="110"/>
        <v>0</v>
      </c>
      <c r="E194" s="331">
        <f>E163*1.05</f>
        <v>241678500</v>
      </c>
      <c r="F194" s="331">
        <f t="shared" ref="F194:N194" si="117">F163*1.05</f>
        <v>265669293.75000003</v>
      </c>
      <c r="G194" s="331">
        <f t="shared" si="117"/>
        <v>292662004.37381262</v>
      </c>
      <c r="H194" s="331">
        <f t="shared" si="117"/>
        <v>323049273.81376451</v>
      </c>
      <c r="I194" s="331">
        <f t="shared" si="117"/>
        <v>357275694.67860174</v>
      </c>
      <c r="J194" s="331">
        <f t="shared" si="117"/>
        <v>0</v>
      </c>
      <c r="K194" s="331">
        <f t="shared" si="117"/>
        <v>0</v>
      </c>
      <c r="L194" s="331">
        <f t="shared" si="117"/>
        <v>0</v>
      </c>
      <c r="M194" s="331">
        <f t="shared" si="117"/>
        <v>0</v>
      </c>
      <c r="N194" s="331">
        <f t="shared" si="117"/>
        <v>0</v>
      </c>
      <c r="O194" s="331">
        <v>0</v>
      </c>
      <c r="P194" s="370">
        <f t="shared" si="112"/>
        <v>1480334766.616179</v>
      </c>
      <c r="R194" s="2"/>
    </row>
    <row r="195" spans="2:18" x14ac:dyDescent="0.15">
      <c r="B195" s="340">
        <v>3</v>
      </c>
      <c r="C195" s="12" t="s">
        <v>290</v>
      </c>
      <c r="D195" s="67">
        <f t="shared" si="110"/>
        <v>0</v>
      </c>
      <c r="E195" s="67">
        <f>E193-E194</f>
        <v>58321500</v>
      </c>
      <c r="F195" s="67">
        <f t="shared" ref="F195:N195" si="118">F193-F194</f>
        <v>47830706.25000003</v>
      </c>
      <c r="G195" s="67">
        <f t="shared" si="118"/>
        <v>34945495.626187444</v>
      </c>
      <c r="H195" s="67">
        <f t="shared" si="118"/>
        <v>19300563.686235607</v>
      </c>
      <c r="I195" s="67">
        <f t="shared" si="118"/>
        <v>479885.50889837742</v>
      </c>
      <c r="J195" s="67">
        <f t="shared" si="118"/>
        <v>0</v>
      </c>
      <c r="K195" s="67">
        <f t="shared" si="118"/>
        <v>0</v>
      </c>
      <c r="L195" s="67">
        <f t="shared" si="118"/>
        <v>0</v>
      </c>
      <c r="M195" s="67">
        <f t="shared" si="118"/>
        <v>0</v>
      </c>
      <c r="N195" s="67">
        <f t="shared" si="118"/>
        <v>0</v>
      </c>
      <c r="O195" s="67">
        <v>0</v>
      </c>
      <c r="P195" s="369">
        <f t="shared" si="112"/>
        <v>160878151.07132146</v>
      </c>
      <c r="R195" s="2"/>
    </row>
    <row r="196" spans="2:18" x14ac:dyDescent="0.15">
      <c r="B196" s="340" t="s">
        <v>697</v>
      </c>
      <c r="C196" s="12" t="s">
        <v>292</v>
      </c>
      <c r="D196" s="67">
        <f t="shared" si="110"/>
        <v>0</v>
      </c>
      <c r="E196" s="67">
        <f>E165</f>
        <v>3772500</v>
      </c>
      <c r="F196" s="67">
        <f t="shared" ref="F196:N196" si="119">F165</f>
        <v>6218850</v>
      </c>
      <c r="G196" s="67">
        <f t="shared" si="119"/>
        <v>4083150</v>
      </c>
      <c r="H196" s="67">
        <f t="shared" si="119"/>
        <v>2775510</v>
      </c>
      <c r="I196" s="67">
        <f t="shared" si="119"/>
        <v>1352955</v>
      </c>
      <c r="J196" s="67">
        <f t="shared" si="119"/>
        <v>0</v>
      </c>
      <c r="K196" s="67">
        <f t="shared" si="119"/>
        <v>0</v>
      </c>
      <c r="L196" s="67">
        <f t="shared" si="119"/>
        <v>0</v>
      </c>
      <c r="M196" s="67">
        <f t="shared" si="119"/>
        <v>0</v>
      </c>
      <c r="N196" s="67">
        <f t="shared" si="119"/>
        <v>0</v>
      </c>
      <c r="O196" s="67">
        <v>0</v>
      </c>
      <c r="P196" s="369">
        <f t="shared" si="112"/>
        <v>18202965</v>
      </c>
      <c r="R196" s="2"/>
    </row>
    <row r="197" spans="2:18" x14ac:dyDescent="0.15">
      <c r="B197" s="340">
        <v>5</v>
      </c>
      <c r="C197" s="12" t="s">
        <v>293</v>
      </c>
      <c r="D197" s="67">
        <f t="shared" si="110"/>
        <v>0</v>
      </c>
      <c r="E197" s="67">
        <f>E195-E196</f>
        <v>54549000</v>
      </c>
      <c r="F197" s="67">
        <f t="shared" ref="F197:N197" si="120">F195-F196</f>
        <v>41611856.25000003</v>
      </c>
      <c r="G197" s="67">
        <f t="shared" si="120"/>
        <v>30862345.626187444</v>
      </c>
      <c r="H197" s="67">
        <f t="shared" si="120"/>
        <v>16525053.686235607</v>
      </c>
      <c r="I197" s="67">
        <f t="shared" si="120"/>
        <v>-873069.49110162258</v>
      </c>
      <c r="J197" s="67">
        <f t="shared" si="120"/>
        <v>0</v>
      </c>
      <c r="K197" s="67">
        <f t="shared" si="120"/>
        <v>0</v>
      </c>
      <c r="L197" s="67">
        <f t="shared" si="120"/>
        <v>0</v>
      </c>
      <c r="M197" s="67">
        <f t="shared" si="120"/>
        <v>0</v>
      </c>
      <c r="N197" s="67">
        <f t="shared" si="120"/>
        <v>0</v>
      </c>
      <c r="O197" s="67">
        <v>0</v>
      </c>
      <c r="P197" s="369">
        <f t="shared" si="112"/>
        <v>142675186.07132146</v>
      </c>
      <c r="R197" s="2"/>
    </row>
    <row r="198" spans="2:18" x14ac:dyDescent="0.15">
      <c r="B198" s="340" t="s">
        <v>698</v>
      </c>
      <c r="C198" s="12" t="s">
        <v>295</v>
      </c>
      <c r="D198" s="67">
        <f t="shared" si="110"/>
        <v>0</v>
      </c>
      <c r="E198" s="67">
        <f>E167</f>
        <v>0</v>
      </c>
      <c r="F198" s="67">
        <f t="shared" ref="F198:N198" si="121">F167</f>
        <v>0</v>
      </c>
      <c r="G198" s="67">
        <f t="shared" si="121"/>
        <v>0</v>
      </c>
      <c r="H198" s="67">
        <f t="shared" si="121"/>
        <v>0</v>
      </c>
      <c r="I198" s="67">
        <f t="shared" si="121"/>
        <v>0</v>
      </c>
      <c r="J198" s="67">
        <f t="shared" si="121"/>
        <v>0</v>
      </c>
      <c r="K198" s="67">
        <f t="shared" si="121"/>
        <v>0</v>
      </c>
      <c r="L198" s="67">
        <f t="shared" si="121"/>
        <v>0</v>
      </c>
      <c r="M198" s="67">
        <f t="shared" si="121"/>
        <v>0</v>
      </c>
      <c r="N198" s="67">
        <f t="shared" si="121"/>
        <v>0</v>
      </c>
      <c r="O198" s="67">
        <v>0</v>
      </c>
      <c r="P198" s="369">
        <f t="shared" si="112"/>
        <v>0</v>
      </c>
      <c r="R198" s="2"/>
    </row>
    <row r="199" spans="2:18" x14ac:dyDescent="0.15">
      <c r="B199" s="340">
        <v>7</v>
      </c>
      <c r="C199" s="12" t="s">
        <v>296</v>
      </c>
      <c r="D199" s="67">
        <f t="shared" si="110"/>
        <v>0</v>
      </c>
      <c r="E199" s="67">
        <f>E197-E198</f>
        <v>54549000</v>
      </c>
      <c r="F199" s="67">
        <f t="shared" ref="F199:N199" si="122">F197-F198</f>
        <v>41611856.25000003</v>
      </c>
      <c r="G199" s="67">
        <f t="shared" si="122"/>
        <v>30862345.626187444</v>
      </c>
      <c r="H199" s="67">
        <f t="shared" si="122"/>
        <v>16525053.686235607</v>
      </c>
      <c r="I199" s="67">
        <f t="shared" si="122"/>
        <v>-873069.49110162258</v>
      </c>
      <c r="J199" s="67">
        <f t="shared" si="122"/>
        <v>0</v>
      </c>
      <c r="K199" s="67">
        <f t="shared" si="122"/>
        <v>0</v>
      </c>
      <c r="L199" s="67">
        <f t="shared" si="122"/>
        <v>0</v>
      </c>
      <c r="M199" s="67">
        <f t="shared" si="122"/>
        <v>0</v>
      </c>
      <c r="N199" s="67">
        <f t="shared" si="122"/>
        <v>0</v>
      </c>
      <c r="O199" s="67">
        <v>0</v>
      </c>
      <c r="P199" s="369">
        <f t="shared" si="112"/>
        <v>142675186.07132146</v>
      </c>
      <c r="R199" s="2"/>
    </row>
    <row r="200" spans="2:18" x14ac:dyDescent="0.15">
      <c r="B200" s="340">
        <v>8</v>
      </c>
      <c r="C200" s="12" t="s">
        <v>297</v>
      </c>
      <c r="D200" s="67">
        <f t="shared" si="110"/>
        <v>0</v>
      </c>
      <c r="E200" s="67">
        <f>-E199*$D$3</f>
        <v>-16364700</v>
      </c>
      <c r="F200" s="67">
        <f t="shared" ref="F200:N200" si="123">-F199*$D$3</f>
        <v>-12483556.875000009</v>
      </c>
      <c r="G200" s="67">
        <f t="shared" si="123"/>
        <v>-9258703.6878562327</v>
      </c>
      <c r="H200" s="67">
        <f t="shared" si="123"/>
        <v>-4957516.1058706818</v>
      </c>
      <c r="I200" s="67">
        <f t="shared" si="123"/>
        <v>261920.84733048675</v>
      </c>
      <c r="J200" s="67">
        <f t="shared" si="123"/>
        <v>0</v>
      </c>
      <c r="K200" s="67">
        <f t="shared" si="123"/>
        <v>0</v>
      </c>
      <c r="L200" s="67">
        <f t="shared" si="123"/>
        <v>0</v>
      </c>
      <c r="M200" s="67">
        <f t="shared" si="123"/>
        <v>0</v>
      </c>
      <c r="N200" s="67">
        <f t="shared" si="123"/>
        <v>0</v>
      </c>
      <c r="O200" s="67">
        <v>0</v>
      </c>
      <c r="P200" s="369">
        <f t="shared" si="112"/>
        <v>-42802555.821396433</v>
      </c>
      <c r="R200" s="2"/>
    </row>
    <row r="201" spans="2:18" x14ac:dyDescent="0.15">
      <c r="B201" s="340">
        <v>9</v>
      </c>
      <c r="C201" s="12" t="s">
        <v>298</v>
      </c>
      <c r="D201" s="67">
        <f t="shared" si="110"/>
        <v>0</v>
      </c>
      <c r="E201" s="67">
        <f t="shared" ref="E201:N201" si="124">E170</f>
        <v>0</v>
      </c>
      <c r="F201" s="67">
        <f t="shared" si="124"/>
        <v>0</v>
      </c>
      <c r="G201" s="67">
        <f t="shared" si="124"/>
        <v>0</v>
      </c>
      <c r="H201" s="67">
        <f t="shared" si="124"/>
        <v>0</v>
      </c>
      <c r="I201" s="67">
        <f t="shared" si="124"/>
        <v>0</v>
      </c>
      <c r="J201" s="67">
        <f t="shared" si="124"/>
        <v>0</v>
      </c>
      <c r="K201" s="67">
        <f t="shared" si="124"/>
        <v>0</v>
      </c>
      <c r="L201" s="67">
        <f t="shared" si="124"/>
        <v>0</v>
      </c>
      <c r="M201" s="67">
        <f t="shared" si="124"/>
        <v>0</v>
      </c>
      <c r="N201" s="67">
        <f t="shared" si="124"/>
        <v>0</v>
      </c>
      <c r="O201" s="67">
        <v>0</v>
      </c>
      <c r="P201" s="369">
        <f t="shared" si="112"/>
        <v>0</v>
      </c>
      <c r="R201" s="2"/>
    </row>
    <row r="202" spans="2:18" x14ac:dyDescent="0.15">
      <c r="B202" s="340">
        <v>10</v>
      </c>
      <c r="C202" s="12" t="s">
        <v>299</v>
      </c>
      <c r="D202" s="67">
        <f t="shared" si="110"/>
        <v>0</v>
      </c>
      <c r="E202" s="67">
        <f>E199+E200+E201</f>
        <v>38184300</v>
      </c>
      <c r="F202" s="67">
        <f t="shared" ref="F202:N202" si="125">F199+F200+F201</f>
        <v>29128299.375000022</v>
      </c>
      <c r="G202" s="67">
        <f t="shared" si="125"/>
        <v>21603641.938331209</v>
      </c>
      <c r="H202" s="67">
        <f t="shared" si="125"/>
        <v>11567537.580364924</v>
      </c>
      <c r="I202" s="67">
        <f t="shared" si="125"/>
        <v>-611148.64377113583</v>
      </c>
      <c r="J202" s="67">
        <f t="shared" si="125"/>
        <v>0</v>
      </c>
      <c r="K202" s="67">
        <f t="shared" si="125"/>
        <v>0</v>
      </c>
      <c r="L202" s="67">
        <f t="shared" si="125"/>
        <v>0</v>
      </c>
      <c r="M202" s="67">
        <f t="shared" si="125"/>
        <v>0</v>
      </c>
      <c r="N202" s="67">
        <f t="shared" si="125"/>
        <v>0</v>
      </c>
      <c r="O202" s="67">
        <v>0</v>
      </c>
      <c r="P202" s="369">
        <f t="shared" si="112"/>
        <v>99872630.249925032</v>
      </c>
      <c r="R202" s="2"/>
    </row>
    <row r="203" spans="2:18" x14ac:dyDescent="0.15">
      <c r="B203" s="340" t="s">
        <v>699</v>
      </c>
      <c r="C203" s="12" t="s">
        <v>292</v>
      </c>
      <c r="D203" s="67">
        <f t="shared" si="110"/>
        <v>0</v>
      </c>
      <c r="E203" s="67">
        <f>E172</f>
        <v>3772500</v>
      </c>
      <c r="F203" s="67">
        <f t="shared" ref="F203:N203" si="126">F172</f>
        <v>6218850</v>
      </c>
      <c r="G203" s="67">
        <f t="shared" si="126"/>
        <v>4083150</v>
      </c>
      <c r="H203" s="67">
        <f t="shared" si="126"/>
        <v>2775510</v>
      </c>
      <c r="I203" s="67">
        <f t="shared" si="126"/>
        <v>1352955</v>
      </c>
      <c r="J203" s="67">
        <f t="shared" si="126"/>
        <v>0</v>
      </c>
      <c r="K203" s="67">
        <f t="shared" si="126"/>
        <v>0</v>
      </c>
      <c r="L203" s="67">
        <f t="shared" si="126"/>
        <v>0</v>
      </c>
      <c r="M203" s="67">
        <f t="shared" si="126"/>
        <v>0</v>
      </c>
      <c r="N203" s="67">
        <f t="shared" si="126"/>
        <v>0</v>
      </c>
      <c r="O203" s="67">
        <v>0</v>
      </c>
      <c r="P203" s="369">
        <f t="shared" si="112"/>
        <v>18202965</v>
      </c>
      <c r="R203" s="2"/>
    </row>
    <row r="204" spans="2:18" x14ac:dyDescent="0.15">
      <c r="B204" s="340">
        <v>12</v>
      </c>
      <c r="C204" s="12" t="s">
        <v>301</v>
      </c>
      <c r="D204" s="67">
        <f t="shared" si="110"/>
        <v>0</v>
      </c>
      <c r="E204" s="67">
        <f>E202+E203</f>
        <v>41956800</v>
      </c>
      <c r="F204" s="67">
        <f t="shared" ref="F204:N204" si="127">F202+F203</f>
        <v>35347149.375000022</v>
      </c>
      <c r="G204" s="67">
        <f t="shared" si="127"/>
        <v>25686791.938331209</v>
      </c>
      <c r="H204" s="67">
        <f t="shared" si="127"/>
        <v>14343047.580364924</v>
      </c>
      <c r="I204" s="67">
        <f t="shared" si="127"/>
        <v>741806.35622886417</v>
      </c>
      <c r="J204" s="67">
        <f t="shared" si="127"/>
        <v>0</v>
      </c>
      <c r="K204" s="67">
        <f t="shared" si="127"/>
        <v>0</v>
      </c>
      <c r="L204" s="67">
        <f t="shared" si="127"/>
        <v>0</v>
      </c>
      <c r="M204" s="67">
        <f t="shared" si="127"/>
        <v>0</v>
      </c>
      <c r="N204" s="67">
        <f t="shared" si="127"/>
        <v>0</v>
      </c>
      <c r="O204" s="67">
        <v>0</v>
      </c>
      <c r="P204" s="369">
        <f t="shared" si="112"/>
        <v>118075595.24992503</v>
      </c>
      <c r="R204" s="2"/>
    </row>
    <row r="205" spans="2:18" x14ac:dyDescent="0.15">
      <c r="B205" s="340" t="s">
        <v>700</v>
      </c>
      <c r="C205" s="12" t="s">
        <v>303</v>
      </c>
      <c r="D205" s="67">
        <f t="shared" si="110"/>
        <v>0</v>
      </c>
      <c r="E205" s="67">
        <f t="shared" ref="E205:N205" si="128">E174</f>
        <v>0</v>
      </c>
      <c r="F205" s="67">
        <f t="shared" si="128"/>
        <v>0</v>
      </c>
      <c r="G205" s="67">
        <f t="shared" si="128"/>
        <v>0</v>
      </c>
      <c r="H205" s="67">
        <f t="shared" si="128"/>
        <v>0</v>
      </c>
      <c r="I205" s="67">
        <f t="shared" si="128"/>
        <v>0</v>
      </c>
      <c r="J205" s="67">
        <f t="shared" si="128"/>
        <v>0</v>
      </c>
      <c r="K205" s="67">
        <f t="shared" si="128"/>
        <v>0</v>
      </c>
      <c r="L205" s="67">
        <f t="shared" si="128"/>
        <v>0</v>
      </c>
      <c r="M205" s="67">
        <f t="shared" si="128"/>
        <v>0</v>
      </c>
      <c r="N205" s="67">
        <f t="shared" si="128"/>
        <v>0</v>
      </c>
      <c r="O205" s="67">
        <v>0</v>
      </c>
      <c r="P205" s="369">
        <f t="shared" si="112"/>
        <v>0</v>
      </c>
      <c r="R205" s="2"/>
    </row>
    <row r="206" spans="2:18" x14ac:dyDescent="0.15">
      <c r="B206" s="340">
        <v>14</v>
      </c>
      <c r="C206" s="12" t="s">
        <v>304</v>
      </c>
      <c r="D206" s="67">
        <f t="shared" ref="D206:N212" si="129">D175</f>
        <v>-32550000</v>
      </c>
      <c r="E206" s="67">
        <f t="shared" si="129"/>
        <v>0</v>
      </c>
      <c r="F206" s="67">
        <f t="shared" si="129"/>
        <v>0</v>
      </c>
      <c r="G206" s="67">
        <f t="shared" si="129"/>
        <v>0</v>
      </c>
      <c r="H206" s="67">
        <f t="shared" si="129"/>
        <v>0</v>
      </c>
      <c r="I206" s="67">
        <f t="shared" si="129"/>
        <v>14347035</v>
      </c>
      <c r="J206" s="67">
        <f t="shared" si="129"/>
        <v>0</v>
      </c>
      <c r="K206" s="67">
        <f t="shared" si="129"/>
        <v>0</v>
      </c>
      <c r="L206" s="67">
        <f t="shared" si="129"/>
        <v>0</v>
      </c>
      <c r="M206" s="67">
        <f t="shared" si="129"/>
        <v>0</v>
      </c>
      <c r="N206" s="67">
        <f t="shared" si="129"/>
        <v>0</v>
      </c>
      <c r="O206" s="67">
        <v>0</v>
      </c>
      <c r="P206" s="369">
        <f t="shared" si="112"/>
        <v>14347035</v>
      </c>
      <c r="R206" s="2"/>
    </row>
    <row r="207" spans="2:18" x14ac:dyDescent="0.15">
      <c r="B207" s="340" t="s">
        <v>701</v>
      </c>
      <c r="C207" s="12" t="s">
        <v>207</v>
      </c>
      <c r="D207" s="67">
        <f t="shared" si="129"/>
        <v>-31050000</v>
      </c>
      <c r="E207" s="67">
        <f t="shared" si="129"/>
        <v>0</v>
      </c>
      <c r="F207" s="67">
        <f t="shared" si="129"/>
        <v>0</v>
      </c>
      <c r="G207" s="67">
        <f t="shared" si="129"/>
        <v>0</v>
      </c>
      <c r="H207" s="67">
        <f t="shared" si="129"/>
        <v>0</v>
      </c>
      <c r="I207" s="67">
        <f t="shared" si="129"/>
        <v>12847035</v>
      </c>
      <c r="J207" s="67">
        <f t="shared" si="129"/>
        <v>0</v>
      </c>
      <c r="K207" s="67">
        <f t="shared" si="129"/>
        <v>0</v>
      </c>
      <c r="L207" s="67">
        <f t="shared" si="129"/>
        <v>0</v>
      </c>
      <c r="M207" s="67">
        <f t="shared" si="129"/>
        <v>0</v>
      </c>
      <c r="N207" s="67">
        <f t="shared" si="129"/>
        <v>0</v>
      </c>
      <c r="O207" s="67">
        <v>0</v>
      </c>
      <c r="P207" s="369">
        <f t="shared" si="112"/>
        <v>12847035</v>
      </c>
      <c r="R207" s="2"/>
    </row>
    <row r="208" spans="2:18" x14ac:dyDescent="0.15">
      <c r="B208" s="340" t="s">
        <v>702</v>
      </c>
      <c r="C208" s="12" t="s">
        <v>307</v>
      </c>
      <c r="D208" s="67">
        <f t="shared" si="129"/>
        <v>-1500000</v>
      </c>
      <c r="E208" s="67">
        <f t="shared" si="129"/>
        <v>0</v>
      </c>
      <c r="F208" s="67">
        <f t="shared" si="129"/>
        <v>0</v>
      </c>
      <c r="G208" s="67">
        <f t="shared" si="129"/>
        <v>0</v>
      </c>
      <c r="H208" s="67">
        <f t="shared" si="129"/>
        <v>0</v>
      </c>
      <c r="I208" s="67">
        <f t="shared" si="129"/>
        <v>1500000</v>
      </c>
      <c r="J208" s="67">
        <f t="shared" si="129"/>
        <v>0</v>
      </c>
      <c r="K208" s="67">
        <f t="shared" si="129"/>
        <v>0</v>
      </c>
      <c r="L208" s="67">
        <f t="shared" si="129"/>
        <v>0</v>
      </c>
      <c r="M208" s="67">
        <f t="shared" si="129"/>
        <v>0</v>
      </c>
      <c r="N208" s="67">
        <f t="shared" si="129"/>
        <v>0</v>
      </c>
      <c r="O208" s="67">
        <v>0</v>
      </c>
      <c r="P208" s="369">
        <f t="shared" si="112"/>
        <v>1500000</v>
      </c>
      <c r="R208" s="2"/>
    </row>
    <row r="209" spans="1:18" x14ac:dyDescent="0.15">
      <c r="B209" s="340" t="s">
        <v>703</v>
      </c>
      <c r="C209" s="12" t="s">
        <v>309</v>
      </c>
      <c r="D209" s="67">
        <f t="shared" si="129"/>
        <v>0</v>
      </c>
      <c r="E209" s="67">
        <f t="shared" si="129"/>
        <v>0</v>
      </c>
      <c r="F209" s="67">
        <f t="shared" si="129"/>
        <v>0</v>
      </c>
      <c r="G209" s="67">
        <f t="shared" si="129"/>
        <v>0</v>
      </c>
      <c r="H209" s="67">
        <f t="shared" si="129"/>
        <v>0</v>
      </c>
      <c r="I209" s="67">
        <f t="shared" si="129"/>
        <v>0</v>
      </c>
      <c r="J209" s="67">
        <f t="shared" si="129"/>
        <v>0</v>
      </c>
      <c r="K209" s="67">
        <f t="shared" si="129"/>
        <v>0</v>
      </c>
      <c r="L209" s="67">
        <f t="shared" si="129"/>
        <v>0</v>
      </c>
      <c r="M209" s="67">
        <f t="shared" si="129"/>
        <v>0</v>
      </c>
      <c r="N209" s="67">
        <f t="shared" si="129"/>
        <v>0</v>
      </c>
      <c r="O209" s="67">
        <v>0</v>
      </c>
      <c r="P209" s="369">
        <f t="shared" si="112"/>
        <v>0</v>
      </c>
      <c r="R209" s="2"/>
    </row>
    <row r="210" spans="1:18" x14ac:dyDescent="0.15">
      <c r="B210" s="340" t="s">
        <v>704</v>
      </c>
      <c r="C210" s="12" t="s">
        <v>311</v>
      </c>
      <c r="D210" s="67">
        <f t="shared" si="129"/>
        <v>0</v>
      </c>
      <c r="E210" s="67">
        <f t="shared" si="129"/>
        <v>0</v>
      </c>
      <c r="F210" s="67">
        <f t="shared" si="129"/>
        <v>0</v>
      </c>
      <c r="G210" s="67">
        <f t="shared" si="129"/>
        <v>0</v>
      </c>
      <c r="H210" s="67">
        <f t="shared" si="129"/>
        <v>0</v>
      </c>
      <c r="I210" s="67">
        <f t="shared" si="129"/>
        <v>-2596968.7000000002</v>
      </c>
      <c r="J210" s="67">
        <f t="shared" si="129"/>
        <v>0</v>
      </c>
      <c r="K210" s="67">
        <f t="shared" si="129"/>
        <v>0</v>
      </c>
      <c r="L210" s="67">
        <f t="shared" si="129"/>
        <v>0</v>
      </c>
      <c r="M210" s="67">
        <f t="shared" si="129"/>
        <v>0</v>
      </c>
      <c r="N210" s="67">
        <f t="shared" si="129"/>
        <v>0</v>
      </c>
      <c r="O210" s="67">
        <v>0</v>
      </c>
      <c r="P210" s="369">
        <f t="shared" si="112"/>
        <v>-2596968.7000000002</v>
      </c>
      <c r="R210" s="2"/>
    </row>
    <row r="211" spans="1:18" ht="14" thickBot="1" x14ac:dyDescent="0.2">
      <c r="B211" s="340" t="s">
        <v>705</v>
      </c>
      <c r="C211" s="12" t="s">
        <v>115</v>
      </c>
      <c r="D211" s="67">
        <f t="shared" si="129"/>
        <v>-60000000</v>
      </c>
      <c r="E211" s="67">
        <f t="shared" si="129"/>
        <v>0</v>
      </c>
      <c r="F211" s="67">
        <f t="shared" si="129"/>
        <v>0</v>
      </c>
      <c r="G211" s="67">
        <f t="shared" si="129"/>
        <v>0</v>
      </c>
      <c r="H211" s="67">
        <f t="shared" si="129"/>
        <v>0</v>
      </c>
      <c r="I211" s="67">
        <f t="shared" si="129"/>
        <v>60000000</v>
      </c>
      <c r="J211" s="67">
        <f t="shared" si="129"/>
        <v>0</v>
      </c>
      <c r="K211" s="67">
        <f t="shared" si="129"/>
        <v>0</v>
      </c>
      <c r="L211" s="67">
        <f t="shared" si="129"/>
        <v>0</v>
      </c>
      <c r="M211" s="67">
        <f t="shared" si="129"/>
        <v>0</v>
      </c>
      <c r="N211" s="67">
        <f t="shared" si="129"/>
        <v>0</v>
      </c>
      <c r="O211" s="67">
        <v>0</v>
      </c>
      <c r="P211" s="369">
        <f t="shared" si="112"/>
        <v>60000000</v>
      </c>
      <c r="R211" s="2"/>
    </row>
    <row r="212" spans="1:18" x14ac:dyDescent="0.15">
      <c r="B212" s="340">
        <v>17</v>
      </c>
      <c r="C212" s="12" t="s">
        <v>313</v>
      </c>
      <c r="D212" s="67">
        <f t="shared" si="129"/>
        <v>-92550000</v>
      </c>
      <c r="E212" s="67">
        <f t="shared" si="129"/>
        <v>0</v>
      </c>
      <c r="F212" s="67">
        <f t="shared" si="129"/>
        <v>0</v>
      </c>
      <c r="G212" s="67">
        <f t="shared" si="129"/>
        <v>0</v>
      </c>
      <c r="H212" s="67">
        <f t="shared" si="129"/>
        <v>0</v>
      </c>
      <c r="I212" s="67">
        <f t="shared" si="129"/>
        <v>71750066.299999997</v>
      </c>
      <c r="J212" s="67">
        <f t="shared" si="129"/>
        <v>0</v>
      </c>
      <c r="K212" s="67">
        <f t="shared" si="129"/>
        <v>0</v>
      </c>
      <c r="L212" s="67">
        <f t="shared" si="129"/>
        <v>0</v>
      </c>
      <c r="M212" s="67">
        <f t="shared" si="129"/>
        <v>0</v>
      </c>
      <c r="N212" s="67">
        <f t="shared" si="129"/>
        <v>0</v>
      </c>
      <c r="O212" s="67">
        <v>0</v>
      </c>
      <c r="P212" s="369">
        <f t="shared" si="112"/>
        <v>71750066.299999997</v>
      </c>
      <c r="Q212" s="357" t="s">
        <v>693</v>
      </c>
      <c r="R212" s="2"/>
    </row>
    <row r="213" spans="1:18" ht="14" thickBot="1" x14ac:dyDescent="0.2">
      <c r="A213" s="1" t="s">
        <v>709</v>
      </c>
      <c r="B213" s="355">
        <v>18</v>
      </c>
      <c r="C213" s="335" t="s">
        <v>314</v>
      </c>
      <c r="D213" s="331">
        <f>D212+D204</f>
        <v>-92550000</v>
      </c>
      <c r="E213" s="331">
        <f t="shared" ref="E213:N213" si="130">E212+E204</f>
        <v>41956800</v>
      </c>
      <c r="F213" s="331">
        <f t="shared" si="130"/>
        <v>35347149.375000022</v>
      </c>
      <c r="G213" s="331">
        <f t="shared" si="130"/>
        <v>25686791.938331209</v>
      </c>
      <c r="H213" s="331">
        <f t="shared" si="130"/>
        <v>14343047.580364924</v>
      </c>
      <c r="I213" s="331">
        <f t="shared" si="130"/>
        <v>72491872.656228855</v>
      </c>
      <c r="J213" s="331">
        <f t="shared" si="130"/>
        <v>0</v>
      </c>
      <c r="K213" s="331">
        <f t="shared" si="130"/>
        <v>0</v>
      </c>
      <c r="L213" s="331">
        <f t="shared" si="130"/>
        <v>0</v>
      </c>
      <c r="M213" s="331">
        <f t="shared" si="130"/>
        <v>0</v>
      </c>
      <c r="N213" s="331">
        <f t="shared" si="130"/>
        <v>0</v>
      </c>
      <c r="O213" s="331">
        <v>0</v>
      </c>
      <c r="P213" s="369">
        <f t="shared" si="112"/>
        <v>189825661.54992503</v>
      </c>
      <c r="Q213" s="358">
        <f>IF(ISNUMBER(IRR(D213:N213)),IRR(D213:N213),"NMF")</f>
        <v>0.28264387824202131</v>
      </c>
      <c r="R213" s="1" t="s">
        <v>709</v>
      </c>
    </row>
    <row r="214" spans="1:18" x14ac:dyDescent="0.15">
      <c r="R214" s="2"/>
    </row>
    <row r="215" spans="1:18" ht="14" thickBot="1" x14ac:dyDescent="0.2">
      <c r="R215" s="2"/>
    </row>
    <row r="216" spans="1:18" ht="14" thickBot="1" x14ac:dyDescent="0.2">
      <c r="B216" s="359" t="s">
        <v>282</v>
      </c>
      <c r="C216" s="360" t="s">
        <v>283</v>
      </c>
      <c r="D216" s="360"/>
      <c r="E216" s="360">
        <v>1</v>
      </c>
      <c r="F216" s="360">
        <v>2</v>
      </c>
      <c r="G216" s="360">
        <v>3</v>
      </c>
      <c r="H216" s="360">
        <v>4</v>
      </c>
      <c r="I216" s="360">
        <v>5</v>
      </c>
      <c r="J216" s="360">
        <v>6</v>
      </c>
      <c r="K216" s="360">
        <v>7</v>
      </c>
      <c r="L216" s="360">
        <v>8</v>
      </c>
      <c r="M216" s="360">
        <v>9</v>
      </c>
      <c r="N216" s="360">
        <v>10</v>
      </c>
      <c r="O216" s="360" t="s">
        <v>284</v>
      </c>
      <c r="P216" s="361" t="s">
        <v>285</v>
      </c>
      <c r="R216" s="2"/>
    </row>
    <row r="217" spans="1:18" x14ac:dyDescent="0.15">
      <c r="B217" s="339" t="s">
        <v>687</v>
      </c>
      <c r="C217" s="302" t="s">
        <v>287</v>
      </c>
      <c r="D217" s="322">
        <f t="shared" ref="D217:D240" si="131">D158</f>
        <v>0</v>
      </c>
      <c r="E217" s="322">
        <f t="shared" ref="E217:N217" si="132">E158</f>
        <v>300000000</v>
      </c>
      <c r="F217" s="322">
        <f t="shared" si="132"/>
        <v>313500000.00000006</v>
      </c>
      <c r="G217" s="322">
        <f t="shared" si="132"/>
        <v>327607500.00000006</v>
      </c>
      <c r="H217" s="322">
        <f t="shared" si="132"/>
        <v>342349837.50000012</v>
      </c>
      <c r="I217" s="322">
        <f t="shared" si="132"/>
        <v>357755580.18750012</v>
      </c>
      <c r="J217" s="322">
        <f t="shared" si="132"/>
        <v>0</v>
      </c>
      <c r="K217" s="322">
        <f t="shared" si="132"/>
        <v>0</v>
      </c>
      <c r="L217" s="322">
        <f t="shared" si="132"/>
        <v>0</v>
      </c>
      <c r="M217" s="322">
        <f t="shared" si="132"/>
        <v>0</v>
      </c>
      <c r="N217" s="322">
        <f t="shared" si="132"/>
        <v>0</v>
      </c>
      <c r="O217" s="322">
        <v>0</v>
      </c>
      <c r="P217" s="368">
        <f t="shared" ref="P217:P241" si="133">SUM(E217:N217)</f>
        <v>1641212917.6875</v>
      </c>
      <c r="R217" s="2"/>
    </row>
    <row r="218" spans="1:18" x14ac:dyDescent="0.15">
      <c r="A218" s="1" t="s">
        <v>710</v>
      </c>
      <c r="B218" s="340" t="s">
        <v>689</v>
      </c>
      <c r="C218" s="354" t="s">
        <v>689</v>
      </c>
      <c r="D218" s="67">
        <f t="shared" si="131"/>
        <v>0</v>
      </c>
      <c r="E218" s="67">
        <f t="shared" ref="E218:N218" si="134">E159</f>
        <v>300000000</v>
      </c>
      <c r="F218" s="67">
        <f t="shared" si="134"/>
        <v>313500000.00000006</v>
      </c>
      <c r="G218" s="67">
        <f t="shared" si="134"/>
        <v>327607500.00000006</v>
      </c>
      <c r="H218" s="67">
        <f t="shared" si="134"/>
        <v>342349837.50000012</v>
      </c>
      <c r="I218" s="67">
        <f t="shared" si="134"/>
        <v>357755580.18750012</v>
      </c>
      <c r="J218" s="67">
        <f t="shared" si="134"/>
        <v>0</v>
      </c>
      <c r="K218" s="67">
        <f t="shared" si="134"/>
        <v>0</v>
      </c>
      <c r="L218" s="67">
        <f t="shared" si="134"/>
        <v>0</v>
      </c>
      <c r="M218" s="67">
        <f t="shared" si="134"/>
        <v>0</v>
      </c>
      <c r="N218" s="67">
        <f t="shared" si="134"/>
        <v>0</v>
      </c>
      <c r="O218" s="67"/>
      <c r="P218" s="369">
        <f t="shared" si="133"/>
        <v>1641212917.6875</v>
      </c>
      <c r="R218" s="2"/>
    </row>
    <row r="219" spans="1:18" x14ac:dyDescent="0.15">
      <c r="B219" s="340" t="s">
        <v>690</v>
      </c>
      <c r="C219" s="354" t="s">
        <v>690</v>
      </c>
      <c r="D219" s="67">
        <f t="shared" si="131"/>
        <v>0</v>
      </c>
      <c r="E219" s="67">
        <f t="shared" ref="E219:N219" si="135">E160</f>
        <v>0</v>
      </c>
      <c r="F219" s="67">
        <f t="shared" si="135"/>
        <v>0</v>
      </c>
      <c r="G219" s="67">
        <f t="shared" si="135"/>
        <v>0</v>
      </c>
      <c r="H219" s="67">
        <f t="shared" si="135"/>
        <v>0</v>
      </c>
      <c r="I219" s="67">
        <f t="shared" si="135"/>
        <v>0</v>
      </c>
      <c r="J219" s="67">
        <f t="shared" si="135"/>
        <v>0</v>
      </c>
      <c r="K219" s="67">
        <f t="shared" si="135"/>
        <v>0</v>
      </c>
      <c r="L219" s="67">
        <f t="shared" si="135"/>
        <v>0</v>
      </c>
      <c r="M219" s="67">
        <f t="shared" si="135"/>
        <v>0</v>
      </c>
      <c r="N219" s="67">
        <f t="shared" si="135"/>
        <v>0</v>
      </c>
      <c r="O219" s="294"/>
      <c r="P219" s="369">
        <f t="shared" si="133"/>
        <v>0</v>
      </c>
      <c r="R219" s="2"/>
    </row>
    <row r="220" spans="1:18" x14ac:dyDescent="0.15">
      <c r="B220" s="340" t="s">
        <v>691</v>
      </c>
      <c r="C220" s="354" t="s">
        <v>691</v>
      </c>
      <c r="D220" s="67">
        <f t="shared" si="131"/>
        <v>0</v>
      </c>
      <c r="E220" s="67">
        <f t="shared" ref="E220:N220" si="136">E161</f>
        <v>0</v>
      </c>
      <c r="F220" s="67">
        <f t="shared" si="136"/>
        <v>0</v>
      </c>
      <c r="G220" s="67">
        <f t="shared" si="136"/>
        <v>0</v>
      </c>
      <c r="H220" s="67">
        <f t="shared" si="136"/>
        <v>0</v>
      </c>
      <c r="I220" s="67">
        <f t="shared" si="136"/>
        <v>0</v>
      </c>
      <c r="J220" s="67">
        <f t="shared" si="136"/>
        <v>0</v>
      </c>
      <c r="K220" s="67">
        <f t="shared" si="136"/>
        <v>0</v>
      </c>
      <c r="L220" s="67">
        <f t="shared" si="136"/>
        <v>0</v>
      </c>
      <c r="M220" s="67">
        <f t="shared" si="136"/>
        <v>0</v>
      </c>
      <c r="N220" s="67">
        <f t="shared" si="136"/>
        <v>0</v>
      </c>
      <c r="O220" s="67"/>
      <c r="P220" s="369">
        <f t="shared" si="133"/>
        <v>0</v>
      </c>
      <c r="R220" s="2"/>
    </row>
    <row r="221" spans="1:18" x14ac:dyDescent="0.15">
      <c r="B221" s="340" t="s">
        <v>695</v>
      </c>
      <c r="C221" s="12"/>
      <c r="D221" s="67">
        <f t="shared" si="131"/>
        <v>0</v>
      </c>
      <c r="E221" s="67">
        <f t="shared" ref="E221:N221" si="137">E162</f>
        <v>300000000</v>
      </c>
      <c r="F221" s="67">
        <f t="shared" si="137"/>
        <v>313500000.00000006</v>
      </c>
      <c r="G221" s="67">
        <f t="shared" si="137"/>
        <v>327607500.00000006</v>
      </c>
      <c r="H221" s="67">
        <f t="shared" si="137"/>
        <v>342349837.50000012</v>
      </c>
      <c r="I221" s="67">
        <f t="shared" si="137"/>
        <v>357755580.18750012</v>
      </c>
      <c r="J221" s="67">
        <f t="shared" si="137"/>
        <v>0</v>
      </c>
      <c r="K221" s="67">
        <f t="shared" si="137"/>
        <v>0</v>
      </c>
      <c r="L221" s="67">
        <f t="shared" si="137"/>
        <v>0</v>
      </c>
      <c r="M221" s="67">
        <f t="shared" si="137"/>
        <v>0</v>
      </c>
      <c r="N221" s="67">
        <f t="shared" si="137"/>
        <v>0</v>
      </c>
      <c r="O221" s="67"/>
      <c r="P221" s="369">
        <f t="shared" si="133"/>
        <v>1641212917.6875</v>
      </c>
      <c r="R221" s="2"/>
    </row>
    <row r="222" spans="1:18" x14ac:dyDescent="0.15">
      <c r="B222" s="355" t="s">
        <v>696</v>
      </c>
      <c r="C222" s="335" t="s">
        <v>289</v>
      </c>
      <c r="D222" s="331">
        <f t="shared" si="131"/>
        <v>0</v>
      </c>
      <c r="E222" s="331">
        <f>E163*1.1</f>
        <v>253187000.00000003</v>
      </c>
      <c r="F222" s="331">
        <f t="shared" ref="F222:N222" si="138">F163*1.1</f>
        <v>278320212.50000006</v>
      </c>
      <c r="G222" s="331">
        <f t="shared" si="138"/>
        <v>306598290.2963751</v>
      </c>
      <c r="H222" s="331">
        <f t="shared" si="138"/>
        <v>338432572.56680089</v>
      </c>
      <c r="I222" s="331">
        <f t="shared" si="138"/>
        <v>374288822.99663037</v>
      </c>
      <c r="J222" s="331">
        <f t="shared" si="138"/>
        <v>0</v>
      </c>
      <c r="K222" s="331">
        <f t="shared" si="138"/>
        <v>0</v>
      </c>
      <c r="L222" s="331">
        <f t="shared" si="138"/>
        <v>0</v>
      </c>
      <c r="M222" s="331">
        <f t="shared" si="138"/>
        <v>0</v>
      </c>
      <c r="N222" s="331">
        <f t="shared" si="138"/>
        <v>0</v>
      </c>
      <c r="O222" s="331">
        <v>0</v>
      </c>
      <c r="P222" s="370">
        <f t="shared" si="133"/>
        <v>1550826898.3598065</v>
      </c>
      <c r="R222" s="2"/>
    </row>
    <row r="223" spans="1:18" x14ac:dyDescent="0.15">
      <c r="B223" s="340">
        <v>3</v>
      </c>
      <c r="C223" s="12" t="s">
        <v>290</v>
      </c>
      <c r="D223" s="67">
        <f t="shared" si="131"/>
        <v>0</v>
      </c>
      <c r="E223" s="67">
        <f>E221-E222</f>
        <v>46812999.99999997</v>
      </c>
      <c r="F223" s="67">
        <f t="shared" ref="F223:N223" si="139">F221-F222</f>
        <v>35179787.5</v>
      </c>
      <c r="G223" s="67">
        <f t="shared" si="139"/>
        <v>21009209.703624964</v>
      </c>
      <c r="H223" s="67">
        <f t="shared" si="139"/>
        <v>3917264.9331992269</v>
      </c>
      <c r="I223" s="67">
        <f t="shared" si="139"/>
        <v>-16533242.809130251</v>
      </c>
      <c r="J223" s="67">
        <f t="shared" si="139"/>
        <v>0</v>
      </c>
      <c r="K223" s="67">
        <f t="shared" si="139"/>
        <v>0</v>
      </c>
      <c r="L223" s="67">
        <f t="shared" si="139"/>
        <v>0</v>
      </c>
      <c r="M223" s="67">
        <f t="shared" si="139"/>
        <v>0</v>
      </c>
      <c r="N223" s="67">
        <f t="shared" si="139"/>
        <v>0</v>
      </c>
      <c r="O223" s="67">
        <v>0</v>
      </c>
      <c r="P223" s="369">
        <f t="shared" si="133"/>
        <v>90386019.327693909</v>
      </c>
      <c r="R223" s="2"/>
    </row>
    <row r="224" spans="1:18" x14ac:dyDescent="0.15">
      <c r="B224" s="340" t="s">
        <v>697</v>
      </c>
      <c r="C224" s="12" t="s">
        <v>292</v>
      </c>
      <c r="D224" s="67">
        <f t="shared" si="131"/>
        <v>0</v>
      </c>
      <c r="E224" s="67">
        <f>E165</f>
        <v>3772500</v>
      </c>
      <c r="F224" s="67">
        <f t="shared" ref="F224:N224" si="140">F165</f>
        <v>6218850</v>
      </c>
      <c r="G224" s="67">
        <f t="shared" si="140"/>
        <v>4083150</v>
      </c>
      <c r="H224" s="67">
        <f t="shared" si="140"/>
        <v>2775510</v>
      </c>
      <c r="I224" s="67">
        <f t="shared" si="140"/>
        <v>1352955</v>
      </c>
      <c r="J224" s="67">
        <f t="shared" si="140"/>
        <v>0</v>
      </c>
      <c r="K224" s="67">
        <f t="shared" si="140"/>
        <v>0</v>
      </c>
      <c r="L224" s="67">
        <f t="shared" si="140"/>
        <v>0</v>
      </c>
      <c r="M224" s="67">
        <f t="shared" si="140"/>
        <v>0</v>
      </c>
      <c r="N224" s="67">
        <f t="shared" si="140"/>
        <v>0</v>
      </c>
      <c r="O224" s="67">
        <v>0</v>
      </c>
      <c r="P224" s="369">
        <f t="shared" si="133"/>
        <v>18202965</v>
      </c>
      <c r="R224" s="2"/>
    </row>
    <row r="225" spans="2:18" x14ac:dyDescent="0.15">
      <c r="B225" s="340">
        <v>5</v>
      </c>
      <c r="C225" s="12" t="s">
        <v>293</v>
      </c>
      <c r="D225" s="67">
        <f t="shared" si="131"/>
        <v>0</v>
      </c>
      <c r="E225" s="67">
        <f>E223-E224</f>
        <v>43040499.99999997</v>
      </c>
      <c r="F225" s="67">
        <f t="shared" ref="F225:N225" si="141">F223-F224</f>
        <v>28960937.5</v>
      </c>
      <c r="G225" s="67">
        <f t="shared" si="141"/>
        <v>16926059.703624964</v>
      </c>
      <c r="H225" s="67">
        <f t="shared" si="141"/>
        <v>1141754.9331992269</v>
      </c>
      <c r="I225" s="67">
        <f t="shared" si="141"/>
        <v>-17886197.809130251</v>
      </c>
      <c r="J225" s="67">
        <f t="shared" si="141"/>
        <v>0</v>
      </c>
      <c r="K225" s="67">
        <f t="shared" si="141"/>
        <v>0</v>
      </c>
      <c r="L225" s="67">
        <f t="shared" si="141"/>
        <v>0</v>
      </c>
      <c r="M225" s="67">
        <f t="shared" si="141"/>
        <v>0</v>
      </c>
      <c r="N225" s="67">
        <f t="shared" si="141"/>
        <v>0</v>
      </c>
      <c r="O225" s="67">
        <v>0</v>
      </c>
      <c r="P225" s="369">
        <f t="shared" si="133"/>
        <v>72183054.327693909</v>
      </c>
      <c r="R225" s="2"/>
    </row>
    <row r="226" spans="2:18" x14ac:dyDescent="0.15">
      <c r="B226" s="340" t="s">
        <v>698</v>
      </c>
      <c r="C226" s="12" t="s">
        <v>295</v>
      </c>
      <c r="D226" s="67">
        <f t="shared" si="131"/>
        <v>0</v>
      </c>
      <c r="E226" s="67">
        <f>E167</f>
        <v>0</v>
      </c>
      <c r="F226" s="67">
        <f t="shared" ref="F226:N226" si="142">F167</f>
        <v>0</v>
      </c>
      <c r="G226" s="67">
        <f t="shared" si="142"/>
        <v>0</v>
      </c>
      <c r="H226" s="67">
        <f t="shared" si="142"/>
        <v>0</v>
      </c>
      <c r="I226" s="67">
        <f t="shared" si="142"/>
        <v>0</v>
      </c>
      <c r="J226" s="67">
        <f t="shared" si="142"/>
        <v>0</v>
      </c>
      <c r="K226" s="67">
        <f t="shared" si="142"/>
        <v>0</v>
      </c>
      <c r="L226" s="67">
        <f t="shared" si="142"/>
        <v>0</v>
      </c>
      <c r="M226" s="67">
        <f t="shared" si="142"/>
        <v>0</v>
      </c>
      <c r="N226" s="67">
        <f t="shared" si="142"/>
        <v>0</v>
      </c>
      <c r="O226" s="67">
        <v>0</v>
      </c>
      <c r="P226" s="369">
        <f t="shared" si="133"/>
        <v>0</v>
      </c>
      <c r="R226" s="2"/>
    </row>
    <row r="227" spans="2:18" x14ac:dyDescent="0.15">
      <c r="B227" s="340">
        <v>7</v>
      </c>
      <c r="C227" s="12" t="s">
        <v>296</v>
      </c>
      <c r="D227" s="67">
        <f t="shared" si="131"/>
        <v>0</v>
      </c>
      <c r="E227" s="67">
        <f>E225-E226</f>
        <v>43040499.99999997</v>
      </c>
      <c r="F227" s="67">
        <f t="shared" ref="F227:N227" si="143">F225-F226</f>
        <v>28960937.5</v>
      </c>
      <c r="G227" s="67">
        <f t="shared" si="143"/>
        <v>16926059.703624964</v>
      </c>
      <c r="H227" s="67">
        <f t="shared" si="143"/>
        <v>1141754.9331992269</v>
      </c>
      <c r="I227" s="67">
        <f t="shared" si="143"/>
        <v>-17886197.809130251</v>
      </c>
      <c r="J227" s="67">
        <f t="shared" si="143"/>
        <v>0</v>
      </c>
      <c r="K227" s="67">
        <f t="shared" si="143"/>
        <v>0</v>
      </c>
      <c r="L227" s="67">
        <f t="shared" si="143"/>
        <v>0</v>
      </c>
      <c r="M227" s="67">
        <f t="shared" si="143"/>
        <v>0</v>
      </c>
      <c r="N227" s="67">
        <f t="shared" si="143"/>
        <v>0</v>
      </c>
      <c r="O227" s="67">
        <v>0</v>
      </c>
      <c r="P227" s="369">
        <f t="shared" si="133"/>
        <v>72183054.327693909</v>
      </c>
      <c r="R227" s="2"/>
    </row>
    <row r="228" spans="2:18" x14ac:dyDescent="0.15">
      <c r="B228" s="340">
        <v>8</v>
      </c>
      <c r="C228" s="12" t="s">
        <v>297</v>
      </c>
      <c r="D228" s="67">
        <f t="shared" si="131"/>
        <v>0</v>
      </c>
      <c r="E228" s="67">
        <f>-E227*$D$3</f>
        <v>-12912149.999999991</v>
      </c>
      <c r="F228" s="67">
        <f t="shared" ref="F228:N228" si="144">-F227*$D$3</f>
        <v>-8688281.25</v>
      </c>
      <c r="G228" s="67">
        <f t="shared" si="144"/>
        <v>-5077817.9110874888</v>
      </c>
      <c r="H228" s="67">
        <f t="shared" si="144"/>
        <v>-342526.47995976807</v>
      </c>
      <c r="I228" s="67">
        <f t="shared" si="144"/>
        <v>5365859.3427390754</v>
      </c>
      <c r="J228" s="67">
        <f t="shared" si="144"/>
        <v>0</v>
      </c>
      <c r="K228" s="67">
        <f t="shared" si="144"/>
        <v>0</v>
      </c>
      <c r="L228" s="67">
        <f t="shared" si="144"/>
        <v>0</v>
      </c>
      <c r="M228" s="67">
        <f t="shared" si="144"/>
        <v>0</v>
      </c>
      <c r="N228" s="67">
        <f t="shared" si="144"/>
        <v>0</v>
      </c>
      <c r="O228" s="67">
        <v>0</v>
      </c>
      <c r="P228" s="369">
        <f t="shared" si="133"/>
        <v>-21654916.298308175</v>
      </c>
      <c r="R228" s="2"/>
    </row>
    <row r="229" spans="2:18" x14ac:dyDescent="0.15">
      <c r="B229" s="340">
        <v>9</v>
      </c>
      <c r="C229" s="12" t="s">
        <v>298</v>
      </c>
      <c r="D229" s="67">
        <f t="shared" si="131"/>
        <v>0</v>
      </c>
      <c r="E229" s="67">
        <f>E170</f>
        <v>0</v>
      </c>
      <c r="F229" s="67">
        <f t="shared" ref="F229:N229" si="145">F170</f>
        <v>0</v>
      </c>
      <c r="G229" s="67">
        <f t="shared" si="145"/>
        <v>0</v>
      </c>
      <c r="H229" s="67">
        <f t="shared" si="145"/>
        <v>0</v>
      </c>
      <c r="I229" s="67">
        <f t="shared" si="145"/>
        <v>0</v>
      </c>
      <c r="J229" s="67">
        <f t="shared" si="145"/>
        <v>0</v>
      </c>
      <c r="K229" s="67">
        <f t="shared" si="145"/>
        <v>0</v>
      </c>
      <c r="L229" s="67">
        <f t="shared" si="145"/>
        <v>0</v>
      </c>
      <c r="M229" s="67">
        <f t="shared" si="145"/>
        <v>0</v>
      </c>
      <c r="N229" s="67">
        <f t="shared" si="145"/>
        <v>0</v>
      </c>
      <c r="O229" s="67">
        <v>0</v>
      </c>
      <c r="P229" s="369">
        <f t="shared" si="133"/>
        <v>0</v>
      </c>
      <c r="R229" s="2"/>
    </row>
    <row r="230" spans="2:18" x14ac:dyDescent="0.15">
      <c r="B230" s="340">
        <v>10</v>
      </c>
      <c r="C230" s="12" t="s">
        <v>299</v>
      </c>
      <c r="D230" s="67">
        <f t="shared" si="131"/>
        <v>0</v>
      </c>
      <c r="E230" s="67">
        <f>E227+E228+E229</f>
        <v>30128349.999999978</v>
      </c>
      <c r="F230" s="67">
        <f t="shared" ref="F230:N230" si="146">F227+F228+F229</f>
        <v>20272656.25</v>
      </c>
      <c r="G230" s="67">
        <f t="shared" si="146"/>
        <v>11848241.792537475</v>
      </c>
      <c r="H230" s="67">
        <f t="shared" si="146"/>
        <v>799228.45323945885</v>
      </c>
      <c r="I230" s="67">
        <f t="shared" si="146"/>
        <v>-12520338.466391176</v>
      </c>
      <c r="J230" s="67">
        <f t="shared" si="146"/>
        <v>0</v>
      </c>
      <c r="K230" s="67">
        <f t="shared" si="146"/>
        <v>0</v>
      </c>
      <c r="L230" s="67">
        <f t="shared" si="146"/>
        <v>0</v>
      </c>
      <c r="M230" s="67">
        <f t="shared" si="146"/>
        <v>0</v>
      </c>
      <c r="N230" s="67">
        <f t="shared" si="146"/>
        <v>0</v>
      </c>
      <c r="O230" s="67">
        <v>0</v>
      </c>
      <c r="P230" s="369">
        <f t="shared" si="133"/>
        <v>50528138.029385731</v>
      </c>
      <c r="R230" s="2"/>
    </row>
    <row r="231" spans="2:18" x14ac:dyDescent="0.15">
      <c r="B231" s="340" t="s">
        <v>699</v>
      </c>
      <c r="C231" s="12" t="s">
        <v>292</v>
      </c>
      <c r="D231" s="67">
        <f t="shared" si="131"/>
        <v>0</v>
      </c>
      <c r="E231" s="67">
        <f>E172</f>
        <v>3772500</v>
      </c>
      <c r="F231" s="67">
        <f t="shared" ref="F231:N231" si="147">F172</f>
        <v>6218850</v>
      </c>
      <c r="G231" s="67">
        <f t="shared" si="147"/>
        <v>4083150</v>
      </c>
      <c r="H231" s="67">
        <f t="shared" si="147"/>
        <v>2775510</v>
      </c>
      <c r="I231" s="67">
        <f t="shared" si="147"/>
        <v>1352955</v>
      </c>
      <c r="J231" s="67">
        <f t="shared" si="147"/>
        <v>0</v>
      </c>
      <c r="K231" s="67">
        <f t="shared" si="147"/>
        <v>0</v>
      </c>
      <c r="L231" s="67">
        <f t="shared" si="147"/>
        <v>0</v>
      </c>
      <c r="M231" s="67">
        <f t="shared" si="147"/>
        <v>0</v>
      </c>
      <c r="N231" s="67">
        <f t="shared" si="147"/>
        <v>0</v>
      </c>
      <c r="O231" s="67">
        <v>0</v>
      </c>
      <c r="P231" s="369">
        <f t="shared" si="133"/>
        <v>18202965</v>
      </c>
      <c r="R231" s="2"/>
    </row>
    <row r="232" spans="2:18" x14ac:dyDescent="0.15">
      <c r="B232" s="340">
        <v>12</v>
      </c>
      <c r="C232" s="12" t="s">
        <v>301</v>
      </c>
      <c r="D232" s="67">
        <f t="shared" si="131"/>
        <v>0</v>
      </c>
      <c r="E232" s="67">
        <f>E230+E231</f>
        <v>33900849.999999978</v>
      </c>
      <c r="F232" s="67">
        <f t="shared" ref="F232:N232" si="148">F230+F231</f>
        <v>26491506.25</v>
      </c>
      <c r="G232" s="67">
        <f t="shared" si="148"/>
        <v>15931391.792537475</v>
      </c>
      <c r="H232" s="67">
        <f t="shared" si="148"/>
        <v>3574738.4532394586</v>
      </c>
      <c r="I232" s="67">
        <f t="shared" si="148"/>
        <v>-11167383.466391176</v>
      </c>
      <c r="J232" s="67">
        <f t="shared" si="148"/>
        <v>0</v>
      </c>
      <c r="K232" s="67">
        <f t="shared" si="148"/>
        <v>0</v>
      </c>
      <c r="L232" s="67">
        <f t="shared" si="148"/>
        <v>0</v>
      </c>
      <c r="M232" s="67">
        <f t="shared" si="148"/>
        <v>0</v>
      </c>
      <c r="N232" s="67">
        <f t="shared" si="148"/>
        <v>0</v>
      </c>
      <c r="O232" s="67">
        <v>0</v>
      </c>
      <c r="P232" s="369">
        <f t="shared" si="133"/>
        <v>68731103.029385731</v>
      </c>
      <c r="R232" s="2"/>
    </row>
    <row r="233" spans="2:18" x14ac:dyDescent="0.15">
      <c r="B233" s="340" t="s">
        <v>700</v>
      </c>
      <c r="C233" s="12" t="s">
        <v>303</v>
      </c>
      <c r="D233" s="67">
        <f t="shared" si="131"/>
        <v>0</v>
      </c>
      <c r="E233" s="67">
        <f t="shared" ref="E233:N233" si="149">E174</f>
        <v>0</v>
      </c>
      <c r="F233" s="67">
        <f t="shared" si="149"/>
        <v>0</v>
      </c>
      <c r="G233" s="67">
        <f t="shared" si="149"/>
        <v>0</v>
      </c>
      <c r="H233" s="67">
        <f t="shared" si="149"/>
        <v>0</v>
      </c>
      <c r="I233" s="67">
        <f t="shared" si="149"/>
        <v>0</v>
      </c>
      <c r="J233" s="67">
        <f t="shared" si="149"/>
        <v>0</v>
      </c>
      <c r="K233" s="67">
        <f t="shared" si="149"/>
        <v>0</v>
      </c>
      <c r="L233" s="67">
        <f t="shared" si="149"/>
        <v>0</v>
      </c>
      <c r="M233" s="67">
        <f t="shared" si="149"/>
        <v>0</v>
      </c>
      <c r="N233" s="67">
        <f t="shared" si="149"/>
        <v>0</v>
      </c>
      <c r="O233" s="67">
        <v>0</v>
      </c>
      <c r="P233" s="369">
        <f t="shared" si="133"/>
        <v>0</v>
      </c>
      <c r="R233" s="2"/>
    </row>
    <row r="234" spans="2:18" x14ac:dyDescent="0.15">
      <c r="B234" s="340">
        <v>14</v>
      </c>
      <c r="C234" s="12" t="s">
        <v>304</v>
      </c>
      <c r="D234" s="67">
        <f t="shared" si="131"/>
        <v>-32550000</v>
      </c>
      <c r="E234" s="67">
        <f t="shared" ref="E234:N234" si="150">E175</f>
        <v>0</v>
      </c>
      <c r="F234" s="67">
        <f t="shared" si="150"/>
        <v>0</v>
      </c>
      <c r="G234" s="67">
        <f t="shared" si="150"/>
        <v>0</v>
      </c>
      <c r="H234" s="67">
        <f t="shared" si="150"/>
        <v>0</v>
      </c>
      <c r="I234" s="67">
        <f t="shared" si="150"/>
        <v>14347035</v>
      </c>
      <c r="J234" s="67">
        <f t="shared" si="150"/>
        <v>0</v>
      </c>
      <c r="K234" s="67">
        <f t="shared" si="150"/>
        <v>0</v>
      </c>
      <c r="L234" s="67">
        <f t="shared" si="150"/>
        <v>0</v>
      </c>
      <c r="M234" s="67">
        <f t="shared" si="150"/>
        <v>0</v>
      </c>
      <c r="N234" s="67">
        <f t="shared" si="150"/>
        <v>0</v>
      </c>
      <c r="O234" s="67">
        <v>0</v>
      </c>
      <c r="P234" s="369">
        <f t="shared" si="133"/>
        <v>14347035</v>
      </c>
      <c r="R234" s="2"/>
    </row>
    <row r="235" spans="2:18" x14ac:dyDescent="0.15">
      <c r="B235" s="340" t="s">
        <v>701</v>
      </c>
      <c r="C235" s="12" t="s">
        <v>207</v>
      </c>
      <c r="D235" s="67">
        <f t="shared" si="131"/>
        <v>-31050000</v>
      </c>
      <c r="E235" s="67">
        <f t="shared" ref="E235:N235" si="151">E176</f>
        <v>0</v>
      </c>
      <c r="F235" s="67">
        <f t="shared" si="151"/>
        <v>0</v>
      </c>
      <c r="G235" s="67">
        <f t="shared" si="151"/>
        <v>0</v>
      </c>
      <c r="H235" s="67">
        <f t="shared" si="151"/>
        <v>0</v>
      </c>
      <c r="I235" s="67">
        <f t="shared" si="151"/>
        <v>12847035</v>
      </c>
      <c r="J235" s="67">
        <f t="shared" si="151"/>
        <v>0</v>
      </c>
      <c r="K235" s="67">
        <f t="shared" si="151"/>
        <v>0</v>
      </c>
      <c r="L235" s="67">
        <f t="shared" si="151"/>
        <v>0</v>
      </c>
      <c r="M235" s="67">
        <f t="shared" si="151"/>
        <v>0</v>
      </c>
      <c r="N235" s="67">
        <f t="shared" si="151"/>
        <v>0</v>
      </c>
      <c r="O235" s="67">
        <v>0</v>
      </c>
      <c r="P235" s="369">
        <f t="shared" si="133"/>
        <v>12847035</v>
      </c>
      <c r="R235" s="2"/>
    </row>
    <row r="236" spans="2:18" x14ac:dyDescent="0.15">
      <c r="B236" s="340" t="s">
        <v>702</v>
      </c>
      <c r="C236" s="12" t="s">
        <v>307</v>
      </c>
      <c r="D236" s="67">
        <f t="shared" si="131"/>
        <v>-1500000</v>
      </c>
      <c r="E236" s="67">
        <f t="shared" ref="E236:N236" si="152">E177</f>
        <v>0</v>
      </c>
      <c r="F236" s="67">
        <f t="shared" si="152"/>
        <v>0</v>
      </c>
      <c r="G236" s="67">
        <f t="shared" si="152"/>
        <v>0</v>
      </c>
      <c r="H236" s="67">
        <f t="shared" si="152"/>
        <v>0</v>
      </c>
      <c r="I236" s="67">
        <f t="shared" si="152"/>
        <v>1500000</v>
      </c>
      <c r="J236" s="67">
        <f t="shared" si="152"/>
        <v>0</v>
      </c>
      <c r="K236" s="67">
        <f t="shared" si="152"/>
        <v>0</v>
      </c>
      <c r="L236" s="67">
        <f t="shared" si="152"/>
        <v>0</v>
      </c>
      <c r="M236" s="67">
        <f t="shared" si="152"/>
        <v>0</v>
      </c>
      <c r="N236" s="67">
        <f t="shared" si="152"/>
        <v>0</v>
      </c>
      <c r="O236" s="67">
        <v>0</v>
      </c>
      <c r="P236" s="369">
        <f t="shared" si="133"/>
        <v>1500000</v>
      </c>
      <c r="R236" s="2"/>
    </row>
    <row r="237" spans="2:18" x14ac:dyDescent="0.15">
      <c r="B237" s="340" t="s">
        <v>703</v>
      </c>
      <c r="C237" s="12" t="s">
        <v>309</v>
      </c>
      <c r="D237" s="67">
        <f t="shared" si="131"/>
        <v>0</v>
      </c>
      <c r="E237" s="67">
        <f t="shared" ref="E237:N237" si="153">E178</f>
        <v>0</v>
      </c>
      <c r="F237" s="67">
        <f t="shared" si="153"/>
        <v>0</v>
      </c>
      <c r="G237" s="67">
        <f t="shared" si="153"/>
        <v>0</v>
      </c>
      <c r="H237" s="67">
        <f t="shared" si="153"/>
        <v>0</v>
      </c>
      <c r="I237" s="67">
        <f t="shared" si="153"/>
        <v>0</v>
      </c>
      <c r="J237" s="67">
        <f t="shared" si="153"/>
        <v>0</v>
      </c>
      <c r="K237" s="67">
        <f t="shared" si="153"/>
        <v>0</v>
      </c>
      <c r="L237" s="67">
        <f t="shared" si="153"/>
        <v>0</v>
      </c>
      <c r="M237" s="67">
        <f t="shared" si="153"/>
        <v>0</v>
      </c>
      <c r="N237" s="67">
        <f t="shared" si="153"/>
        <v>0</v>
      </c>
      <c r="O237" s="67">
        <v>0</v>
      </c>
      <c r="P237" s="369">
        <f t="shared" si="133"/>
        <v>0</v>
      </c>
      <c r="R237" s="2"/>
    </row>
    <row r="238" spans="2:18" x14ac:dyDescent="0.15">
      <c r="B238" s="340" t="s">
        <v>704</v>
      </c>
      <c r="C238" s="12" t="s">
        <v>311</v>
      </c>
      <c r="D238" s="67">
        <f t="shared" si="131"/>
        <v>0</v>
      </c>
      <c r="E238" s="67">
        <f t="shared" ref="E238:N238" si="154">E179</f>
        <v>0</v>
      </c>
      <c r="F238" s="67">
        <f t="shared" si="154"/>
        <v>0</v>
      </c>
      <c r="G238" s="67">
        <f t="shared" si="154"/>
        <v>0</v>
      </c>
      <c r="H238" s="67">
        <f t="shared" si="154"/>
        <v>0</v>
      </c>
      <c r="I238" s="67">
        <f t="shared" si="154"/>
        <v>-2596968.7000000002</v>
      </c>
      <c r="J238" s="67">
        <f t="shared" si="154"/>
        <v>0</v>
      </c>
      <c r="K238" s="67">
        <f t="shared" si="154"/>
        <v>0</v>
      </c>
      <c r="L238" s="67">
        <f t="shared" si="154"/>
        <v>0</v>
      </c>
      <c r="M238" s="67">
        <f t="shared" si="154"/>
        <v>0</v>
      </c>
      <c r="N238" s="67">
        <f t="shared" si="154"/>
        <v>0</v>
      </c>
      <c r="O238" s="67">
        <v>0</v>
      </c>
      <c r="P238" s="369">
        <f t="shared" si="133"/>
        <v>-2596968.7000000002</v>
      </c>
      <c r="R238" s="2"/>
    </row>
    <row r="239" spans="2:18" ht="14" thickBot="1" x14ac:dyDescent="0.2">
      <c r="B239" s="340" t="s">
        <v>705</v>
      </c>
      <c r="C239" s="12" t="s">
        <v>115</v>
      </c>
      <c r="D239" s="67">
        <f t="shared" si="131"/>
        <v>-60000000</v>
      </c>
      <c r="E239" s="67">
        <f t="shared" ref="E239:N239" si="155">E180</f>
        <v>0</v>
      </c>
      <c r="F239" s="67">
        <f t="shared" si="155"/>
        <v>0</v>
      </c>
      <c r="G239" s="67">
        <f t="shared" si="155"/>
        <v>0</v>
      </c>
      <c r="H239" s="67">
        <f t="shared" si="155"/>
        <v>0</v>
      </c>
      <c r="I239" s="67">
        <f t="shared" si="155"/>
        <v>60000000</v>
      </c>
      <c r="J239" s="67">
        <f t="shared" si="155"/>
        <v>0</v>
      </c>
      <c r="K239" s="67">
        <f t="shared" si="155"/>
        <v>0</v>
      </c>
      <c r="L239" s="67">
        <f t="shared" si="155"/>
        <v>0</v>
      </c>
      <c r="M239" s="67">
        <f t="shared" si="155"/>
        <v>0</v>
      </c>
      <c r="N239" s="67">
        <f t="shared" si="155"/>
        <v>0</v>
      </c>
      <c r="O239" s="67">
        <v>0</v>
      </c>
      <c r="P239" s="369">
        <f t="shared" si="133"/>
        <v>60000000</v>
      </c>
      <c r="R239" s="2"/>
    </row>
    <row r="240" spans="2:18" x14ac:dyDescent="0.15">
      <c r="B240" s="340">
        <v>17</v>
      </c>
      <c r="C240" s="12" t="s">
        <v>313</v>
      </c>
      <c r="D240" s="67">
        <f t="shared" si="131"/>
        <v>-92550000</v>
      </c>
      <c r="E240" s="67">
        <f t="shared" ref="E240:N240" si="156">E181</f>
        <v>0</v>
      </c>
      <c r="F240" s="67">
        <f t="shared" si="156"/>
        <v>0</v>
      </c>
      <c r="G240" s="67">
        <f t="shared" si="156"/>
        <v>0</v>
      </c>
      <c r="H240" s="67">
        <f t="shared" si="156"/>
        <v>0</v>
      </c>
      <c r="I240" s="67">
        <f t="shared" si="156"/>
        <v>71750066.299999997</v>
      </c>
      <c r="J240" s="67">
        <f t="shared" si="156"/>
        <v>0</v>
      </c>
      <c r="K240" s="67">
        <f t="shared" si="156"/>
        <v>0</v>
      </c>
      <c r="L240" s="67">
        <f t="shared" si="156"/>
        <v>0</v>
      </c>
      <c r="M240" s="67">
        <f t="shared" si="156"/>
        <v>0</v>
      </c>
      <c r="N240" s="67">
        <f t="shared" si="156"/>
        <v>0</v>
      </c>
      <c r="O240" s="67">
        <v>0</v>
      </c>
      <c r="P240" s="369">
        <f t="shared" si="133"/>
        <v>71750066.299999997</v>
      </c>
      <c r="Q240" s="357" t="s">
        <v>693</v>
      </c>
      <c r="R240" s="2"/>
    </row>
    <row r="241" spans="1:18" ht="14" thickBot="1" x14ac:dyDescent="0.2">
      <c r="A241" s="1" t="s">
        <v>710</v>
      </c>
      <c r="B241" s="355">
        <v>18</v>
      </c>
      <c r="C241" s="335" t="s">
        <v>314</v>
      </c>
      <c r="D241" s="331">
        <f>D240+D232</f>
        <v>-92550000</v>
      </c>
      <c r="E241" s="331">
        <f t="shared" ref="E241:N241" si="157">E240+E232</f>
        <v>33900849.999999978</v>
      </c>
      <c r="F241" s="331">
        <f t="shared" si="157"/>
        <v>26491506.25</v>
      </c>
      <c r="G241" s="331">
        <f t="shared" si="157"/>
        <v>15931391.792537475</v>
      </c>
      <c r="H241" s="331">
        <f t="shared" si="157"/>
        <v>3574738.4532394586</v>
      </c>
      <c r="I241" s="331">
        <f t="shared" si="157"/>
        <v>60582682.833608821</v>
      </c>
      <c r="J241" s="331">
        <f t="shared" si="157"/>
        <v>0</v>
      </c>
      <c r="K241" s="331">
        <f t="shared" si="157"/>
        <v>0</v>
      </c>
      <c r="L241" s="331">
        <f t="shared" si="157"/>
        <v>0</v>
      </c>
      <c r="M241" s="331">
        <f t="shared" si="157"/>
        <v>0</v>
      </c>
      <c r="N241" s="331">
        <f t="shared" si="157"/>
        <v>0</v>
      </c>
      <c r="O241" s="331">
        <v>0</v>
      </c>
      <c r="P241" s="369">
        <f t="shared" si="133"/>
        <v>140481169.32938573</v>
      </c>
      <c r="Q241" s="358">
        <f>IF(ISNUMBER(IRR(D241:N241)),IRR(D241:N241),"NMF")</f>
        <v>0.14823424950054842</v>
      </c>
      <c r="R241" s="1" t="s">
        <v>710</v>
      </c>
    </row>
    <row r="242" spans="1:18" x14ac:dyDescent="0.15">
      <c r="R242" s="2"/>
    </row>
    <row r="243" spans="1:18" ht="14" thickBot="1" x14ac:dyDescent="0.2">
      <c r="R243" s="2"/>
    </row>
    <row r="244" spans="1:18" ht="14" thickBot="1" x14ac:dyDescent="0.2">
      <c r="B244" s="359" t="s">
        <v>282</v>
      </c>
      <c r="C244" s="360" t="s">
        <v>283</v>
      </c>
      <c r="D244" s="360"/>
      <c r="E244" s="360">
        <v>1</v>
      </c>
      <c r="F244" s="360">
        <v>2</v>
      </c>
      <c r="G244" s="360">
        <v>3</v>
      </c>
      <c r="H244" s="360">
        <v>4</v>
      </c>
      <c r="I244" s="360">
        <v>5</v>
      </c>
      <c r="J244" s="360">
        <v>6</v>
      </c>
      <c r="K244" s="360">
        <v>7</v>
      </c>
      <c r="L244" s="360">
        <v>8</v>
      </c>
      <c r="M244" s="360">
        <v>9</v>
      </c>
      <c r="N244" s="360">
        <v>10</v>
      </c>
      <c r="O244" s="360" t="s">
        <v>284</v>
      </c>
      <c r="P244" s="361" t="s">
        <v>285</v>
      </c>
      <c r="R244" s="2"/>
    </row>
    <row r="245" spans="1:18" x14ac:dyDescent="0.15">
      <c r="B245" s="339" t="s">
        <v>687</v>
      </c>
      <c r="C245" s="302" t="s">
        <v>287</v>
      </c>
      <c r="D245" s="322">
        <f t="shared" ref="D245:D268" si="158">D158</f>
        <v>0</v>
      </c>
      <c r="E245" s="322">
        <f t="shared" ref="E245:N245" si="159">E158</f>
        <v>300000000</v>
      </c>
      <c r="F245" s="322">
        <f t="shared" si="159"/>
        <v>313500000.00000006</v>
      </c>
      <c r="G245" s="322">
        <f t="shared" si="159"/>
        <v>327607500.00000006</v>
      </c>
      <c r="H245" s="322">
        <f t="shared" si="159"/>
        <v>342349837.50000012</v>
      </c>
      <c r="I245" s="322">
        <f t="shared" si="159"/>
        <v>357755580.18750012</v>
      </c>
      <c r="J245" s="322">
        <f t="shared" si="159"/>
        <v>0</v>
      </c>
      <c r="K245" s="322">
        <f t="shared" si="159"/>
        <v>0</v>
      </c>
      <c r="L245" s="322">
        <f t="shared" si="159"/>
        <v>0</v>
      </c>
      <c r="M245" s="322">
        <f t="shared" si="159"/>
        <v>0</v>
      </c>
      <c r="N245" s="322">
        <f t="shared" si="159"/>
        <v>0</v>
      </c>
      <c r="O245" s="322">
        <v>0</v>
      </c>
      <c r="P245" s="368">
        <f t="shared" ref="P245:P269" si="160">SUM(E245:N245)</f>
        <v>1641212917.6875</v>
      </c>
      <c r="R245" s="2"/>
    </row>
    <row r="246" spans="1:18" x14ac:dyDescent="0.15">
      <c r="A246" s="1" t="s">
        <v>711</v>
      </c>
      <c r="B246" s="340" t="s">
        <v>689</v>
      </c>
      <c r="C246" s="354" t="s">
        <v>689</v>
      </c>
      <c r="D246" s="67">
        <f t="shared" si="158"/>
        <v>0</v>
      </c>
      <c r="E246" s="67">
        <f t="shared" ref="E246:N246" si="161">E159</f>
        <v>300000000</v>
      </c>
      <c r="F246" s="67">
        <f t="shared" si="161"/>
        <v>313500000.00000006</v>
      </c>
      <c r="G246" s="67">
        <f t="shared" si="161"/>
        <v>327607500.00000006</v>
      </c>
      <c r="H246" s="67">
        <f t="shared" si="161"/>
        <v>342349837.50000012</v>
      </c>
      <c r="I246" s="67">
        <f t="shared" si="161"/>
        <v>357755580.18750012</v>
      </c>
      <c r="J246" s="67">
        <f t="shared" si="161"/>
        <v>0</v>
      </c>
      <c r="K246" s="67">
        <f t="shared" si="161"/>
        <v>0</v>
      </c>
      <c r="L246" s="67">
        <f t="shared" si="161"/>
        <v>0</v>
      </c>
      <c r="M246" s="67">
        <f t="shared" si="161"/>
        <v>0</v>
      </c>
      <c r="N246" s="67">
        <f t="shared" si="161"/>
        <v>0</v>
      </c>
      <c r="O246" s="67"/>
      <c r="P246" s="369">
        <f t="shared" si="160"/>
        <v>1641212917.6875</v>
      </c>
      <c r="R246" s="2"/>
    </row>
    <row r="247" spans="1:18" x14ac:dyDescent="0.15">
      <c r="B247" s="340" t="s">
        <v>690</v>
      </c>
      <c r="C247" s="354" t="s">
        <v>690</v>
      </c>
      <c r="D247" s="67">
        <f t="shared" si="158"/>
        <v>0</v>
      </c>
      <c r="E247" s="67">
        <f t="shared" ref="E247:N247" si="162">E160</f>
        <v>0</v>
      </c>
      <c r="F247" s="67">
        <f t="shared" si="162"/>
        <v>0</v>
      </c>
      <c r="G247" s="67">
        <f t="shared" si="162"/>
        <v>0</v>
      </c>
      <c r="H247" s="67">
        <f t="shared" si="162"/>
        <v>0</v>
      </c>
      <c r="I247" s="67">
        <f t="shared" si="162"/>
        <v>0</v>
      </c>
      <c r="J247" s="67">
        <f t="shared" si="162"/>
        <v>0</v>
      </c>
      <c r="K247" s="67">
        <f t="shared" si="162"/>
        <v>0</v>
      </c>
      <c r="L247" s="67">
        <f t="shared" si="162"/>
        <v>0</v>
      </c>
      <c r="M247" s="67">
        <f t="shared" si="162"/>
        <v>0</v>
      </c>
      <c r="N247" s="67">
        <f t="shared" si="162"/>
        <v>0</v>
      </c>
      <c r="O247" s="294"/>
      <c r="P247" s="369">
        <f t="shared" si="160"/>
        <v>0</v>
      </c>
      <c r="R247" s="2"/>
    </row>
    <row r="248" spans="1:18" x14ac:dyDescent="0.15">
      <c r="B248" s="340" t="s">
        <v>691</v>
      </c>
      <c r="C248" s="354" t="s">
        <v>691</v>
      </c>
      <c r="D248" s="67">
        <f t="shared" si="158"/>
        <v>0</v>
      </c>
      <c r="E248" s="67">
        <f t="shared" ref="E248:N248" si="163">E161</f>
        <v>0</v>
      </c>
      <c r="F248" s="67">
        <f t="shared" si="163"/>
        <v>0</v>
      </c>
      <c r="G248" s="67">
        <f t="shared" si="163"/>
        <v>0</v>
      </c>
      <c r="H248" s="67">
        <f t="shared" si="163"/>
        <v>0</v>
      </c>
      <c r="I248" s="67">
        <f t="shared" si="163"/>
        <v>0</v>
      </c>
      <c r="J248" s="67">
        <f t="shared" si="163"/>
        <v>0</v>
      </c>
      <c r="K248" s="67">
        <f t="shared" si="163"/>
        <v>0</v>
      </c>
      <c r="L248" s="67">
        <f t="shared" si="163"/>
        <v>0</v>
      </c>
      <c r="M248" s="67">
        <f t="shared" si="163"/>
        <v>0</v>
      </c>
      <c r="N248" s="67">
        <f t="shared" si="163"/>
        <v>0</v>
      </c>
      <c r="O248" s="67"/>
      <c r="P248" s="369">
        <f t="shared" si="160"/>
        <v>0</v>
      </c>
      <c r="R248" s="2"/>
    </row>
    <row r="249" spans="1:18" x14ac:dyDescent="0.15">
      <c r="B249" s="340" t="s">
        <v>695</v>
      </c>
      <c r="C249" s="12"/>
      <c r="D249" s="67">
        <f t="shared" si="158"/>
        <v>0</v>
      </c>
      <c r="E249" s="67">
        <f t="shared" ref="E249:N249" si="164">E162</f>
        <v>300000000</v>
      </c>
      <c r="F249" s="67">
        <f t="shared" si="164"/>
        <v>313500000.00000006</v>
      </c>
      <c r="G249" s="67">
        <f t="shared" si="164"/>
        <v>327607500.00000006</v>
      </c>
      <c r="H249" s="67">
        <f t="shared" si="164"/>
        <v>342349837.50000012</v>
      </c>
      <c r="I249" s="67">
        <f t="shared" si="164"/>
        <v>357755580.18750012</v>
      </c>
      <c r="J249" s="67">
        <f t="shared" si="164"/>
        <v>0</v>
      </c>
      <c r="K249" s="67">
        <f t="shared" si="164"/>
        <v>0</v>
      </c>
      <c r="L249" s="67">
        <f t="shared" si="164"/>
        <v>0</v>
      </c>
      <c r="M249" s="67">
        <f t="shared" si="164"/>
        <v>0</v>
      </c>
      <c r="N249" s="67">
        <f t="shared" si="164"/>
        <v>0</v>
      </c>
      <c r="O249" s="67"/>
      <c r="P249" s="369">
        <f t="shared" si="160"/>
        <v>1641212917.6875</v>
      </c>
      <c r="R249" s="2"/>
    </row>
    <row r="250" spans="1:18" x14ac:dyDescent="0.15">
      <c r="B250" s="355" t="s">
        <v>696</v>
      </c>
      <c r="C250" s="335" t="s">
        <v>289</v>
      </c>
      <c r="D250" s="331">
        <f t="shared" si="158"/>
        <v>0</v>
      </c>
      <c r="E250" s="331">
        <f>E163*1.15</f>
        <v>264695499.99999997</v>
      </c>
      <c r="F250" s="331">
        <f t="shared" ref="F250:N250" si="165">F163*1.15</f>
        <v>290971131.25</v>
      </c>
      <c r="G250" s="331">
        <f t="shared" si="165"/>
        <v>320534576.21893758</v>
      </c>
      <c r="H250" s="331">
        <f t="shared" si="165"/>
        <v>353815871.31983727</v>
      </c>
      <c r="I250" s="331">
        <f t="shared" si="165"/>
        <v>391301951.314659</v>
      </c>
      <c r="J250" s="331">
        <f t="shared" si="165"/>
        <v>0</v>
      </c>
      <c r="K250" s="331">
        <f t="shared" si="165"/>
        <v>0</v>
      </c>
      <c r="L250" s="331">
        <f t="shared" si="165"/>
        <v>0</v>
      </c>
      <c r="M250" s="331">
        <f t="shared" si="165"/>
        <v>0</v>
      </c>
      <c r="N250" s="331">
        <f t="shared" si="165"/>
        <v>0</v>
      </c>
      <c r="O250" s="331">
        <v>0</v>
      </c>
      <c r="P250" s="370">
        <f t="shared" si="160"/>
        <v>1621319030.1034341</v>
      </c>
      <c r="R250" s="2"/>
    </row>
    <row r="251" spans="1:18" x14ac:dyDescent="0.15">
      <c r="B251" s="340">
        <v>3</v>
      </c>
      <c r="C251" s="12" t="s">
        <v>290</v>
      </c>
      <c r="D251" s="67">
        <f t="shared" si="158"/>
        <v>0</v>
      </c>
      <c r="E251" s="67">
        <f>E249-E250</f>
        <v>35304500.00000003</v>
      </c>
      <c r="F251" s="67">
        <f t="shared" ref="F251:N251" si="166">F249-F250</f>
        <v>22528868.75000006</v>
      </c>
      <c r="G251" s="67">
        <f t="shared" si="166"/>
        <v>7072923.7810624838</v>
      </c>
      <c r="H251" s="67">
        <f t="shared" si="166"/>
        <v>-11466033.819837153</v>
      </c>
      <c r="I251" s="67">
        <f t="shared" si="166"/>
        <v>-33546371.12715888</v>
      </c>
      <c r="J251" s="67">
        <f t="shared" si="166"/>
        <v>0</v>
      </c>
      <c r="K251" s="67">
        <f t="shared" si="166"/>
        <v>0</v>
      </c>
      <c r="L251" s="67">
        <f t="shared" si="166"/>
        <v>0</v>
      </c>
      <c r="M251" s="67">
        <f t="shared" si="166"/>
        <v>0</v>
      </c>
      <c r="N251" s="67">
        <f t="shared" si="166"/>
        <v>0</v>
      </c>
      <c r="O251" s="67">
        <v>0</v>
      </c>
      <c r="P251" s="369">
        <f t="shared" si="160"/>
        <v>19893887.58406654</v>
      </c>
      <c r="R251" s="2"/>
    </row>
    <row r="252" spans="1:18" x14ac:dyDescent="0.15">
      <c r="B252" s="340" t="s">
        <v>697</v>
      </c>
      <c r="C252" s="12" t="s">
        <v>292</v>
      </c>
      <c r="D252" s="67">
        <f t="shared" si="158"/>
        <v>0</v>
      </c>
      <c r="E252" s="67">
        <f>E165</f>
        <v>3772500</v>
      </c>
      <c r="F252" s="67">
        <f t="shared" ref="F252:N252" si="167">F165</f>
        <v>6218850</v>
      </c>
      <c r="G252" s="67">
        <f t="shared" si="167"/>
        <v>4083150</v>
      </c>
      <c r="H252" s="67">
        <f t="shared" si="167"/>
        <v>2775510</v>
      </c>
      <c r="I252" s="67">
        <f t="shared" si="167"/>
        <v>1352955</v>
      </c>
      <c r="J252" s="67">
        <f t="shared" si="167"/>
        <v>0</v>
      </c>
      <c r="K252" s="67">
        <f t="shared" si="167"/>
        <v>0</v>
      </c>
      <c r="L252" s="67">
        <f t="shared" si="167"/>
        <v>0</v>
      </c>
      <c r="M252" s="67">
        <f t="shared" si="167"/>
        <v>0</v>
      </c>
      <c r="N252" s="67">
        <f t="shared" si="167"/>
        <v>0</v>
      </c>
      <c r="O252" s="67">
        <v>0</v>
      </c>
      <c r="P252" s="369">
        <f t="shared" si="160"/>
        <v>18202965</v>
      </c>
      <c r="R252" s="2"/>
    </row>
    <row r="253" spans="1:18" x14ac:dyDescent="0.15">
      <c r="B253" s="340">
        <v>5</v>
      </c>
      <c r="C253" s="12" t="s">
        <v>293</v>
      </c>
      <c r="D253" s="67">
        <f t="shared" si="158"/>
        <v>0</v>
      </c>
      <c r="E253" s="67">
        <f>E251-E252</f>
        <v>31532000.00000003</v>
      </c>
      <c r="F253" s="67">
        <f t="shared" ref="F253:N253" si="168">F251-F252</f>
        <v>16310018.75000006</v>
      </c>
      <c r="G253" s="67">
        <f t="shared" si="168"/>
        <v>2989773.7810624838</v>
      </c>
      <c r="H253" s="67">
        <f t="shared" si="168"/>
        <v>-14241543.819837153</v>
      </c>
      <c r="I253" s="67">
        <f t="shared" si="168"/>
        <v>-34899326.12715888</v>
      </c>
      <c r="J253" s="67">
        <f t="shared" si="168"/>
        <v>0</v>
      </c>
      <c r="K253" s="67">
        <f t="shared" si="168"/>
        <v>0</v>
      </c>
      <c r="L253" s="67">
        <f t="shared" si="168"/>
        <v>0</v>
      </c>
      <c r="M253" s="67">
        <f t="shared" si="168"/>
        <v>0</v>
      </c>
      <c r="N253" s="67">
        <f t="shared" si="168"/>
        <v>0</v>
      </c>
      <c r="O253" s="67">
        <v>0</v>
      </c>
      <c r="P253" s="369">
        <f t="shared" si="160"/>
        <v>1690922.58406654</v>
      </c>
      <c r="R253" s="2"/>
    </row>
    <row r="254" spans="1:18" x14ac:dyDescent="0.15">
      <c r="B254" s="340" t="s">
        <v>698</v>
      </c>
      <c r="C254" s="12" t="s">
        <v>295</v>
      </c>
      <c r="D254" s="67">
        <f t="shared" si="158"/>
        <v>0</v>
      </c>
      <c r="E254" s="67">
        <f>E167</f>
        <v>0</v>
      </c>
      <c r="F254" s="67">
        <f t="shared" ref="F254:N254" si="169">F167</f>
        <v>0</v>
      </c>
      <c r="G254" s="67">
        <f t="shared" si="169"/>
        <v>0</v>
      </c>
      <c r="H254" s="67">
        <f t="shared" si="169"/>
        <v>0</v>
      </c>
      <c r="I254" s="67">
        <f t="shared" si="169"/>
        <v>0</v>
      </c>
      <c r="J254" s="67">
        <f t="shared" si="169"/>
        <v>0</v>
      </c>
      <c r="K254" s="67">
        <f t="shared" si="169"/>
        <v>0</v>
      </c>
      <c r="L254" s="67">
        <f t="shared" si="169"/>
        <v>0</v>
      </c>
      <c r="M254" s="67">
        <f t="shared" si="169"/>
        <v>0</v>
      </c>
      <c r="N254" s="67">
        <f t="shared" si="169"/>
        <v>0</v>
      </c>
      <c r="O254" s="67">
        <v>0</v>
      </c>
      <c r="P254" s="369">
        <f t="shared" si="160"/>
        <v>0</v>
      </c>
      <c r="R254" s="2"/>
    </row>
    <row r="255" spans="1:18" x14ac:dyDescent="0.15">
      <c r="B255" s="340">
        <v>7</v>
      </c>
      <c r="C255" s="12" t="s">
        <v>296</v>
      </c>
      <c r="D255" s="67">
        <f t="shared" si="158"/>
        <v>0</v>
      </c>
      <c r="E255" s="67">
        <f>E253-E254</f>
        <v>31532000.00000003</v>
      </c>
      <c r="F255" s="67">
        <f t="shared" ref="F255:N255" si="170">F253-F254</f>
        <v>16310018.75000006</v>
      </c>
      <c r="G255" s="67">
        <f t="shared" si="170"/>
        <v>2989773.7810624838</v>
      </c>
      <c r="H255" s="67">
        <f t="shared" si="170"/>
        <v>-14241543.819837153</v>
      </c>
      <c r="I255" s="67">
        <f t="shared" si="170"/>
        <v>-34899326.12715888</v>
      </c>
      <c r="J255" s="67">
        <f t="shared" si="170"/>
        <v>0</v>
      </c>
      <c r="K255" s="67">
        <f t="shared" si="170"/>
        <v>0</v>
      </c>
      <c r="L255" s="67">
        <f t="shared" si="170"/>
        <v>0</v>
      </c>
      <c r="M255" s="67">
        <f t="shared" si="170"/>
        <v>0</v>
      </c>
      <c r="N255" s="67">
        <f t="shared" si="170"/>
        <v>0</v>
      </c>
      <c r="O255" s="67">
        <v>0</v>
      </c>
      <c r="P255" s="369">
        <f t="shared" si="160"/>
        <v>1690922.58406654</v>
      </c>
      <c r="R255" s="2"/>
    </row>
    <row r="256" spans="1:18" x14ac:dyDescent="0.15">
      <c r="B256" s="340">
        <v>8</v>
      </c>
      <c r="C256" s="12" t="s">
        <v>297</v>
      </c>
      <c r="D256" s="67">
        <f t="shared" si="158"/>
        <v>0</v>
      </c>
      <c r="E256" s="67">
        <f>-E255*$D$3</f>
        <v>-9459600.0000000093</v>
      </c>
      <c r="F256" s="67">
        <f t="shared" ref="F256:N256" si="171">-F255*$D$3</f>
        <v>-4893005.6250000177</v>
      </c>
      <c r="G256" s="67">
        <f t="shared" si="171"/>
        <v>-896932.13431874511</v>
      </c>
      <c r="H256" s="67">
        <f t="shared" si="171"/>
        <v>4272463.1459511453</v>
      </c>
      <c r="I256" s="67">
        <f t="shared" si="171"/>
        <v>10469797.838147664</v>
      </c>
      <c r="J256" s="67">
        <f t="shared" si="171"/>
        <v>0</v>
      </c>
      <c r="K256" s="67">
        <f t="shared" si="171"/>
        <v>0</v>
      </c>
      <c r="L256" s="67">
        <f t="shared" si="171"/>
        <v>0</v>
      </c>
      <c r="M256" s="67">
        <f t="shared" si="171"/>
        <v>0</v>
      </c>
      <c r="N256" s="67">
        <f t="shared" si="171"/>
        <v>0</v>
      </c>
      <c r="O256" s="67">
        <v>0</v>
      </c>
      <c r="P256" s="369">
        <f t="shared" si="160"/>
        <v>-507276.77521996014</v>
      </c>
      <c r="R256" s="2"/>
    </row>
    <row r="257" spans="1:18" x14ac:dyDescent="0.15">
      <c r="B257" s="340">
        <v>9</v>
      </c>
      <c r="C257" s="12" t="s">
        <v>298</v>
      </c>
      <c r="D257" s="67">
        <f t="shared" si="158"/>
        <v>0</v>
      </c>
      <c r="E257" s="67">
        <f>E170</f>
        <v>0</v>
      </c>
      <c r="F257" s="67">
        <f t="shared" ref="F257:N257" si="172">F170</f>
        <v>0</v>
      </c>
      <c r="G257" s="67">
        <f t="shared" si="172"/>
        <v>0</v>
      </c>
      <c r="H257" s="67">
        <f t="shared" si="172"/>
        <v>0</v>
      </c>
      <c r="I257" s="67">
        <f t="shared" si="172"/>
        <v>0</v>
      </c>
      <c r="J257" s="67">
        <f t="shared" si="172"/>
        <v>0</v>
      </c>
      <c r="K257" s="67">
        <f t="shared" si="172"/>
        <v>0</v>
      </c>
      <c r="L257" s="67">
        <f t="shared" si="172"/>
        <v>0</v>
      </c>
      <c r="M257" s="67">
        <f t="shared" si="172"/>
        <v>0</v>
      </c>
      <c r="N257" s="67">
        <f t="shared" si="172"/>
        <v>0</v>
      </c>
      <c r="O257" s="67">
        <v>0</v>
      </c>
      <c r="P257" s="369">
        <f t="shared" si="160"/>
        <v>0</v>
      </c>
      <c r="R257" s="2"/>
    </row>
    <row r="258" spans="1:18" x14ac:dyDescent="0.15">
      <c r="B258" s="340">
        <v>10</v>
      </c>
      <c r="C258" s="12" t="s">
        <v>299</v>
      </c>
      <c r="D258" s="67">
        <f t="shared" si="158"/>
        <v>0</v>
      </c>
      <c r="E258" s="67">
        <f>E255+E256+E257</f>
        <v>22072400.000000022</v>
      </c>
      <c r="F258" s="67">
        <f t="shared" ref="F258:N258" si="173">F255+F256+F257</f>
        <v>11417013.125000041</v>
      </c>
      <c r="G258" s="67">
        <f t="shared" si="173"/>
        <v>2092841.6467437386</v>
      </c>
      <c r="H258" s="67">
        <f t="shared" si="173"/>
        <v>-9969080.6738860086</v>
      </c>
      <c r="I258" s="67">
        <f t="shared" si="173"/>
        <v>-24429528.289011218</v>
      </c>
      <c r="J258" s="67">
        <f t="shared" si="173"/>
        <v>0</v>
      </c>
      <c r="K258" s="67">
        <f t="shared" si="173"/>
        <v>0</v>
      </c>
      <c r="L258" s="67">
        <f t="shared" si="173"/>
        <v>0</v>
      </c>
      <c r="M258" s="67">
        <f t="shared" si="173"/>
        <v>0</v>
      </c>
      <c r="N258" s="67">
        <f t="shared" si="173"/>
        <v>0</v>
      </c>
      <c r="O258" s="67">
        <v>0</v>
      </c>
      <c r="P258" s="369">
        <f t="shared" si="160"/>
        <v>1183645.808846578</v>
      </c>
      <c r="R258" s="2"/>
    </row>
    <row r="259" spans="1:18" x14ac:dyDescent="0.15">
      <c r="B259" s="340" t="s">
        <v>699</v>
      </c>
      <c r="C259" s="12" t="s">
        <v>292</v>
      </c>
      <c r="D259" s="67">
        <f t="shared" si="158"/>
        <v>0</v>
      </c>
      <c r="E259" s="67">
        <f>E172</f>
        <v>3772500</v>
      </c>
      <c r="F259" s="67">
        <f t="shared" ref="F259:N259" si="174">F172</f>
        <v>6218850</v>
      </c>
      <c r="G259" s="67">
        <f t="shared" si="174"/>
        <v>4083150</v>
      </c>
      <c r="H259" s="67">
        <f t="shared" si="174"/>
        <v>2775510</v>
      </c>
      <c r="I259" s="67">
        <f t="shared" si="174"/>
        <v>1352955</v>
      </c>
      <c r="J259" s="67">
        <f t="shared" si="174"/>
        <v>0</v>
      </c>
      <c r="K259" s="67">
        <f t="shared" si="174"/>
        <v>0</v>
      </c>
      <c r="L259" s="67">
        <f t="shared" si="174"/>
        <v>0</v>
      </c>
      <c r="M259" s="67">
        <f t="shared" si="174"/>
        <v>0</v>
      </c>
      <c r="N259" s="67">
        <f t="shared" si="174"/>
        <v>0</v>
      </c>
      <c r="O259" s="67">
        <v>0</v>
      </c>
      <c r="P259" s="369">
        <f t="shared" si="160"/>
        <v>18202965</v>
      </c>
      <c r="R259" s="2"/>
    </row>
    <row r="260" spans="1:18" x14ac:dyDescent="0.15">
      <c r="B260" s="340">
        <v>12</v>
      </c>
      <c r="C260" s="12" t="s">
        <v>301</v>
      </c>
      <c r="D260" s="67">
        <f t="shared" si="158"/>
        <v>0</v>
      </c>
      <c r="E260" s="67">
        <f>E258+E259</f>
        <v>25844900.000000022</v>
      </c>
      <c r="F260" s="67">
        <f t="shared" ref="F260:N260" si="175">F258+F259</f>
        <v>17635863.125000041</v>
      </c>
      <c r="G260" s="67">
        <f t="shared" si="175"/>
        <v>6175991.646743739</v>
      </c>
      <c r="H260" s="67">
        <f t="shared" si="175"/>
        <v>-7193570.6738860086</v>
      </c>
      <c r="I260" s="67">
        <f t="shared" si="175"/>
        <v>-23076573.289011218</v>
      </c>
      <c r="J260" s="67">
        <f t="shared" si="175"/>
        <v>0</v>
      </c>
      <c r="K260" s="67">
        <f t="shared" si="175"/>
        <v>0</v>
      </c>
      <c r="L260" s="67">
        <f t="shared" si="175"/>
        <v>0</v>
      </c>
      <c r="M260" s="67">
        <f t="shared" si="175"/>
        <v>0</v>
      </c>
      <c r="N260" s="67">
        <f t="shared" si="175"/>
        <v>0</v>
      </c>
      <c r="O260" s="67">
        <v>0</v>
      </c>
      <c r="P260" s="369">
        <f t="shared" si="160"/>
        <v>19386610.808846571</v>
      </c>
      <c r="R260" s="2"/>
    </row>
    <row r="261" spans="1:18" x14ac:dyDescent="0.15">
      <c r="B261" s="340" t="s">
        <v>700</v>
      </c>
      <c r="C261" s="12" t="s">
        <v>303</v>
      </c>
      <c r="D261" s="67">
        <f t="shared" si="158"/>
        <v>0</v>
      </c>
      <c r="E261" s="67">
        <f t="shared" ref="E261:N261" si="176">E174</f>
        <v>0</v>
      </c>
      <c r="F261" s="67">
        <f t="shared" si="176"/>
        <v>0</v>
      </c>
      <c r="G261" s="67">
        <f t="shared" si="176"/>
        <v>0</v>
      </c>
      <c r="H261" s="67">
        <f t="shared" si="176"/>
        <v>0</v>
      </c>
      <c r="I261" s="67">
        <f t="shared" si="176"/>
        <v>0</v>
      </c>
      <c r="J261" s="67">
        <f t="shared" si="176"/>
        <v>0</v>
      </c>
      <c r="K261" s="67">
        <f t="shared" si="176"/>
        <v>0</v>
      </c>
      <c r="L261" s="67">
        <f t="shared" si="176"/>
        <v>0</v>
      </c>
      <c r="M261" s="67">
        <f t="shared" si="176"/>
        <v>0</v>
      </c>
      <c r="N261" s="67">
        <f t="shared" si="176"/>
        <v>0</v>
      </c>
      <c r="O261" s="67">
        <v>0</v>
      </c>
      <c r="P261" s="369">
        <f t="shared" si="160"/>
        <v>0</v>
      </c>
      <c r="R261" s="2"/>
    </row>
    <row r="262" spans="1:18" x14ac:dyDescent="0.15">
      <c r="B262" s="340">
        <v>14</v>
      </c>
      <c r="C262" s="12" t="s">
        <v>304</v>
      </c>
      <c r="D262" s="67">
        <f t="shared" si="158"/>
        <v>-32550000</v>
      </c>
      <c r="E262" s="67">
        <f t="shared" ref="E262:N262" si="177">E175</f>
        <v>0</v>
      </c>
      <c r="F262" s="67">
        <f t="shared" si="177"/>
        <v>0</v>
      </c>
      <c r="G262" s="67">
        <f t="shared" si="177"/>
        <v>0</v>
      </c>
      <c r="H262" s="67">
        <f t="shared" si="177"/>
        <v>0</v>
      </c>
      <c r="I262" s="67">
        <f t="shared" si="177"/>
        <v>14347035</v>
      </c>
      <c r="J262" s="67">
        <f t="shared" si="177"/>
        <v>0</v>
      </c>
      <c r="K262" s="67">
        <f t="shared" si="177"/>
        <v>0</v>
      </c>
      <c r="L262" s="67">
        <f t="shared" si="177"/>
        <v>0</v>
      </c>
      <c r="M262" s="67">
        <f t="shared" si="177"/>
        <v>0</v>
      </c>
      <c r="N262" s="67">
        <f t="shared" si="177"/>
        <v>0</v>
      </c>
      <c r="O262" s="67">
        <v>0</v>
      </c>
      <c r="P262" s="369">
        <f t="shared" si="160"/>
        <v>14347035</v>
      </c>
      <c r="R262" s="2"/>
    </row>
    <row r="263" spans="1:18" x14ac:dyDescent="0.15">
      <c r="B263" s="340" t="s">
        <v>701</v>
      </c>
      <c r="C263" s="12" t="s">
        <v>207</v>
      </c>
      <c r="D263" s="67">
        <f t="shared" si="158"/>
        <v>-31050000</v>
      </c>
      <c r="E263" s="67">
        <f t="shared" ref="E263:N263" si="178">E176</f>
        <v>0</v>
      </c>
      <c r="F263" s="67">
        <f t="shared" si="178"/>
        <v>0</v>
      </c>
      <c r="G263" s="67">
        <f t="shared" si="178"/>
        <v>0</v>
      </c>
      <c r="H263" s="67">
        <f t="shared" si="178"/>
        <v>0</v>
      </c>
      <c r="I263" s="67">
        <f t="shared" si="178"/>
        <v>12847035</v>
      </c>
      <c r="J263" s="67">
        <f t="shared" si="178"/>
        <v>0</v>
      </c>
      <c r="K263" s="67">
        <f t="shared" si="178"/>
        <v>0</v>
      </c>
      <c r="L263" s="67">
        <f t="shared" si="178"/>
        <v>0</v>
      </c>
      <c r="M263" s="67">
        <f t="shared" si="178"/>
        <v>0</v>
      </c>
      <c r="N263" s="67">
        <f t="shared" si="178"/>
        <v>0</v>
      </c>
      <c r="O263" s="67">
        <v>0</v>
      </c>
      <c r="P263" s="369">
        <f t="shared" si="160"/>
        <v>12847035</v>
      </c>
      <c r="R263" s="2"/>
    </row>
    <row r="264" spans="1:18" x14ac:dyDescent="0.15">
      <c r="B264" s="340" t="s">
        <v>702</v>
      </c>
      <c r="C264" s="12" t="s">
        <v>307</v>
      </c>
      <c r="D264" s="67">
        <f t="shared" si="158"/>
        <v>-1500000</v>
      </c>
      <c r="E264" s="67">
        <f t="shared" ref="E264:N264" si="179">E177</f>
        <v>0</v>
      </c>
      <c r="F264" s="67">
        <f t="shared" si="179"/>
        <v>0</v>
      </c>
      <c r="G264" s="67">
        <f t="shared" si="179"/>
        <v>0</v>
      </c>
      <c r="H264" s="67">
        <f t="shared" si="179"/>
        <v>0</v>
      </c>
      <c r="I264" s="67">
        <f t="shared" si="179"/>
        <v>1500000</v>
      </c>
      <c r="J264" s="67">
        <f t="shared" si="179"/>
        <v>0</v>
      </c>
      <c r="K264" s="67">
        <f t="shared" si="179"/>
        <v>0</v>
      </c>
      <c r="L264" s="67">
        <f t="shared" si="179"/>
        <v>0</v>
      </c>
      <c r="M264" s="67">
        <f t="shared" si="179"/>
        <v>0</v>
      </c>
      <c r="N264" s="67">
        <f t="shared" si="179"/>
        <v>0</v>
      </c>
      <c r="O264" s="67">
        <v>0</v>
      </c>
      <c r="P264" s="369">
        <f t="shared" si="160"/>
        <v>1500000</v>
      </c>
      <c r="R264" s="2"/>
    </row>
    <row r="265" spans="1:18" x14ac:dyDescent="0.15">
      <c r="B265" s="340" t="s">
        <v>703</v>
      </c>
      <c r="C265" s="12" t="s">
        <v>309</v>
      </c>
      <c r="D265" s="67">
        <f t="shared" si="158"/>
        <v>0</v>
      </c>
      <c r="E265" s="67">
        <f t="shared" ref="E265:N265" si="180">E178</f>
        <v>0</v>
      </c>
      <c r="F265" s="67">
        <f t="shared" si="180"/>
        <v>0</v>
      </c>
      <c r="G265" s="67">
        <f t="shared" si="180"/>
        <v>0</v>
      </c>
      <c r="H265" s="67">
        <f t="shared" si="180"/>
        <v>0</v>
      </c>
      <c r="I265" s="67">
        <f t="shared" si="180"/>
        <v>0</v>
      </c>
      <c r="J265" s="67">
        <f t="shared" si="180"/>
        <v>0</v>
      </c>
      <c r="K265" s="67">
        <f t="shared" si="180"/>
        <v>0</v>
      </c>
      <c r="L265" s="67">
        <f t="shared" si="180"/>
        <v>0</v>
      </c>
      <c r="M265" s="67">
        <f t="shared" si="180"/>
        <v>0</v>
      </c>
      <c r="N265" s="67">
        <f t="shared" si="180"/>
        <v>0</v>
      </c>
      <c r="O265" s="67">
        <v>0</v>
      </c>
      <c r="P265" s="369">
        <f t="shared" si="160"/>
        <v>0</v>
      </c>
      <c r="R265" s="2"/>
    </row>
    <row r="266" spans="1:18" x14ac:dyDescent="0.15">
      <c r="B266" s="340" t="s">
        <v>704</v>
      </c>
      <c r="C266" s="12" t="s">
        <v>311</v>
      </c>
      <c r="D266" s="67">
        <f t="shared" si="158"/>
        <v>0</v>
      </c>
      <c r="E266" s="67">
        <f t="shared" ref="E266:N266" si="181">E179</f>
        <v>0</v>
      </c>
      <c r="F266" s="67">
        <f t="shared" si="181"/>
        <v>0</v>
      </c>
      <c r="G266" s="67">
        <f t="shared" si="181"/>
        <v>0</v>
      </c>
      <c r="H266" s="67">
        <f t="shared" si="181"/>
        <v>0</v>
      </c>
      <c r="I266" s="67">
        <f t="shared" si="181"/>
        <v>-2596968.7000000002</v>
      </c>
      <c r="J266" s="67">
        <f t="shared" si="181"/>
        <v>0</v>
      </c>
      <c r="K266" s="67">
        <f t="shared" si="181"/>
        <v>0</v>
      </c>
      <c r="L266" s="67">
        <f t="shared" si="181"/>
        <v>0</v>
      </c>
      <c r="M266" s="67">
        <f t="shared" si="181"/>
        <v>0</v>
      </c>
      <c r="N266" s="67">
        <f t="shared" si="181"/>
        <v>0</v>
      </c>
      <c r="O266" s="67">
        <v>0</v>
      </c>
      <c r="P266" s="369">
        <f t="shared" si="160"/>
        <v>-2596968.7000000002</v>
      </c>
      <c r="R266" s="2"/>
    </row>
    <row r="267" spans="1:18" ht="14" thickBot="1" x14ac:dyDescent="0.2">
      <c r="B267" s="340" t="s">
        <v>705</v>
      </c>
      <c r="C267" s="12" t="s">
        <v>115</v>
      </c>
      <c r="D267" s="67">
        <f t="shared" si="158"/>
        <v>-60000000</v>
      </c>
      <c r="E267" s="67">
        <f t="shared" ref="E267:N267" si="182">E180</f>
        <v>0</v>
      </c>
      <c r="F267" s="67">
        <f t="shared" si="182"/>
        <v>0</v>
      </c>
      <c r="G267" s="67">
        <f t="shared" si="182"/>
        <v>0</v>
      </c>
      <c r="H267" s="67">
        <f t="shared" si="182"/>
        <v>0</v>
      </c>
      <c r="I267" s="67">
        <f t="shared" si="182"/>
        <v>60000000</v>
      </c>
      <c r="J267" s="67">
        <f t="shared" si="182"/>
        <v>0</v>
      </c>
      <c r="K267" s="67">
        <f t="shared" si="182"/>
        <v>0</v>
      </c>
      <c r="L267" s="67">
        <f t="shared" si="182"/>
        <v>0</v>
      </c>
      <c r="M267" s="67">
        <f t="shared" si="182"/>
        <v>0</v>
      </c>
      <c r="N267" s="67">
        <f t="shared" si="182"/>
        <v>0</v>
      </c>
      <c r="O267" s="67">
        <v>0</v>
      </c>
      <c r="P267" s="369">
        <f t="shared" si="160"/>
        <v>60000000</v>
      </c>
      <c r="R267" s="2"/>
    </row>
    <row r="268" spans="1:18" x14ac:dyDescent="0.15">
      <c r="B268" s="340">
        <v>17</v>
      </c>
      <c r="C268" s="12" t="s">
        <v>313</v>
      </c>
      <c r="D268" s="67">
        <f t="shared" si="158"/>
        <v>-92550000</v>
      </c>
      <c r="E268" s="67">
        <f t="shared" ref="E268:N268" si="183">E181</f>
        <v>0</v>
      </c>
      <c r="F268" s="67">
        <f t="shared" si="183"/>
        <v>0</v>
      </c>
      <c r="G268" s="67">
        <f t="shared" si="183"/>
        <v>0</v>
      </c>
      <c r="H268" s="67">
        <f t="shared" si="183"/>
        <v>0</v>
      </c>
      <c r="I268" s="67">
        <f t="shared" si="183"/>
        <v>71750066.299999997</v>
      </c>
      <c r="J268" s="67">
        <f t="shared" si="183"/>
        <v>0</v>
      </c>
      <c r="K268" s="67">
        <f t="shared" si="183"/>
        <v>0</v>
      </c>
      <c r="L268" s="67">
        <f t="shared" si="183"/>
        <v>0</v>
      </c>
      <c r="M268" s="67">
        <f t="shared" si="183"/>
        <v>0</v>
      </c>
      <c r="N268" s="67">
        <f t="shared" si="183"/>
        <v>0</v>
      </c>
      <c r="O268" s="67">
        <v>0</v>
      </c>
      <c r="P268" s="369">
        <f t="shared" si="160"/>
        <v>71750066.299999997</v>
      </c>
      <c r="Q268" s="357" t="s">
        <v>693</v>
      </c>
      <c r="R268" s="2"/>
    </row>
    <row r="269" spans="1:18" ht="14" thickBot="1" x14ac:dyDescent="0.2">
      <c r="A269" s="1" t="s">
        <v>711</v>
      </c>
      <c r="B269" s="355">
        <v>18</v>
      </c>
      <c r="C269" s="335" t="s">
        <v>314</v>
      </c>
      <c r="D269" s="331">
        <f>D268+D260</f>
        <v>-92550000</v>
      </c>
      <c r="E269" s="331">
        <f t="shared" ref="E269:N269" si="184">E268+E260</f>
        <v>25844900.000000022</v>
      </c>
      <c r="F269" s="331">
        <f t="shared" si="184"/>
        <v>17635863.125000041</v>
      </c>
      <c r="G269" s="331">
        <f t="shared" si="184"/>
        <v>6175991.646743739</v>
      </c>
      <c r="H269" s="331">
        <f t="shared" si="184"/>
        <v>-7193570.6738860086</v>
      </c>
      <c r="I269" s="331">
        <f t="shared" si="184"/>
        <v>48673493.010988779</v>
      </c>
      <c r="J269" s="331">
        <f t="shared" si="184"/>
        <v>0</v>
      </c>
      <c r="K269" s="331">
        <f t="shared" si="184"/>
        <v>0</v>
      </c>
      <c r="L269" s="331">
        <f t="shared" si="184"/>
        <v>0</v>
      </c>
      <c r="M269" s="331">
        <f t="shared" si="184"/>
        <v>0</v>
      </c>
      <c r="N269" s="331">
        <f t="shared" si="184"/>
        <v>0</v>
      </c>
      <c r="O269" s="331">
        <v>0</v>
      </c>
      <c r="P269" s="369">
        <f t="shared" si="160"/>
        <v>91136677.108846575</v>
      </c>
      <c r="Q269" s="358">
        <f>IF(ISNUMBER(IRR(D269:N269)),IRR(D269:N269),"NMF")</f>
        <v>-4.7435193714794321E-3</v>
      </c>
      <c r="R269" s="1" t="s">
        <v>711</v>
      </c>
    </row>
    <row r="270" spans="1:18" x14ac:dyDescent="0.15">
      <c r="R270" s="2"/>
    </row>
    <row r="271" spans="1:18" ht="14" thickBot="1" x14ac:dyDescent="0.2">
      <c r="R271" s="2"/>
    </row>
    <row r="272" spans="1:18" ht="14" thickBot="1" x14ac:dyDescent="0.2">
      <c r="B272" s="359" t="s">
        <v>282</v>
      </c>
      <c r="C272" s="360" t="s">
        <v>283</v>
      </c>
      <c r="D272" s="360"/>
      <c r="E272" s="360">
        <v>1</v>
      </c>
      <c r="F272" s="360">
        <v>2</v>
      </c>
      <c r="G272" s="360">
        <v>3</v>
      </c>
      <c r="H272" s="360">
        <v>4</v>
      </c>
      <c r="I272" s="360">
        <v>5</v>
      </c>
      <c r="J272" s="360">
        <v>6</v>
      </c>
      <c r="K272" s="360">
        <v>7</v>
      </c>
      <c r="L272" s="360">
        <v>8</v>
      </c>
      <c r="M272" s="360">
        <v>9</v>
      </c>
      <c r="N272" s="360">
        <v>10</v>
      </c>
      <c r="O272" s="360" t="s">
        <v>284</v>
      </c>
      <c r="P272" s="361" t="s">
        <v>285</v>
      </c>
      <c r="R272" s="2"/>
    </row>
    <row r="273" spans="1:18" x14ac:dyDescent="0.15">
      <c r="B273" s="339" t="s">
        <v>687</v>
      </c>
      <c r="C273" s="302" t="s">
        <v>287</v>
      </c>
      <c r="D273" s="322">
        <f t="shared" ref="D273:D289" si="185">D158</f>
        <v>0</v>
      </c>
      <c r="E273" s="322">
        <f t="shared" ref="E273:N273" si="186">E158</f>
        <v>300000000</v>
      </c>
      <c r="F273" s="322">
        <f t="shared" si="186"/>
        <v>313500000.00000006</v>
      </c>
      <c r="G273" s="322">
        <f t="shared" si="186"/>
        <v>327607500.00000006</v>
      </c>
      <c r="H273" s="322">
        <f t="shared" si="186"/>
        <v>342349837.50000012</v>
      </c>
      <c r="I273" s="322">
        <f t="shared" si="186"/>
        <v>357755580.18750012</v>
      </c>
      <c r="J273" s="322">
        <f t="shared" si="186"/>
        <v>0</v>
      </c>
      <c r="K273" s="322">
        <f t="shared" si="186"/>
        <v>0</v>
      </c>
      <c r="L273" s="322">
        <f t="shared" si="186"/>
        <v>0</v>
      </c>
      <c r="M273" s="322">
        <f t="shared" si="186"/>
        <v>0</v>
      </c>
      <c r="N273" s="322">
        <f t="shared" si="186"/>
        <v>0</v>
      </c>
      <c r="O273" s="322">
        <v>0</v>
      </c>
      <c r="P273" s="368">
        <f t="shared" ref="P273:P297" si="187">SUM(E273:N273)</f>
        <v>1641212917.6875</v>
      </c>
      <c r="R273" s="2"/>
    </row>
    <row r="274" spans="1:18" x14ac:dyDescent="0.15">
      <c r="A274" s="1" t="s">
        <v>712</v>
      </c>
      <c r="B274" s="340" t="s">
        <v>689</v>
      </c>
      <c r="C274" s="354" t="s">
        <v>689</v>
      </c>
      <c r="D274" s="67">
        <f t="shared" si="185"/>
        <v>0</v>
      </c>
      <c r="E274" s="67">
        <f t="shared" ref="E274:N274" si="188">E159</f>
        <v>300000000</v>
      </c>
      <c r="F274" s="67">
        <f t="shared" si="188"/>
        <v>313500000.00000006</v>
      </c>
      <c r="G274" s="67">
        <f t="shared" si="188"/>
        <v>327607500.00000006</v>
      </c>
      <c r="H274" s="67">
        <f t="shared" si="188"/>
        <v>342349837.50000012</v>
      </c>
      <c r="I274" s="67">
        <f t="shared" si="188"/>
        <v>357755580.18750012</v>
      </c>
      <c r="J274" s="67">
        <f t="shared" si="188"/>
        <v>0</v>
      </c>
      <c r="K274" s="67">
        <f t="shared" si="188"/>
        <v>0</v>
      </c>
      <c r="L274" s="67">
        <f t="shared" si="188"/>
        <v>0</v>
      </c>
      <c r="M274" s="67">
        <f t="shared" si="188"/>
        <v>0</v>
      </c>
      <c r="N274" s="67">
        <f t="shared" si="188"/>
        <v>0</v>
      </c>
      <c r="O274" s="67"/>
      <c r="P274" s="369">
        <f t="shared" si="187"/>
        <v>1641212917.6875</v>
      </c>
      <c r="R274" s="2"/>
    </row>
    <row r="275" spans="1:18" x14ac:dyDescent="0.15">
      <c r="B275" s="340" t="s">
        <v>690</v>
      </c>
      <c r="C275" s="354" t="s">
        <v>690</v>
      </c>
      <c r="D275" s="67">
        <f t="shared" si="185"/>
        <v>0</v>
      </c>
      <c r="E275" s="67">
        <f t="shared" ref="E275:N275" si="189">E160</f>
        <v>0</v>
      </c>
      <c r="F275" s="67">
        <f t="shared" si="189"/>
        <v>0</v>
      </c>
      <c r="G275" s="67">
        <f t="shared" si="189"/>
        <v>0</v>
      </c>
      <c r="H275" s="67">
        <f t="shared" si="189"/>
        <v>0</v>
      </c>
      <c r="I275" s="67">
        <f t="shared" si="189"/>
        <v>0</v>
      </c>
      <c r="J275" s="67">
        <f t="shared" si="189"/>
        <v>0</v>
      </c>
      <c r="K275" s="67">
        <f t="shared" si="189"/>
        <v>0</v>
      </c>
      <c r="L275" s="67">
        <f t="shared" si="189"/>
        <v>0</v>
      </c>
      <c r="M275" s="67">
        <f t="shared" si="189"/>
        <v>0</v>
      </c>
      <c r="N275" s="67">
        <f t="shared" si="189"/>
        <v>0</v>
      </c>
      <c r="O275" s="294"/>
      <c r="P275" s="369">
        <f t="shared" si="187"/>
        <v>0</v>
      </c>
      <c r="R275" s="2"/>
    </row>
    <row r="276" spans="1:18" x14ac:dyDescent="0.15">
      <c r="B276" s="340" t="s">
        <v>691</v>
      </c>
      <c r="C276" s="354" t="s">
        <v>691</v>
      </c>
      <c r="D276" s="67">
        <f t="shared" si="185"/>
        <v>0</v>
      </c>
      <c r="E276" s="67">
        <f t="shared" ref="E276:N276" si="190">E161</f>
        <v>0</v>
      </c>
      <c r="F276" s="67">
        <f t="shared" si="190"/>
        <v>0</v>
      </c>
      <c r="G276" s="67">
        <f t="shared" si="190"/>
        <v>0</v>
      </c>
      <c r="H276" s="67">
        <f t="shared" si="190"/>
        <v>0</v>
      </c>
      <c r="I276" s="67">
        <f t="shared" si="190"/>
        <v>0</v>
      </c>
      <c r="J276" s="67">
        <f t="shared" si="190"/>
        <v>0</v>
      </c>
      <c r="K276" s="67">
        <f t="shared" si="190"/>
        <v>0</v>
      </c>
      <c r="L276" s="67">
        <f t="shared" si="190"/>
        <v>0</v>
      </c>
      <c r="M276" s="67">
        <f t="shared" si="190"/>
        <v>0</v>
      </c>
      <c r="N276" s="67">
        <f t="shared" si="190"/>
        <v>0</v>
      </c>
      <c r="O276" s="67"/>
      <c r="P276" s="369">
        <f t="shared" si="187"/>
        <v>0</v>
      </c>
      <c r="R276" s="2"/>
    </row>
    <row r="277" spans="1:18" x14ac:dyDescent="0.15">
      <c r="B277" s="340" t="s">
        <v>695</v>
      </c>
      <c r="C277" s="12"/>
      <c r="D277" s="67">
        <f t="shared" si="185"/>
        <v>0</v>
      </c>
      <c r="E277" s="67">
        <f t="shared" ref="E277:N277" si="191">E162</f>
        <v>300000000</v>
      </c>
      <c r="F277" s="67">
        <f t="shared" si="191"/>
        <v>313500000.00000006</v>
      </c>
      <c r="G277" s="67">
        <f t="shared" si="191"/>
        <v>327607500.00000006</v>
      </c>
      <c r="H277" s="67">
        <f t="shared" si="191"/>
        <v>342349837.50000012</v>
      </c>
      <c r="I277" s="67">
        <f t="shared" si="191"/>
        <v>357755580.18750012</v>
      </c>
      <c r="J277" s="67">
        <f t="shared" si="191"/>
        <v>0</v>
      </c>
      <c r="K277" s="67">
        <f t="shared" si="191"/>
        <v>0</v>
      </c>
      <c r="L277" s="67">
        <f t="shared" si="191"/>
        <v>0</v>
      </c>
      <c r="M277" s="67">
        <f t="shared" si="191"/>
        <v>0</v>
      </c>
      <c r="N277" s="67">
        <f t="shared" si="191"/>
        <v>0</v>
      </c>
      <c r="O277" s="67"/>
      <c r="P277" s="369">
        <f t="shared" si="187"/>
        <v>1641212917.6875</v>
      </c>
      <c r="R277" s="2"/>
    </row>
    <row r="278" spans="1:18" x14ac:dyDescent="0.15">
      <c r="B278" s="355" t="s">
        <v>696</v>
      </c>
      <c r="C278" s="335" t="s">
        <v>289</v>
      </c>
      <c r="D278" s="331">
        <f t="shared" si="185"/>
        <v>0</v>
      </c>
      <c r="E278" s="331">
        <f>E163*1.2</f>
        <v>276204000</v>
      </c>
      <c r="F278" s="331">
        <f t="shared" ref="F278:N278" si="192">F163*1.2</f>
        <v>303622050</v>
      </c>
      <c r="G278" s="331">
        <f t="shared" si="192"/>
        <v>334470862.14150006</v>
      </c>
      <c r="H278" s="331">
        <f t="shared" si="192"/>
        <v>369199170.07287365</v>
      </c>
      <c r="I278" s="331">
        <f t="shared" si="192"/>
        <v>408315079.63268763</v>
      </c>
      <c r="J278" s="331">
        <f t="shared" si="192"/>
        <v>0</v>
      </c>
      <c r="K278" s="331">
        <f t="shared" si="192"/>
        <v>0</v>
      </c>
      <c r="L278" s="331">
        <f t="shared" si="192"/>
        <v>0</v>
      </c>
      <c r="M278" s="331">
        <f t="shared" si="192"/>
        <v>0</v>
      </c>
      <c r="N278" s="331">
        <f t="shared" si="192"/>
        <v>0</v>
      </c>
      <c r="O278" s="331">
        <v>0</v>
      </c>
      <c r="P278" s="370">
        <f t="shared" si="187"/>
        <v>1691811161.8470612</v>
      </c>
      <c r="R278" s="2"/>
    </row>
    <row r="279" spans="1:18" x14ac:dyDescent="0.15">
      <c r="B279" s="340">
        <v>3</v>
      </c>
      <c r="C279" s="12" t="s">
        <v>290</v>
      </c>
      <c r="D279" s="67">
        <f t="shared" si="185"/>
        <v>0</v>
      </c>
      <c r="E279" s="67">
        <f>E277-E278</f>
        <v>23796000</v>
      </c>
      <c r="F279" s="67">
        <f t="shared" ref="F279:N279" si="193">F277-F278</f>
        <v>9877950.0000000596</v>
      </c>
      <c r="G279" s="67">
        <f t="shared" si="193"/>
        <v>-6863362.1414999962</v>
      </c>
      <c r="H279" s="67">
        <f t="shared" si="193"/>
        <v>-26849332.572873533</v>
      </c>
      <c r="I279" s="67">
        <f t="shared" si="193"/>
        <v>-50559499.445187509</v>
      </c>
      <c r="J279" s="67">
        <f t="shared" si="193"/>
        <v>0</v>
      </c>
      <c r="K279" s="67">
        <f t="shared" si="193"/>
        <v>0</v>
      </c>
      <c r="L279" s="67">
        <f t="shared" si="193"/>
        <v>0</v>
      </c>
      <c r="M279" s="67">
        <f t="shared" si="193"/>
        <v>0</v>
      </c>
      <c r="N279" s="67">
        <f t="shared" si="193"/>
        <v>0</v>
      </c>
      <c r="O279" s="67">
        <v>0</v>
      </c>
      <c r="P279" s="369">
        <f t="shared" si="187"/>
        <v>-50598244.159560978</v>
      </c>
      <c r="R279" s="2"/>
    </row>
    <row r="280" spans="1:18" x14ac:dyDescent="0.15">
      <c r="B280" s="340" t="s">
        <v>697</v>
      </c>
      <c r="C280" s="12" t="s">
        <v>292</v>
      </c>
      <c r="D280" s="67">
        <f t="shared" si="185"/>
        <v>0</v>
      </c>
      <c r="E280" s="67">
        <f>E165</f>
        <v>3772500</v>
      </c>
      <c r="F280" s="67">
        <f t="shared" ref="F280:N280" si="194">F165</f>
        <v>6218850</v>
      </c>
      <c r="G280" s="67">
        <f t="shared" si="194"/>
        <v>4083150</v>
      </c>
      <c r="H280" s="67">
        <f t="shared" si="194"/>
        <v>2775510</v>
      </c>
      <c r="I280" s="67">
        <f t="shared" si="194"/>
        <v>1352955</v>
      </c>
      <c r="J280" s="67">
        <f t="shared" si="194"/>
        <v>0</v>
      </c>
      <c r="K280" s="67">
        <f t="shared" si="194"/>
        <v>0</v>
      </c>
      <c r="L280" s="67">
        <f t="shared" si="194"/>
        <v>0</v>
      </c>
      <c r="M280" s="67">
        <f t="shared" si="194"/>
        <v>0</v>
      </c>
      <c r="N280" s="67">
        <f t="shared" si="194"/>
        <v>0</v>
      </c>
      <c r="O280" s="67">
        <v>0</v>
      </c>
      <c r="P280" s="369">
        <f t="shared" si="187"/>
        <v>18202965</v>
      </c>
      <c r="R280" s="2"/>
    </row>
    <row r="281" spans="1:18" x14ac:dyDescent="0.15">
      <c r="B281" s="340">
        <v>5</v>
      </c>
      <c r="C281" s="12" t="s">
        <v>293</v>
      </c>
      <c r="D281" s="67">
        <f t="shared" si="185"/>
        <v>0</v>
      </c>
      <c r="E281" s="67">
        <f>E279-E280</f>
        <v>20023500</v>
      </c>
      <c r="F281" s="67">
        <f t="shared" ref="F281:N281" si="195">F279-F280</f>
        <v>3659100.0000000596</v>
      </c>
      <c r="G281" s="67">
        <f t="shared" si="195"/>
        <v>-10946512.141499996</v>
      </c>
      <c r="H281" s="67">
        <f t="shared" si="195"/>
        <v>-29624842.572873533</v>
      </c>
      <c r="I281" s="67">
        <f t="shared" si="195"/>
        <v>-51912454.445187509</v>
      </c>
      <c r="J281" s="67">
        <f t="shared" si="195"/>
        <v>0</v>
      </c>
      <c r="K281" s="67">
        <f t="shared" si="195"/>
        <v>0</v>
      </c>
      <c r="L281" s="67">
        <f t="shared" si="195"/>
        <v>0</v>
      </c>
      <c r="M281" s="67">
        <f t="shared" si="195"/>
        <v>0</v>
      </c>
      <c r="N281" s="67">
        <f t="shared" si="195"/>
        <v>0</v>
      </c>
      <c r="O281" s="67">
        <v>0</v>
      </c>
      <c r="P281" s="369">
        <f t="shared" si="187"/>
        <v>-68801209.159560978</v>
      </c>
      <c r="R281" s="2"/>
    </row>
    <row r="282" spans="1:18" x14ac:dyDescent="0.15">
      <c r="B282" s="340" t="s">
        <v>698</v>
      </c>
      <c r="C282" s="12" t="s">
        <v>295</v>
      </c>
      <c r="D282" s="67">
        <f t="shared" si="185"/>
        <v>0</v>
      </c>
      <c r="E282" s="67">
        <f>E167</f>
        <v>0</v>
      </c>
      <c r="F282" s="67">
        <f t="shared" ref="F282:N282" si="196">F167</f>
        <v>0</v>
      </c>
      <c r="G282" s="67">
        <f t="shared" si="196"/>
        <v>0</v>
      </c>
      <c r="H282" s="67">
        <f t="shared" si="196"/>
        <v>0</v>
      </c>
      <c r="I282" s="67">
        <f t="shared" si="196"/>
        <v>0</v>
      </c>
      <c r="J282" s="67">
        <f t="shared" si="196"/>
        <v>0</v>
      </c>
      <c r="K282" s="67">
        <f t="shared" si="196"/>
        <v>0</v>
      </c>
      <c r="L282" s="67">
        <f t="shared" si="196"/>
        <v>0</v>
      </c>
      <c r="M282" s="67">
        <f t="shared" si="196"/>
        <v>0</v>
      </c>
      <c r="N282" s="67">
        <f t="shared" si="196"/>
        <v>0</v>
      </c>
      <c r="O282" s="67">
        <v>0</v>
      </c>
      <c r="P282" s="369">
        <f t="shared" si="187"/>
        <v>0</v>
      </c>
      <c r="R282" s="2"/>
    </row>
    <row r="283" spans="1:18" x14ac:dyDescent="0.15">
      <c r="B283" s="340">
        <v>7</v>
      </c>
      <c r="C283" s="12" t="s">
        <v>296</v>
      </c>
      <c r="D283" s="67">
        <f t="shared" si="185"/>
        <v>0</v>
      </c>
      <c r="E283" s="67">
        <f>E281+E282</f>
        <v>20023500</v>
      </c>
      <c r="F283" s="67">
        <f t="shared" ref="F283:N283" si="197">F281+F282</f>
        <v>3659100.0000000596</v>
      </c>
      <c r="G283" s="67">
        <f t="shared" si="197"/>
        <v>-10946512.141499996</v>
      </c>
      <c r="H283" s="67">
        <f t="shared" si="197"/>
        <v>-29624842.572873533</v>
      </c>
      <c r="I283" s="67">
        <f t="shared" si="197"/>
        <v>-51912454.445187509</v>
      </c>
      <c r="J283" s="67">
        <f t="shared" si="197"/>
        <v>0</v>
      </c>
      <c r="K283" s="67">
        <f t="shared" si="197"/>
        <v>0</v>
      </c>
      <c r="L283" s="67">
        <f t="shared" si="197"/>
        <v>0</v>
      </c>
      <c r="M283" s="67">
        <f t="shared" si="197"/>
        <v>0</v>
      </c>
      <c r="N283" s="67">
        <f t="shared" si="197"/>
        <v>0</v>
      </c>
      <c r="O283" s="67">
        <v>0</v>
      </c>
      <c r="P283" s="369">
        <f t="shared" si="187"/>
        <v>-68801209.159560978</v>
      </c>
      <c r="R283" s="2"/>
    </row>
    <row r="284" spans="1:18" x14ac:dyDescent="0.15">
      <c r="B284" s="340">
        <v>8</v>
      </c>
      <c r="C284" s="12" t="s">
        <v>297</v>
      </c>
      <c r="D284" s="67">
        <f t="shared" si="185"/>
        <v>0</v>
      </c>
      <c r="E284" s="67">
        <f>-E283*$D$3</f>
        <v>-6007050</v>
      </c>
      <c r="F284" s="67">
        <f t="shared" ref="F284:N284" si="198">-F283*$D$3</f>
        <v>-1097730.0000000179</v>
      </c>
      <c r="G284" s="67">
        <f t="shared" si="198"/>
        <v>3283953.6424499988</v>
      </c>
      <c r="H284" s="67">
        <f t="shared" si="198"/>
        <v>8887452.7718620598</v>
      </c>
      <c r="I284" s="67">
        <f t="shared" si="198"/>
        <v>15573736.333556252</v>
      </c>
      <c r="J284" s="67">
        <f t="shared" si="198"/>
        <v>0</v>
      </c>
      <c r="K284" s="67">
        <f t="shared" si="198"/>
        <v>0</v>
      </c>
      <c r="L284" s="67">
        <f t="shared" si="198"/>
        <v>0</v>
      </c>
      <c r="M284" s="67">
        <f t="shared" si="198"/>
        <v>0</v>
      </c>
      <c r="N284" s="67">
        <f t="shared" si="198"/>
        <v>0</v>
      </c>
      <c r="O284" s="67">
        <v>0</v>
      </c>
      <c r="P284" s="369">
        <f t="shared" si="187"/>
        <v>20640362.747868292</v>
      </c>
      <c r="R284" s="2"/>
    </row>
    <row r="285" spans="1:18" x14ac:dyDescent="0.15">
      <c r="B285" s="340">
        <v>9</v>
      </c>
      <c r="C285" s="12" t="s">
        <v>298</v>
      </c>
      <c r="D285" s="67">
        <f t="shared" si="185"/>
        <v>0</v>
      </c>
      <c r="E285" s="67">
        <f>E170</f>
        <v>0</v>
      </c>
      <c r="F285" s="67">
        <f t="shared" ref="F285:N285" si="199">F170</f>
        <v>0</v>
      </c>
      <c r="G285" s="67">
        <f t="shared" si="199"/>
        <v>0</v>
      </c>
      <c r="H285" s="67">
        <f t="shared" si="199"/>
        <v>0</v>
      </c>
      <c r="I285" s="67">
        <f t="shared" si="199"/>
        <v>0</v>
      </c>
      <c r="J285" s="67">
        <f t="shared" si="199"/>
        <v>0</v>
      </c>
      <c r="K285" s="67">
        <f t="shared" si="199"/>
        <v>0</v>
      </c>
      <c r="L285" s="67">
        <f t="shared" si="199"/>
        <v>0</v>
      </c>
      <c r="M285" s="67">
        <f t="shared" si="199"/>
        <v>0</v>
      </c>
      <c r="N285" s="67">
        <f t="shared" si="199"/>
        <v>0</v>
      </c>
      <c r="O285" s="67">
        <v>0</v>
      </c>
      <c r="P285" s="369">
        <f t="shared" si="187"/>
        <v>0</v>
      </c>
      <c r="R285" s="2"/>
    </row>
    <row r="286" spans="1:18" x14ac:dyDescent="0.15">
      <c r="B286" s="340">
        <v>10</v>
      </c>
      <c r="C286" s="12" t="s">
        <v>299</v>
      </c>
      <c r="D286" s="67">
        <f t="shared" si="185"/>
        <v>0</v>
      </c>
      <c r="E286" s="67">
        <f>E283+E284+E285</f>
        <v>14016450</v>
      </c>
      <c r="F286" s="67">
        <f t="shared" ref="F286:N286" si="200">F283+F284+F285</f>
        <v>2561370.0000000419</v>
      </c>
      <c r="G286" s="67">
        <f t="shared" si="200"/>
        <v>-7662558.499049997</v>
      </c>
      <c r="H286" s="67">
        <f t="shared" si="200"/>
        <v>-20737389.801011473</v>
      </c>
      <c r="I286" s="67">
        <f t="shared" si="200"/>
        <v>-36338718.111631259</v>
      </c>
      <c r="J286" s="67">
        <f t="shared" si="200"/>
        <v>0</v>
      </c>
      <c r="K286" s="67">
        <f t="shared" si="200"/>
        <v>0</v>
      </c>
      <c r="L286" s="67">
        <f t="shared" si="200"/>
        <v>0</v>
      </c>
      <c r="M286" s="67">
        <f t="shared" si="200"/>
        <v>0</v>
      </c>
      <c r="N286" s="67">
        <f t="shared" si="200"/>
        <v>0</v>
      </c>
      <c r="O286" s="67">
        <v>0</v>
      </c>
      <c r="P286" s="369">
        <f t="shared" si="187"/>
        <v>-48160846.411692686</v>
      </c>
      <c r="R286" s="2"/>
    </row>
    <row r="287" spans="1:18" x14ac:dyDescent="0.15">
      <c r="B287" s="340" t="s">
        <v>699</v>
      </c>
      <c r="C287" s="12" t="s">
        <v>292</v>
      </c>
      <c r="D287" s="67">
        <f t="shared" si="185"/>
        <v>0</v>
      </c>
      <c r="E287" s="67">
        <f>E172</f>
        <v>3772500</v>
      </c>
      <c r="F287" s="67">
        <f t="shared" ref="F287:N287" si="201">F172</f>
        <v>6218850</v>
      </c>
      <c r="G287" s="67">
        <f t="shared" si="201"/>
        <v>4083150</v>
      </c>
      <c r="H287" s="67">
        <f t="shared" si="201"/>
        <v>2775510</v>
      </c>
      <c r="I287" s="67">
        <f t="shared" si="201"/>
        <v>1352955</v>
      </c>
      <c r="J287" s="67">
        <f t="shared" si="201"/>
        <v>0</v>
      </c>
      <c r="K287" s="67">
        <f t="shared" si="201"/>
        <v>0</v>
      </c>
      <c r="L287" s="67">
        <f t="shared" si="201"/>
        <v>0</v>
      </c>
      <c r="M287" s="67">
        <f t="shared" si="201"/>
        <v>0</v>
      </c>
      <c r="N287" s="67">
        <f t="shared" si="201"/>
        <v>0</v>
      </c>
      <c r="O287" s="67">
        <v>0</v>
      </c>
      <c r="P287" s="369">
        <f t="shared" si="187"/>
        <v>18202965</v>
      </c>
      <c r="R287" s="2"/>
    </row>
    <row r="288" spans="1:18" x14ac:dyDescent="0.15">
      <c r="B288" s="340">
        <v>12</v>
      </c>
      <c r="C288" s="12" t="s">
        <v>301</v>
      </c>
      <c r="D288" s="67">
        <f t="shared" si="185"/>
        <v>0</v>
      </c>
      <c r="E288" s="67">
        <f>E286+E287</f>
        <v>17788950</v>
      </c>
      <c r="F288" s="67">
        <f t="shared" ref="F288:N288" si="202">F286+F287</f>
        <v>8780220.000000041</v>
      </c>
      <c r="G288" s="67">
        <f t="shared" si="202"/>
        <v>-3579408.499049997</v>
      </c>
      <c r="H288" s="67">
        <f t="shared" si="202"/>
        <v>-17961879.801011473</v>
      </c>
      <c r="I288" s="67">
        <f t="shared" si="202"/>
        <v>-34985763.111631259</v>
      </c>
      <c r="J288" s="67">
        <f t="shared" si="202"/>
        <v>0</v>
      </c>
      <c r="K288" s="67">
        <f t="shared" si="202"/>
        <v>0</v>
      </c>
      <c r="L288" s="67">
        <f t="shared" si="202"/>
        <v>0</v>
      </c>
      <c r="M288" s="67">
        <f t="shared" si="202"/>
        <v>0</v>
      </c>
      <c r="N288" s="67">
        <f t="shared" si="202"/>
        <v>0</v>
      </c>
      <c r="O288" s="67">
        <v>0</v>
      </c>
      <c r="P288" s="369">
        <f t="shared" si="187"/>
        <v>-29957881.411692686</v>
      </c>
      <c r="R288" s="2"/>
    </row>
    <row r="289" spans="1:18" x14ac:dyDescent="0.15">
      <c r="B289" s="340" t="s">
        <v>700</v>
      </c>
      <c r="C289" s="12" t="s">
        <v>303</v>
      </c>
      <c r="D289" s="67">
        <f t="shared" si="185"/>
        <v>0</v>
      </c>
      <c r="E289" s="67">
        <f t="shared" ref="E289:N289" si="203">E174</f>
        <v>0</v>
      </c>
      <c r="F289" s="67">
        <f t="shared" si="203"/>
        <v>0</v>
      </c>
      <c r="G289" s="67">
        <f t="shared" si="203"/>
        <v>0</v>
      </c>
      <c r="H289" s="67">
        <f t="shared" si="203"/>
        <v>0</v>
      </c>
      <c r="I289" s="67">
        <f t="shared" si="203"/>
        <v>0</v>
      </c>
      <c r="J289" s="67">
        <f t="shared" si="203"/>
        <v>0</v>
      </c>
      <c r="K289" s="67">
        <f t="shared" si="203"/>
        <v>0</v>
      </c>
      <c r="L289" s="67">
        <f t="shared" si="203"/>
        <v>0</v>
      </c>
      <c r="M289" s="67">
        <f t="shared" si="203"/>
        <v>0</v>
      </c>
      <c r="N289" s="67">
        <f t="shared" si="203"/>
        <v>0</v>
      </c>
      <c r="O289" s="67">
        <v>0</v>
      </c>
      <c r="P289" s="369">
        <f t="shared" si="187"/>
        <v>0</v>
      </c>
      <c r="R289" s="2"/>
    </row>
    <row r="290" spans="1:18" x14ac:dyDescent="0.15">
      <c r="B290" s="340">
        <v>14</v>
      </c>
      <c r="C290" s="12" t="s">
        <v>304</v>
      </c>
      <c r="D290" s="67">
        <f t="shared" ref="D290:N296" si="204">D175</f>
        <v>-32550000</v>
      </c>
      <c r="E290" s="67">
        <f t="shared" si="204"/>
        <v>0</v>
      </c>
      <c r="F290" s="67">
        <f t="shared" si="204"/>
        <v>0</v>
      </c>
      <c r="G290" s="67">
        <f t="shared" si="204"/>
        <v>0</v>
      </c>
      <c r="H290" s="67">
        <f t="shared" si="204"/>
        <v>0</v>
      </c>
      <c r="I290" s="67">
        <f t="shared" si="204"/>
        <v>14347035</v>
      </c>
      <c r="J290" s="67">
        <f t="shared" si="204"/>
        <v>0</v>
      </c>
      <c r="K290" s="67">
        <f t="shared" si="204"/>
        <v>0</v>
      </c>
      <c r="L290" s="67">
        <f t="shared" si="204"/>
        <v>0</v>
      </c>
      <c r="M290" s="67">
        <f t="shared" si="204"/>
        <v>0</v>
      </c>
      <c r="N290" s="67">
        <f t="shared" si="204"/>
        <v>0</v>
      </c>
      <c r="O290" s="67">
        <v>0</v>
      </c>
      <c r="P290" s="369">
        <f t="shared" si="187"/>
        <v>14347035</v>
      </c>
      <c r="R290" s="2"/>
    </row>
    <row r="291" spans="1:18" x14ac:dyDescent="0.15">
      <c r="B291" s="340" t="s">
        <v>701</v>
      </c>
      <c r="C291" s="12" t="s">
        <v>207</v>
      </c>
      <c r="D291" s="67">
        <f t="shared" si="204"/>
        <v>-31050000</v>
      </c>
      <c r="E291" s="67">
        <f t="shared" si="204"/>
        <v>0</v>
      </c>
      <c r="F291" s="67">
        <f t="shared" si="204"/>
        <v>0</v>
      </c>
      <c r="G291" s="67">
        <f t="shared" si="204"/>
        <v>0</v>
      </c>
      <c r="H291" s="67">
        <f t="shared" si="204"/>
        <v>0</v>
      </c>
      <c r="I291" s="67">
        <f t="shared" si="204"/>
        <v>12847035</v>
      </c>
      <c r="J291" s="67">
        <f t="shared" si="204"/>
        <v>0</v>
      </c>
      <c r="K291" s="67">
        <f t="shared" si="204"/>
        <v>0</v>
      </c>
      <c r="L291" s="67">
        <f t="shared" si="204"/>
        <v>0</v>
      </c>
      <c r="M291" s="67">
        <f t="shared" si="204"/>
        <v>0</v>
      </c>
      <c r="N291" s="67">
        <f t="shared" si="204"/>
        <v>0</v>
      </c>
      <c r="O291" s="67">
        <v>0</v>
      </c>
      <c r="P291" s="369">
        <f t="shared" si="187"/>
        <v>12847035</v>
      </c>
      <c r="R291" s="2"/>
    </row>
    <row r="292" spans="1:18" x14ac:dyDescent="0.15">
      <c r="B292" s="340" t="s">
        <v>702</v>
      </c>
      <c r="C292" s="12" t="s">
        <v>307</v>
      </c>
      <c r="D292" s="67">
        <f t="shared" si="204"/>
        <v>-1500000</v>
      </c>
      <c r="E292" s="67">
        <f t="shared" si="204"/>
        <v>0</v>
      </c>
      <c r="F292" s="67">
        <f t="shared" si="204"/>
        <v>0</v>
      </c>
      <c r="G292" s="67">
        <f t="shared" si="204"/>
        <v>0</v>
      </c>
      <c r="H292" s="67">
        <f t="shared" si="204"/>
        <v>0</v>
      </c>
      <c r="I292" s="67">
        <f t="shared" si="204"/>
        <v>1500000</v>
      </c>
      <c r="J292" s="67">
        <f t="shared" si="204"/>
        <v>0</v>
      </c>
      <c r="K292" s="67">
        <f t="shared" si="204"/>
        <v>0</v>
      </c>
      <c r="L292" s="67">
        <f t="shared" si="204"/>
        <v>0</v>
      </c>
      <c r="M292" s="67">
        <f t="shared" si="204"/>
        <v>0</v>
      </c>
      <c r="N292" s="67">
        <f t="shared" si="204"/>
        <v>0</v>
      </c>
      <c r="O292" s="67">
        <v>0</v>
      </c>
      <c r="P292" s="369">
        <f t="shared" si="187"/>
        <v>1500000</v>
      </c>
      <c r="R292" s="2"/>
    </row>
    <row r="293" spans="1:18" x14ac:dyDescent="0.15">
      <c r="B293" s="340" t="s">
        <v>703</v>
      </c>
      <c r="C293" s="12" t="s">
        <v>309</v>
      </c>
      <c r="D293" s="67">
        <f t="shared" si="204"/>
        <v>0</v>
      </c>
      <c r="E293" s="67">
        <f t="shared" si="204"/>
        <v>0</v>
      </c>
      <c r="F293" s="67">
        <f t="shared" si="204"/>
        <v>0</v>
      </c>
      <c r="G293" s="67">
        <f t="shared" si="204"/>
        <v>0</v>
      </c>
      <c r="H293" s="67">
        <f t="shared" si="204"/>
        <v>0</v>
      </c>
      <c r="I293" s="67">
        <f t="shared" si="204"/>
        <v>0</v>
      </c>
      <c r="J293" s="67">
        <f t="shared" si="204"/>
        <v>0</v>
      </c>
      <c r="K293" s="67">
        <f t="shared" si="204"/>
        <v>0</v>
      </c>
      <c r="L293" s="67">
        <f t="shared" si="204"/>
        <v>0</v>
      </c>
      <c r="M293" s="67">
        <f t="shared" si="204"/>
        <v>0</v>
      </c>
      <c r="N293" s="67">
        <f t="shared" si="204"/>
        <v>0</v>
      </c>
      <c r="O293" s="67">
        <v>0</v>
      </c>
      <c r="P293" s="369">
        <f t="shared" si="187"/>
        <v>0</v>
      </c>
      <c r="R293" s="2"/>
    </row>
    <row r="294" spans="1:18" x14ac:dyDescent="0.15">
      <c r="B294" s="340" t="s">
        <v>704</v>
      </c>
      <c r="C294" s="12" t="s">
        <v>311</v>
      </c>
      <c r="D294" s="67">
        <f t="shared" si="204"/>
        <v>0</v>
      </c>
      <c r="E294" s="67">
        <f t="shared" si="204"/>
        <v>0</v>
      </c>
      <c r="F294" s="67">
        <f t="shared" si="204"/>
        <v>0</v>
      </c>
      <c r="G294" s="67">
        <f t="shared" si="204"/>
        <v>0</v>
      </c>
      <c r="H294" s="67">
        <f t="shared" si="204"/>
        <v>0</v>
      </c>
      <c r="I294" s="67">
        <f t="shared" si="204"/>
        <v>-2596968.7000000002</v>
      </c>
      <c r="J294" s="67">
        <f t="shared" si="204"/>
        <v>0</v>
      </c>
      <c r="K294" s="67">
        <f t="shared" si="204"/>
        <v>0</v>
      </c>
      <c r="L294" s="67">
        <f t="shared" si="204"/>
        <v>0</v>
      </c>
      <c r="M294" s="67">
        <f t="shared" si="204"/>
        <v>0</v>
      </c>
      <c r="N294" s="67">
        <f t="shared" si="204"/>
        <v>0</v>
      </c>
      <c r="O294" s="67">
        <v>0</v>
      </c>
      <c r="P294" s="369">
        <f t="shared" si="187"/>
        <v>-2596968.7000000002</v>
      </c>
      <c r="R294" s="2"/>
    </row>
    <row r="295" spans="1:18" ht="14" thickBot="1" x14ac:dyDescent="0.2">
      <c r="B295" s="340" t="s">
        <v>705</v>
      </c>
      <c r="C295" s="12" t="s">
        <v>115</v>
      </c>
      <c r="D295" s="67">
        <f t="shared" si="204"/>
        <v>-60000000</v>
      </c>
      <c r="E295" s="67">
        <f t="shared" si="204"/>
        <v>0</v>
      </c>
      <c r="F295" s="67">
        <f t="shared" si="204"/>
        <v>0</v>
      </c>
      <c r="G295" s="67">
        <f t="shared" si="204"/>
        <v>0</v>
      </c>
      <c r="H295" s="67">
        <f t="shared" si="204"/>
        <v>0</v>
      </c>
      <c r="I295" s="67">
        <f t="shared" si="204"/>
        <v>60000000</v>
      </c>
      <c r="J295" s="67">
        <f t="shared" si="204"/>
        <v>0</v>
      </c>
      <c r="K295" s="67">
        <f t="shared" si="204"/>
        <v>0</v>
      </c>
      <c r="L295" s="67">
        <f t="shared" si="204"/>
        <v>0</v>
      </c>
      <c r="M295" s="67">
        <f t="shared" si="204"/>
        <v>0</v>
      </c>
      <c r="N295" s="67">
        <f t="shared" si="204"/>
        <v>0</v>
      </c>
      <c r="O295" s="67">
        <v>0</v>
      </c>
      <c r="P295" s="369">
        <f t="shared" si="187"/>
        <v>60000000</v>
      </c>
      <c r="R295" s="2"/>
    </row>
    <row r="296" spans="1:18" x14ac:dyDescent="0.15">
      <c r="B296" s="340">
        <v>17</v>
      </c>
      <c r="C296" s="12" t="s">
        <v>313</v>
      </c>
      <c r="D296" s="67">
        <f t="shared" si="204"/>
        <v>-92550000</v>
      </c>
      <c r="E296" s="67">
        <f t="shared" si="204"/>
        <v>0</v>
      </c>
      <c r="F296" s="67">
        <f t="shared" si="204"/>
        <v>0</v>
      </c>
      <c r="G296" s="67">
        <f t="shared" si="204"/>
        <v>0</v>
      </c>
      <c r="H296" s="67">
        <f t="shared" si="204"/>
        <v>0</v>
      </c>
      <c r="I296" s="67">
        <f t="shared" si="204"/>
        <v>71750066.299999997</v>
      </c>
      <c r="J296" s="67">
        <f t="shared" si="204"/>
        <v>0</v>
      </c>
      <c r="K296" s="67">
        <f t="shared" si="204"/>
        <v>0</v>
      </c>
      <c r="L296" s="67">
        <f t="shared" si="204"/>
        <v>0</v>
      </c>
      <c r="M296" s="67">
        <f t="shared" si="204"/>
        <v>0</v>
      </c>
      <c r="N296" s="67">
        <f t="shared" si="204"/>
        <v>0</v>
      </c>
      <c r="O296" s="67">
        <v>0</v>
      </c>
      <c r="P296" s="369">
        <f t="shared" si="187"/>
        <v>71750066.299999997</v>
      </c>
      <c r="Q296" s="357" t="s">
        <v>693</v>
      </c>
      <c r="R296" s="2"/>
    </row>
    <row r="297" spans="1:18" ht="14" thickBot="1" x14ac:dyDescent="0.2">
      <c r="A297" s="1" t="s">
        <v>712</v>
      </c>
      <c r="B297" s="355">
        <v>18</v>
      </c>
      <c r="C297" s="335" t="s">
        <v>314</v>
      </c>
      <c r="D297" s="331">
        <f>D296+D288</f>
        <v>-92550000</v>
      </c>
      <c r="E297" s="331">
        <f t="shared" ref="E297:N297" si="205">E296+E288</f>
        <v>17788950</v>
      </c>
      <c r="F297" s="331">
        <f t="shared" si="205"/>
        <v>8780220.000000041</v>
      </c>
      <c r="G297" s="331">
        <f t="shared" si="205"/>
        <v>-3579408.499049997</v>
      </c>
      <c r="H297" s="331">
        <f t="shared" si="205"/>
        <v>-17961879.801011473</v>
      </c>
      <c r="I297" s="331">
        <f t="shared" si="205"/>
        <v>36764303.188368738</v>
      </c>
      <c r="J297" s="331">
        <f t="shared" si="205"/>
        <v>0</v>
      </c>
      <c r="K297" s="331">
        <f t="shared" si="205"/>
        <v>0</v>
      </c>
      <c r="L297" s="331">
        <f t="shared" si="205"/>
        <v>0</v>
      </c>
      <c r="M297" s="331">
        <f t="shared" si="205"/>
        <v>0</v>
      </c>
      <c r="N297" s="331">
        <f t="shared" si="205"/>
        <v>0</v>
      </c>
      <c r="O297" s="331">
        <v>0</v>
      </c>
      <c r="P297" s="369">
        <f t="shared" si="187"/>
        <v>41792184.888307311</v>
      </c>
      <c r="Q297" s="358">
        <f>IF(ISNUMBER(IRR(D297:N297)),IRR(D297:N297),"NMF")</f>
        <v>-0.19047551995716649</v>
      </c>
      <c r="R297" s="1" t="s">
        <v>712</v>
      </c>
    </row>
    <row r="298" spans="1:18" x14ac:dyDescent="0.15">
      <c r="R298" s="2"/>
    </row>
    <row r="299" spans="1:18" ht="14" thickBot="1" x14ac:dyDescent="0.2">
      <c r="R299" s="2"/>
    </row>
    <row r="300" spans="1:18" ht="14" thickBot="1" x14ac:dyDescent="0.2">
      <c r="B300" s="359" t="s">
        <v>282</v>
      </c>
      <c r="C300" s="360" t="s">
        <v>283</v>
      </c>
      <c r="D300" s="360"/>
      <c r="E300" s="360">
        <v>1</v>
      </c>
      <c r="F300" s="360">
        <v>2</v>
      </c>
      <c r="G300" s="360">
        <v>3</v>
      </c>
      <c r="H300" s="360">
        <v>4</v>
      </c>
      <c r="I300" s="360">
        <v>5</v>
      </c>
      <c r="J300" s="360">
        <v>6</v>
      </c>
      <c r="K300" s="360">
        <v>7</v>
      </c>
      <c r="L300" s="360">
        <v>8</v>
      </c>
      <c r="M300" s="360">
        <v>9</v>
      </c>
      <c r="N300" s="360">
        <v>10</v>
      </c>
      <c r="O300" s="360" t="s">
        <v>284</v>
      </c>
      <c r="P300" s="361" t="s">
        <v>285</v>
      </c>
    </row>
    <row r="301" spans="1:18" x14ac:dyDescent="0.15">
      <c r="B301" s="339" t="s">
        <v>687</v>
      </c>
      <c r="C301" s="302" t="s">
        <v>287</v>
      </c>
      <c r="D301" s="322">
        <f t="shared" ref="D301:D317" si="206">D158</f>
        <v>0</v>
      </c>
      <c r="E301" s="322">
        <f t="shared" ref="E301:N301" si="207">E158</f>
        <v>300000000</v>
      </c>
      <c r="F301" s="322">
        <f t="shared" si="207"/>
        <v>313500000.00000006</v>
      </c>
      <c r="G301" s="322">
        <f t="shared" si="207"/>
        <v>327607500.00000006</v>
      </c>
      <c r="H301" s="322">
        <f t="shared" si="207"/>
        <v>342349837.50000012</v>
      </c>
      <c r="I301" s="322">
        <f t="shared" si="207"/>
        <v>357755580.18750012</v>
      </c>
      <c r="J301" s="322">
        <f t="shared" si="207"/>
        <v>0</v>
      </c>
      <c r="K301" s="322">
        <f t="shared" si="207"/>
        <v>0</v>
      </c>
      <c r="L301" s="322">
        <f t="shared" si="207"/>
        <v>0</v>
      </c>
      <c r="M301" s="322">
        <f t="shared" si="207"/>
        <v>0</v>
      </c>
      <c r="N301" s="322">
        <f t="shared" si="207"/>
        <v>0</v>
      </c>
      <c r="O301" s="322">
        <v>0</v>
      </c>
      <c r="P301" s="368">
        <f t="shared" ref="P301:P325" si="208">SUM(E301:N301)</f>
        <v>1641212917.6875</v>
      </c>
    </row>
    <row r="302" spans="1:18" x14ac:dyDescent="0.15">
      <c r="A302" s="1" t="s">
        <v>714</v>
      </c>
      <c r="B302" s="340" t="s">
        <v>689</v>
      </c>
      <c r="C302" s="354" t="s">
        <v>689</v>
      </c>
      <c r="D302" s="67">
        <f t="shared" si="206"/>
        <v>0</v>
      </c>
      <c r="E302" s="67">
        <f t="shared" ref="E302:N302" si="209">E159</f>
        <v>300000000</v>
      </c>
      <c r="F302" s="67">
        <f t="shared" si="209"/>
        <v>313500000.00000006</v>
      </c>
      <c r="G302" s="67">
        <f t="shared" si="209"/>
        <v>327607500.00000006</v>
      </c>
      <c r="H302" s="67">
        <f t="shared" si="209"/>
        <v>342349837.50000012</v>
      </c>
      <c r="I302" s="67">
        <f t="shared" si="209"/>
        <v>357755580.18750012</v>
      </c>
      <c r="J302" s="67">
        <f t="shared" si="209"/>
        <v>0</v>
      </c>
      <c r="K302" s="67">
        <f t="shared" si="209"/>
        <v>0</v>
      </c>
      <c r="L302" s="67">
        <f t="shared" si="209"/>
        <v>0</v>
      </c>
      <c r="M302" s="67">
        <f t="shared" si="209"/>
        <v>0</v>
      </c>
      <c r="N302" s="67">
        <f t="shared" si="209"/>
        <v>0</v>
      </c>
      <c r="O302" s="67"/>
      <c r="P302" s="369">
        <f t="shared" si="208"/>
        <v>1641212917.6875</v>
      </c>
    </row>
    <row r="303" spans="1:18" x14ac:dyDescent="0.15">
      <c r="B303" s="340" t="s">
        <v>690</v>
      </c>
      <c r="C303" s="354" t="s">
        <v>690</v>
      </c>
      <c r="D303" s="67">
        <f t="shared" si="206"/>
        <v>0</v>
      </c>
      <c r="E303" s="67">
        <f t="shared" ref="E303:N303" si="210">E160</f>
        <v>0</v>
      </c>
      <c r="F303" s="67">
        <f t="shared" si="210"/>
        <v>0</v>
      </c>
      <c r="G303" s="67">
        <f t="shared" si="210"/>
        <v>0</v>
      </c>
      <c r="H303" s="67">
        <f t="shared" si="210"/>
        <v>0</v>
      </c>
      <c r="I303" s="67">
        <f t="shared" si="210"/>
        <v>0</v>
      </c>
      <c r="J303" s="67">
        <f t="shared" si="210"/>
        <v>0</v>
      </c>
      <c r="K303" s="67">
        <f t="shared" si="210"/>
        <v>0</v>
      </c>
      <c r="L303" s="67">
        <f t="shared" si="210"/>
        <v>0</v>
      </c>
      <c r="M303" s="67">
        <f t="shared" si="210"/>
        <v>0</v>
      </c>
      <c r="N303" s="67">
        <f t="shared" si="210"/>
        <v>0</v>
      </c>
      <c r="O303" s="294"/>
      <c r="P303" s="369">
        <f t="shared" si="208"/>
        <v>0</v>
      </c>
    </row>
    <row r="304" spans="1:18" x14ac:dyDescent="0.15">
      <c r="B304" s="340" t="s">
        <v>691</v>
      </c>
      <c r="C304" s="354" t="s">
        <v>691</v>
      </c>
      <c r="D304" s="67">
        <f t="shared" si="206"/>
        <v>0</v>
      </c>
      <c r="E304" s="67">
        <f t="shared" ref="E304:N304" si="211">E161</f>
        <v>0</v>
      </c>
      <c r="F304" s="67">
        <f t="shared" si="211"/>
        <v>0</v>
      </c>
      <c r="G304" s="67">
        <f t="shared" si="211"/>
        <v>0</v>
      </c>
      <c r="H304" s="67">
        <f t="shared" si="211"/>
        <v>0</v>
      </c>
      <c r="I304" s="67">
        <f t="shared" si="211"/>
        <v>0</v>
      </c>
      <c r="J304" s="67">
        <f t="shared" si="211"/>
        <v>0</v>
      </c>
      <c r="K304" s="67">
        <f t="shared" si="211"/>
        <v>0</v>
      </c>
      <c r="L304" s="67">
        <f t="shared" si="211"/>
        <v>0</v>
      </c>
      <c r="M304" s="67">
        <f t="shared" si="211"/>
        <v>0</v>
      </c>
      <c r="N304" s="67">
        <f t="shared" si="211"/>
        <v>0</v>
      </c>
      <c r="O304" s="67"/>
      <c r="P304" s="369">
        <f t="shared" si="208"/>
        <v>0</v>
      </c>
    </row>
    <row r="305" spans="2:16" x14ac:dyDescent="0.15">
      <c r="B305" s="340" t="s">
        <v>695</v>
      </c>
      <c r="C305" s="12"/>
      <c r="D305" s="67">
        <f t="shared" si="206"/>
        <v>0</v>
      </c>
      <c r="E305" s="67">
        <f t="shared" ref="E305:N305" si="212">E162</f>
        <v>300000000</v>
      </c>
      <c r="F305" s="67">
        <f t="shared" si="212"/>
        <v>313500000.00000006</v>
      </c>
      <c r="G305" s="67">
        <f t="shared" si="212"/>
        <v>327607500.00000006</v>
      </c>
      <c r="H305" s="67">
        <f t="shared" si="212"/>
        <v>342349837.50000012</v>
      </c>
      <c r="I305" s="67">
        <f t="shared" si="212"/>
        <v>357755580.18750012</v>
      </c>
      <c r="J305" s="67">
        <f t="shared" si="212"/>
        <v>0</v>
      </c>
      <c r="K305" s="67">
        <f t="shared" si="212"/>
        <v>0</v>
      </c>
      <c r="L305" s="67">
        <f t="shared" si="212"/>
        <v>0</v>
      </c>
      <c r="M305" s="67">
        <f t="shared" si="212"/>
        <v>0</v>
      </c>
      <c r="N305" s="67">
        <f t="shared" si="212"/>
        <v>0</v>
      </c>
      <c r="O305" s="67"/>
      <c r="P305" s="369">
        <f t="shared" si="208"/>
        <v>1641212917.6875</v>
      </c>
    </row>
    <row r="306" spans="2:16" x14ac:dyDescent="0.15">
      <c r="B306" s="355" t="s">
        <v>696</v>
      </c>
      <c r="C306" s="335" t="s">
        <v>289</v>
      </c>
      <c r="D306" s="331">
        <f t="shared" si="206"/>
        <v>0</v>
      </c>
      <c r="E306" s="331">
        <f>E163*1.25</f>
        <v>287712500</v>
      </c>
      <c r="F306" s="331">
        <f t="shared" ref="F306:N306" si="213">F163*1.25</f>
        <v>316272968.75000006</v>
      </c>
      <c r="G306" s="331">
        <f t="shared" si="213"/>
        <v>348407148.0640626</v>
      </c>
      <c r="H306" s="331">
        <f t="shared" si="213"/>
        <v>384582468.82591009</v>
      </c>
      <c r="I306" s="331">
        <f t="shared" si="213"/>
        <v>425328207.95071632</v>
      </c>
      <c r="J306" s="331">
        <f t="shared" si="213"/>
        <v>0</v>
      </c>
      <c r="K306" s="331">
        <f t="shared" si="213"/>
        <v>0</v>
      </c>
      <c r="L306" s="331">
        <f t="shared" si="213"/>
        <v>0</v>
      </c>
      <c r="M306" s="331">
        <f t="shared" si="213"/>
        <v>0</v>
      </c>
      <c r="N306" s="331">
        <f t="shared" si="213"/>
        <v>0</v>
      </c>
      <c r="O306" s="331">
        <v>0</v>
      </c>
      <c r="P306" s="370">
        <f t="shared" si="208"/>
        <v>1762303293.5906889</v>
      </c>
    </row>
    <row r="307" spans="2:16" x14ac:dyDescent="0.15">
      <c r="B307" s="340">
        <v>3</v>
      </c>
      <c r="C307" s="12" t="s">
        <v>290</v>
      </c>
      <c r="D307" s="67">
        <f t="shared" si="206"/>
        <v>0</v>
      </c>
      <c r="E307" s="67">
        <f>E305-E306</f>
        <v>12287500</v>
      </c>
      <c r="F307" s="67">
        <f t="shared" ref="F307:N307" si="214">F305-F306</f>
        <v>-2772968.75</v>
      </c>
      <c r="G307" s="67">
        <f t="shared" si="214"/>
        <v>-20799648.064062536</v>
      </c>
      <c r="H307" s="67">
        <f t="shared" si="214"/>
        <v>-42232631.325909972</v>
      </c>
      <c r="I307" s="67">
        <f t="shared" si="214"/>
        <v>-67572627.763216197</v>
      </c>
      <c r="J307" s="67">
        <f t="shared" si="214"/>
        <v>0</v>
      </c>
      <c r="K307" s="67">
        <f t="shared" si="214"/>
        <v>0</v>
      </c>
      <c r="L307" s="67">
        <f t="shared" si="214"/>
        <v>0</v>
      </c>
      <c r="M307" s="67">
        <f t="shared" si="214"/>
        <v>0</v>
      </c>
      <c r="N307" s="67">
        <f t="shared" si="214"/>
        <v>0</v>
      </c>
      <c r="O307" s="67">
        <v>0</v>
      </c>
      <c r="P307" s="369">
        <f t="shared" si="208"/>
        <v>-121090375.90318871</v>
      </c>
    </row>
    <row r="308" spans="2:16" x14ac:dyDescent="0.15">
      <c r="B308" s="340" t="s">
        <v>697</v>
      </c>
      <c r="C308" s="12" t="s">
        <v>292</v>
      </c>
      <c r="D308" s="67">
        <f t="shared" si="206"/>
        <v>0</v>
      </c>
      <c r="E308" s="67">
        <f>E165</f>
        <v>3772500</v>
      </c>
      <c r="F308" s="67">
        <f t="shared" ref="F308:N308" si="215">F165</f>
        <v>6218850</v>
      </c>
      <c r="G308" s="67">
        <f t="shared" si="215"/>
        <v>4083150</v>
      </c>
      <c r="H308" s="67">
        <f t="shared" si="215"/>
        <v>2775510</v>
      </c>
      <c r="I308" s="67">
        <f t="shared" si="215"/>
        <v>1352955</v>
      </c>
      <c r="J308" s="67">
        <f t="shared" si="215"/>
        <v>0</v>
      </c>
      <c r="K308" s="67">
        <f t="shared" si="215"/>
        <v>0</v>
      </c>
      <c r="L308" s="67">
        <f t="shared" si="215"/>
        <v>0</v>
      </c>
      <c r="M308" s="67">
        <f t="shared" si="215"/>
        <v>0</v>
      </c>
      <c r="N308" s="67">
        <f t="shared" si="215"/>
        <v>0</v>
      </c>
      <c r="O308" s="67">
        <v>0</v>
      </c>
      <c r="P308" s="369">
        <f t="shared" si="208"/>
        <v>18202965</v>
      </c>
    </row>
    <row r="309" spans="2:16" x14ac:dyDescent="0.15">
      <c r="B309" s="340">
        <v>5</v>
      </c>
      <c r="C309" s="12" t="s">
        <v>293</v>
      </c>
      <c r="D309" s="67">
        <f t="shared" si="206"/>
        <v>0</v>
      </c>
      <c r="E309" s="67">
        <f>E307-E308</f>
        <v>8515000</v>
      </c>
      <c r="F309" s="67">
        <f t="shared" ref="F309:N309" si="216">F307-F308</f>
        <v>-8991818.75</v>
      </c>
      <c r="G309" s="67">
        <f t="shared" si="216"/>
        <v>-24882798.064062536</v>
      </c>
      <c r="H309" s="67">
        <f t="shared" si="216"/>
        <v>-45008141.325909972</v>
      </c>
      <c r="I309" s="67">
        <f t="shared" si="216"/>
        <v>-68925582.763216197</v>
      </c>
      <c r="J309" s="67">
        <f t="shared" si="216"/>
        <v>0</v>
      </c>
      <c r="K309" s="67">
        <f t="shared" si="216"/>
        <v>0</v>
      </c>
      <c r="L309" s="67">
        <f t="shared" si="216"/>
        <v>0</v>
      </c>
      <c r="M309" s="67">
        <f t="shared" si="216"/>
        <v>0</v>
      </c>
      <c r="N309" s="67">
        <f t="shared" si="216"/>
        <v>0</v>
      </c>
      <c r="O309" s="67">
        <v>0</v>
      </c>
      <c r="P309" s="369">
        <f t="shared" si="208"/>
        <v>-139293340.90318871</v>
      </c>
    </row>
    <row r="310" spans="2:16" x14ac:dyDescent="0.15">
      <c r="B310" s="340" t="s">
        <v>698</v>
      </c>
      <c r="C310" s="12" t="s">
        <v>295</v>
      </c>
      <c r="D310" s="67">
        <f t="shared" si="206"/>
        <v>0</v>
      </c>
      <c r="E310" s="67">
        <f>E167</f>
        <v>0</v>
      </c>
      <c r="F310" s="67">
        <f t="shared" ref="F310:N310" si="217">F167</f>
        <v>0</v>
      </c>
      <c r="G310" s="67">
        <f t="shared" si="217"/>
        <v>0</v>
      </c>
      <c r="H310" s="67">
        <f t="shared" si="217"/>
        <v>0</v>
      </c>
      <c r="I310" s="67">
        <f t="shared" si="217"/>
        <v>0</v>
      </c>
      <c r="J310" s="67">
        <f t="shared" si="217"/>
        <v>0</v>
      </c>
      <c r="K310" s="67">
        <f t="shared" si="217"/>
        <v>0</v>
      </c>
      <c r="L310" s="67">
        <f t="shared" si="217"/>
        <v>0</v>
      </c>
      <c r="M310" s="67">
        <f t="shared" si="217"/>
        <v>0</v>
      </c>
      <c r="N310" s="67">
        <f t="shared" si="217"/>
        <v>0</v>
      </c>
      <c r="O310" s="67">
        <v>0</v>
      </c>
      <c r="P310" s="369">
        <f t="shared" si="208"/>
        <v>0</v>
      </c>
    </row>
    <row r="311" spans="2:16" x14ac:dyDescent="0.15">
      <c r="B311" s="340">
        <v>7</v>
      </c>
      <c r="C311" s="12" t="s">
        <v>296</v>
      </c>
      <c r="D311" s="67">
        <f t="shared" si="206"/>
        <v>0</v>
      </c>
      <c r="E311" s="67">
        <f>E309-E310</f>
        <v>8515000</v>
      </c>
      <c r="F311" s="67">
        <f t="shared" ref="F311:N311" si="218">F309-F310</f>
        <v>-8991818.75</v>
      </c>
      <c r="G311" s="67">
        <f t="shared" si="218"/>
        <v>-24882798.064062536</v>
      </c>
      <c r="H311" s="67">
        <f t="shared" si="218"/>
        <v>-45008141.325909972</v>
      </c>
      <c r="I311" s="67">
        <f t="shared" si="218"/>
        <v>-68925582.763216197</v>
      </c>
      <c r="J311" s="67">
        <f t="shared" si="218"/>
        <v>0</v>
      </c>
      <c r="K311" s="67">
        <f t="shared" si="218"/>
        <v>0</v>
      </c>
      <c r="L311" s="67">
        <f t="shared" si="218"/>
        <v>0</v>
      </c>
      <c r="M311" s="67">
        <f t="shared" si="218"/>
        <v>0</v>
      </c>
      <c r="N311" s="67">
        <f t="shared" si="218"/>
        <v>0</v>
      </c>
      <c r="O311" s="67">
        <v>0</v>
      </c>
      <c r="P311" s="369">
        <f t="shared" si="208"/>
        <v>-139293340.90318871</v>
      </c>
    </row>
    <row r="312" spans="2:16" x14ac:dyDescent="0.15">
      <c r="B312" s="340">
        <v>8</v>
      </c>
      <c r="C312" s="12" t="s">
        <v>297</v>
      </c>
      <c r="D312" s="67">
        <f t="shared" si="206"/>
        <v>0</v>
      </c>
      <c r="E312" s="67">
        <f>-E311*$D$3</f>
        <v>-2554500</v>
      </c>
      <c r="F312" s="67">
        <f t="shared" ref="F312:N312" si="219">-F311*$D$3</f>
        <v>2697545.625</v>
      </c>
      <c r="G312" s="67">
        <f t="shared" si="219"/>
        <v>7464839.4192187609</v>
      </c>
      <c r="H312" s="67">
        <f t="shared" si="219"/>
        <v>13502442.397772992</v>
      </c>
      <c r="I312" s="67">
        <f t="shared" si="219"/>
        <v>20677674.828964859</v>
      </c>
      <c r="J312" s="67">
        <f t="shared" si="219"/>
        <v>0</v>
      </c>
      <c r="K312" s="67">
        <f t="shared" si="219"/>
        <v>0</v>
      </c>
      <c r="L312" s="67">
        <f t="shared" si="219"/>
        <v>0</v>
      </c>
      <c r="M312" s="67">
        <f t="shared" si="219"/>
        <v>0</v>
      </c>
      <c r="N312" s="67">
        <f t="shared" si="219"/>
        <v>0</v>
      </c>
      <c r="O312" s="67">
        <v>0</v>
      </c>
      <c r="P312" s="369">
        <f t="shared" si="208"/>
        <v>41788002.270956613</v>
      </c>
    </row>
    <row r="313" spans="2:16" x14ac:dyDescent="0.15">
      <c r="B313" s="340">
        <v>9</v>
      </c>
      <c r="C313" s="12" t="s">
        <v>298</v>
      </c>
      <c r="D313" s="67">
        <f t="shared" si="206"/>
        <v>0</v>
      </c>
      <c r="E313" s="67">
        <f>E170</f>
        <v>0</v>
      </c>
      <c r="F313" s="67">
        <f t="shared" ref="F313:N313" si="220">F170</f>
        <v>0</v>
      </c>
      <c r="G313" s="67">
        <f t="shared" si="220"/>
        <v>0</v>
      </c>
      <c r="H313" s="67">
        <f t="shared" si="220"/>
        <v>0</v>
      </c>
      <c r="I313" s="67">
        <f t="shared" si="220"/>
        <v>0</v>
      </c>
      <c r="J313" s="67">
        <f t="shared" si="220"/>
        <v>0</v>
      </c>
      <c r="K313" s="67">
        <f t="shared" si="220"/>
        <v>0</v>
      </c>
      <c r="L313" s="67">
        <f t="shared" si="220"/>
        <v>0</v>
      </c>
      <c r="M313" s="67">
        <f t="shared" si="220"/>
        <v>0</v>
      </c>
      <c r="N313" s="67">
        <f t="shared" si="220"/>
        <v>0</v>
      </c>
      <c r="O313" s="67">
        <v>0</v>
      </c>
      <c r="P313" s="369">
        <f t="shared" si="208"/>
        <v>0</v>
      </c>
    </row>
    <row r="314" spans="2:16" x14ac:dyDescent="0.15">
      <c r="B314" s="340">
        <v>10</v>
      </c>
      <c r="C314" s="12" t="s">
        <v>299</v>
      </c>
      <c r="D314" s="67">
        <f t="shared" si="206"/>
        <v>0</v>
      </c>
      <c r="E314" s="67">
        <f>E311+E312+E313</f>
        <v>5960500</v>
      </c>
      <c r="F314" s="67">
        <f t="shared" ref="F314:N314" si="221">F311+F312+F313</f>
        <v>-6294273.125</v>
      </c>
      <c r="G314" s="67">
        <f t="shared" si="221"/>
        <v>-17417958.644843776</v>
      </c>
      <c r="H314" s="67">
        <f t="shared" si="221"/>
        <v>-31505698.928136982</v>
      </c>
      <c r="I314" s="67">
        <f t="shared" si="221"/>
        <v>-48247907.934251338</v>
      </c>
      <c r="J314" s="67">
        <f t="shared" si="221"/>
        <v>0</v>
      </c>
      <c r="K314" s="67">
        <f t="shared" si="221"/>
        <v>0</v>
      </c>
      <c r="L314" s="67">
        <f t="shared" si="221"/>
        <v>0</v>
      </c>
      <c r="M314" s="67">
        <f t="shared" si="221"/>
        <v>0</v>
      </c>
      <c r="N314" s="67">
        <f t="shared" si="221"/>
        <v>0</v>
      </c>
      <c r="O314" s="67">
        <v>0</v>
      </c>
      <c r="P314" s="369">
        <f t="shared" si="208"/>
        <v>-97505338.6322321</v>
      </c>
    </row>
    <row r="315" spans="2:16" x14ac:dyDescent="0.15">
      <c r="B315" s="340" t="s">
        <v>699</v>
      </c>
      <c r="C315" s="12" t="s">
        <v>292</v>
      </c>
      <c r="D315" s="67">
        <f t="shared" si="206"/>
        <v>0</v>
      </c>
      <c r="E315" s="67">
        <f>E172</f>
        <v>3772500</v>
      </c>
      <c r="F315" s="67">
        <f t="shared" ref="F315:N315" si="222">F172</f>
        <v>6218850</v>
      </c>
      <c r="G315" s="67">
        <f t="shared" si="222"/>
        <v>4083150</v>
      </c>
      <c r="H315" s="67">
        <f t="shared" si="222"/>
        <v>2775510</v>
      </c>
      <c r="I315" s="67">
        <f t="shared" si="222"/>
        <v>1352955</v>
      </c>
      <c r="J315" s="67">
        <f t="shared" si="222"/>
        <v>0</v>
      </c>
      <c r="K315" s="67">
        <f t="shared" si="222"/>
        <v>0</v>
      </c>
      <c r="L315" s="67">
        <f t="shared" si="222"/>
        <v>0</v>
      </c>
      <c r="M315" s="67">
        <f t="shared" si="222"/>
        <v>0</v>
      </c>
      <c r="N315" s="67">
        <f t="shared" si="222"/>
        <v>0</v>
      </c>
      <c r="O315" s="67">
        <v>0</v>
      </c>
      <c r="P315" s="369">
        <f t="shared" si="208"/>
        <v>18202965</v>
      </c>
    </row>
    <row r="316" spans="2:16" x14ac:dyDescent="0.15">
      <c r="B316" s="340">
        <v>12</v>
      </c>
      <c r="C316" s="12" t="s">
        <v>301</v>
      </c>
      <c r="D316" s="67">
        <f t="shared" si="206"/>
        <v>0</v>
      </c>
      <c r="E316" s="67">
        <f>E314+E315</f>
        <v>9733000</v>
      </c>
      <c r="F316" s="67">
        <f t="shared" ref="F316:N316" si="223">F314+F315</f>
        <v>-75423.125</v>
      </c>
      <c r="G316" s="67">
        <f t="shared" si="223"/>
        <v>-13334808.644843776</v>
      </c>
      <c r="H316" s="67">
        <f t="shared" si="223"/>
        <v>-28730188.928136982</v>
      </c>
      <c r="I316" s="67">
        <f t="shared" si="223"/>
        <v>-46894952.934251338</v>
      </c>
      <c r="J316" s="67">
        <f t="shared" si="223"/>
        <v>0</v>
      </c>
      <c r="K316" s="67">
        <f t="shared" si="223"/>
        <v>0</v>
      </c>
      <c r="L316" s="67">
        <f t="shared" si="223"/>
        <v>0</v>
      </c>
      <c r="M316" s="67">
        <f t="shared" si="223"/>
        <v>0</v>
      </c>
      <c r="N316" s="67">
        <f t="shared" si="223"/>
        <v>0</v>
      </c>
      <c r="O316" s="67">
        <v>0</v>
      </c>
      <c r="P316" s="369">
        <f t="shared" si="208"/>
        <v>-79302373.6322321</v>
      </c>
    </row>
    <row r="317" spans="2:16" x14ac:dyDescent="0.15">
      <c r="B317" s="340" t="s">
        <v>700</v>
      </c>
      <c r="C317" s="12" t="s">
        <v>303</v>
      </c>
      <c r="D317" s="67">
        <f t="shared" si="206"/>
        <v>0</v>
      </c>
      <c r="E317" s="67">
        <f t="shared" ref="E317:N317" si="224">E174</f>
        <v>0</v>
      </c>
      <c r="F317" s="67">
        <f t="shared" si="224"/>
        <v>0</v>
      </c>
      <c r="G317" s="67">
        <f t="shared" si="224"/>
        <v>0</v>
      </c>
      <c r="H317" s="67">
        <f t="shared" si="224"/>
        <v>0</v>
      </c>
      <c r="I317" s="67">
        <f t="shared" si="224"/>
        <v>0</v>
      </c>
      <c r="J317" s="67">
        <f t="shared" si="224"/>
        <v>0</v>
      </c>
      <c r="K317" s="67">
        <f t="shared" si="224"/>
        <v>0</v>
      </c>
      <c r="L317" s="67">
        <f t="shared" si="224"/>
        <v>0</v>
      </c>
      <c r="M317" s="67">
        <f t="shared" si="224"/>
        <v>0</v>
      </c>
      <c r="N317" s="67">
        <f t="shared" si="224"/>
        <v>0</v>
      </c>
      <c r="O317" s="67">
        <v>0</v>
      </c>
      <c r="P317" s="369">
        <f t="shared" si="208"/>
        <v>0</v>
      </c>
    </row>
    <row r="318" spans="2:16" x14ac:dyDescent="0.15">
      <c r="B318" s="340">
        <v>14</v>
      </c>
      <c r="C318" s="12" t="s">
        <v>304</v>
      </c>
      <c r="D318" s="67">
        <f t="shared" ref="D318:N324" si="225">D175</f>
        <v>-32550000</v>
      </c>
      <c r="E318" s="67">
        <f t="shared" si="225"/>
        <v>0</v>
      </c>
      <c r="F318" s="67">
        <f t="shared" si="225"/>
        <v>0</v>
      </c>
      <c r="G318" s="67">
        <f t="shared" si="225"/>
        <v>0</v>
      </c>
      <c r="H318" s="67">
        <f t="shared" si="225"/>
        <v>0</v>
      </c>
      <c r="I318" s="67">
        <f t="shared" si="225"/>
        <v>14347035</v>
      </c>
      <c r="J318" s="67">
        <f t="shared" si="225"/>
        <v>0</v>
      </c>
      <c r="K318" s="67">
        <f t="shared" si="225"/>
        <v>0</v>
      </c>
      <c r="L318" s="67">
        <f t="shared" si="225"/>
        <v>0</v>
      </c>
      <c r="M318" s="67">
        <f t="shared" si="225"/>
        <v>0</v>
      </c>
      <c r="N318" s="67">
        <f t="shared" si="225"/>
        <v>0</v>
      </c>
      <c r="O318" s="67">
        <v>0</v>
      </c>
      <c r="P318" s="369">
        <f t="shared" si="208"/>
        <v>14347035</v>
      </c>
    </row>
    <row r="319" spans="2:16" x14ac:dyDescent="0.15">
      <c r="B319" s="340" t="s">
        <v>701</v>
      </c>
      <c r="C319" s="12" t="s">
        <v>207</v>
      </c>
      <c r="D319" s="67">
        <f t="shared" si="225"/>
        <v>-31050000</v>
      </c>
      <c r="E319" s="67">
        <f t="shared" si="225"/>
        <v>0</v>
      </c>
      <c r="F319" s="67">
        <f t="shared" si="225"/>
        <v>0</v>
      </c>
      <c r="G319" s="67">
        <f t="shared" si="225"/>
        <v>0</v>
      </c>
      <c r="H319" s="67">
        <f t="shared" si="225"/>
        <v>0</v>
      </c>
      <c r="I319" s="67">
        <f t="shared" si="225"/>
        <v>12847035</v>
      </c>
      <c r="J319" s="67">
        <f t="shared" si="225"/>
        <v>0</v>
      </c>
      <c r="K319" s="67">
        <f t="shared" si="225"/>
        <v>0</v>
      </c>
      <c r="L319" s="67">
        <f t="shared" si="225"/>
        <v>0</v>
      </c>
      <c r="M319" s="67">
        <f t="shared" si="225"/>
        <v>0</v>
      </c>
      <c r="N319" s="67">
        <f t="shared" si="225"/>
        <v>0</v>
      </c>
      <c r="O319" s="67">
        <v>0</v>
      </c>
      <c r="P319" s="369">
        <f t="shared" si="208"/>
        <v>12847035</v>
      </c>
    </row>
    <row r="320" spans="2:16" x14ac:dyDescent="0.15">
      <c r="B320" s="340" t="s">
        <v>702</v>
      </c>
      <c r="C320" s="12" t="s">
        <v>307</v>
      </c>
      <c r="D320" s="67">
        <f t="shared" si="225"/>
        <v>-1500000</v>
      </c>
      <c r="E320" s="67">
        <f t="shared" si="225"/>
        <v>0</v>
      </c>
      <c r="F320" s="67">
        <f t="shared" si="225"/>
        <v>0</v>
      </c>
      <c r="G320" s="67">
        <f t="shared" si="225"/>
        <v>0</v>
      </c>
      <c r="H320" s="67">
        <f t="shared" si="225"/>
        <v>0</v>
      </c>
      <c r="I320" s="67">
        <f t="shared" si="225"/>
        <v>1500000</v>
      </c>
      <c r="J320" s="67">
        <f t="shared" si="225"/>
        <v>0</v>
      </c>
      <c r="K320" s="67">
        <f t="shared" si="225"/>
        <v>0</v>
      </c>
      <c r="L320" s="67">
        <f t="shared" si="225"/>
        <v>0</v>
      </c>
      <c r="M320" s="67">
        <f t="shared" si="225"/>
        <v>0</v>
      </c>
      <c r="N320" s="67">
        <f t="shared" si="225"/>
        <v>0</v>
      </c>
      <c r="O320" s="67">
        <v>0</v>
      </c>
      <c r="P320" s="369">
        <f t="shared" si="208"/>
        <v>1500000</v>
      </c>
    </row>
    <row r="321" spans="1:18" x14ac:dyDescent="0.15">
      <c r="B321" s="340" t="s">
        <v>703</v>
      </c>
      <c r="C321" s="12" t="s">
        <v>309</v>
      </c>
      <c r="D321" s="67">
        <f t="shared" si="225"/>
        <v>0</v>
      </c>
      <c r="E321" s="67">
        <f t="shared" si="225"/>
        <v>0</v>
      </c>
      <c r="F321" s="67">
        <f t="shared" si="225"/>
        <v>0</v>
      </c>
      <c r="G321" s="67">
        <f t="shared" si="225"/>
        <v>0</v>
      </c>
      <c r="H321" s="67">
        <f t="shared" si="225"/>
        <v>0</v>
      </c>
      <c r="I321" s="67">
        <f t="shared" si="225"/>
        <v>0</v>
      </c>
      <c r="J321" s="67">
        <f t="shared" si="225"/>
        <v>0</v>
      </c>
      <c r="K321" s="67">
        <f t="shared" si="225"/>
        <v>0</v>
      </c>
      <c r="L321" s="67">
        <f t="shared" si="225"/>
        <v>0</v>
      </c>
      <c r="M321" s="67">
        <f t="shared" si="225"/>
        <v>0</v>
      </c>
      <c r="N321" s="67">
        <f t="shared" si="225"/>
        <v>0</v>
      </c>
      <c r="O321" s="67">
        <v>0</v>
      </c>
      <c r="P321" s="369">
        <f t="shared" si="208"/>
        <v>0</v>
      </c>
    </row>
    <row r="322" spans="1:18" x14ac:dyDescent="0.15">
      <c r="B322" s="340" t="s">
        <v>704</v>
      </c>
      <c r="C322" s="12" t="s">
        <v>311</v>
      </c>
      <c r="D322" s="67">
        <f t="shared" si="225"/>
        <v>0</v>
      </c>
      <c r="E322" s="67">
        <f t="shared" si="225"/>
        <v>0</v>
      </c>
      <c r="F322" s="67">
        <f t="shared" si="225"/>
        <v>0</v>
      </c>
      <c r="G322" s="67">
        <f t="shared" si="225"/>
        <v>0</v>
      </c>
      <c r="H322" s="67">
        <f t="shared" si="225"/>
        <v>0</v>
      </c>
      <c r="I322" s="67">
        <f t="shared" si="225"/>
        <v>-2596968.7000000002</v>
      </c>
      <c r="J322" s="67">
        <f t="shared" si="225"/>
        <v>0</v>
      </c>
      <c r="K322" s="67">
        <f t="shared" si="225"/>
        <v>0</v>
      </c>
      <c r="L322" s="67">
        <f t="shared" si="225"/>
        <v>0</v>
      </c>
      <c r="M322" s="67">
        <f t="shared" si="225"/>
        <v>0</v>
      </c>
      <c r="N322" s="67">
        <f t="shared" si="225"/>
        <v>0</v>
      </c>
      <c r="O322" s="67">
        <v>0</v>
      </c>
      <c r="P322" s="369">
        <f t="shared" si="208"/>
        <v>-2596968.7000000002</v>
      </c>
    </row>
    <row r="323" spans="1:18" ht="14" thickBot="1" x14ac:dyDescent="0.2">
      <c r="B323" s="340" t="s">
        <v>705</v>
      </c>
      <c r="C323" s="12" t="s">
        <v>115</v>
      </c>
      <c r="D323" s="67">
        <f t="shared" si="225"/>
        <v>-60000000</v>
      </c>
      <c r="E323" s="67">
        <f t="shared" si="225"/>
        <v>0</v>
      </c>
      <c r="F323" s="67">
        <f t="shared" si="225"/>
        <v>0</v>
      </c>
      <c r="G323" s="67">
        <f t="shared" si="225"/>
        <v>0</v>
      </c>
      <c r="H323" s="67">
        <f t="shared" si="225"/>
        <v>0</v>
      </c>
      <c r="I323" s="67">
        <f t="shared" si="225"/>
        <v>60000000</v>
      </c>
      <c r="J323" s="67">
        <f t="shared" si="225"/>
        <v>0</v>
      </c>
      <c r="K323" s="67">
        <f t="shared" si="225"/>
        <v>0</v>
      </c>
      <c r="L323" s="67">
        <f t="shared" si="225"/>
        <v>0</v>
      </c>
      <c r="M323" s="67">
        <f t="shared" si="225"/>
        <v>0</v>
      </c>
      <c r="N323" s="67">
        <f t="shared" si="225"/>
        <v>0</v>
      </c>
      <c r="O323" s="67">
        <v>0</v>
      </c>
      <c r="P323" s="369">
        <f t="shared" si="208"/>
        <v>60000000</v>
      </c>
    </row>
    <row r="324" spans="1:18" x14ac:dyDescent="0.15">
      <c r="B324" s="340">
        <v>17</v>
      </c>
      <c r="C324" s="12" t="s">
        <v>313</v>
      </c>
      <c r="D324" s="67">
        <f t="shared" si="225"/>
        <v>-92550000</v>
      </c>
      <c r="E324" s="67">
        <f t="shared" si="225"/>
        <v>0</v>
      </c>
      <c r="F324" s="67">
        <f t="shared" si="225"/>
        <v>0</v>
      </c>
      <c r="G324" s="67">
        <f t="shared" si="225"/>
        <v>0</v>
      </c>
      <c r="H324" s="67">
        <f t="shared" si="225"/>
        <v>0</v>
      </c>
      <c r="I324" s="67">
        <f t="shared" si="225"/>
        <v>71750066.299999997</v>
      </c>
      <c r="J324" s="67">
        <f t="shared" si="225"/>
        <v>0</v>
      </c>
      <c r="K324" s="67">
        <f t="shared" si="225"/>
        <v>0</v>
      </c>
      <c r="L324" s="67">
        <f t="shared" si="225"/>
        <v>0</v>
      </c>
      <c r="M324" s="67">
        <f t="shared" si="225"/>
        <v>0</v>
      </c>
      <c r="N324" s="67">
        <f t="shared" si="225"/>
        <v>0</v>
      </c>
      <c r="O324" s="67">
        <v>0</v>
      </c>
      <c r="P324" s="369">
        <f t="shared" si="208"/>
        <v>71750066.299999997</v>
      </c>
      <c r="Q324" s="357" t="s">
        <v>693</v>
      </c>
    </row>
    <row r="325" spans="1:18" ht="14" thickBot="1" x14ac:dyDescent="0.2">
      <c r="A325" s="1" t="s">
        <v>714</v>
      </c>
      <c r="B325" s="355">
        <v>18</v>
      </c>
      <c r="C325" s="335" t="s">
        <v>314</v>
      </c>
      <c r="D325" s="331">
        <f>D324+D316</f>
        <v>-92550000</v>
      </c>
      <c r="E325" s="331">
        <f t="shared" ref="E325:N325" si="226">E324+E316</f>
        <v>9733000</v>
      </c>
      <c r="F325" s="331">
        <f t="shared" si="226"/>
        <v>-75423.125</v>
      </c>
      <c r="G325" s="331">
        <f t="shared" si="226"/>
        <v>-13334808.644843776</v>
      </c>
      <c r="H325" s="331">
        <f t="shared" si="226"/>
        <v>-28730188.928136982</v>
      </c>
      <c r="I325" s="331">
        <f t="shared" si="226"/>
        <v>24855113.365748659</v>
      </c>
      <c r="J325" s="331">
        <f t="shared" si="226"/>
        <v>0</v>
      </c>
      <c r="K325" s="331">
        <f t="shared" si="226"/>
        <v>0</v>
      </c>
      <c r="L325" s="331">
        <f t="shared" si="226"/>
        <v>0</v>
      </c>
      <c r="M325" s="331">
        <f t="shared" si="226"/>
        <v>0</v>
      </c>
      <c r="N325" s="331">
        <f t="shared" si="226"/>
        <v>0</v>
      </c>
      <c r="O325" s="331">
        <v>0</v>
      </c>
      <c r="P325" s="369">
        <f t="shared" si="208"/>
        <v>-7552307.332232099</v>
      </c>
      <c r="Q325" s="358" t="str">
        <f>IF(ISNUMBER(IRR(D325:N325)),IRR(D325:N325),"NMF")</f>
        <v>NMF</v>
      </c>
      <c r="R325" s="1" t="s">
        <v>714</v>
      </c>
    </row>
  </sheetData>
  <sheetProtection password="AA36" sheet="1" objects="1" scenarios="1"/>
  <phoneticPr fontId="0" type="noConversion"/>
  <pageMargins left="0.75" right="0.75" top="1" bottom="1" header="0.5" footer="0.5"/>
  <pageSetup orientation="portrait" horizontalDpi="0" verticalDpi="0"/>
  <headerFooter alignWithMargins="0"/>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R46"/>
  <sheetViews>
    <sheetView zoomScale="75" workbookViewId="0"/>
  </sheetViews>
  <sheetFormatPr baseColWidth="10" defaultColWidth="8.83203125" defaultRowHeight="13" x14ac:dyDescent="0.15"/>
  <cols>
    <col min="1" max="1" width="12.1640625" customWidth="1"/>
    <col min="2" max="2" width="21.5" customWidth="1"/>
    <col min="3" max="3" width="39.5" customWidth="1"/>
    <col min="4" max="4" width="13.5" bestFit="1" customWidth="1"/>
    <col min="5" max="8" width="14.5" bestFit="1" customWidth="1"/>
    <col min="9" max="9" width="19.5" customWidth="1"/>
    <col min="10" max="10" width="18.33203125" customWidth="1"/>
    <col min="11" max="14" width="11.6640625" bestFit="1" customWidth="1"/>
    <col min="15" max="15" width="4.33203125" customWidth="1"/>
    <col min="16" max="16" width="14.5" bestFit="1" customWidth="1"/>
  </cols>
  <sheetData>
    <row r="1" spans="1:18" ht="19" thickBot="1" x14ac:dyDescent="0.25">
      <c r="A1" s="549" t="s">
        <v>722</v>
      </c>
    </row>
    <row r="2" spans="1:18" ht="14" thickBot="1" x14ac:dyDescent="0.2">
      <c r="H2" s="365" t="s">
        <v>723</v>
      </c>
      <c r="I2" s="320" t="s">
        <v>341</v>
      </c>
      <c r="J2" s="365" t="s">
        <v>685</v>
      </c>
    </row>
    <row r="3" spans="1:18" ht="17" x14ac:dyDescent="0.2">
      <c r="C3" s="343" t="s">
        <v>279</v>
      </c>
      <c r="D3" s="344">
        <f>'Initial Inputs'!C43</f>
        <v>0.3</v>
      </c>
      <c r="G3" s="393" t="s">
        <v>412</v>
      </c>
      <c r="H3" s="576">
        <f t="shared" ref="H3:H13" si="0">$D$7*(1+G3)</f>
        <v>0.12</v>
      </c>
      <c r="I3" s="582">
        <f t="shared" ref="I3:I13" si="1">NPV(H3,$E$42:$N$42)+$D$42</f>
        <v>76419639.550340652</v>
      </c>
      <c r="J3" s="509">
        <f>IF(ISNUMBER((I3-$I$8)/$I$8),(I3-$I$8)/$I$8,"NMF")</f>
        <v>0.26998087630300172</v>
      </c>
    </row>
    <row r="4" spans="1:18" ht="17" x14ac:dyDescent="0.2">
      <c r="C4" s="345" t="s">
        <v>280</v>
      </c>
      <c r="D4" s="346">
        <f>'Initial Inputs'!C45</f>
        <v>0.18</v>
      </c>
      <c r="G4" s="394" t="s">
        <v>413</v>
      </c>
      <c r="H4" s="577">
        <f t="shared" si="0"/>
        <v>0.128</v>
      </c>
      <c r="I4" s="583">
        <f t="shared" si="1"/>
        <v>72949639.642198414</v>
      </c>
      <c r="J4" s="509">
        <f t="shared" ref="J4:J13" si="2">IF(ISNUMBER((I4-$I$8)/$I$8),(I4-$I$8)/$I$8,"NMF")</f>
        <v>0.21231463304349432</v>
      </c>
    </row>
    <row r="5" spans="1:18" ht="18" thickBot="1" x14ac:dyDescent="0.25">
      <c r="C5" s="347" t="s">
        <v>281</v>
      </c>
      <c r="D5" s="350">
        <f>'Initial Inputs'!A47</f>
        <v>0</v>
      </c>
      <c r="G5" s="394" t="s">
        <v>414</v>
      </c>
      <c r="H5" s="577">
        <f t="shared" si="0"/>
        <v>0.13600000000000001</v>
      </c>
      <c r="I5" s="583">
        <f t="shared" si="1"/>
        <v>69594855.885077029</v>
      </c>
      <c r="J5" s="509">
        <f t="shared" si="2"/>
        <v>0.1565631110427981</v>
      </c>
    </row>
    <row r="6" spans="1:18" ht="17" thickBot="1" x14ac:dyDescent="0.25">
      <c r="C6" s="336"/>
      <c r="D6" s="349"/>
      <c r="G6" s="394" t="s">
        <v>415</v>
      </c>
      <c r="H6" s="577">
        <f t="shared" si="0"/>
        <v>0.14400000000000002</v>
      </c>
      <c r="I6" s="583">
        <f t="shared" si="1"/>
        <v>66350369.756314427</v>
      </c>
      <c r="J6" s="509">
        <f t="shared" si="2"/>
        <v>0.10264457176148457</v>
      </c>
    </row>
    <row r="7" spans="1:18" ht="18" thickBot="1" x14ac:dyDescent="0.25">
      <c r="C7" s="351" t="s">
        <v>686</v>
      </c>
      <c r="D7" s="352">
        <f>'Initial Inputs'!C5</f>
        <v>0.16</v>
      </c>
      <c r="G7" s="394" t="s">
        <v>416</v>
      </c>
      <c r="H7" s="577">
        <f t="shared" si="0"/>
        <v>0.152</v>
      </c>
      <c r="I7" s="583">
        <f t="shared" si="1"/>
        <v>63211512.50565958</v>
      </c>
      <c r="J7" s="509">
        <f t="shared" si="2"/>
        <v>5.0481427506521868E-2</v>
      </c>
    </row>
    <row r="8" spans="1:18" ht="16" x14ac:dyDescent="0.2">
      <c r="C8" s="336"/>
      <c r="D8" s="349"/>
      <c r="G8" s="394" t="s">
        <v>653</v>
      </c>
      <c r="H8" s="577">
        <f t="shared" si="0"/>
        <v>0.16</v>
      </c>
      <c r="I8" s="583">
        <f t="shared" si="1"/>
        <v>60173850.627423048</v>
      </c>
      <c r="J8" s="509">
        <f t="shared" si="2"/>
        <v>0</v>
      </c>
    </row>
    <row r="9" spans="1:18" ht="16" x14ac:dyDescent="0.2">
      <c r="C9" s="336"/>
      <c r="D9" s="349"/>
      <c r="G9" s="394" t="s">
        <v>418</v>
      </c>
      <c r="H9" s="577">
        <f t="shared" si="0"/>
        <v>0.16800000000000001</v>
      </c>
      <c r="I9" s="583">
        <f t="shared" si="1"/>
        <v>57233172.278820693</v>
      </c>
      <c r="J9" s="509">
        <f t="shared" si="2"/>
        <v>-4.8869705327818896E-2</v>
      </c>
    </row>
    <row r="10" spans="1:18" ht="16" x14ac:dyDescent="0.2">
      <c r="C10" s="336"/>
      <c r="D10" s="349"/>
      <c r="G10" s="394" t="s">
        <v>419</v>
      </c>
      <c r="H10" s="577">
        <f t="shared" si="0"/>
        <v>0.17600000000000002</v>
      </c>
      <c r="I10" s="583">
        <f t="shared" si="1"/>
        <v>54385474.576555371</v>
      </c>
      <c r="J10" s="509">
        <f t="shared" si="2"/>
        <v>-9.6194210450440049E-2</v>
      </c>
    </row>
    <row r="11" spans="1:18" ht="16" x14ac:dyDescent="0.2">
      <c r="C11" s="336"/>
      <c r="D11" s="349"/>
      <c r="G11" s="394" t="s">
        <v>420</v>
      </c>
      <c r="H11" s="577">
        <f t="shared" si="0"/>
        <v>0.184</v>
      </c>
      <c r="I11" s="583">
        <f t="shared" si="1"/>
        <v>51626951.709004968</v>
      </c>
      <c r="J11" s="509">
        <f t="shared" si="2"/>
        <v>-0.14203676230290968</v>
      </c>
    </row>
    <row r="12" spans="1:18" ht="16" x14ac:dyDescent="0.2">
      <c r="C12" s="336"/>
      <c r="D12" s="342"/>
      <c r="G12" s="394" t="s">
        <v>421</v>
      </c>
      <c r="H12" s="577">
        <f t="shared" si="0"/>
        <v>0.192</v>
      </c>
      <c r="I12" s="583">
        <f t="shared" si="1"/>
        <v>48953983.806253821</v>
      </c>
      <c r="J12" s="509">
        <f t="shared" si="2"/>
        <v>-0.18645751774535754</v>
      </c>
    </row>
    <row r="13" spans="1:18" ht="17" thickBot="1" x14ac:dyDescent="0.25">
      <c r="C13" s="336"/>
      <c r="D13" s="342"/>
      <c r="G13" s="395" t="s">
        <v>422</v>
      </c>
      <c r="H13" s="578">
        <f t="shared" si="0"/>
        <v>0.2</v>
      </c>
      <c r="I13" s="584">
        <f t="shared" si="1"/>
        <v>46363126.514667541</v>
      </c>
      <c r="J13" s="509">
        <f t="shared" si="2"/>
        <v>-0.22951371681807481</v>
      </c>
    </row>
    <row r="14" spans="1:18" ht="16" x14ac:dyDescent="0.2">
      <c r="C14" s="336"/>
      <c r="D14" s="342"/>
      <c r="G14" s="348"/>
    </row>
    <row r="15" spans="1:18" ht="16" x14ac:dyDescent="0.2">
      <c r="B15" s="48" t="s">
        <v>722</v>
      </c>
      <c r="G15" s="90"/>
    </row>
    <row r="16" spans="1:18" ht="14" thickBot="1" x14ac:dyDescent="0.2">
      <c r="R16" s="2"/>
    </row>
    <row r="17" spans="1:18" ht="14" thickBot="1" x14ac:dyDescent="0.2">
      <c r="B17" s="339" t="s">
        <v>282</v>
      </c>
      <c r="C17" s="302" t="s">
        <v>283</v>
      </c>
      <c r="D17" s="302"/>
      <c r="E17" s="302">
        <v>1</v>
      </c>
      <c r="F17" s="302">
        <v>2</v>
      </c>
      <c r="G17" s="302">
        <v>3</v>
      </c>
      <c r="H17" s="302">
        <v>4</v>
      </c>
      <c r="I17" s="302">
        <v>5</v>
      </c>
      <c r="J17" s="302">
        <v>6</v>
      </c>
      <c r="K17" s="302">
        <v>7</v>
      </c>
      <c r="L17" s="302">
        <v>8</v>
      </c>
      <c r="M17" s="302">
        <v>9</v>
      </c>
      <c r="N17" s="302">
        <v>10</v>
      </c>
      <c r="O17" s="302" t="s">
        <v>284</v>
      </c>
      <c r="P17" s="290" t="s">
        <v>285</v>
      </c>
      <c r="R17" s="2"/>
    </row>
    <row r="18" spans="1:18" x14ac:dyDescent="0.15">
      <c r="B18" s="340" t="s">
        <v>687</v>
      </c>
      <c r="C18" s="12" t="s">
        <v>287</v>
      </c>
      <c r="D18" s="321">
        <f>'After Tax Analysis'!D8</f>
        <v>0</v>
      </c>
      <c r="E18" s="321">
        <f>'After Tax Analysis'!E8</f>
        <v>300000000</v>
      </c>
      <c r="F18" s="321">
        <f>'After Tax Analysis'!F8</f>
        <v>313500000.00000006</v>
      </c>
      <c r="G18" s="321">
        <f>'After Tax Analysis'!G8</f>
        <v>327607500.00000006</v>
      </c>
      <c r="H18" s="321">
        <f>'After Tax Analysis'!H8</f>
        <v>342349837.50000012</v>
      </c>
      <c r="I18" s="321">
        <f>'After Tax Analysis'!I8</f>
        <v>357755580.18750012</v>
      </c>
      <c r="J18" s="321">
        <f>'After Tax Analysis'!J8</f>
        <v>0</v>
      </c>
      <c r="K18" s="321">
        <f>'After Tax Analysis'!K8</f>
        <v>0</v>
      </c>
      <c r="L18" s="321">
        <f>'After Tax Analysis'!L8</f>
        <v>0</v>
      </c>
      <c r="M18" s="321">
        <f>'After Tax Analysis'!M8</f>
        <v>0</v>
      </c>
      <c r="N18" s="321">
        <f>'After Tax Analysis'!N8</f>
        <v>0</v>
      </c>
      <c r="O18" s="67">
        <v>0</v>
      </c>
      <c r="P18" s="326">
        <f>SUM(D18:N18)</f>
        <v>1641212917.6875</v>
      </c>
      <c r="R18" s="2"/>
    </row>
    <row r="19" spans="1:18" x14ac:dyDescent="0.15">
      <c r="A19" s="1" t="s">
        <v>417</v>
      </c>
      <c r="B19" s="340" t="s">
        <v>689</v>
      </c>
      <c r="C19" s="340" t="s">
        <v>689</v>
      </c>
      <c r="D19" s="329"/>
      <c r="E19" s="329">
        <f>Revenues!D9</f>
        <v>300000000</v>
      </c>
      <c r="F19" s="329">
        <f>Revenues!E9</f>
        <v>313500000.00000006</v>
      </c>
      <c r="G19" s="329">
        <f>Revenues!F9</f>
        <v>327607500.00000006</v>
      </c>
      <c r="H19" s="329">
        <f>Revenues!G9</f>
        <v>342349837.50000012</v>
      </c>
      <c r="I19" s="329">
        <f>Revenues!H9</f>
        <v>357755580.18750012</v>
      </c>
      <c r="J19" s="329">
        <f>Revenues!I9</f>
        <v>0</v>
      </c>
      <c r="K19" s="329">
        <f>Revenues!J9</f>
        <v>0</v>
      </c>
      <c r="L19" s="329">
        <f>Revenues!K9</f>
        <v>0</v>
      </c>
      <c r="M19" s="329">
        <f>Revenues!L9</f>
        <v>0</v>
      </c>
      <c r="N19" s="329">
        <f>Revenues!M9</f>
        <v>0</v>
      </c>
      <c r="O19" s="67"/>
      <c r="P19" s="326">
        <f t="shared" ref="P19:P45" si="3">SUM(D19:N19)</f>
        <v>1641212917.6875</v>
      </c>
      <c r="R19" s="2"/>
    </row>
    <row r="20" spans="1:18" x14ac:dyDescent="0.15">
      <c r="B20" s="340" t="s">
        <v>690</v>
      </c>
      <c r="C20" s="340" t="s">
        <v>690</v>
      </c>
      <c r="D20" s="329"/>
      <c r="E20" s="329">
        <f>Revenues!D16</f>
        <v>0</v>
      </c>
      <c r="F20" s="329">
        <f>Revenues!E16</f>
        <v>0</v>
      </c>
      <c r="G20" s="329">
        <f>Revenues!F16</f>
        <v>0</v>
      </c>
      <c r="H20" s="329">
        <f>Revenues!G16</f>
        <v>0</v>
      </c>
      <c r="I20" s="329">
        <f>Revenues!H16</f>
        <v>0</v>
      </c>
      <c r="J20" s="329">
        <f>Revenues!I16</f>
        <v>0</v>
      </c>
      <c r="K20" s="329">
        <f>Revenues!J16</f>
        <v>0</v>
      </c>
      <c r="L20" s="329">
        <f>Revenues!K16</f>
        <v>0</v>
      </c>
      <c r="M20" s="329">
        <f>Revenues!L16</f>
        <v>0</v>
      </c>
      <c r="N20" s="329">
        <f>Revenues!M16</f>
        <v>0</v>
      </c>
      <c r="O20" s="67"/>
      <c r="P20" s="326">
        <f t="shared" si="3"/>
        <v>0</v>
      </c>
      <c r="R20" s="2"/>
    </row>
    <row r="21" spans="1:18" x14ac:dyDescent="0.15">
      <c r="B21" s="340" t="s">
        <v>691</v>
      </c>
      <c r="C21" s="340" t="s">
        <v>691</v>
      </c>
      <c r="D21" s="329"/>
      <c r="E21" s="329">
        <f>Revenues!D23</f>
        <v>0</v>
      </c>
      <c r="F21" s="329">
        <f>Revenues!E23</f>
        <v>0</v>
      </c>
      <c r="G21" s="329">
        <f>Revenues!F23</f>
        <v>0</v>
      </c>
      <c r="H21" s="329">
        <f>Revenues!G23</f>
        <v>0</v>
      </c>
      <c r="I21" s="329">
        <f>Revenues!H23</f>
        <v>0</v>
      </c>
      <c r="J21" s="329">
        <f>Revenues!I23</f>
        <v>0</v>
      </c>
      <c r="K21" s="329">
        <f>Revenues!J23</f>
        <v>0</v>
      </c>
      <c r="L21" s="329">
        <f>Revenues!K23</f>
        <v>0</v>
      </c>
      <c r="M21" s="329">
        <f>Revenues!L23</f>
        <v>0</v>
      </c>
      <c r="N21" s="329">
        <f>Revenues!M23</f>
        <v>0</v>
      </c>
      <c r="O21" s="67"/>
      <c r="P21" s="326">
        <f t="shared" si="3"/>
        <v>0</v>
      </c>
      <c r="R21" s="2"/>
    </row>
    <row r="22" spans="1:18" x14ac:dyDescent="0.15">
      <c r="B22" s="340" t="s">
        <v>695</v>
      </c>
      <c r="C22" s="12"/>
      <c r="D22" s="67">
        <f>SUM(D19:D21)</f>
        <v>0</v>
      </c>
      <c r="E22" s="67">
        <f>SUM(E19:E21)</f>
        <v>300000000</v>
      </c>
      <c r="F22" s="67">
        <f t="shared" ref="F22:N22" si="4">SUM(F19:F21)</f>
        <v>313500000.00000006</v>
      </c>
      <c r="G22" s="67">
        <f t="shared" si="4"/>
        <v>327607500.00000006</v>
      </c>
      <c r="H22" s="67">
        <f t="shared" si="4"/>
        <v>342349837.50000012</v>
      </c>
      <c r="I22" s="67">
        <f t="shared" si="4"/>
        <v>357755580.18750012</v>
      </c>
      <c r="J22" s="67">
        <f t="shared" si="4"/>
        <v>0</v>
      </c>
      <c r="K22" s="67">
        <f t="shared" si="4"/>
        <v>0</v>
      </c>
      <c r="L22" s="67">
        <f t="shared" si="4"/>
        <v>0</v>
      </c>
      <c r="M22" s="67">
        <f t="shared" si="4"/>
        <v>0</v>
      </c>
      <c r="N22" s="67">
        <f t="shared" si="4"/>
        <v>0</v>
      </c>
      <c r="O22" s="67"/>
      <c r="P22" s="326">
        <f t="shared" si="3"/>
        <v>1641212917.6875</v>
      </c>
      <c r="R22" s="2"/>
    </row>
    <row r="23" spans="1:18" x14ac:dyDescent="0.15">
      <c r="B23" s="355" t="s">
        <v>696</v>
      </c>
      <c r="C23" s="335" t="s">
        <v>289</v>
      </c>
      <c r="D23" s="330">
        <f>'After Tax Analysis'!D9</f>
        <v>0</v>
      </c>
      <c r="E23" s="330">
        <f>'After Tax Analysis'!E9</f>
        <v>230170000</v>
      </c>
      <c r="F23" s="330">
        <f>'After Tax Analysis'!F9</f>
        <v>253018375.00000003</v>
      </c>
      <c r="G23" s="330">
        <f>'After Tax Analysis'!G9</f>
        <v>278725718.45125008</v>
      </c>
      <c r="H23" s="330">
        <f>'After Tax Analysis'!H9</f>
        <v>307665975.06072807</v>
      </c>
      <c r="I23" s="330">
        <f>'After Tax Analysis'!I9</f>
        <v>340262566.36057305</v>
      </c>
      <c r="J23" s="330">
        <f>'After Tax Analysis'!J9</f>
        <v>0</v>
      </c>
      <c r="K23" s="330">
        <f>'After Tax Analysis'!K9</f>
        <v>0</v>
      </c>
      <c r="L23" s="330">
        <f>'After Tax Analysis'!L9</f>
        <v>0</v>
      </c>
      <c r="M23" s="330">
        <f>'After Tax Analysis'!M9</f>
        <v>0</v>
      </c>
      <c r="N23" s="330">
        <f>'After Tax Analysis'!N9</f>
        <v>0</v>
      </c>
      <c r="O23" s="331">
        <v>0</v>
      </c>
      <c r="P23" s="326">
        <f t="shared" si="3"/>
        <v>1409842634.8725512</v>
      </c>
      <c r="R23" s="2"/>
    </row>
    <row r="24" spans="1:18" x14ac:dyDescent="0.15">
      <c r="B24" s="340">
        <v>3</v>
      </c>
      <c r="C24" s="12" t="s">
        <v>290</v>
      </c>
      <c r="D24" s="67">
        <f t="shared" ref="D24:N24" si="5">D22-D23</f>
        <v>0</v>
      </c>
      <c r="E24" s="67">
        <f t="shared" si="5"/>
        <v>69830000</v>
      </c>
      <c r="F24" s="67">
        <f t="shared" si="5"/>
        <v>60481625.00000003</v>
      </c>
      <c r="G24" s="67">
        <f t="shared" si="5"/>
        <v>48881781.548749983</v>
      </c>
      <c r="H24" s="67">
        <f t="shared" si="5"/>
        <v>34683862.439272046</v>
      </c>
      <c r="I24" s="67">
        <f t="shared" si="5"/>
        <v>17493013.826927066</v>
      </c>
      <c r="J24" s="67">
        <f t="shared" si="5"/>
        <v>0</v>
      </c>
      <c r="K24" s="67">
        <f t="shared" si="5"/>
        <v>0</v>
      </c>
      <c r="L24" s="67">
        <f t="shared" si="5"/>
        <v>0</v>
      </c>
      <c r="M24" s="67">
        <f t="shared" si="5"/>
        <v>0</v>
      </c>
      <c r="N24" s="67">
        <f t="shared" si="5"/>
        <v>0</v>
      </c>
      <c r="O24" s="67">
        <v>0</v>
      </c>
      <c r="P24" s="326">
        <f t="shared" si="3"/>
        <v>231370282.81494913</v>
      </c>
      <c r="R24" s="2"/>
    </row>
    <row r="25" spans="1:18" x14ac:dyDescent="0.15">
      <c r="B25" s="340" t="s">
        <v>697</v>
      </c>
      <c r="C25" s="12" t="s">
        <v>292</v>
      </c>
      <c r="D25" s="388">
        <f>'After Tax Analysis'!D11</f>
        <v>0</v>
      </c>
      <c r="E25" s="388">
        <f>'After Tax Analysis'!E11</f>
        <v>3772500</v>
      </c>
      <c r="F25" s="388">
        <f>'After Tax Analysis'!F11</f>
        <v>6218850</v>
      </c>
      <c r="G25" s="388">
        <f>'After Tax Analysis'!G11</f>
        <v>4083150</v>
      </c>
      <c r="H25" s="388">
        <f>'After Tax Analysis'!H11</f>
        <v>2775510</v>
      </c>
      <c r="I25" s="388">
        <f>'After Tax Analysis'!I11</f>
        <v>1352955</v>
      </c>
      <c r="J25" s="388">
        <f>'After Tax Analysis'!J11</f>
        <v>0</v>
      </c>
      <c r="K25" s="388">
        <f>'After Tax Analysis'!K11</f>
        <v>0</v>
      </c>
      <c r="L25" s="388">
        <f>'After Tax Analysis'!L11</f>
        <v>0</v>
      </c>
      <c r="M25" s="388">
        <f>'After Tax Analysis'!M11</f>
        <v>0</v>
      </c>
      <c r="N25" s="388">
        <f>'After Tax Analysis'!N11</f>
        <v>0</v>
      </c>
      <c r="O25" s="67">
        <v>0</v>
      </c>
      <c r="P25" s="326">
        <f t="shared" si="3"/>
        <v>18202965</v>
      </c>
      <c r="R25" s="2"/>
    </row>
    <row r="26" spans="1:18" x14ac:dyDescent="0.15">
      <c r="B26" s="340">
        <v>5</v>
      </c>
      <c r="C26" s="12" t="s">
        <v>293</v>
      </c>
      <c r="D26" s="67">
        <f t="shared" ref="D26:N26" si="6">D24-D25</f>
        <v>0</v>
      </c>
      <c r="E26" s="67">
        <f t="shared" si="6"/>
        <v>66057500</v>
      </c>
      <c r="F26" s="67">
        <f t="shared" si="6"/>
        <v>54262775.00000003</v>
      </c>
      <c r="G26" s="67">
        <f t="shared" si="6"/>
        <v>44798631.548749983</v>
      </c>
      <c r="H26" s="67">
        <f t="shared" si="6"/>
        <v>31908352.439272046</v>
      </c>
      <c r="I26" s="67">
        <f t="shared" si="6"/>
        <v>16140058.826927066</v>
      </c>
      <c r="J26" s="67">
        <f t="shared" si="6"/>
        <v>0</v>
      </c>
      <c r="K26" s="67">
        <f t="shared" si="6"/>
        <v>0</v>
      </c>
      <c r="L26" s="67">
        <f t="shared" si="6"/>
        <v>0</v>
      </c>
      <c r="M26" s="67">
        <f t="shared" si="6"/>
        <v>0</v>
      </c>
      <c r="N26" s="67">
        <f t="shared" si="6"/>
        <v>0</v>
      </c>
      <c r="O26" s="67">
        <v>0</v>
      </c>
      <c r="P26" s="326">
        <f t="shared" si="3"/>
        <v>213167317.81494913</v>
      </c>
      <c r="R26" s="2"/>
    </row>
    <row r="27" spans="1:18" x14ac:dyDescent="0.15">
      <c r="B27" s="340" t="s">
        <v>698</v>
      </c>
      <c r="C27" s="12" t="s">
        <v>295</v>
      </c>
      <c r="D27" s="387">
        <f>'After Tax Analysis'!D13</f>
        <v>0</v>
      </c>
      <c r="E27" s="387">
        <f>'After Tax Analysis'!E13</f>
        <v>0</v>
      </c>
      <c r="F27" s="387">
        <f>'After Tax Analysis'!F13</f>
        <v>0</v>
      </c>
      <c r="G27" s="387">
        <f>'After Tax Analysis'!G13</f>
        <v>0</v>
      </c>
      <c r="H27" s="387">
        <f>'After Tax Analysis'!H13</f>
        <v>0</v>
      </c>
      <c r="I27" s="387">
        <f>'After Tax Analysis'!I13</f>
        <v>0</v>
      </c>
      <c r="J27" s="387">
        <f>'After Tax Analysis'!J13</f>
        <v>0</v>
      </c>
      <c r="K27" s="387">
        <f>'After Tax Analysis'!K13</f>
        <v>0</v>
      </c>
      <c r="L27" s="387">
        <f>'After Tax Analysis'!L13</f>
        <v>0</v>
      </c>
      <c r="M27" s="387">
        <f>'After Tax Analysis'!M13</f>
        <v>0</v>
      </c>
      <c r="N27" s="387">
        <f>'After Tax Analysis'!N13</f>
        <v>0</v>
      </c>
      <c r="O27" s="67">
        <v>0</v>
      </c>
      <c r="P27" s="326">
        <f t="shared" si="3"/>
        <v>0</v>
      </c>
      <c r="R27" s="2"/>
    </row>
    <row r="28" spans="1:18" x14ac:dyDescent="0.15">
      <c r="B28" s="340">
        <v>7</v>
      </c>
      <c r="C28" s="12" t="s">
        <v>296</v>
      </c>
      <c r="D28" s="387">
        <f>D26-D27</f>
        <v>0</v>
      </c>
      <c r="E28" s="387">
        <f t="shared" ref="E28:N28" si="7">E26-E27</f>
        <v>66057500</v>
      </c>
      <c r="F28" s="387">
        <f t="shared" si="7"/>
        <v>54262775.00000003</v>
      </c>
      <c r="G28" s="387">
        <f t="shared" si="7"/>
        <v>44798631.548749983</v>
      </c>
      <c r="H28" s="387">
        <f t="shared" si="7"/>
        <v>31908352.439272046</v>
      </c>
      <c r="I28" s="387">
        <f t="shared" si="7"/>
        <v>16140058.826927066</v>
      </c>
      <c r="J28" s="387">
        <f t="shared" si="7"/>
        <v>0</v>
      </c>
      <c r="K28" s="387">
        <f t="shared" si="7"/>
        <v>0</v>
      </c>
      <c r="L28" s="387">
        <f t="shared" si="7"/>
        <v>0</v>
      </c>
      <c r="M28" s="387">
        <f t="shared" si="7"/>
        <v>0</v>
      </c>
      <c r="N28" s="387">
        <f t="shared" si="7"/>
        <v>0</v>
      </c>
      <c r="O28" s="67">
        <v>0</v>
      </c>
      <c r="P28" s="326">
        <f t="shared" si="3"/>
        <v>213167317.81494913</v>
      </c>
      <c r="R28" s="2"/>
    </row>
    <row r="29" spans="1:18" x14ac:dyDescent="0.15">
      <c r="B29" s="340">
        <v>8</v>
      </c>
      <c r="C29" s="12" t="s">
        <v>297</v>
      </c>
      <c r="D29" s="67">
        <f t="shared" ref="D29:N29" si="8">D28*$D$3</f>
        <v>0</v>
      </c>
      <c r="E29" s="67">
        <f t="shared" si="8"/>
        <v>19817250</v>
      </c>
      <c r="F29" s="67">
        <f t="shared" si="8"/>
        <v>16278832.500000007</v>
      </c>
      <c r="G29" s="67">
        <f t="shared" si="8"/>
        <v>13439589.464624995</v>
      </c>
      <c r="H29" s="67">
        <f t="shared" si="8"/>
        <v>9572505.7317816131</v>
      </c>
      <c r="I29" s="67">
        <f t="shared" si="8"/>
        <v>4842017.6480781194</v>
      </c>
      <c r="J29" s="67">
        <f t="shared" si="8"/>
        <v>0</v>
      </c>
      <c r="K29" s="67">
        <f t="shared" si="8"/>
        <v>0</v>
      </c>
      <c r="L29" s="67">
        <f t="shared" si="8"/>
        <v>0</v>
      </c>
      <c r="M29" s="67">
        <f t="shared" si="8"/>
        <v>0</v>
      </c>
      <c r="N29" s="67">
        <f t="shared" si="8"/>
        <v>0</v>
      </c>
      <c r="O29" s="67">
        <v>0</v>
      </c>
      <c r="P29" s="326">
        <f t="shared" si="3"/>
        <v>63950195.344484739</v>
      </c>
      <c r="R29" s="2"/>
    </row>
    <row r="30" spans="1:18" x14ac:dyDescent="0.15">
      <c r="B30" s="340">
        <v>9</v>
      </c>
      <c r="C30" s="12" t="s">
        <v>298</v>
      </c>
      <c r="D30" s="387">
        <f>'After Tax Analysis'!D16</f>
        <v>0</v>
      </c>
      <c r="E30" s="387">
        <f>'After Tax Analysis'!E16</f>
        <v>0</v>
      </c>
      <c r="F30" s="387">
        <f>'After Tax Analysis'!F16</f>
        <v>0</v>
      </c>
      <c r="G30" s="387">
        <f>'After Tax Analysis'!G16</f>
        <v>0</v>
      </c>
      <c r="H30" s="387">
        <f>'After Tax Analysis'!H16</f>
        <v>0</v>
      </c>
      <c r="I30" s="387">
        <f>'After Tax Analysis'!I16</f>
        <v>0</v>
      </c>
      <c r="J30" s="387">
        <f>'After Tax Analysis'!J16</f>
        <v>0</v>
      </c>
      <c r="K30" s="387">
        <f>'After Tax Analysis'!K16</f>
        <v>0</v>
      </c>
      <c r="L30" s="387">
        <f>'After Tax Analysis'!L16</f>
        <v>0</v>
      </c>
      <c r="M30" s="387">
        <f>'After Tax Analysis'!M16</f>
        <v>0</v>
      </c>
      <c r="N30" s="387">
        <f>'After Tax Analysis'!N16</f>
        <v>0</v>
      </c>
      <c r="O30" s="67">
        <v>0</v>
      </c>
      <c r="P30" s="326">
        <f t="shared" si="3"/>
        <v>0</v>
      </c>
      <c r="R30" s="2"/>
    </row>
    <row r="31" spans="1:18" x14ac:dyDescent="0.15">
      <c r="B31" s="340">
        <v>10</v>
      </c>
      <c r="C31" s="12" t="s">
        <v>299</v>
      </c>
      <c r="D31" s="387">
        <f>D28-D29+D30</f>
        <v>0</v>
      </c>
      <c r="E31" s="387">
        <f t="shared" ref="E31:N31" si="9">E28-E29+E30</f>
        <v>46240250</v>
      </c>
      <c r="F31" s="387">
        <f t="shared" si="9"/>
        <v>37983942.500000022</v>
      </c>
      <c r="G31" s="387">
        <f t="shared" si="9"/>
        <v>31359042.08412499</v>
      </c>
      <c r="H31" s="387">
        <f t="shared" si="9"/>
        <v>22335846.707490433</v>
      </c>
      <c r="I31" s="387">
        <f t="shared" si="9"/>
        <v>11298041.178848946</v>
      </c>
      <c r="J31" s="387">
        <f t="shared" si="9"/>
        <v>0</v>
      </c>
      <c r="K31" s="387">
        <f t="shared" si="9"/>
        <v>0</v>
      </c>
      <c r="L31" s="387">
        <f t="shared" si="9"/>
        <v>0</v>
      </c>
      <c r="M31" s="387">
        <f t="shared" si="9"/>
        <v>0</v>
      </c>
      <c r="N31" s="387">
        <f t="shared" si="9"/>
        <v>0</v>
      </c>
      <c r="O31" s="67">
        <v>0</v>
      </c>
      <c r="P31" s="326">
        <f t="shared" si="3"/>
        <v>149217122.47046441</v>
      </c>
      <c r="R31" s="2"/>
    </row>
    <row r="32" spans="1:18" x14ac:dyDescent="0.15">
      <c r="B32" s="340" t="s">
        <v>699</v>
      </c>
      <c r="C32" s="12" t="s">
        <v>292</v>
      </c>
      <c r="D32" s="388">
        <f>'After Tax Analysis'!D18</f>
        <v>0</v>
      </c>
      <c r="E32" s="388">
        <f>'After Tax Analysis'!E18</f>
        <v>3772500</v>
      </c>
      <c r="F32" s="388">
        <f>'After Tax Analysis'!F18</f>
        <v>6218850</v>
      </c>
      <c r="G32" s="388">
        <f>'After Tax Analysis'!G18</f>
        <v>4083150</v>
      </c>
      <c r="H32" s="388">
        <f>'After Tax Analysis'!H18</f>
        <v>2775510</v>
      </c>
      <c r="I32" s="388">
        <f>'After Tax Analysis'!I18</f>
        <v>1352955</v>
      </c>
      <c r="J32" s="388">
        <f>'After Tax Analysis'!J18</f>
        <v>0</v>
      </c>
      <c r="K32" s="388">
        <f>'After Tax Analysis'!K18</f>
        <v>0</v>
      </c>
      <c r="L32" s="388">
        <f>'After Tax Analysis'!L18</f>
        <v>0</v>
      </c>
      <c r="M32" s="388">
        <f>'After Tax Analysis'!M18</f>
        <v>0</v>
      </c>
      <c r="N32" s="388">
        <f>'After Tax Analysis'!N18</f>
        <v>0</v>
      </c>
      <c r="O32" s="67">
        <v>0</v>
      </c>
      <c r="P32" s="326">
        <f t="shared" si="3"/>
        <v>18202965</v>
      </c>
      <c r="R32" s="2"/>
    </row>
    <row r="33" spans="2:18" x14ac:dyDescent="0.15">
      <c r="B33" s="340">
        <v>12</v>
      </c>
      <c r="C33" s="12" t="s">
        <v>301</v>
      </c>
      <c r="D33" s="387">
        <f>D32+D31</f>
        <v>0</v>
      </c>
      <c r="E33" s="387">
        <f t="shared" ref="E33:N33" si="10">E32+E31</f>
        <v>50012750</v>
      </c>
      <c r="F33" s="387">
        <f t="shared" si="10"/>
        <v>44202792.500000022</v>
      </c>
      <c r="G33" s="387">
        <f t="shared" si="10"/>
        <v>35442192.08412499</v>
      </c>
      <c r="H33" s="387">
        <f t="shared" si="10"/>
        <v>25111356.707490433</v>
      </c>
      <c r="I33" s="387">
        <f t="shared" si="10"/>
        <v>12650996.178848946</v>
      </c>
      <c r="J33" s="387">
        <f t="shared" si="10"/>
        <v>0</v>
      </c>
      <c r="K33" s="387">
        <f t="shared" si="10"/>
        <v>0</v>
      </c>
      <c r="L33" s="387">
        <f t="shared" si="10"/>
        <v>0</v>
      </c>
      <c r="M33" s="387">
        <f t="shared" si="10"/>
        <v>0</v>
      </c>
      <c r="N33" s="387">
        <f t="shared" si="10"/>
        <v>0</v>
      </c>
      <c r="O33" s="67">
        <v>0</v>
      </c>
      <c r="P33" s="326">
        <f t="shared" si="3"/>
        <v>167420087.47046441</v>
      </c>
      <c r="R33" s="2"/>
    </row>
    <row r="34" spans="2:18" x14ac:dyDescent="0.15">
      <c r="B34" s="340" t="s">
        <v>700</v>
      </c>
      <c r="C34" s="12" t="s">
        <v>303</v>
      </c>
      <c r="D34" s="67">
        <f>'After Tax Analysis'!D20</f>
        <v>0</v>
      </c>
      <c r="E34" s="67">
        <f>'After Tax Analysis'!E20</f>
        <v>0</v>
      </c>
      <c r="F34" s="67">
        <f>'After Tax Analysis'!F20</f>
        <v>0</v>
      </c>
      <c r="G34" s="67">
        <f>'After Tax Analysis'!G20</f>
        <v>0</v>
      </c>
      <c r="H34" s="67">
        <f>'After Tax Analysis'!H20</f>
        <v>0</v>
      </c>
      <c r="I34" s="67">
        <f>'After Tax Analysis'!I20</f>
        <v>0</v>
      </c>
      <c r="J34" s="67">
        <f>'After Tax Analysis'!J20</f>
        <v>0</v>
      </c>
      <c r="K34" s="67">
        <f>'After Tax Analysis'!K20</f>
        <v>0</v>
      </c>
      <c r="L34" s="67">
        <f>'After Tax Analysis'!L20</f>
        <v>0</v>
      </c>
      <c r="M34" s="67">
        <f>'After Tax Analysis'!M20</f>
        <v>0</v>
      </c>
      <c r="N34" s="67">
        <f>'After Tax Analysis'!N20</f>
        <v>0</v>
      </c>
      <c r="O34" s="67">
        <v>0</v>
      </c>
      <c r="P34" s="326">
        <f t="shared" si="3"/>
        <v>0</v>
      </c>
      <c r="R34" s="2"/>
    </row>
    <row r="35" spans="2:18" x14ac:dyDescent="0.15">
      <c r="B35" s="340">
        <v>14</v>
      </c>
      <c r="C35" s="12" t="s">
        <v>304</v>
      </c>
      <c r="D35" s="67">
        <f>D36+D37+D38</f>
        <v>-32550000</v>
      </c>
      <c r="E35" s="67">
        <f t="shared" ref="E35:N35" si="11">E36+E37+E38</f>
        <v>0</v>
      </c>
      <c r="F35" s="67">
        <f t="shared" si="11"/>
        <v>0</v>
      </c>
      <c r="G35" s="67">
        <f t="shared" si="11"/>
        <v>0</v>
      </c>
      <c r="H35" s="67">
        <f t="shared" si="11"/>
        <v>0</v>
      </c>
      <c r="I35" s="67">
        <f t="shared" si="11"/>
        <v>14347035</v>
      </c>
      <c r="J35" s="67">
        <f t="shared" si="11"/>
        <v>0</v>
      </c>
      <c r="K35" s="67">
        <f t="shared" si="11"/>
        <v>0</v>
      </c>
      <c r="L35" s="67">
        <f t="shared" si="11"/>
        <v>0</v>
      </c>
      <c r="M35" s="67">
        <f t="shared" si="11"/>
        <v>0</v>
      </c>
      <c r="N35" s="67">
        <f t="shared" si="11"/>
        <v>0</v>
      </c>
      <c r="O35" s="67">
        <v>0</v>
      </c>
      <c r="P35" s="326">
        <f t="shared" si="3"/>
        <v>-18202965</v>
      </c>
      <c r="R35" s="2"/>
    </row>
    <row r="36" spans="2:18" x14ac:dyDescent="0.15">
      <c r="B36" s="340" t="s">
        <v>701</v>
      </c>
      <c r="C36" s="12" t="s">
        <v>207</v>
      </c>
      <c r="D36" s="67">
        <f>'After Tax Analysis'!D22</f>
        <v>-31050000</v>
      </c>
      <c r="E36" s="67">
        <f>'After Tax Analysis'!E22</f>
        <v>0</v>
      </c>
      <c r="F36" s="67">
        <f>'After Tax Analysis'!F22</f>
        <v>0</v>
      </c>
      <c r="G36" s="67">
        <f>'After Tax Analysis'!G22</f>
        <v>0</v>
      </c>
      <c r="H36" s="67">
        <f>'After Tax Analysis'!H22</f>
        <v>0</v>
      </c>
      <c r="I36" s="67">
        <f>'After Tax Analysis'!I22</f>
        <v>12847035</v>
      </c>
      <c r="J36" s="67">
        <f>'After Tax Analysis'!J22</f>
        <v>0</v>
      </c>
      <c r="K36" s="67">
        <f>'After Tax Analysis'!K22</f>
        <v>0</v>
      </c>
      <c r="L36" s="67">
        <f>'After Tax Analysis'!L22</f>
        <v>0</v>
      </c>
      <c r="M36" s="67">
        <f>'After Tax Analysis'!M22</f>
        <v>0</v>
      </c>
      <c r="N36" s="67">
        <f>'After Tax Analysis'!N22</f>
        <v>0</v>
      </c>
      <c r="O36" s="67">
        <v>0</v>
      </c>
      <c r="P36" s="326">
        <f t="shared" si="3"/>
        <v>-18202965</v>
      </c>
      <c r="R36" s="2"/>
    </row>
    <row r="37" spans="2:18" x14ac:dyDescent="0.15">
      <c r="B37" s="340" t="s">
        <v>702</v>
      </c>
      <c r="C37" s="12" t="s">
        <v>307</v>
      </c>
      <c r="D37" s="67">
        <f>'After Tax Analysis'!D23</f>
        <v>-1500000</v>
      </c>
      <c r="E37" s="67">
        <f>'After Tax Analysis'!E23</f>
        <v>0</v>
      </c>
      <c r="F37" s="67">
        <f>'After Tax Analysis'!F23</f>
        <v>0</v>
      </c>
      <c r="G37" s="67">
        <f>'After Tax Analysis'!G23</f>
        <v>0</v>
      </c>
      <c r="H37" s="67">
        <f>'After Tax Analysis'!H23</f>
        <v>0</v>
      </c>
      <c r="I37" s="67">
        <f>'After Tax Analysis'!I23</f>
        <v>1500000</v>
      </c>
      <c r="J37" s="67">
        <f>'After Tax Analysis'!J23</f>
        <v>0</v>
      </c>
      <c r="K37" s="67">
        <f>'After Tax Analysis'!K23</f>
        <v>0</v>
      </c>
      <c r="L37" s="67">
        <f>'After Tax Analysis'!L23</f>
        <v>0</v>
      </c>
      <c r="M37" s="67">
        <f>'After Tax Analysis'!M23</f>
        <v>0</v>
      </c>
      <c r="N37" s="67">
        <f>'After Tax Analysis'!N23</f>
        <v>0</v>
      </c>
      <c r="O37" s="67">
        <v>0</v>
      </c>
      <c r="P37" s="326">
        <f t="shared" si="3"/>
        <v>0</v>
      </c>
      <c r="R37" s="2"/>
    </row>
    <row r="38" spans="2:18" x14ac:dyDescent="0.15">
      <c r="B38" s="340" t="s">
        <v>703</v>
      </c>
      <c r="C38" s="12" t="s">
        <v>309</v>
      </c>
      <c r="D38" s="67">
        <f>'After Tax Analysis'!D24</f>
        <v>0</v>
      </c>
      <c r="E38" s="67">
        <f>'After Tax Analysis'!E24</f>
        <v>0</v>
      </c>
      <c r="F38" s="67">
        <f>'After Tax Analysis'!F24</f>
        <v>0</v>
      </c>
      <c r="G38" s="67">
        <f>'After Tax Analysis'!G24</f>
        <v>0</v>
      </c>
      <c r="H38" s="67">
        <f>'After Tax Analysis'!H24</f>
        <v>0</v>
      </c>
      <c r="I38" s="67">
        <f>'After Tax Analysis'!I24</f>
        <v>0</v>
      </c>
      <c r="J38" s="67">
        <f>'After Tax Analysis'!J24</f>
        <v>0</v>
      </c>
      <c r="K38" s="67">
        <f>'After Tax Analysis'!K24</f>
        <v>0</v>
      </c>
      <c r="L38" s="67">
        <f>'After Tax Analysis'!L24</f>
        <v>0</v>
      </c>
      <c r="M38" s="67">
        <f>'After Tax Analysis'!M24</f>
        <v>0</v>
      </c>
      <c r="N38" s="67">
        <f>'After Tax Analysis'!N24</f>
        <v>0</v>
      </c>
      <c r="O38" s="67">
        <v>0</v>
      </c>
      <c r="P38" s="326">
        <f t="shared" si="3"/>
        <v>0</v>
      </c>
      <c r="R38" s="2"/>
    </row>
    <row r="39" spans="2:18" x14ac:dyDescent="0.15">
      <c r="B39" s="340" t="s">
        <v>704</v>
      </c>
      <c r="C39" s="12" t="s">
        <v>311</v>
      </c>
      <c r="D39" s="67">
        <f>'After Tax Analysis'!D25</f>
        <v>0</v>
      </c>
      <c r="E39" s="67">
        <f>'After Tax Analysis'!E25</f>
        <v>0</v>
      </c>
      <c r="F39" s="67">
        <f>'After Tax Analysis'!F25</f>
        <v>0</v>
      </c>
      <c r="G39" s="67">
        <f>'After Tax Analysis'!G25</f>
        <v>0</v>
      </c>
      <c r="H39" s="67">
        <f>'After Tax Analysis'!H25</f>
        <v>0</v>
      </c>
      <c r="I39" s="67">
        <f>'After Tax Analysis'!I25</f>
        <v>-2596968.7000000002</v>
      </c>
      <c r="J39" s="67">
        <f>'After Tax Analysis'!J25</f>
        <v>0</v>
      </c>
      <c r="K39" s="67">
        <f>'After Tax Analysis'!K25</f>
        <v>0</v>
      </c>
      <c r="L39" s="67">
        <f>'After Tax Analysis'!L25</f>
        <v>0</v>
      </c>
      <c r="M39" s="67">
        <f>'After Tax Analysis'!M25</f>
        <v>0</v>
      </c>
      <c r="N39" s="67">
        <f>'After Tax Analysis'!N25</f>
        <v>0</v>
      </c>
      <c r="O39" s="67">
        <v>0</v>
      </c>
      <c r="P39" s="326">
        <f t="shared" si="3"/>
        <v>-2596968.7000000002</v>
      </c>
      <c r="R39" s="2"/>
    </row>
    <row r="40" spans="2:18" ht="14" thickBot="1" x14ac:dyDescent="0.2">
      <c r="B40" s="340" t="s">
        <v>705</v>
      </c>
      <c r="C40" s="12" t="s">
        <v>115</v>
      </c>
      <c r="D40" s="67">
        <f>'After Tax Analysis'!D26</f>
        <v>-60000000</v>
      </c>
      <c r="E40" s="67">
        <f>'After Tax Analysis'!E26</f>
        <v>0</v>
      </c>
      <c r="F40" s="67">
        <f>'After Tax Analysis'!F26</f>
        <v>0</v>
      </c>
      <c r="G40" s="67">
        <f>'After Tax Analysis'!G26</f>
        <v>0</v>
      </c>
      <c r="H40" s="67">
        <f>'After Tax Analysis'!H26</f>
        <v>0</v>
      </c>
      <c r="I40" s="67">
        <f>'After Tax Analysis'!I26</f>
        <v>60000000</v>
      </c>
      <c r="J40" s="67">
        <f>'After Tax Analysis'!J26</f>
        <v>0</v>
      </c>
      <c r="K40" s="67">
        <f>'After Tax Analysis'!K26</f>
        <v>0</v>
      </c>
      <c r="L40" s="67">
        <f>'After Tax Analysis'!L26</f>
        <v>0</v>
      </c>
      <c r="M40" s="67">
        <f>'After Tax Analysis'!M26</f>
        <v>0</v>
      </c>
      <c r="N40" s="67">
        <f>'After Tax Analysis'!N26</f>
        <v>0</v>
      </c>
      <c r="O40" s="67">
        <v>0</v>
      </c>
      <c r="P40" s="326">
        <f t="shared" si="3"/>
        <v>0</v>
      </c>
      <c r="R40" s="2"/>
    </row>
    <row r="41" spans="2:18" x14ac:dyDescent="0.15">
      <c r="B41" s="340">
        <v>17</v>
      </c>
      <c r="C41" s="12" t="s">
        <v>313</v>
      </c>
      <c r="D41" s="67">
        <f>D34+D35+D39+D40</f>
        <v>-92550000</v>
      </c>
      <c r="E41" s="67">
        <f t="shared" ref="E41:N41" si="12">E34+E35+E39+E40</f>
        <v>0</v>
      </c>
      <c r="F41" s="67">
        <f t="shared" si="12"/>
        <v>0</v>
      </c>
      <c r="G41" s="67">
        <f t="shared" si="12"/>
        <v>0</v>
      </c>
      <c r="H41" s="67">
        <f t="shared" si="12"/>
        <v>0</v>
      </c>
      <c r="I41" s="67">
        <f t="shared" si="12"/>
        <v>71750066.299999997</v>
      </c>
      <c r="J41" s="67">
        <f t="shared" si="12"/>
        <v>0</v>
      </c>
      <c r="K41" s="67">
        <f t="shared" si="12"/>
        <v>0</v>
      </c>
      <c r="L41" s="67">
        <f t="shared" si="12"/>
        <v>0</v>
      </c>
      <c r="M41" s="67">
        <f t="shared" si="12"/>
        <v>0</v>
      </c>
      <c r="N41" s="67">
        <f t="shared" si="12"/>
        <v>0</v>
      </c>
      <c r="O41" s="67">
        <v>0</v>
      </c>
      <c r="P41" s="326">
        <f t="shared" si="3"/>
        <v>-20799933.700000003</v>
      </c>
      <c r="Q41" s="333" t="s">
        <v>693</v>
      </c>
      <c r="R41" s="2"/>
    </row>
    <row r="42" spans="2:18" ht="14" thickBot="1" x14ac:dyDescent="0.2">
      <c r="B42" s="355">
        <v>18</v>
      </c>
      <c r="C42" s="335" t="s">
        <v>314</v>
      </c>
      <c r="D42" s="331">
        <f>D41+D33</f>
        <v>-92550000</v>
      </c>
      <c r="E42" s="331">
        <f t="shared" ref="E42:N42" si="13">E41+E33</f>
        <v>50012750</v>
      </c>
      <c r="F42" s="331">
        <f t="shared" si="13"/>
        <v>44202792.500000022</v>
      </c>
      <c r="G42" s="331">
        <f t="shared" si="13"/>
        <v>35442192.08412499</v>
      </c>
      <c r="H42" s="331">
        <f t="shared" si="13"/>
        <v>25111356.707490433</v>
      </c>
      <c r="I42" s="331">
        <f t="shared" si="13"/>
        <v>84401062.478848949</v>
      </c>
      <c r="J42" s="331">
        <f t="shared" si="13"/>
        <v>0</v>
      </c>
      <c r="K42" s="331">
        <f t="shared" si="13"/>
        <v>0</v>
      </c>
      <c r="L42" s="331">
        <f t="shared" si="13"/>
        <v>0</v>
      </c>
      <c r="M42" s="331">
        <f t="shared" si="13"/>
        <v>0</v>
      </c>
      <c r="N42" s="331">
        <f t="shared" si="13"/>
        <v>0</v>
      </c>
      <c r="O42" s="331">
        <v>0</v>
      </c>
      <c r="P42" s="326">
        <f t="shared" si="3"/>
        <v>146620153.77046439</v>
      </c>
      <c r="Q42" s="338">
        <f>IF(ISNUMBER(IRR(D42:N42)),IRR(D42:N42),"NMF")</f>
        <v>0.40549033935008683</v>
      </c>
      <c r="R42" s="353" t="str">
        <f>A19</f>
        <v>Base Case</v>
      </c>
    </row>
    <row r="43" spans="2:18" x14ac:dyDescent="0.15">
      <c r="B43" s="340">
        <v>19</v>
      </c>
      <c r="C43" s="12" t="s">
        <v>315</v>
      </c>
      <c r="D43" s="53">
        <v>1</v>
      </c>
      <c r="E43" s="53">
        <v>0.86956521739130443</v>
      </c>
      <c r="F43" s="53">
        <v>0.7561436672967865</v>
      </c>
      <c r="G43" s="53">
        <v>0.65751623243198831</v>
      </c>
      <c r="H43" s="53">
        <v>0.57175324559303342</v>
      </c>
      <c r="I43" s="53">
        <v>0.49717673529828987</v>
      </c>
      <c r="J43" s="53">
        <v>0.43232759591155645</v>
      </c>
      <c r="K43" s="53">
        <v>0.37593703992309269</v>
      </c>
      <c r="L43" s="53">
        <v>0.32690177384616753</v>
      </c>
      <c r="M43" s="53">
        <v>0.28426241204014574</v>
      </c>
      <c r="N43" s="53">
        <v>0.24718470612186585</v>
      </c>
      <c r="O43" s="67">
        <v>0</v>
      </c>
      <c r="P43" s="326">
        <f t="shared" si="3"/>
        <v>6.0187686258542321</v>
      </c>
      <c r="R43" s="2"/>
    </row>
    <row r="44" spans="2:18" x14ac:dyDescent="0.15">
      <c r="B44" s="340">
        <v>20</v>
      </c>
      <c r="C44" s="12" t="s">
        <v>316</v>
      </c>
      <c r="D44" s="67">
        <f>D43*D42</f>
        <v>-92550000</v>
      </c>
      <c r="E44" s="67">
        <f>E43*E42</f>
        <v>43489347.826086961</v>
      </c>
      <c r="F44" s="67">
        <f t="shared" ref="F44:N44" si="14">F43*F42</f>
        <v>33423661.625708908</v>
      </c>
      <c r="G44" s="67">
        <f t="shared" si="14"/>
        <v>23303816.608284704</v>
      </c>
      <c r="H44" s="67">
        <f t="shared" si="14"/>
        <v>14357499.698752044</v>
      </c>
      <c r="I44" s="67">
        <f t="shared" si="14"/>
        <v>41962244.698941112</v>
      </c>
      <c r="J44" s="67">
        <f t="shared" si="14"/>
        <v>0</v>
      </c>
      <c r="K44" s="67">
        <f t="shared" si="14"/>
        <v>0</v>
      </c>
      <c r="L44" s="67">
        <f t="shared" si="14"/>
        <v>0</v>
      </c>
      <c r="M44" s="67">
        <f t="shared" si="14"/>
        <v>0</v>
      </c>
      <c r="N44" s="67">
        <f t="shared" si="14"/>
        <v>0</v>
      </c>
      <c r="O44" s="67">
        <v>0</v>
      </c>
      <c r="P44" s="326">
        <f t="shared" si="3"/>
        <v>63986570.45777373</v>
      </c>
      <c r="R44" s="2"/>
    </row>
    <row r="45" spans="2:18" ht="14" thickBot="1" x14ac:dyDescent="0.2">
      <c r="B45" s="341">
        <v>21</v>
      </c>
      <c r="C45" s="201" t="s">
        <v>317</v>
      </c>
      <c r="D45" s="327">
        <f>D44</f>
        <v>-92550000</v>
      </c>
      <c r="E45" s="327">
        <f>E44+D45</f>
        <v>-49060652.173913039</v>
      </c>
      <c r="F45" s="327">
        <f t="shared" ref="F45:N45" si="15">F44+E45</f>
        <v>-15636990.548204131</v>
      </c>
      <c r="G45" s="327">
        <f t="shared" si="15"/>
        <v>7666826.060080573</v>
      </c>
      <c r="H45" s="327">
        <f t="shared" si="15"/>
        <v>22024325.758832619</v>
      </c>
      <c r="I45" s="327">
        <f t="shared" si="15"/>
        <v>63986570.45777373</v>
      </c>
      <c r="J45" s="327">
        <f t="shared" si="15"/>
        <v>63986570.45777373</v>
      </c>
      <c r="K45" s="327">
        <f t="shared" si="15"/>
        <v>63986570.45777373</v>
      </c>
      <c r="L45" s="327">
        <f t="shared" si="15"/>
        <v>63986570.45777373</v>
      </c>
      <c r="M45" s="327">
        <f t="shared" si="15"/>
        <v>63986570.45777373</v>
      </c>
      <c r="N45" s="327">
        <f t="shared" si="15"/>
        <v>63986570.45777373</v>
      </c>
      <c r="O45" s="327">
        <v>0</v>
      </c>
      <c r="P45" s="326">
        <f t="shared" si="3"/>
        <v>256362931.84343839</v>
      </c>
      <c r="R45" s="2"/>
    </row>
    <row r="46" spans="2:18" x14ac:dyDescent="0.15">
      <c r="R46" s="2"/>
    </row>
  </sheetData>
  <sheetProtection password="AA36" sheet="1" objects="1" scenarios="1"/>
  <phoneticPr fontId="0" type="noConversion"/>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46"/>
  <sheetViews>
    <sheetView zoomScale="120" zoomScaleNormal="120" zoomScalePageLayoutView="150" workbookViewId="0">
      <selection activeCell="A7" sqref="A7"/>
    </sheetView>
  </sheetViews>
  <sheetFormatPr baseColWidth="10" defaultColWidth="8.83203125" defaultRowHeight="13" x14ac:dyDescent="0.15"/>
  <cols>
    <col min="1" max="1" width="26.5" customWidth="1"/>
    <col min="2" max="2" width="1.5" customWidth="1"/>
    <col min="3" max="3" width="18.5" customWidth="1"/>
    <col min="4" max="13" width="15.6640625" customWidth="1"/>
    <col min="14" max="14" width="18" customWidth="1"/>
    <col min="15" max="16" width="15.6640625" customWidth="1"/>
    <col min="17" max="17" width="13.83203125" bestFit="1" customWidth="1"/>
  </cols>
  <sheetData>
    <row r="1" spans="1:16" ht="20" x14ac:dyDescent="0.2">
      <c r="A1" s="630" t="s">
        <v>130</v>
      </c>
    </row>
    <row r="2" spans="1:16" x14ac:dyDescent="0.15">
      <c r="B2" s="1"/>
    </row>
    <row r="3" spans="1:16" ht="16" x14ac:dyDescent="0.2">
      <c r="A3" s="206" t="s">
        <v>131</v>
      </c>
    </row>
    <row r="5" spans="1:16" x14ac:dyDescent="0.15">
      <c r="A5" s="1" t="s">
        <v>132</v>
      </c>
    </row>
    <row r="6" spans="1:16" x14ac:dyDescent="0.15">
      <c r="A6" s="287" t="s">
        <v>725</v>
      </c>
      <c r="C6" s="26" t="s">
        <v>133</v>
      </c>
      <c r="D6" s="26">
        <v>1</v>
      </c>
      <c r="E6" s="26">
        <v>2</v>
      </c>
      <c r="F6" s="26">
        <v>3</v>
      </c>
      <c r="G6" s="26">
        <v>4</v>
      </c>
      <c r="H6" s="26">
        <v>5</v>
      </c>
      <c r="I6" s="26">
        <v>6</v>
      </c>
      <c r="J6" s="26">
        <v>7</v>
      </c>
      <c r="K6" s="26">
        <v>8</v>
      </c>
      <c r="L6" s="26">
        <v>9</v>
      </c>
      <c r="M6" s="26">
        <v>10</v>
      </c>
      <c r="N6" s="22" t="s">
        <v>134</v>
      </c>
      <c r="O6" s="1" t="s">
        <v>135</v>
      </c>
      <c r="P6" s="22" t="s">
        <v>136</v>
      </c>
    </row>
    <row r="7" spans="1:16" x14ac:dyDescent="0.15">
      <c r="C7" s="26" t="s">
        <v>137</v>
      </c>
      <c r="D7" s="278">
        <v>1500000</v>
      </c>
      <c r="E7" s="278">
        <f>D7*(1+0.1)</f>
        <v>1650000.0000000002</v>
      </c>
      <c r="F7" s="278">
        <f t="shared" ref="F7:H7" si="0">E7*(1+0.1)</f>
        <v>1815000.0000000005</v>
      </c>
      <c r="G7" s="278">
        <f t="shared" si="0"/>
        <v>1996500.0000000007</v>
      </c>
      <c r="H7" s="278">
        <f t="shared" si="0"/>
        <v>2196150.0000000009</v>
      </c>
      <c r="I7" s="631">
        <v>0</v>
      </c>
      <c r="J7" s="631">
        <v>0</v>
      </c>
      <c r="K7" s="631">
        <v>0</v>
      </c>
      <c r="L7" s="631">
        <v>0</v>
      </c>
      <c r="M7" s="631">
        <v>0</v>
      </c>
      <c r="N7" s="292">
        <f>SUM(D7:M7)</f>
        <v>9157650.0000000019</v>
      </c>
      <c r="O7" s="292">
        <f>N7/'Initial Inputs'!$C$7</f>
        <v>1831530.0000000005</v>
      </c>
      <c r="P7" s="177">
        <f>O7/O30</f>
        <v>1</v>
      </c>
    </row>
    <row r="8" spans="1:16" ht="14" x14ac:dyDescent="0.15">
      <c r="C8" s="27" t="s">
        <v>138</v>
      </c>
      <c r="D8" s="632">
        <v>200</v>
      </c>
      <c r="E8" s="632">
        <f>D8*(1-0.05)</f>
        <v>190</v>
      </c>
      <c r="F8" s="632">
        <f t="shared" ref="F8:H8" si="1">E8*(1-0.05)</f>
        <v>180.5</v>
      </c>
      <c r="G8" s="632">
        <f t="shared" si="1"/>
        <v>171.47499999999999</v>
      </c>
      <c r="H8" s="632">
        <f t="shared" si="1"/>
        <v>162.90124999999998</v>
      </c>
      <c r="I8" s="632">
        <v>0</v>
      </c>
      <c r="J8" s="632">
        <v>0</v>
      </c>
      <c r="K8" s="632">
        <v>0</v>
      </c>
      <c r="L8" s="632">
        <v>0</v>
      </c>
      <c r="M8" s="632">
        <v>0</v>
      </c>
      <c r="N8" s="634"/>
      <c r="O8" s="633">
        <f>SUM(D8:M8)/'Initial Inputs'!$C$7</f>
        <v>180.97525000000002</v>
      </c>
      <c r="P8" s="57"/>
    </row>
    <row r="9" spans="1:16" x14ac:dyDescent="0.15">
      <c r="C9" s="26" t="s">
        <v>139</v>
      </c>
      <c r="D9" s="221">
        <f>D7*D8</f>
        <v>300000000</v>
      </c>
      <c r="E9" s="221">
        <f t="shared" ref="E9:M9" si="2">E7*E8</f>
        <v>313500000.00000006</v>
      </c>
      <c r="F9" s="221">
        <f t="shared" si="2"/>
        <v>327607500.00000006</v>
      </c>
      <c r="G9" s="221">
        <f t="shared" si="2"/>
        <v>342349837.50000012</v>
      </c>
      <c r="H9" s="221">
        <f t="shared" si="2"/>
        <v>357755580.18750012</v>
      </c>
      <c r="I9" s="221">
        <f t="shared" si="2"/>
        <v>0</v>
      </c>
      <c r="J9" s="221">
        <f t="shared" si="2"/>
        <v>0</v>
      </c>
      <c r="K9" s="221">
        <f t="shared" si="2"/>
        <v>0</v>
      </c>
      <c r="L9" s="221">
        <f t="shared" si="2"/>
        <v>0</v>
      </c>
      <c r="M9" s="221">
        <f t="shared" si="2"/>
        <v>0</v>
      </c>
      <c r="N9" s="240">
        <f>SUM(D9:M9)</f>
        <v>1641212917.6875</v>
      </c>
      <c r="O9" s="218">
        <f>SUM(D9:M9)/'Initial Inputs'!$C$7</f>
        <v>328242583.53750002</v>
      </c>
      <c r="P9" s="177">
        <f>O9/O31</f>
        <v>1</v>
      </c>
    </row>
    <row r="12" spans="1:16" x14ac:dyDescent="0.15">
      <c r="A12" s="1" t="s">
        <v>140</v>
      </c>
    </row>
    <row r="13" spans="1:16" x14ac:dyDescent="0.15">
      <c r="A13" s="287"/>
      <c r="C13" s="26" t="s">
        <v>133</v>
      </c>
      <c r="D13" s="26">
        <v>1</v>
      </c>
      <c r="E13" s="26">
        <v>2</v>
      </c>
      <c r="F13" s="26">
        <v>3</v>
      </c>
      <c r="G13" s="26">
        <v>4</v>
      </c>
      <c r="H13" s="26">
        <v>5</v>
      </c>
      <c r="I13" s="26">
        <v>6</v>
      </c>
      <c r="J13" s="26">
        <v>7</v>
      </c>
      <c r="K13" s="26">
        <v>8</v>
      </c>
      <c r="L13" s="26">
        <v>9</v>
      </c>
      <c r="M13" s="26">
        <v>10</v>
      </c>
      <c r="N13" s="22" t="s">
        <v>134</v>
      </c>
      <c r="O13" s="1" t="s">
        <v>135</v>
      </c>
      <c r="P13" s="22" t="s">
        <v>136</v>
      </c>
    </row>
    <row r="14" spans="1:16" x14ac:dyDescent="0.15">
      <c r="C14" s="26" t="s">
        <v>137</v>
      </c>
      <c r="D14" s="631">
        <v>0</v>
      </c>
      <c r="E14" s="631">
        <v>0</v>
      </c>
      <c r="F14" s="631">
        <v>0</v>
      </c>
      <c r="G14" s="631">
        <v>0</v>
      </c>
      <c r="H14" s="631">
        <v>0</v>
      </c>
      <c r="I14" s="631">
        <v>0</v>
      </c>
      <c r="J14" s="631">
        <v>0</v>
      </c>
      <c r="K14" s="631">
        <v>0</v>
      </c>
      <c r="L14" s="631">
        <v>0</v>
      </c>
      <c r="M14" s="631">
        <v>0</v>
      </c>
      <c r="N14" s="292">
        <f>SUM(D14:M14)</f>
        <v>0</v>
      </c>
      <c r="O14" s="289">
        <f>N14/'Initial Inputs'!$C$7</f>
        <v>0</v>
      </c>
      <c r="P14" s="177">
        <f>O14/O30</f>
        <v>0</v>
      </c>
    </row>
    <row r="15" spans="1:16" ht="14" x14ac:dyDescent="0.15">
      <c r="C15" s="27" t="s">
        <v>138</v>
      </c>
      <c r="D15" s="638">
        <v>0</v>
      </c>
      <c r="E15" s="638">
        <v>0</v>
      </c>
      <c r="F15" s="638">
        <v>0</v>
      </c>
      <c r="G15" s="638">
        <v>0</v>
      </c>
      <c r="H15" s="638">
        <v>0</v>
      </c>
      <c r="I15" s="638">
        <v>0</v>
      </c>
      <c r="J15" s="638">
        <v>0</v>
      </c>
      <c r="K15" s="638">
        <v>0</v>
      </c>
      <c r="L15" s="638">
        <v>0</v>
      </c>
      <c r="M15" s="638">
        <v>0</v>
      </c>
      <c r="N15" s="639"/>
      <c r="O15" s="640">
        <f>SUM(D15:M15)/'Initial Inputs'!$C$7</f>
        <v>0</v>
      </c>
      <c r="P15" s="57"/>
    </row>
    <row r="16" spans="1:16" x14ac:dyDescent="0.15">
      <c r="C16" s="26" t="s">
        <v>139</v>
      </c>
      <c r="D16" s="221">
        <f>D14*D15</f>
        <v>0</v>
      </c>
      <c r="E16" s="221">
        <f t="shared" ref="E16:M16" si="3">E14*E15</f>
        <v>0</v>
      </c>
      <c r="F16" s="221">
        <f t="shared" si="3"/>
        <v>0</v>
      </c>
      <c r="G16" s="221">
        <f t="shared" si="3"/>
        <v>0</v>
      </c>
      <c r="H16" s="221">
        <f t="shared" si="3"/>
        <v>0</v>
      </c>
      <c r="I16" s="221">
        <f t="shared" si="3"/>
        <v>0</v>
      </c>
      <c r="J16" s="221">
        <f t="shared" si="3"/>
        <v>0</v>
      </c>
      <c r="K16" s="221">
        <f t="shared" si="3"/>
        <v>0</v>
      </c>
      <c r="L16" s="221">
        <f t="shared" si="3"/>
        <v>0</v>
      </c>
      <c r="M16" s="221">
        <f t="shared" si="3"/>
        <v>0</v>
      </c>
      <c r="N16" s="240">
        <f>SUM(D16:M16)</f>
        <v>0</v>
      </c>
      <c r="O16" s="218">
        <f>SUM(D16:M16)/'Initial Inputs'!$C$7</f>
        <v>0</v>
      </c>
      <c r="P16" s="177">
        <f>O16/O31</f>
        <v>0</v>
      </c>
    </row>
    <row r="19" spans="1:16" x14ac:dyDescent="0.15">
      <c r="A19" s="1" t="s">
        <v>141</v>
      </c>
    </row>
    <row r="20" spans="1:16" x14ac:dyDescent="0.15">
      <c r="A20" s="287"/>
      <c r="C20" s="26" t="s">
        <v>133</v>
      </c>
      <c r="D20" s="26">
        <v>1</v>
      </c>
      <c r="E20" s="26">
        <v>2</v>
      </c>
      <c r="F20" s="26">
        <v>3</v>
      </c>
      <c r="G20" s="26">
        <v>4</v>
      </c>
      <c r="H20" s="26">
        <v>5</v>
      </c>
      <c r="I20" s="26">
        <v>6</v>
      </c>
      <c r="J20" s="26">
        <v>7</v>
      </c>
      <c r="K20" s="26">
        <v>8</v>
      </c>
      <c r="L20" s="26">
        <v>9</v>
      </c>
      <c r="M20" s="26">
        <v>10</v>
      </c>
      <c r="N20" s="22" t="s">
        <v>134</v>
      </c>
      <c r="O20" s="1" t="s">
        <v>135</v>
      </c>
      <c r="P20" s="22" t="s">
        <v>136</v>
      </c>
    </row>
    <row r="21" spans="1:16" x14ac:dyDescent="0.15">
      <c r="C21" s="26" t="s">
        <v>137</v>
      </c>
      <c r="D21" s="631">
        <v>0</v>
      </c>
      <c r="E21" s="631">
        <v>0</v>
      </c>
      <c r="F21" s="631">
        <v>0</v>
      </c>
      <c r="G21" s="631">
        <v>0</v>
      </c>
      <c r="H21" s="631">
        <v>0</v>
      </c>
      <c r="I21" s="631">
        <v>0</v>
      </c>
      <c r="J21" s="631">
        <v>0</v>
      </c>
      <c r="K21" s="631">
        <v>0</v>
      </c>
      <c r="L21" s="631">
        <v>0</v>
      </c>
      <c r="M21" s="631">
        <v>0</v>
      </c>
      <c r="N21" s="292">
        <f>SUM(D21:M21)</f>
        <v>0</v>
      </c>
      <c r="O21" s="289">
        <f>N21/'Initial Inputs'!$C$7</f>
        <v>0</v>
      </c>
      <c r="P21" s="177">
        <f>O21/O30</f>
        <v>0</v>
      </c>
    </row>
    <row r="22" spans="1:16" ht="14" x14ac:dyDescent="0.15">
      <c r="C22" s="27" t="s">
        <v>138</v>
      </c>
      <c r="D22" s="635">
        <v>0</v>
      </c>
      <c r="E22" s="635">
        <v>0</v>
      </c>
      <c r="F22" s="635">
        <v>0</v>
      </c>
      <c r="G22" s="635">
        <v>0</v>
      </c>
      <c r="H22" s="635">
        <v>0</v>
      </c>
      <c r="I22" s="635">
        <v>0</v>
      </c>
      <c r="J22" s="635">
        <v>0</v>
      </c>
      <c r="K22" s="635">
        <v>0</v>
      </c>
      <c r="L22" s="635">
        <v>0</v>
      </c>
      <c r="M22" s="635">
        <v>0</v>
      </c>
      <c r="N22" s="636"/>
      <c r="O22" s="637">
        <f>SUM(D22:M22)/'Initial Inputs'!$C$7</f>
        <v>0</v>
      </c>
      <c r="P22" s="57"/>
    </row>
    <row r="23" spans="1:16" x14ac:dyDescent="0.15">
      <c r="C23" s="26" t="s">
        <v>139</v>
      </c>
      <c r="D23" s="221">
        <f>D21*D22</f>
        <v>0</v>
      </c>
      <c r="E23" s="221">
        <f t="shared" ref="E23:M23" si="4">E21*E22</f>
        <v>0</v>
      </c>
      <c r="F23" s="221">
        <f t="shared" si="4"/>
        <v>0</v>
      </c>
      <c r="G23" s="221">
        <f t="shared" si="4"/>
        <v>0</v>
      </c>
      <c r="H23" s="221">
        <f t="shared" si="4"/>
        <v>0</v>
      </c>
      <c r="I23" s="221">
        <f t="shared" si="4"/>
        <v>0</v>
      </c>
      <c r="J23" s="221">
        <f t="shared" si="4"/>
        <v>0</v>
      </c>
      <c r="K23" s="221">
        <f t="shared" si="4"/>
        <v>0</v>
      </c>
      <c r="L23" s="221">
        <f t="shared" si="4"/>
        <v>0</v>
      </c>
      <c r="M23" s="221">
        <f t="shared" si="4"/>
        <v>0</v>
      </c>
      <c r="N23" s="240">
        <f>SUM(D23:M23)</f>
        <v>0</v>
      </c>
      <c r="O23" s="218">
        <f>SUM(D23:M23)/'Initial Inputs'!$C$7</f>
        <v>0</v>
      </c>
      <c r="P23" s="177">
        <f>O23/O31</f>
        <v>0</v>
      </c>
    </row>
    <row r="24" spans="1:16" x14ac:dyDescent="0.15">
      <c r="P24" s="196"/>
    </row>
    <row r="26" spans="1:16" ht="14" x14ac:dyDescent="0.15">
      <c r="A26" s="37" t="s">
        <v>142</v>
      </c>
      <c r="B26" s="37"/>
      <c r="C26" s="38" t="s">
        <v>133</v>
      </c>
      <c r="D26" s="38">
        <v>1</v>
      </c>
      <c r="E26" s="38">
        <v>2</v>
      </c>
      <c r="F26" s="38">
        <v>3</v>
      </c>
      <c r="G26" s="38">
        <v>4</v>
      </c>
      <c r="H26" s="38">
        <v>5</v>
      </c>
      <c r="I26" s="38">
        <v>6</v>
      </c>
      <c r="J26" s="38">
        <v>7</v>
      </c>
      <c r="K26" s="38">
        <v>8</v>
      </c>
      <c r="L26" s="38">
        <v>9</v>
      </c>
      <c r="M26" s="38">
        <v>10</v>
      </c>
      <c r="N26" s="22" t="s">
        <v>134</v>
      </c>
    </row>
    <row r="27" spans="1:16" ht="14" x14ac:dyDescent="0.15">
      <c r="C27" s="23" t="s">
        <v>143</v>
      </c>
      <c r="D27" s="221">
        <f t="shared" ref="D27:M27" si="5">D9+D16+D23</f>
        <v>300000000</v>
      </c>
      <c r="E27" s="221">
        <f t="shared" si="5"/>
        <v>313500000.00000006</v>
      </c>
      <c r="F27" s="221">
        <f t="shared" si="5"/>
        <v>327607500.00000006</v>
      </c>
      <c r="G27" s="221">
        <f t="shared" si="5"/>
        <v>342349837.50000012</v>
      </c>
      <c r="H27" s="221">
        <f t="shared" si="5"/>
        <v>357755580.18750012</v>
      </c>
      <c r="I27" s="221">
        <f t="shared" si="5"/>
        <v>0</v>
      </c>
      <c r="J27" s="221">
        <f t="shared" si="5"/>
        <v>0</v>
      </c>
      <c r="K27" s="221">
        <f t="shared" si="5"/>
        <v>0</v>
      </c>
      <c r="L27" s="221">
        <f t="shared" si="5"/>
        <v>0</v>
      </c>
      <c r="M27" s="221">
        <f t="shared" si="5"/>
        <v>0</v>
      </c>
      <c r="N27" s="240">
        <f>SUM(D27:M27)</f>
        <v>1641212917.6875</v>
      </c>
    </row>
    <row r="30" spans="1:16" x14ac:dyDescent="0.15">
      <c r="M30" s="744" t="s">
        <v>144</v>
      </c>
      <c r="N30" s="744"/>
      <c r="O30" s="289">
        <f>O7+O14+O21</f>
        <v>1831530.0000000005</v>
      </c>
    </row>
    <row r="31" spans="1:16" x14ac:dyDescent="0.15">
      <c r="M31" s="744" t="s">
        <v>145</v>
      </c>
      <c r="N31" s="744"/>
      <c r="O31" s="218">
        <f>O9+O16+O23</f>
        <v>328242583.53750002</v>
      </c>
    </row>
    <row r="33" spans="1:18" ht="14" thickBot="1" x14ac:dyDescent="0.2">
      <c r="A33" s="138"/>
      <c r="B33" s="138"/>
      <c r="C33" s="138"/>
      <c r="D33" s="138"/>
      <c r="E33" s="138"/>
      <c r="F33" s="138"/>
      <c r="G33" s="138"/>
      <c r="H33" s="138"/>
      <c r="I33" s="138"/>
      <c r="J33" s="138"/>
      <c r="K33" s="138"/>
      <c r="L33" s="138"/>
      <c r="M33" s="138"/>
      <c r="N33" s="138"/>
      <c r="O33" s="138"/>
      <c r="P33" s="138"/>
      <c r="Q33" s="138"/>
    </row>
    <row r="34" spans="1:18" ht="14" thickTop="1" x14ac:dyDescent="0.15">
      <c r="L34" s="6"/>
    </row>
    <row r="35" spans="1:18" ht="16" x14ac:dyDescent="0.2">
      <c r="A35" s="205" t="s">
        <v>146</v>
      </c>
    </row>
    <row r="36" spans="1:18" x14ac:dyDescent="0.15">
      <c r="J36" s="250"/>
      <c r="L36" s="250"/>
      <c r="N36" s="251"/>
    </row>
    <row r="37" spans="1:18" x14ac:dyDescent="0.15">
      <c r="L37" s="250"/>
    </row>
    <row r="38" spans="1:18" x14ac:dyDescent="0.15">
      <c r="G38" s="196"/>
      <c r="H38" s="252"/>
      <c r="I38" s="3"/>
      <c r="L38" s="250"/>
      <c r="N38" s="3"/>
    </row>
    <row r="39" spans="1:18" x14ac:dyDescent="0.15">
      <c r="H39" s="252"/>
      <c r="I39" s="3"/>
      <c r="L39" s="66"/>
    </row>
    <row r="40" spans="1:18" x14ac:dyDescent="0.15">
      <c r="H40" s="252"/>
      <c r="I40" s="3"/>
    </row>
    <row r="41" spans="1:18" x14ac:dyDescent="0.15">
      <c r="I41" s="3"/>
      <c r="Q41" s="250"/>
      <c r="R41" s="252"/>
    </row>
    <row r="42" spans="1:18" x14ac:dyDescent="0.15">
      <c r="Q42" s="66"/>
      <c r="R42" s="252"/>
    </row>
    <row r="43" spans="1:18" x14ac:dyDescent="0.15">
      <c r="H43" s="252"/>
      <c r="I43" s="3"/>
      <c r="K43" s="252"/>
      <c r="L43" s="3"/>
      <c r="N43" s="196"/>
      <c r="Q43" s="66"/>
      <c r="R43" s="252"/>
    </row>
    <row r="44" spans="1:18" x14ac:dyDescent="0.15">
      <c r="H44" s="252"/>
      <c r="I44" s="3"/>
      <c r="K44" s="252"/>
      <c r="L44" s="3"/>
      <c r="N44" s="196"/>
      <c r="Q44" s="66"/>
    </row>
    <row r="45" spans="1:18" x14ac:dyDescent="0.15">
      <c r="H45" s="252"/>
      <c r="I45" s="3"/>
      <c r="K45" s="252"/>
      <c r="L45" s="3"/>
      <c r="N45" s="196"/>
    </row>
    <row r="46" spans="1:18" x14ac:dyDescent="0.15">
      <c r="H46" s="252"/>
      <c r="I46" s="3"/>
      <c r="K46" s="252"/>
      <c r="L46" s="3"/>
    </row>
  </sheetData>
  <sheetProtection password="D5F9" sheet="1" objects="1" scenarios="1"/>
  <protectedRanges>
    <protectedRange sqref="D7:D8 D14:D15 D21:D22" name="Range1"/>
  </protectedRanges>
  <mergeCells count="2">
    <mergeCell ref="M30:N30"/>
    <mergeCell ref="M31:N31"/>
  </mergeCells>
  <phoneticPr fontId="0" type="noConversion"/>
  <printOptions headings="1"/>
  <pageMargins left="0.75" right="0.75" top="1" bottom="1" header="0.5" footer="0.5"/>
  <pageSetup scale="42" orientation="landscape"/>
  <headerFooter alignWithMargins="0">
    <oddHeader>&amp;LEngineering Economics Model for Senior Design&amp;R&amp;"Times New Roman,Bold"&amp;14Sales Revenue</oddHeader>
    <oddFooter>&amp;LJ:/EM355/Spring01/Labs/EEworkingfolder/&amp;F&amp;CPage &amp;P of &amp;N&amp;R&amp;T&amp;D</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T109"/>
  <sheetViews>
    <sheetView topLeftCell="A22" zoomScale="130" zoomScaleNormal="130" zoomScalePageLayoutView="125" workbookViewId="0">
      <selection activeCell="D83" sqref="D83"/>
    </sheetView>
  </sheetViews>
  <sheetFormatPr baseColWidth="10" defaultColWidth="8.83203125" defaultRowHeight="13" x14ac:dyDescent="0.15"/>
  <cols>
    <col min="1" max="1" width="36.1640625" customWidth="1"/>
    <col min="2" max="2" width="18.83203125" customWidth="1"/>
    <col min="3" max="3" width="37" customWidth="1"/>
    <col min="4" max="12" width="22.6640625" customWidth="1"/>
    <col min="13" max="13" width="20.5" customWidth="1"/>
    <col min="14" max="14" width="22.6640625" customWidth="1"/>
    <col min="15" max="15" width="19.5" customWidth="1"/>
    <col min="17" max="17" width="5.33203125" customWidth="1"/>
    <col min="18" max="18" width="12.5" customWidth="1"/>
    <col min="19" max="19" width="16.33203125" customWidth="1"/>
  </cols>
  <sheetData>
    <row r="1" spans="1:20" ht="20" x14ac:dyDescent="0.2">
      <c r="A1" s="630" t="s">
        <v>147</v>
      </c>
      <c r="B1" s="630"/>
    </row>
    <row r="3" spans="1:20" ht="14" thickBot="1" x14ac:dyDescent="0.2"/>
    <row r="4" spans="1:20" ht="14" thickBot="1" x14ac:dyDescent="0.2">
      <c r="E4" s="628" t="s">
        <v>148</v>
      </c>
      <c r="F4" s="629">
        <v>0.05</v>
      </c>
    </row>
    <row r="5" spans="1:20" ht="14" thickBot="1" x14ac:dyDescent="0.2">
      <c r="F5" s="22"/>
    </row>
    <row r="6" spans="1:20" ht="17" thickBot="1" x14ac:dyDescent="0.25">
      <c r="A6" s="206" t="s">
        <v>149</v>
      </c>
      <c r="B6" s="206"/>
      <c r="E6" s="628" t="s">
        <v>150</v>
      </c>
      <c r="F6" s="629">
        <v>0.03</v>
      </c>
    </row>
    <row r="7" spans="1:20" ht="14" thickBot="1" x14ac:dyDescent="0.2">
      <c r="E7" s="1"/>
      <c r="F7" s="627"/>
    </row>
    <row r="8" spans="1:20" ht="14" thickBot="1" x14ac:dyDescent="0.2">
      <c r="E8" s="628" t="s">
        <v>151</v>
      </c>
      <c r="F8" s="629"/>
    </row>
    <row r="9" spans="1:20" x14ac:dyDescent="0.15">
      <c r="D9" t="s">
        <v>152</v>
      </c>
      <c r="E9" s="1"/>
      <c r="F9" s="627"/>
    </row>
    <row r="11" spans="1:20" ht="31" x14ac:dyDescent="0.4">
      <c r="A11" s="48" t="s">
        <v>153</v>
      </c>
      <c r="B11" s="48"/>
      <c r="D11" s="39" t="s">
        <v>154</v>
      </c>
    </row>
    <row r="13" spans="1:20" ht="28" x14ac:dyDescent="0.15">
      <c r="A13" s="1" t="s">
        <v>132</v>
      </c>
      <c r="B13" s="1"/>
      <c r="C13" s="26" t="s">
        <v>133</v>
      </c>
      <c r="D13" s="26">
        <v>1</v>
      </c>
      <c r="E13" s="26">
        <v>2</v>
      </c>
      <c r="F13" s="26">
        <v>3</v>
      </c>
      <c r="G13" s="26">
        <v>4</v>
      </c>
      <c r="H13" s="26">
        <v>5</v>
      </c>
      <c r="I13" s="26">
        <v>6</v>
      </c>
      <c r="J13" s="26">
        <v>7</v>
      </c>
      <c r="K13" s="26">
        <v>8</v>
      </c>
      <c r="L13" s="26">
        <v>9</v>
      </c>
      <c r="M13" s="26">
        <v>10</v>
      </c>
      <c r="N13" s="22" t="s">
        <v>134</v>
      </c>
      <c r="O13" s="22" t="s">
        <v>135</v>
      </c>
      <c r="S13" s="37" t="s">
        <v>155</v>
      </c>
      <c r="T13" s="22" t="s">
        <v>136</v>
      </c>
    </row>
    <row r="14" spans="1:20" x14ac:dyDescent="0.15">
      <c r="A14" s="121" t="str">
        <f>Revenues!A6</f>
        <v>The Gaskins Potty</v>
      </c>
      <c r="B14" s="675"/>
      <c r="C14" s="26" t="s">
        <v>156</v>
      </c>
      <c r="D14" s="288">
        <f>Revenues!D7</f>
        <v>1500000</v>
      </c>
      <c r="E14" s="288">
        <f>Revenues!E7</f>
        <v>1650000.0000000002</v>
      </c>
      <c r="F14" s="288">
        <f>Revenues!F7</f>
        <v>1815000.0000000005</v>
      </c>
      <c r="G14" s="288">
        <f>Revenues!G7</f>
        <v>1996500.0000000007</v>
      </c>
      <c r="H14" s="288">
        <f>Revenues!H7</f>
        <v>2196150.0000000009</v>
      </c>
      <c r="I14" s="288">
        <f>Revenues!I7</f>
        <v>0</v>
      </c>
      <c r="J14" s="288">
        <f>Revenues!J7</f>
        <v>0</v>
      </c>
      <c r="K14" s="288">
        <f>Revenues!K7</f>
        <v>0</v>
      </c>
      <c r="L14" s="288">
        <f>Revenues!L7</f>
        <v>0</v>
      </c>
      <c r="M14" s="288">
        <f>Revenues!M7</f>
        <v>0</v>
      </c>
      <c r="N14" s="289">
        <f>SUM(D14:M14)</f>
        <v>9157650.0000000019</v>
      </c>
      <c r="O14" s="289">
        <f>SUM(D14:M14)/'Initial Inputs'!$C$7</f>
        <v>1831530.0000000005</v>
      </c>
      <c r="R14" s="28" t="s">
        <v>132</v>
      </c>
      <c r="S14" s="62">
        <f>O18+O39+O14*O55</f>
        <v>210316040.90262923</v>
      </c>
      <c r="T14" s="177">
        <f>S14/$S$17</f>
        <v>1</v>
      </c>
    </row>
    <row r="15" spans="1:20" x14ac:dyDescent="0.15">
      <c r="C15" s="26" t="s">
        <v>157</v>
      </c>
      <c r="D15" s="570">
        <v>0.06</v>
      </c>
      <c r="E15" s="571">
        <f>IF(E$13&gt;'Initial Inputs'!$C$7,0,D15*(1-$F$4))</f>
        <v>5.6999999999999995E-2</v>
      </c>
      <c r="F15" s="571">
        <f>IF(F$13&gt;'Initial Inputs'!$C$7,0,E15*(1-$F$4))</f>
        <v>5.414999999999999E-2</v>
      </c>
      <c r="G15" s="571">
        <f>IF(G$13&gt;'Initial Inputs'!$C$7,0,F15*(1-$F$4))</f>
        <v>5.1442499999999988E-2</v>
      </c>
      <c r="H15" s="571">
        <f>IF(H$13&gt;'Initial Inputs'!$C$7,0,G15*(1-$F$4))</f>
        <v>4.8870374999999987E-2</v>
      </c>
      <c r="I15" s="571">
        <f>IF(I$13&gt;'Initial Inputs'!$C$7,0,H15*(1-$F$4))</f>
        <v>0</v>
      </c>
      <c r="J15" s="571">
        <f>IF(J$13&gt;'Initial Inputs'!$C$7,0,I15*(1-$F$4))</f>
        <v>0</v>
      </c>
      <c r="K15" s="571">
        <f>IF(K$13&gt;'Initial Inputs'!$C$7,0,J15*(1-$F$4))</f>
        <v>0</v>
      </c>
      <c r="L15" s="571">
        <f>IF(L$13&gt;'Initial Inputs'!$C$7,0,K15*(1-$F$4))</f>
        <v>0</v>
      </c>
      <c r="M15" s="571">
        <f>IF(M$13&gt;'Initial Inputs'!$C$7,0,L15*(1-$F$4))</f>
        <v>0</v>
      </c>
      <c r="N15" s="165"/>
      <c r="O15" s="177">
        <f>SUM(D15:M15)/'Initial Inputs'!$C$7</f>
        <v>5.4292574999999989E-2</v>
      </c>
      <c r="R15" s="28" t="s">
        <v>140</v>
      </c>
      <c r="S15" s="62">
        <f>O25+O44+O21*O55</f>
        <v>0</v>
      </c>
      <c r="T15" s="177">
        <f>S15/$S$17</f>
        <v>0</v>
      </c>
    </row>
    <row r="16" spans="1:20" x14ac:dyDescent="0.15">
      <c r="C16" s="26" t="s">
        <v>158</v>
      </c>
      <c r="D16" s="289">
        <f>D14*D15</f>
        <v>90000</v>
      </c>
      <c r="E16" s="289">
        <f t="shared" ref="E16:M16" si="0">E14*E15</f>
        <v>94050</v>
      </c>
      <c r="F16" s="289">
        <f t="shared" si="0"/>
        <v>98282.25</v>
      </c>
      <c r="G16" s="289">
        <f t="shared" si="0"/>
        <v>102704.95125000001</v>
      </c>
      <c r="H16" s="289">
        <f t="shared" si="0"/>
        <v>107326.67405625002</v>
      </c>
      <c r="I16" s="289">
        <f t="shared" si="0"/>
        <v>0</v>
      </c>
      <c r="J16" s="289">
        <f t="shared" si="0"/>
        <v>0</v>
      </c>
      <c r="K16" s="289">
        <f t="shared" si="0"/>
        <v>0</v>
      </c>
      <c r="L16" s="289">
        <f t="shared" si="0"/>
        <v>0</v>
      </c>
      <c r="M16" s="289">
        <f t="shared" si="0"/>
        <v>0</v>
      </c>
      <c r="N16" s="289">
        <f>SUM(D16:M16)</f>
        <v>492363.87530625006</v>
      </c>
      <c r="O16" s="57"/>
      <c r="R16" s="28" t="s">
        <v>141</v>
      </c>
      <c r="S16" s="62">
        <f>O32+O49+O28*O55</f>
        <v>0</v>
      </c>
      <c r="T16" s="177">
        <f>S16/$S$17</f>
        <v>0</v>
      </c>
    </row>
    <row r="17" spans="1:20" ht="14" x14ac:dyDescent="0.15">
      <c r="C17" s="27" t="s">
        <v>159</v>
      </c>
      <c r="D17" s="283">
        <v>50</v>
      </c>
      <c r="E17" s="572">
        <f>IF('Initial Inputs'!$E$5=0,D17*(1+Expenses!$F$6),D17)</f>
        <v>51.5</v>
      </c>
      <c r="F17" s="572">
        <f>IF('Initial Inputs'!$E$5=0,E17*(1+Expenses!$F$6),E17)</f>
        <v>53.045000000000002</v>
      </c>
      <c r="G17" s="572">
        <f>IF('Initial Inputs'!$E$5=0,F17*(1+Expenses!$F$6),F17)</f>
        <v>54.63635</v>
      </c>
      <c r="H17" s="572">
        <f>IF('Initial Inputs'!$E$5=0,G17*(1+Expenses!$F$6),G17)</f>
        <v>56.275440500000002</v>
      </c>
      <c r="I17" s="572">
        <f>IF('Initial Inputs'!$E$5=0,H17*(1+Expenses!$F$6),H17)</f>
        <v>57.963703715000001</v>
      </c>
      <c r="J17" s="572">
        <f>IF('Initial Inputs'!$E$5=0,I17*(1+Expenses!$F$6),I17)</f>
        <v>59.702614826450002</v>
      </c>
      <c r="K17" s="572">
        <f>IF('Initial Inputs'!$E$5=0,J17*(1+Expenses!$F$6),J17)</f>
        <v>61.493693271243501</v>
      </c>
      <c r="L17" s="572">
        <f>IF('Initial Inputs'!$E$5=0,K17*(1+Expenses!$F$6),K17)</f>
        <v>63.338504069380811</v>
      </c>
      <c r="M17" s="572">
        <f>IF('Initial Inputs'!$E$5=0,L17*(1+Expenses!$F$6),L17)</f>
        <v>65.238659191462233</v>
      </c>
      <c r="N17" s="165"/>
      <c r="O17" s="222">
        <f>SUM(D17:M17)/'Initial Inputs'!$C$7</f>
        <v>114.6387931147073</v>
      </c>
      <c r="R17" s="28" t="s">
        <v>160</v>
      </c>
      <c r="S17" s="63">
        <f>SUM(S14:S16)</f>
        <v>210316040.90262923</v>
      </c>
      <c r="T17" s="177">
        <f>SUM(T14:T16)</f>
        <v>1</v>
      </c>
    </row>
    <row r="18" spans="1:20" x14ac:dyDescent="0.15">
      <c r="C18" s="26" t="s">
        <v>161</v>
      </c>
      <c r="D18" s="136">
        <f>D16*D17</f>
        <v>4500000</v>
      </c>
      <c r="E18" s="136">
        <f t="shared" ref="E18:M18" si="1">E16*E17</f>
        <v>4843575</v>
      </c>
      <c r="F18" s="136">
        <f t="shared" si="1"/>
        <v>5213381.9512499999</v>
      </c>
      <c r="G18" s="136">
        <f t="shared" si="1"/>
        <v>5611423.6632279381</v>
      </c>
      <c r="H18" s="136">
        <f t="shared" si="1"/>
        <v>6039855.8599153915</v>
      </c>
      <c r="I18" s="136">
        <f t="shared" si="1"/>
        <v>0</v>
      </c>
      <c r="J18" s="136">
        <f t="shared" si="1"/>
        <v>0</v>
      </c>
      <c r="K18" s="136">
        <f t="shared" si="1"/>
        <v>0</v>
      </c>
      <c r="L18" s="136">
        <f t="shared" si="1"/>
        <v>0</v>
      </c>
      <c r="M18" s="136">
        <f t="shared" si="1"/>
        <v>0</v>
      </c>
      <c r="N18" s="233">
        <f>SUM(D18:M18)</f>
        <v>26208236.474393331</v>
      </c>
      <c r="O18" s="68">
        <f>SUM(D18:M18)/'Initial Inputs'!$C$7</f>
        <v>5241647.2948786663</v>
      </c>
    </row>
    <row r="20" spans="1:20" x14ac:dyDescent="0.15">
      <c r="A20" s="1" t="s">
        <v>140</v>
      </c>
      <c r="B20" s="1"/>
      <c r="C20" s="26" t="s">
        <v>133</v>
      </c>
      <c r="D20" s="26">
        <v>1</v>
      </c>
      <c r="E20" s="26">
        <v>2</v>
      </c>
      <c r="F20" s="26">
        <v>3</v>
      </c>
      <c r="G20" s="26">
        <v>4</v>
      </c>
      <c r="H20" s="26">
        <v>5</v>
      </c>
      <c r="I20" s="26">
        <v>6</v>
      </c>
      <c r="J20" s="26">
        <v>7</v>
      </c>
      <c r="K20" s="26">
        <v>8</v>
      </c>
      <c r="L20" s="26">
        <v>9</v>
      </c>
      <c r="M20" s="26">
        <v>10</v>
      </c>
      <c r="N20" s="22" t="s">
        <v>134</v>
      </c>
      <c r="O20" s="22" t="s">
        <v>135</v>
      </c>
    </row>
    <row r="21" spans="1:20" x14ac:dyDescent="0.15">
      <c r="A21" s="121">
        <f>Revenues!A13</f>
        <v>0</v>
      </c>
      <c r="B21" s="675"/>
      <c r="C21" s="26" t="s">
        <v>156</v>
      </c>
      <c r="D21" s="288">
        <f>Revenues!D14</f>
        <v>0</v>
      </c>
      <c r="E21" s="288">
        <f>Revenues!E14</f>
        <v>0</v>
      </c>
      <c r="F21" s="288">
        <f>Revenues!F14</f>
        <v>0</v>
      </c>
      <c r="G21" s="288">
        <f>Revenues!G14</f>
        <v>0</v>
      </c>
      <c r="H21" s="288">
        <f>Revenues!H14</f>
        <v>0</v>
      </c>
      <c r="I21" s="288">
        <f>Revenues!I14</f>
        <v>0</v>
      </c>
      <c r="J21" s="288">
        <f>Revenues!J14</f>
        <v>0</v>
      </c>
      <c r="K21" s="288">
        <f>Revenues!K14</f>
        <v>0</v>
      </c>
      <c r="L21" s="288">
        <f>Revenues!L14</f>
        <v>0</v>
      </c>
      <c r="M21" s="288">
        <f>Revenues!M14</f>
        <v>0</v>
      </c>
      <c r="N21" s="289">
        <f>SUM(D21:M21)</f>
        <v>0</v>
      </c>
      <c r="O21" s="289">
        <f>SUM(D21:M21)/'Initial Inputs'!$C$7</f>
        <v>0</v>
      </c>
      <c r="R21" s="1"/>
      <c r="S21" s="2"/>
    </row>
    <row r="22" spans="1:20" x14ac:dyDescent="0.15">
      <c r="C22" s="26" t="s">
        <v>157</v>
      </c>
      <c r="D22" s="282">
        <v>0</v>
      </c>
      <c r="E22" s="571">
        <f>IF(E$13&gt;'Initial Inputs'!$C$7,0,D22*(1-$F$4))</f>
        <v>0</v>
      </c>
      <c r="F22" s="571">
        <f>IF(F$13&gt;'Initial Inputs'!$C$7,0,E22*(1-$F$4))</f>
        <v>0</v>
      </c>
      <c r="G22" s="571">
        <f>IF(G$13&gt;'Initial Inputs'!$C$7,0,F22*(1-$F$4))</f>
        <v>0</v>
      </c>
      <c r="H22" s="571">
        <f>IF(H$13&gt;'Initial Inputs'!$C$7,0,G22*(1-$F$4))</f>
        <v>0</v>
      </c>
      <c r="I22" s="571">
        <f>IF(I$13&gt;'Initial Inputs'!$C$7,0,H22*(1-$F$4))</f>
        <v>0</v>
      </c>
      <c r="J22" s="571">
        <f>IF(J$13&gt;'Initial Inputs'!$C$7,0,I22*(1-$F$4))</f>
        <v>0</v>
      </c>
      <c r="K22" s="571">
        <f>IF(K$13&gt;'Initial Inputs'!$C$7,0,J22*(1-$F$4))</f>
        <v>0</v>
      </c>
      <c r="L22" s="571">
        <f>IF(L$13&gt;'Initial Inputs'!$C$7,0,K22*(1-$F$4))</f>
        <v>0</v>
      </c>
      <c r="M22" s="571">
        <f>IF(M$13&gt;'Initial Inputs'!$C$7,0,L22*(1-$F$4))</f>
        <v>0</v>
      </c>
      <c r="N22" s="165"/>
      <c r="O22" s="177">
        <f>SUM(D22:M22)/'Initial Inputs'!$C$7</f>
        <v>0</v>
      </c>
      <c r="R22" s="1"/>
      <c r="S22" s="2"/>
    </row>
    <row r="23" spans="1:20" x14ac:dyDescent="0.15">
      <c r="C23" s="26" t="s">
        <v>158</v>
      </c>
      <c r="D23" s="297">
        <f>D21*D22</f>
        <v>0</v>
      </c>
      <c r="E23" s="297">
        <f t="shared" ref="E23:M23" si="2">E21*E22</f>
        <v>0</v>
      </c>
      <c r="F23" s="297">
        <f t="shared" si="2"/>
        <v>0</v>
      </c>
      <c r="G23" s="297">
        <f t="shared" si="2"/>
        <v>0</v>
      </c>
      <c r="H23" s="297">
        <f t="shared" si="2"/>
        <v>0</v>
      </c>
      <c r="I23" s="297">
        <f t="shared" si="2"/>
        <v>0</v>
      </c>
      <c r="J23" s="297">
        <f t="shared" si="2"/>
        <v>0</v>
      </c>
      <c r="K23" s="297">
        <f t="shared" si="2"/>
        <v>0</v>
      </c>
      <c r="L23" s="297">
        <f t="shared" si="2"/>
        <v>0</v>
      </c>
      <c r="M23" s="297">
        <f t="shared" si="2"/>
        <v>0</v>
      </c>
      <c r="N23" s="289">
        <f>SUM(D23:M23)</f>
        <v>0</v>
      </c>
      <c r="O23" s="57"/>
      <c r="R23" s="1"/>
      <c r="S23" s="2"/>
    </row>
    <row r="24" spans="1:20" ht="14" x14ac:dyDescent="0.15">
      <c r="C24" s="27" t="s">
        <v>159</v>
      </c>
      <c r="D24" s="283">
        <v>0</v>
      </c>
      <c r="E24" s="572">
        <f>IF('Initial Inputs'!$E$5=0,D24*(1+Expenses!$F$6),D24)</f>
        <v>0</v>
      </c>
      <c r="F24" s="572">
        <f>IF('Initial Inputs'!$E$5=0,E24*(1+Expenses!$F$6),E24)</f>
        <v>0</v>
      </c>
      <c r="G24" s="572">
        <f>IF('Initial Inputs'!$E$5=0,F24*(1+Expenses!$F$6),F24)</f>
        <v>0</v>
      </c>
      <c r="H24" s="572">
        <f>IF('Initial Inputs'!$E$5=0,G24*(1+Expenses!$F$6),G24)</f>
        <v>0</v>
      </c>
      <c r="I24" s="572">
        <f>IF('Initial Inputs'!$E$5=0,H24*(1+Expenses!$F$6),H24)</f>
        <v>0</v>
      </c>
      <c r="J24" s="572">
        <f>IF('Initial Inputs'!$E$5=0,I24*(1+Expenses!$F$6),I24)</f>
        <v>0</v>
      </c>
      <c r="K24" s="572">
        <f>IF('Initial Inputs'!$E$5=0,J24*(1+Expenses!$F$6),J24)</f>
        <v>0</v>
      </c>
      <c r="L24" s="572">
        <f>IF('Initial Inputs'!$E$5=0,K24*(1+Expenses!$F$6),K24)</f>
        <v>0</v>
      </c>
      <c r="M24" s="572">
        <f>IF('Initial Inputs'!$E$5=0,L24*(1+Expenses!$F$6),L24)</f>
        <v>0</v>
      </c>
      <c r="N24" s="165"/>
      <c r="O24" s="222">
        <f>SUM(D24:M24)/'Initial Inputs'!$C$7</f>
        <v>0</v>
      </c>
      <c r="R24" s="1"/>
    </row>
    <row r="25" spans="1:20" x14ac:dyDescent="0.15">
      <c r="C25" s="26" t="s">
        <v>161</v>
      </c>
      <c r="D25" s="136">
        <f>D23*D24</f>
        <v>0</v>
      </c>
      <c r="E25" s="136">
        <f t="shared" ref="E25:M25" si="3">E23*E24</f>
        <v>0</v>
      </c>
      <c r="F25" s="136">
        <f t="shared" si="3"/>
        <v>0</v>
      </c>
      <c r="G25" s="136">
        <f t="shared" si="3"/>
        <v>0</v>
      </c>
      <c r="H25" s="136">
        <f t="shared" si="3"/>
        <v>0</v>
      </c>
      <c r="I25" s="136">
        <f t="shared" si="3"/>
        <v>0</v>
      </c>
      <c r="J25" s="136">
        <f t="shared" si="3"/>
        <v>0</v>
      </c>
      <c r="K25" s="136">
        <f t="shared" si="3"/>
        <v>0</v>
      </c>
      <c r="L25" s="136">
        <f t="shared" si="3"/>
        <v>0</v>
      </c>
      <c r="M25" s="136">
        <f t="shared" si="3"/>
        <v>0</v>
      </c>
      <c r="N25" s="233">
        <f>SUM(D25:M25)</f>
        <v>0</v>
      </c>
      <c r="O25" s="68">
        <f>SUM(D25:M25)/'Initial Inputs'!$C$7</f>
        <v>0</v>
      </c>
    </row>
    <row r="27" spans="1:20" x14ac:dyDescent="0.15">
      <c r="A27" s="1" t="s">
        <v>141</v>
      </c>
      <c r="B27" s="1"/>
      <c r="C27" s="26" t="s">
        <v>133</v>
      </c>
      <c r="D27" s="26">
        <v>1</v>
      </c>
      <c r="E27" s="26">
        <v>2</v>
      </c>
      <c r="F27" s="26">
        <v>3</v>
      </c>
      <c r="G27" s="26">
        <v>4</v>
      </c>
      <c r="H27" s="26">
        <v>5</v>
      </c>
      <c r="I27" s="26">
        <v>6</v>
      </c>
      <c r="J27" s="26">
        <v>7</v>
      </c>
      <c r="K27" s="26">
        <v>8</v>
      </c>
      <c r="L27" s="26">
        <v>9</v>
      </c>
      <c r="M27" s="26">
        <v>10</v>
      </c>
      <c r="N27" s="22" t="s">
        <v>134</v>
      </c>
      <c r="O27" s="22" t="s">
        <v>135</v>
      </c>
    </row>
    <row r="28" spans="1:20" x14ac:dyDescent="0.15">
      <c r="A28" s="121">
        <f>Revenues!A20</f>
        <v>0</v>
      </c>
      <c r="B28" s="675"/>
      <c r="C28" s="26" t="s">
        <v>156</v>
      </c>
      <c r="D28" s="288">
        <f>Revenues!D21</f>
        <v>0</v>
      </c>
      <c r="E28" s="288">
        <f>Revenues!E21</f>
        <v>0</v>
      </c>
      <c r="F28" s="288">
        <f>Revenues!F21</f>
        <v>0</v>
      </c>
      <c r="G28" s="288">
        <f>Revenues!G21</f>
        <v>0</v>
      </c>
      <c r="H28" s="288">
        <f>Revenues!H21</f>
        <v>0</v>
      </c>
      <c r="I28" s="288">
        <f>Revenues!I21</f>
        <v>0</v>
      </c>
      <c r="J28" s="288">
        <f>Revenues!J21</f>
        <v>0</v>
      </c>
      <c r="K28" s="288">
        <f>Revenues!K21</f>
        <v>0</v>
      </c>
      <c r="L28" s="288">
        <f>Revenues!L21</f>
        <v>0</v>
      </c>
      <c r="M28" s="288">
        <f>Revenues!M21</f>
        <v>0</v>
      </c>
      <c r="N28" s="289">
        <f>SUM(D28:M28)</f>
        <v>0</v>
      </c>
      <c r="O28" s="289">
        <f>SUM(D28:M28)/'Initial Inputs'!$C$7</f>
        <v>0</v>
      </c>
      <c r="R28" s="2"/>
    </row>
    <row r="29" spans="1:20" x14ac:dyDescent="0.15">
      <c r="C29" s="26" t="s">
        <v>157</v>
      </c>
      <c r="D29" s="282">
        <v>0</v>
      </c>
      <c r="E29" s="571">
        <f>IF(E$13&gt;'Initial Inputs'!$C$7,0,D29*(1-$F$4))</f>
        <v>0</v>
      </c>
      <c r="F29" s="571">
        <f>IF(F$13&gt;'Initial Inputs'!$C$7,0,E29*(1-$F$4))</f>
        <v>0</v>
      </c>
      <c r="G29" s="571">
        <f>IF(G$13&gt;'Initial Inputs'!$C$7,0,F29*(1-$F$4))</f>
        <v>0</v>
      </c>
      <c r="H29" s="571">
        <f>IF(H$13&gt;'Initial Inputs'!$C$7,0,G29*(1-$F$4))</f>
        <v>0</v>
      </c>
      <c r="I29" s="571">
        <f>IF(I$13&gt;'Initial Inputs'!$C$7,0,H29*(1-$F$4))</f>
        <v>0</v>
      </c>
      <c r="J29" s="571">
        <f>IF(J$13&gt;'Initial Inputs'!$C$7,0,I29*(1-$F$4))</f>
        <v>0</v>
      </c>
      <c r="K29" s="571">
        <f>IF(K$13&gt;'Initial Inputs'!$C$7,0,J29*(1-$F$4))</f>
        <v>0</v>
      </c>
      <c r="L29" s="571">
        <f>IF(L$13&gt;'Initial Inputs'!$C$7,0,K29*(1-$F$4))</f>
        <v>0</v>
      </c>
      <c r="M29" s="571">
        <f>IF(M$13&gt;'Initial Inputs'!$C$7,0,L29*(1-$F$4))</f>
        <v>0</v>
      </c>
      <c r="N29" s="165"/>
      <c r="O29" s="177">
        <f>SUM(D29:M29)/'Initial Inputs'!$C$7</f>
        <v>0</v>
      </c>
    </row>
    <row r="30" spans="1:20" x14ac:dyDescent="0.15">
      <c r="C30" s="26" t="s">
        <v>158</v>
      </c>
      <c r="D30" s="297">
        <f>D28*D29</f>
        <v>0</v>
      </c>
      <c r="E30" s="297">
        <f t="shared" ref="E30:M30" si="4">E28*E29</f>
        <v>0</v>
      </c>
      <c r="F30" s="297">
        <f t="shared" si="4"/>
        <v>0</v>
      </c>
      <c r="G30" s="297">
        <f t="shared" si="4"/>
        <v>0</v>
      </c>
      <c r="H30" s="297">
        <f t="shared" si="4"/>
        <v>0</v>
      </c>
      <c r="I30" s="297">
        <f t="shared" si="4"/>
        <v>0</v>
      </c>
      <c r="J30" s="297">
        <f t="shared" si="4"/>
        <v>0</v>
      </c>
      <c r="K30" s="297">
        <f t="shared" si="4"/>
        <v>0</v>
      </c>
      <c r="L30" s="297">
        <f t="shared" si="4"/>
        <v>0</v>
      </c>
      <c r="M30" s="297">
        <f t="shared" si="4"/>
        <v>0</v>
      </c>
      <c r="N30" s="289">
        <f>SUM(D30:M30)</f>
        <v>0</v>
      </c>
      <c r="O30" s="57"/>
    </row>
    <row r="31" spans="1:20" ht="14" x14ac:dyDescent="0.15">
      <c r="C31" s="27" t="s">
        <v>159</v>
      </c>
      <c r="D31" s="283">
        <v>0</v>
      </c>
      <c r="E31" s="572">
        <f>IF('Initial Inputs'!$E$5=0,D31*(1+Expenses!$F$6),D31)</f>
        <v>0</v>
      </c>
      <c r="F31" s="572">
        <f>IF('Initial Inputs'!$E$5=0,E31*(1+Expenses!$F$6),E31)</f>
        <v>0</v>
      </c>
      <c r="G31" s="572">
        <f>IF('Initial Inputs'!$E$5=0,F31*(1+Expenses!$F$6),F31)</f>
        <v>0</v>
      </c>
      <c r="H31" s="572">
        <f>IF('Initial Inputs'!$E$5=0,G31*(1+Expenses!$F$6),G31)</f>
        <v>0</v>
      </c>
      <c r="I31" s="572">
        <f>IF('Initial Inputs'!$E$5=0,H31*(1+Expenses!$F$6),H31)</f>
        <v>0</v>
      </c>
      <c r="J31" s="572">
        <f>IF('Initial Inputs'!$E$5=0,I31*(1+Expenses!$F$6),I31)</f>
        <v>0</v>
      </c>
      <c r="K31" s="572">
        <f>IF('Initial Inputs'!$E$5=0,J31*(1+Expenses!$F$6),J31)</f>
        <v>0</v>
      </c>
      <c r="L31" s="572">
        <f>IF('Initial Inputs'!$E$5=0,K31*(1+Expenses!$F$6),K31)</f>
        <v>0</v>
      </c>
      <c r="M31" s="572">
        <f>IF('Initial Inputs'!$E$5=0,L31*(1+Expenses!$F$6),L31)</f>
        <v>0</v>
      </c>
      <c r="N31" s="165"/>
      <c r="O31" s="222">
        <f>SUM(D31:M31)/'Initial Inputs'!$C$7</f>
        <v>0</v>
      </c>
    </row>
    <row r="32" spans="1:20" x14ac:dyDescent="0.15">
      <c r="C32" s="26" t="s">
        <v>161</v>
      </c>
      <c r="D32" s="223">
        <f>D30*D31</f>
        <v>0</v>
      </c>
      <c r="E32" s="223">
        <f t="shared" ref="E32:M32" si="5">E30*E31</f>
        <v>0</v>
      </c>
      <c r="F32" s="223">
        <f t="shared" si="5"/>
        <v>0</v>
      </c>
      <c r="G32" s="223">
        <f t="shared" si="5"/>
        <v>0</v>
      </c>
      <c r="H32" s="223">
        <f t="shared" si="5"/>
        <v>0</v>
      </c>
      <c r="I32" s="223">
        <f t="shared" si="5"/>
        <v>0</v>
      </c>
      <c r="J32" s="223">
        <f t="shared" si="5"/>
        <v>0</v>
      </c>
      <c r="K32" s="223">
        <f t="shared" si="5"/>
        <v>0</v>
      </c>
      <c r="L32" s="223">
        <f t="shared" si="5"/>
        <v>0</v>
      </c>
      <c r="M32" s="223">
        <f t="shared" si="5"/>
        <v>0</v>
      </c>
      <c r="N32" s="233">
        <f>SUM(D32:M32)</f>
        <v>0</v>
      </c>
      <c r="O32" s="68">
        <f>SUM(D32:M32)/'Initial Inputs'!$C$7</f>
        <v>0</v>
      </c>
      <c r="T32" s="196"/>
    </row>
    <row r="33" spans="1:20" x14ac:dyDescent="0.15">
      <c r="C33" s="22"/>
      <c r="D33" s="151"/>
      <c r="E33" s="151"/>
      <c r="F33" s="151"/>
      <c r="G33" s="151"/>
      <c r="H33" s="151"/>
      <c r="I33" s="151"/>
      <c r="J33" s="151"/>
      <c r="K33" s="151"/>
      <c r="L33" s="151"/>
      <c r="M33" s="151"/>
      <c r="N33" s="353"/>
      <c r="O33" s="626"/>
      <c r="T33" s="196"/>
    </row>
    <row r="34" spans="1:20" ht="31" x14ac:dyDescent="0.4">
      <c r="A34" s="48" t="s">
        <v>162</v>
      </c>
      <c r="B34" s="48"/>
      <c r="D34" s="39" t="s">
        <v>154</v>
      </c>
      <c r="T34" s="196"/>
    </row>
    <row r="35" spans="1:20" x14ac:dyDescent="0.15">
      <c r="R35" s="2"/>
      <c r="T35" s="196"/>
    </row>
    <row r="36" spans="1:20" x14ac:dyDescent="0.15">
      <c r="A36" s="1" t="s">
        <v>132</v>
      </c>
      <c r="B36" s="1"/>
      <c r="C36" s="26" t="s">
        <v>133</v>
      </c>
      <c r="D36" s="26">
        <v>1</v>
      </c>
      <c r="E36" s="26">
        <v>2</v>
      </c>
      <c r="F36" s="26">
        <v>3</v>
      </c>
      <c r="G36" s="26">
        <v>4</v>
      </c>
      <c r="H36" s="26">
        <v>5</v>
      </c>
      <c r="I36" s="26">
        <v>6</v>
      </c>
      <c r="J36" s="26">
        <v>7</v>
      </c>
      <c r="K36" s="26">
        <v>8</v>
      </c>
      <c r="L36" s="26">
        <v>9</v>
      </c>
      <c r="M36" s="26">
        <v>10</v>
      </c>
      <c r="N36" s="22" t="s">
        <v>134</v>
      </c>
      <c r="O36" s="22" t="s">
        <v>135</v>
      </c>
      <c r="R36" s="2"/>
      <c r="T36" s="196"/>
    </row>
    <row r="37" spans="1:20" x14ac:dyDescent="0.15">
      <c r="A37" s="121" t="str">
        <f>Revenues!A6</f>
        <v>The Gaskins Potty</v>
      </c>
      <c r="B37" s="675"/>
      <c r="C37" s="26" t="s">
        <v>156</v>
      </c>
      <c r="D37" s="288">
        <f t="shared" ref="D37:M37" si="6">D14</f>
        <v>1500000</v>
      </c>
      <c r="E37" s="288">
        <f t="shared" si="6"/>
        <v>1650000.0000000002</v>
      </c>
      <c r="F37" s="288">
        <f t="shared" si="6"/>
        <v>1815000.0000000005</v>
      </c>
      <c r="G37" s="288">
        <f t="shared" si="6"/>
        <v>1996500.0000000007</v>
      </c>
      <c r="H37" s="288">
        <f t="shared" si="6"/>
        <v>2196150.0000000009</v>
      </c>
      <c r="I37" s="288">
        <f t="shared" si="6"/>
        <v>0</v>
      </c>
      <c r="J37" s="288">
        <f t="shared" si="6"/>
        <v>0</v>
      </c>
      <c r="K37" s="288">
        <f t="shared" si="6"/>
        <v>0</v>
      </c>
      <c r="L37" s="288">
        <f t="shared" si="6"/>
        <v>0</v>
      </c>
      <c r="M37" s="288">
        <f t="shared" si="6"/>
        <v>0</v>
      </c>
      <c r="N37" s="289">
        <f>SUM(D37:M37)</f>
        <v>9157650.0000000019</v>
      </c>
      <c r="O37" s="57"/>
      <c r="R37" s="2"/>
    </row>
    <row r="38" spans="1:20" ht="14" x14ac:dyDescent="0.15">
      <c r="C38" s="27" t="s">
        <v>163</v>
      </c>
      <c r="D38" s="284">
        <v>80</v>
      </c>
      <c r="E38" s="573">
        <f>IF('Initial Inputs'!$E$5=0,D38*(1+Expenses!$F$6)*(1-$F$8),D38*(1-$F$8))</f>
        <v>82.4</v>
      </c>
      <c r="F38" s="573">
        <f>IF('Initial Inputs'!$E$5=0,E38*(1+Expenses!$F$6)*(1-$F$8),E38*(1-$F$8))</f>
        <v>84.872000000000014</v>
      </c>
      <c r="G38" s="573">
        <f>IF('Initial Inputs'!$E$5=0,F38*(1+Expenses!$F$6)*(1-$F$8),F38*(1-$F$8))</f>
        <v>87.418160000000015</v>
      </c>
      <c r="H38" s="573">
        <f>IF('Initial Inputs'!$E$5=0,G38*(1+Expenses!$F$6)*(1-$F$8),G38*(1-$F$8))</f>
        <v>90.040704800000015</v>
      </c>
      <c r="I38" s="573">
        <f>IF('Initial Inputs'!$E$5=0,H38*(1+Expenses!$F$6)*(1-$F$8),H38*(1-$F$8))</f>
        <v>92.741925944000016</v>
      </c>
      <c r="J38" s="573">
        <f>IF('Initial Inputs'!$E$5=0,I38*(1+Expenses!$F$6)*(1-$F$8),I38*(1-$F$8))</f>
        <v>95.524183722320018</v>
      </c>
      <c r="K38" s="573">
        <f>IF('Initial Inputs'!$E$5=0,J38*(1+Expenses!$F$6)*(1-$F$8),J38*(1-$F$8))</f>
        <v>98.389909233989627</v>
      </c>
      <c r="L38" s="573">
        <f>IF('Initial Inputs'!$E$5=0,K38*(1+Expenses!$F$6)*(1-$F$8),K38*(1-$F$8))</f>
        <v>101.34160651100932</v>
      </c>
      <c r="M38" s="573">
        <f>IF('Initial Inputs'!$E$5=0,L38*(1+Expenses!$F$6)*(1-$F$8),L38*(1-$F$8))</f>
        <v>104.3818547063396</v>
      </c>
      <c r="N38" s="165"/>
      <c r="O38" s="67">
        <f>SUM(D38:M38)/'Initial Inputs'!$C$7</f>
        <v>183.42206898353174</v>
      </c>
    </row>
    <row r="39" spans="1:20" x14ac:dyDescent="0.15">
      <c r="C39" s="26" t="s">
        <v>164</v>
      </c>
      <c r="D39" s="223">
        <f>D37*D38</f>
        <v>120000000</v>
      </c>
      <c r="E39" s="223">
        <f t="shared" ref="E39:M39" si="7">E37*E38</f>
        <v>135960000.00000003</v>
      </c>
      <c r="F39" s="223">
        <f t="shared" si="7"/>
        <v>154042680.00000006</v>
      </c>
      <c r="G39" s="223">
        <f t="shared" si="7"/>
        <v>174530356.44000009</v>
      </c>
      <c r="H39" s="223">
        <f t="shared" si="7"/>
        <v>197742893.84652013</v>
      </c>
      <c r="I39" s="223">
        <f t="shared" si="7"/>
        <v>0</v>
      </c>
      <c r="J39" s="223">
        <f t="shared" si="7"/>
        <v>0</v>
      </c>
      <c r="K39" s="223">
        <f t="shared" si="7"/>
        <v>0</v>
      </c>
      <c r="L39" s="223">
        <f t="shared" si="7"/>
        <v>0</v>
      </c>
      <c r="M39" s="223">
        <f t="shared" si="7"/>
        <v>0</v>
      </c>
      <c r="N39" s="238">
        <f>SUM(D39:M39)</f>
        <v>782275930.28652024</v>
      </c>
      <c r="O39" s="67">
        <f>SUM(D39:M39)/'Initial Inputs'!$C$7</f>
        <v>156455186.05730405</v>
      </c>
    </row>
    <row r="40" spans="1:20" x14ac:dyDescent="0.15">
      <c r="C40" s="1"/>
      <c r="D40" s="49"/>
      <c r="E40" s="49"/>
      <c r="F40" s="49"/>
      <c r="G40" s="49"/>
      <c r="H40" s="49"/>
      <c r="I40" s="49"/>
      <c r="J40" s="6"/>
    </row>
    <row r="41" spans="1:20" x14ac:dyDescent="0.15">
      <c r="A41" s="1" t="s">
        <v>140</v>
      </c>
      <c r="B41" s="1"/>
      <c r="C41" s="26" t="s">
        <v>133</v>
      </c>
      <c r="D41" s="26">
        <v>1</v>
      </c>
      <c r="E41" s="26">
        <v>2</v>
      </c>
      <c r="F41" s="26">
        <v>3</v>
      </c>
      <c r="G41" s="26">
        <v>4</v>
      </c>
      <c r="H41" s="26">
        <v>5</v>
      </c>
      <c r="I41" s="26">
        <v>6</v>
      </c>
      <c r="J41" s="26">
        <v>7</v>
      </c>
      <c r="K41" s="26">
        <v>8</v>
      </c>
      <c r="L41" s="26">
        <v>9</v>
      </c>
      <c r="M41" s="26">
        <v>10</v>
      </c>
      <c r="N41" s="22" t="s">
        <v>134</v>
      </c>
      <c r="O41" s="22" t="s">
        <v>135</v>
      </c>
    </row>
    <row r="42" spans="1:20" x14ac:dyDescent="0.15">
      <c r="A42" s="121">
        <f>Revenues!A13</f>
        <v>0</v>
      </c>
      <c r="B42" s="675"/>
      <c r="C42" s="26" t="s">
        <v>156</v>
      </c>
      <c r="D42" s="288">
        <f t="shared" ref="D42:M42" si="8">D21</f>
        <v>0</v>
      </c>
      <c r="E42" s="288">
        <f t="shared" si="8"/>
        <v>0</v>
      </c>
      <c r="F42" s="288">
        <f t="shared" si="8"/>
        <v>0</v>
      </c>
      <c r="G42" s="288">
        <f t="shared" si="8"/>
        <v>0</v>
      </c>
      <c r="H42" s="288">
        <f t="shared" si="8"/>
        <v>0</v>
      </c>
      <c r="I42" s="288">
        <f t="shared" si="8"/>
        <v>0</v>
      </c>
      <c r="J42" s="288">
        <f t="shared" si="8"/>
        <v>0</v>
      </c>
      <c r="K42" s="288">
        <f t="shared" si="8"/>
        <v>0</v>
      </c>
      <c r="L42" s="288">
        <f t="shared" si="8"/>
        <v>0</v>
      </c>
      <c r="M42" s="288">
        <f t="shared" si="8"/>
        <v>0</v>
      </c>
      <c r="N42" s="289">
        <f>SUM(D42:M42)</f>
        <v>0</v>
      </c>
      <c r="O42" s="57"/>
    </row>
    <row r="43" spans="1:20" ht="14" x14ac:dyDescent="0.15">
      <c r="C43" s="27" t="s">
        <v>163</v>
      </c>
      <c r="D43" s="284">
        <v>0</v>
      </c>
      <c r="E43" s="573">
        <f>IF('Initial Inputs'!$E$5=0,D43*(1+Expenses!$F$6)*(1-$F$8),D43*(1-$F$8))</f>
        <v>0</v>
      </c>
      <c r="F43" s="573">
        <f>IF('Initial Inputs'!$E$5=0,E43*(1+Expenses!$F$6)*(1-$F$8),E43*(1-$F$8))</f>
        <v>0</v>
      </c>
      <c r="G43" s="573">
        <f>IF('Initial Inputs'!$E$5=0,F43*(1+Expenses!$F$6)*(1-$F$8),F43*(1-$F$8))</f>
        <v>0</v>
      </c>
      <c r="H43" s="573">
        <f>IF('Initial Inputs'!$E$5=0,G43*(1+Expenses!$F$6)*(1-$F$8),G43*(1-$F$8))</f>
        <v>0</v>
      </c>
      <c r="I43" s="573">
        <f>IF('Initial Inputs'!$E$5=0,H43*(1+Expenses!$F$6)*(1-$F$8),H43*(1-$F$8))</f>
        <v>0</v>
      </c>
      <c r="J43" s="573">
        <f>IF('Initial Inputs'!$E$5=0,I43*(1+Expenses!$F$6)*(1-$F$8),I43*(1-$F$8))</f>
        <v>0</v>
      </c>
      <c r="K43" s="573">
        <f>IF('Initial Inputs'!$E$5=0,J43*(1+Expenses!$F$6)*(1-$F$8),J43*(1-$F$8))</f>
        <v>0</v>
      </c>
      <c r="L43" s="573">
        <f>IF('Initial Inputs'!$E$5=0,K43*(1+Expenses!$F$6)*(1-$F$8),K43*(1-$F$8))</f>
        <v>0</v>
      </c>
      <c r="M43" s="573">
        <f>IF('Initial Inputs'!$E$5=0,L43*(1+Expenses!$F$6)*(1-$F$8),L43*(1-$F$8))</f>
        <v>0</v>
      </c>
      <c r="N43" s="165"/>
      <c r="O43" s="67">
        <f>SUM(D43:M43)/'Initial Inputs'!$C$7</f>
        <v>0</v>
      </c>
    </row>
    <row r="44" spans="1:20" x14ac:dyDescent="0.15">
      <c r="C44" s="26" t="s">
        <v>164</v>
      </c>
      <c r="D44" s="223">
        <f>D42*D43</f>
        <v>0</v>
      </c>
      <c r="E44" s="223">
        <f t="shared" ref="E44:M44" si="9">E42*E43</f>
        <v>0</v>
      </c>
      <c r="F44" s="223">
        <f t="shared" si="9"/>
        <v>0</v>
      </c>
      <c r="G44" s="223">
        <f t="shared" si="9"/>
        <v>0</v>
      </c>
      <c r="H44" s="223">
        <f t="shared" si="9"/>
        <v>0</v>
      </c>
      <c r="I44" s="223">
        <f t="shared" si="9"/>
        <v>0</v>
      </c>
      <c r="J44" s="223">
        <f t="shared" si="9"/>
        <v>0</v>
      </c>
      <c r="K44" s="223">
        <f t="shared" si="9"/>
        <v>0</v>
      </c>
      <c r="L44" s="223">
        <f t="shared" si="9"/>
        <v>0</v>
      </c>
      <c r="M44" s="223">
        <f t="shared" si="9"/>
        <v>0</v>
      </c>
      <c r="N44" s="238">
        <f>SUM(D44:M44)</f>
        <v>0</v>
      </c>
      <c r="O44" s="67">
        <f>SUM(D44:M44)/'Initial Inputs'!$C$7</f>
        <v>0</v>
      </c>
    </row>
    <row r="46" spans="1:20" x14ac:dyDescent="0.15">
      <c r="A46" s="1" t="s">
        <v>141</v>
      </c>
      <c r="B46" s="1"/>
      <c r="C46" s="26" t="s">
        <v>133</v>
      </c>
      <c r="D46" s="26">
        <v>1</v>
      </c>
      <c r="E46" s="26">
        <v>2</v>
      </c>
      <c r="F46" s="26">
        <v>3</v>
      </c>
      <c r="G46" s="26">
        <v>4</v>
      </c>
      <c r="H46" s="26">
        <v>5</v>
      </c>
      <c r="I46" s="26">
        <v>6</v>
      </c>
      <c r="J46" s="26">
        <v>7</v>
      </c>
      <c r="K46" s="26">
        <v>8</v>
      </c>
      <c r="L46" s="26">
        <v>9</v>
      </c>
      <c r="M46" s="26">
        <v>10</v>
      </c>
      <c r="N46" s="22" t="s">
        <v>134</v>
      </c>
      <c r="O46" s="22" t="s">
        <v>135</v>
      </c>
    </row>
    <row r="47" spans="1:20" x14ac:dyDescent="0.15">
      <c r="A47" s="121">
        <f>Revenues!A20</f>
        <v>0</v>
      </c>
      <c r="B47" s="675"/>
      <c r="C47" s="26" t="s">
        <v>156</v>
      </c>
      <c r="D47" s="288">
        <f t="shared" ref="D47:M47" si="10">D28</f>
        <v>0</v>
      </c>
      <c r="E47" s="288">
        <f t="shared" si="10"/>
        <v>0</v>
      </c>
      <c r="F47" s="288">
        <f t="shared" si="10"/>
        <v>0</v>
      </c>
      <c r="G47" s="288">
        <f t="shared" si="10"/>
        <v>0</v>
      </c>
      <c r="H47" s="288">
        <f t="shared" si="10"/>
        <v>0</v>
      </c>
      <c r="I47" s="288">
        <f t="shared" si="10"/>
        <v>0</v>
      </c>
      <c r="J47" s="288">
        <f t="shared" si="10"/>
        <v>0</v>
      </c>
      <c r="K47" s="288">
        <f t="shared" si="10"/>
        <v>0</v>
      </c>
      <c r="L47" s="288">
        <f t="shared" si="10"/>
        <v>0</v>
      </c>
      <c r="M47" s="288">
        <f t="shared" si="10"/>
        <v>0</v>
      </c>
      <c r="N47" s="289">
        <f>SUM(D47:M47)</f>
        <v>0</v>
      </c>
      <c r="O47" s="57"/>
    </row>
    <row r="48" spans="1:20" ht="14" x14ac:dyDescent="0.15">
      <c r="C48" s="27" t="s">
        <v>163</v>
      </c>
      <c r="D48" s="284">
        <v>0</v>
      </c>
      <c r="E48" s="573">
        <f>IF('Initial Inputs'!$E$5=0,D48*(1+Expenses!$F$6)*(1-$F$8),D48*(1-$F$8))</f>
        <v>0</v>
      </c>
      <c r="F48" s="573">
        <f>IF('Initial Inputs'!$E$5=0,E48*(1+Expenses!$F$6)*(1-$F$8),E48*(1-$F$8))</f>
        <v>0</v>
      </c>
      <c r="G48" s="573">
        <f>IF('Initial Inputs'!$E$5=0,F48*(1+Expenses!$F$6)*(1-$F$8),F48*(1-$F$8))</f>
        <v>0</v>
      </c>
      <c r="H48" s="573">
        <f>IF('Initial Inputs'!$E$5=0,G48*(1+Expenses!$F$6)*(1-$F$8),G48*(1-$F$8))</f>
        <v>0</v>
      </c>
      <c r="I48" s="573">
        <f>IF('Initial Inputs'!$E$5=0,H48*(1+Expenses!$F$6)*(1-$F$8),H48*(1-$F$8))</f>
        <v>0</v>
      </c>
      <c r="J48" s="573">
        <f>IF('Initial Inputs'!$E$5=0,I48*(1+Expenses!$F$6)*(1-$F$8),I48*(1-$F$8))</f>
        <v>0</v>
      </c>
      <c r="K48" s="573">
        <f>IF('Initial Inputs'!$E$5=0,J48*(1+Expenses!$F$6)*(1-$F$8),J48*(1-$F$8))</f>
        <v>0</v>
      </c>
      <c r="L48" s="573">
        <f>IF('Initial Inputs'!$E$5=0,K48*(1+Expenses!$F$6)*(1-$F$8),K48*(1-$F$8))</f>
        <v>0</v>
      </c>
      <c r="M48" s="573">
        <f>IF('Initial Inputs'!$E$5=0,L48*(1+Expenses!$F$6)*(1-$F$8),L48*(1-$F$8))</f>
        <v>0</v>
      </c>
      <c r="N48" s="165"/>
      <c r="O48" s="67">
        <f>SUM(D48:M48)/'Initial Inputs'!$C$7</f>
        <v>0</v>
      </c>
    </row>
    <row r="49" spans="1:15" x14ac:dyDescent="0.15">
      <c r="C49" s="26" t="s">
        <v>164</v>
      </c>
      <c r="D49" s="223">
        <f>D47*D48</f>
        <v>0</v>
      </c>
      <c r="E49" s="223">
        <f t="shared" ref="E49:M49" si="11">E47*E48</f>
        <v>0</v>
      </c>
      <c r="F49" s="223">
        <f t="shared" si="11"/>
        <v>0</v>
      </c>
      <c r="G49" s="223">
        <f t="shared" si="11"/>
        <v>0</v>
      </c>
      <c r="H49" s="223">
        <f t="shared" si="11"/>
        <v>0</v>
      </c>
      <c r="I49" s="223">
        <f t="shared" si="11"/>
        <v>0</v>
      </c>
      <c r="J49" s="223">
        <f t="shared" si="11"/>
        <v>0</v>
      </c>
      <c r="K49" s="223">
        <f t="shared" si="11"/>
        <v>0</v>
      </c>
      <c r="L49" s="223">
        <f t="shared" si="11"/>
        <v>0</v>
      </c>
      <c r="M49" s="223">
        <f t="shared" si="11"/>
        <v>0</v>
      </c>
      <c r="N49" s="238">
        <f>SUM(D49:M49)</f>
        <v>0</v>
      </c>
      <c r="O49" s="67">
        <f>SUM(D49:M49)/'Initial Inputs'!$C$7</f>
        <v>0</v>
      </c>
    </row>
    <row r="51" spans="1:15" ht="31" x14ac:dyDescent="0.4">
      <c r="A51" s="48" t="s">
        <v>165</v>
      </c>
      <c r="B51" s="48"/>
      <c r="D51" s="39" t="s">
        <v>154</v>
      </c>
    </row>
    <row r="52" spans="1:15" ht="16" x14ac:dyDescent="0.2">
      <c r="A52" s="48"/>
      <c r="B52" s="48"/>
    </row>
    <row r="53" spans="1:15" x14ac:dyDescent="0.15">
      <c r="B53" s="677"/>
      <c r="C53" s="38" t="s">
        <v>133</v>
      </c>
      <c r="D53" s="38">
        <v>1</v>
      </c>
      <c r="E53" s="38">
        <v>2</v>
      </c>
      <c r="F53" s="38">
        <v>3</v>
      </c>
      <c r="G53" s="38">
        <v>4</v>
      </c>
      <c r="H53" s="38">
        <v>5</v>
      </c>
      <c r="I53" s="38">
        <v>6</v>
      </c>
      <c r="J53" s="38">
        <v>7</v>
      </c>
      <c r="K53" s="38">
        <v>8</v>
      </c>
      <c r="L53" s="38">
        <v>9</v>
      </c>
      <c r="M53" s="38">
        <v>10</v>
      </c>
      <c r="N53" s="22" t="s">
        <v>134</v>
      </c>
      <c r="O53" s="22" t="s">
        <v>135</v>
      </c>
    </row>
    <row r="54" spans="1:15" x14ac:dyDescent="0.15">
      <c r="B54" s="677"/>
      <c r="C54" s="26" t="s">
        <v>166</v>
      </c>
      <c r="D54" s="293">
        <f t="shared" ref="D54:M54" si="12">D37+D42+D47</f>
        <v>1500000</v>
      </c>
      <c r="E54" s="293">
        <f t="shared" si="12"/>
        <v>1650000.0000000002</v>
      </c>
      <c r="F54" s="293">
        <f t="shared" si="12"/>
        <v>1815000.0000000005</v>
      </c>
      <c r="G54" s="293">
        <f t="shared" si="12"/>
        <v>1996500.0000000007</v>
      </c>
      <c r="H54" s="293">
        <f t="shared" si="12"/>
        <v>2196150.0000000009</v>
      </c>
      <c r="I54" s="293">
        <f t="shared" si="12"/>
        <v>0</v>
      </c>
      <c r="J54" s="293">
        <f t="shared" si="12"/>
        <v>0</v>
      </c>
      <c r="K54" s="293">
        <f t="shared" si="12"/>
        <v>0</v>
      </c>
      <c r="L54" s="293">
        <f t="shared" si="12"/>
        <v>0</v>
      </c>
      <c r="M54" s="293">
        <f t="shared" si="12"/>
        <v>0</v>
      </c>
      <c r="N54" s="294">
        <f>SUM(D54:M54)</f>
        <v>9157650.0000000019</v>
      </c>
      <c r="O54" s="57"/>
    </row>
    <row r="55" spans="1:15" ht="14" x14ac:dyDescent="0.15">
      <c r="B55" s="678"/>
      <c r="C55" s="27" t="s">
        <v>167</v>
      </c>
      <c r="D55" s="284">
        <v>25</v>
      </c>
      <c r="E55" s="573">
        <f>IF(E$76&gt;'Initial Inputs'!$C$7,0,IF('Initial Inputs'!$E$5=0,D55*(1+Expenses!$F$6),D55))</f>
        <v>25.75</v>
      </c>
      <c r="F55" s="573">
        <f>IF(F$76&gt;'Initial Inputs'!$C$7,0,IF('Initial Inputs'!$E$5=0,E55*(1+Expenses!$F$6),E55))</f>
        <v>26.522500000000001</v>
      </c>
      <c r="G55" s="573">
        <f>IF(G$76&gt;'Initial Inputs'!$C$7,0,IF('Initial Inputs'!$E$5=0,F55*(1+Expenses!$F$6),F55))</f>
        <v>27.318175</v>
      </c>
      <c r="H55" s="573">
        <f>IF(H$76&gt;'Initial Inputs'!$C$7,0,IF('Initial Inputs'!$E$5=0,G55*(1+Expenses!$F$6),G55))</f>
        <v>28.137720250000001</v>
      </c>
      <c r="I55" s="573">
        <f>IF(I$76&gt;'Initial Inputs'!$C$7,0,IF('Initial Inputs'!$E$5=0,H55*(1+Expenses!$F$6),H55))</f>
        <v>0</v>
      </c>
      <c r="J55" s="573">
        <f>IF(J$76&gt;'Initial Inputs'!$C$7,0,IF('Initial Inputs'!$E$5=0,I55*(1+Expenses!$F$6),I55))</f>
        <v>0</v>
      </c>
      <c r="K55" s="573">
        <f>IF(K$76&gt;'Initial Inputs'!$C$7,0,IF('Initial Inputs'!$E$5=0,J55*(1+Expenses!$F$6),J55))</f>
        <v>0</v>
      </c>
      <c r="L55" s="573">
        <f>IF(L$76&gt;'Initial Inputs'!$C$7,0,IF('Initial Inputs'!$E$5=0,K55*(1+Expenses!$F$6),K55))</f>
        <v>0</v>
      </c>
      <c r="M55" s="573">
        <f>IF(M$76&gt;'Initial Inputs'!$C$7,0,IF('Initial Inputs'!$E$5=0,L55*(1+Expenses!$F$6),L55))</f>
        <v>0</v>
      </c>
      <c r="N55" s="165"/>
      <c r="O55" s="67">
        <f>SUM(D55:M55)/'Initial Inputs'!$C$7</f>
        <v>26.54567905</v>
      </c>
    </row>
    <row r="56" spans="1:15" ht="14" x14ac:dyDescent="0.15">
      <c r="C56" s="27" t="s">
        <v>168</v>
      </c>
      <c r="D56" s="224">
        <f>D54*D55</f>
        <v>37500000</v>
      </c>
      <c r="E56" s="224">
        <f t="shared" ref="E56:M56" si="13">E54*E55</f>
        <v>42487500.000000007</v>
      </c>
      <c r="F56" s="224">
        <f t="shared" si="13"/>
        <v>48138337.500000015</v>
      </c>
      <c r="G56" s="224">
        <f t="shared" si="13"/>
        <v>54540736.387500018</v>
      </c>
      <c r="H56" s="224">
        <f t="shared" si="13"/>
        <v>61794654.327037528</v>
      </c>
      <c r="I56" s="224">
        <f t="shared" si="13"/>
        <v>0</v>
      </c>
      <c r="J56" s="224">
        <f t="shared" si="13"/>
        <v>0</v>
      </c>
      <c r="K56" s="224">
        <f t="shared" si="13"/>
        <v>0</v>
      </c>
      <c r="L56" s="224">
        <f t="shared" si="13"/>
        <v>0</v>
      </c>
      <c r="M56" s="224">
        <f t="shared" si="13"/>
        <v>0</v>
      </c>
      <c r="N56" s="233">
        <f>SUM(D56:M56)</f>
        <v>244461228.21453756</v>
      </c>
      <c r="O56" s="57"/>
    </row>
    <row r="58" spans="1:15" x14ac:dyDescent="0.15">
      <c r="C58" s="38" t="s">
        <v>133</v>
      </c>
      <c r="D58" s="38">
        <v>1</v>
      </c>
      <c r="E58" s="38">
        <v>2</v>
      </c>
      <c r="F58" s="38">
        <v>3</v>
      </c>
      <c r="G58" s="38">
        <v>4</v>
      </c>
      <c r="H58" s="38">
        <v>5</v>
      </c>
      <c r="I58" s="38">
        <v>6</v>
      </c>
      <c r="J58" s="38">
        <v>7</v>
      </c>
      <c r="K58" s="38">
        <v>8</v>
      </c>
      <c r="L58" s="38">
        <v>9</v>
      </c>
      <c r="M58" s="38">
        <v>10</v>
      </c>
      <c r="N58" s="22" t="s">
        <v>134</v>
      </c>
    </row>
    <row r="59" spans="1:15" x14ac:dyDescent="0.15">
      <c r="C59" s="28" t="s">
        <v>166</v>
      </c>
      <c r="D59" s="295">
        <f t="shared" ref="D59:M59" si="14">D54</f>
        <v>1500000</v>
      </c>
      <c r="E59" s="295">
        <f t="shared" si="14"/>
        <v>1650000.0000000002</v>
      </c>
      <c r="F59" s="295">
        <f t="shared" si="14"/>
        <v>1815000.0000000005</v>
      </c>
      <c r="G59" s="295">
        <f t="shared" si="14"/>
        <v>1996500.0000000007</v>
      </c>
      <c r="H59" s="295">
        <f t="shared" si="14"/>
        <v>2196150.0000000009</v>
      </c>
      <c r="I59" s="295">
        <f t="shared" si="14"/>
        <v>0</v>
      </c>
      <c r="J59" s="295">
        <f t="shared" si="14"/>
        <v>0</v>
      </c>
      <c r="K59" s="295">
        <f t="shared" si="14"/>
        <v>0</v>
      </c>
      <c r="L59" s="295">
        <f t="shared" si="14"/>
        <v>0</v>
      </c>
      <c r="M59" s="295">
        <f t="shared" si="14"/>
        <v>0</v>
      </c>
      <c r="N59" s="296">
        <f>SUM(D59:M59)</f>
        <v>9157650.0000000019</v>
      </c>
    </row>
    <row r="60" spans="1:15" x14ac:dyDescent="0.15">
      <c r="C60" s="28" t="s">
        <v>169</v>
      </c>
      <c r="D60" s="74">
        <f>D18+D25+D32+D39+D44+D49+D56</f>
        <v>162000000</v>
      </c>
      <c r="E60" s="74">
        <f t="shared" ref="E60:M60" si="15">E18+E25+E32+E39+E44+E49+E56</f>
        <v>183291075.00000003</v>
      </c>
      <c r="F60" s="74">
        <f t="shared" si="15"/>
        <v>207394399.45125008</v>
      </c>
      <c r="G60" s="74">
        <f t="shared" si="15"/>
        <v>234682516.49072805</v>
      </c>
      <c r="H60" s="74">
        <f t="shared" si="15"/>
        <v>265577404.03347307</v>
      </c>
      <c r="I60" s="74">
        <f t="shared" si="15"/>
        <v>0</v>
      </c>
      <c r="J60" s="74">
        <f t="shared" si="15"/>
        <v>0</v>
      </c>
      <c r="K60" s="74">
        <f t="shared" si="15"/>
        <v>0</v>
      </c>
      <c r="L60" s="74">
        <f t="shared" si="15"/>
        <v>0</v>
      </c>
      <c r="M60" s="74">
        <f t="shared" si="15"/>
        <v>0</v>
      </c>
      <c r="N60" s="233">
        <f>SUM(D60:M60)</f>
        <v>1052945394.9754512</v>
      </c>
    </row>
    <row r="64" spans="1:15" ht="31" x14ac:dyDescent="0.4">
      <c r="D64" s="39" t="s">
        <v>154</v>
      </c>
    </row>
    <row r="65" spans="1:14" ht="16" x14ac:dyDescent="0.2">
      <c r="A65" s="48" t="s">
        <v>170</v>
      </c>
      <c r="B65" s="26" t="s">
        <v>171</v>
      </c>
      <c r="C65" s="38" t="s">
        <v>133</v>
      </c>
      <c r="D65" s="38">
        <v>1</v>
      </c>
      <c r="E65" s="38">
        <v>2</v>
      </c>
      <c r="F65" s="38">
        <v>3</v>
      </c>
      <c r="G65" s="38">
        <v>4</v>
      </c>
      <c r="H65" s="38">
        <v>5</v>
      </c>
      <c r="I65" s="38">
        <v>6</v>
      </c>
      <c r="J65" s="38">
        <v>7</v>
      </c>
      <c r="K65" s="38">
        <v>8</v>
      </c>
      <c r="L65" s="38">
        <v>9</v>
      </c>
      <c r="M65" s="38">
        <v>10</v>
      </c>
      <c r="N65" s="22" t="s">
        <v>134</v>
      </c>
    </row>
    <row r="66" spans="1:14" ht="14" x14ac:dyDescent="0.15">
      <c r="B66" s="676" t="s">
        <v>172</v>
      </c>
      <c r="C66" s="658" t="s">
        <v>173</v>
      </c>
      <c r="D66" s="618">
        <v>5000000</v>
      </c>
      <c r="E66" s="618">
        <v>5000000</v>
      </c>
      <c r="F66" s="618">
        <v>5000000</v>
      </c>
      <c r="G66" s="618">
        <v>5000000</v>
      </c>
      <c r="H66" s="618">
        <v>5000000</v>
      </c>
      <c r="I66" s="618">
        <v>0</v>
      </c>
      <c r="J66" s="618">
        <v>0</v>
      </c>
      <c r="K66" s="618">
        <v>0</v>
      </c>
      <c r="L66" s="618">
        <v>0</v>
      </c>
      <c r="M66" s="618">
        <v>0</v>
      </c>
      <c r="N66" s="239">
        <f>D66+E66+F66+G66+H66+I66+J66+K66+L66+M66</f>
        <v>25000000</v>
      </c>
    </row>
    <row r="67" spans="1:14" x14ac:dyDescent="0.15">
      <c r="B67" s="4"/>
    </row>
    <row r="68" spans="1:14" ht="31" x14ac:dyDescent="0.4">
      <c r="B68" s="4"/>
      <c r="D68" s="39" t="s">
        <v>154</v>
      </c>
    </row>
    <row r="69" spans="1:14" ht="16" x14ac:dyDescent="0.2">
      <c r="A69" s="48" t="s">
        <v>174</v>
      </c>
      <c r="B69" s="26" t="s">
        <v>171</v>
      </c>
      <c r="C69" s="38" t="s">
        <v>133</v>
      </c>
      <c r="D69" s="38">
        <v>1</v>
      </c>
      <c r="E69" s="38">
        <v>2</v>
      </c>
      <c r="F69" s="38">
        <v>3</v>
      </c>
      <c r="G69" s="38">
        <v>4</v>
      </c>
      <c r="H69" s="38">
        <v>5</v>
      </c>
      <c r="I69" s="38">
        <v>6</v>
      </c>
      <c r="J69" s="38">
        <v>7</v>
      </c>
      <c r="K69" s="38">
        <v>8</v>
      </c>
      <c r="L69" s="38">
        <v>9</v>
      </c>
      <c r="M69" s="38">
        <v>10</v>
      </c>
      <c r="N69" s="22" t="s">
        <v>134</v>
      </c>
    </row>
    <row r="70" spans="1:14" ht="16" x14ac:dyDescent="0.2">
      <c r="A70" s="48"/>
      <c r="B70" s="26" t="s">
        <v>175</v>
      </c>
      <c r="C70" s="660" t="s">
        <v>176</v>
      </c>
      <c r="D70" s="625">
        <v>10000000</v>
      </c>
      <c r="E70" s="625">
        <v>10000000</v>
      </c>
      <c r="F70" s="625">
        <v>10000000</v>
      </c>
      <c r="G70" s="625">
        <v>10000000</v>
      </c>
      <c r="H70" s="625">
        <v>10000000</v>
      </c>
      <c r="I70" s="625">
        <v>0</v>
      </c>
      <c r="J70" s="625">
        <v>0</v>
      </c>
      <c r="K70" s="625">
        <v>0</v>
      </c>
      <c r="L70" s="625">
        <v>0</v>
      </c>
      <c r="M70" s="625">
        <v>0</v>
      </c>
      <c r="N70" s="239">
        <f>D70+E70+F70+G70+H70+I70+J70+K70+L70+M70</f>
        <v>50000000</v>
      </c>
    </row>
    <row r="71" spans="1:14" ht="16" x14ac:dyDescent="0.2">
      <c r="A71" s="48"/>
      <c r="B71" s="26" t="s">
        <v>175</v>
      </c>
      <c r="C71" s="617" t="s">
        <v>177</v>
      </c>
      <c r="D71" s="625">
        <v>2800000</v>
      </c>
      <c r="E71" s="618">
        <f>IF(E$76&gt;'Initial Inputs'!$C$7,0,IF('Initial Inputs'!$E$5=0,D71*(1+Expenses!$F$6),D71))</f>
        <v>2884000</v>
      </c>
      <c r="F71" s="618">
        <f>IF(F$76&gt;'Initial Inputs'!$C$7,0,IF('Initial Inputs'!$E$5=0,E71*(1+Expenses!$F$6),E71))</f>
        <v>2970520</v>
      </c>
      <c r="G71" s="618">
        <f>IF(G$76&gt;'Initial Inputs'!$C$7,0,IF('Initial Inputs'!$E$5=0,F71*(1+Expenses!$F$6),F71))</f>
        <v>3059635.6</v>
      </c>
      <c r="H71" s="618">
        <f>IF(H$76&gt;'Initial Inputs'!$C$7,0,IF('Initial Inputs'!$E$5=0,G71*(1+Expenses!$F$6),G71))</f>
        <v>3151424.6680000001</v>
      </c>
      <c r="I71" s="618">
        <f>IF(I$76&gt;'Initial Inputs'!$C$7,0,IF('Initial Inputs'!$E$5=0,H71*(1+Expenses!$F$6),H71))</f>
        <v>0</v>
      </c>
      <c r="J71" s="618">
        <f>IF(J$76&gt;'Initial Inputs'!$C$7,0,IF('Initial Inputs'!$E$5=0,I71*(1+Expenses!$F$6),I71))</f>
        <v>0</v>
      </c>
      <c r="K71" s="618">
        <f>IF(K$76&gt;'Initial Inputs'!$C$7,0,IF('Initial Inputs'!$E$5=0,J71*(1+Expenses!$F$6),J71))</f>
        <v>0</v>
      </c>
      <c r="L71" s="618">
        <f>IF(L$76&gt;'Initial Inputs'!$C$7,0,IF('Initial Inputs'!$E$5=0,K71*(1+Expenses!$F$6),K71))</f>
        <v>0</v>
      </c>
      <c r="M71" s="618">
        <f>IF(M$76&gt;'Initial Inputs'!$C$7,0,IF('Initial Inputs'!$E$5=0,L71*(1+Expenses!$F$6),L71))</f>
        <v>0</v>
      </c>
      <c r="N71" s="239">
        <f>D71+E71+F71+G71+H71+I71+J71+K71+L71+M71</f>
        <v>14865580.267999999</v>
      </c>
    </row>
    <row r="72" spans="1:14" ht="16" x14ac:dyDescent="0.2">
      <c r="A72" s="48"/>
      <c r="B72" s="26" t="s">
        <v>175</v>
      </c>
      <c r="C72" s="617" t="s">
        <v>178</v>
      </c>
      <c r="D72" s="625">
        <v>2000000</v>
      </c>
      <c r="E72" s="618">
        <f>IF(E$76&gt;'Initial Inputs'!$C$7,0,IF('Initial Inputs'!$E$5=0,D72*(1+Expenses!$F$6),D72))</f>
        <v>2060000</v>
      </c>
      <c r="F72" s="618">
        <f>IF(F$76&gt;'Initial Inputs'!$C$7,0,IF('Initial Inputs'!$E$5=0,E72*(1+Expenses!$F$6),E72))</f>
        <v>2121800</v>
      </c>
      <c r="G72" s="618">
        <f>IF(G$76&gt;'Initial Inputs'!$C$7,0,IF('Initial Inputs'!$E$5=0,F72*(1+Expenses!$F$6),F72))</f>
        <v>2185454</v>
      </c>
      <c r="H72" s="618">
        <f>IF(H$76&gt;'Initial Inputs'!$C$7,0,IF('Initial Inputs'!$E$5=0,G72*(1+Expenses!$F$6),G72))</f>
        <v>2251017.62</v>
      </c>
      <c r="I72" s="618">
        <f>IF(I$76&gt;'Initial Inputs'!$C$7,0,IF('Initial Inputs'!$E$5=0,H72*(1+Expenses!$F$6),H72))</f>
        <v>0</v>
      </c>
      <c r="J72" s="618">
        <f>IF(J$76&gt;'Initial Inputs'!$C$7,0,IF('Initial Inputs'!$E$5=0,I72*(1+Expenses!$F$6),I72))</f>
        <v>0</v>
      </c>
      <c r="K72" s="618">
        <f>IF(K$76&gt;'Initial Inputs'!$C$7,0,IF('Initial Inputs'!$E$5=0,J72*(1+Expenses!$F$6),J72))</f>
        <v>0</v>
      </c>
      <c r="L72" s="618">
        <f>IF(L$76&gt;'Initial Inputs'!$C$7,0,IF('Initial Inputs'!$E$5=0,K72*(1+Expenses!$F$6),K72))</f>
        <v>0</v>
      </c>
      <c r="M72" s="618">
        <f>IF(M$76&gt;'Initial Inputs'!$C$7,0,IF('Initial Inputs'!$E$5=0,L72*(1+Expenses!$F$6),L72))</f>
        <v>0</v>
      </c>
      <c r="N72" s="239">
        <f>D72+E72+F72+G72+H72+I72+J72+K72+L72+M72</f>
        <v>10618271.620000001</v>
      </c>
    </row>
    <row r="73" spans="1:14" ht="14" x14ac:dyDescent="0.15">
      <c r="B73" s="26" t="s">
        <v>179</v>
      </c>
      <c r="C73" s="658" t="s">
        <v>180</v>
      </c>
      <c r="D73" s="618">
        <v>160000</v>
      </c>
      <c r="E73" s="618">
        <v>160000</v>
      </c>
      <c r="F73" s="618">
        <v>160000</v>
      </c>
      <c r="G73" s="618">
        <v>160000</v>
      </c>
      <c r="H73" s="618">
        <v>160000</v>
      </c>
      <c r="I73" s="618">
        <v>0</v>
      </c>
      <c r="J73" s="618">
        <v>0</v>
      </c>
      <c r="K73" s="618">
        <v>0</v>
      </c>
      <c r="L73" s="618">
        <v>0</v>
      </c>
      <c r="M73" s="618">
        <v>0</v>
      </c>
      <c r="N73" s="239">
        <f>D73+E73+F73+G73+H73+I73+J73+K73+L73+M73</f>
        <v>800000</v>
      </c>
    </row>
    <row r="74" spans="1:14" x14ac:dyDescent="0.15">
      <c r="B74" s="22"/>
    </row>
    <row r="75" spans="1:14" ht="31" x14ac:dyDescent="0.4">
      <c r="B75" s="22"/>
      <c r="D75" s="39" t="s">
        <v>154</v>
      </c>
    </row>
    <row r="76" spans="1:14" ht="16" x14ac:dyDescent="0.2">
      <c r="A76" s="48" t="s">
        <v>181</v>
      </c>
      <c r="B76" s="26" t="s">
        <v>171</v>
      </c>
      <c r="C76" s="26" t="s">
        <v>133</v>
      </c>
      <c r="D76" s="51">
        <v>1</v>
      </c>
      <c r="E76" s="38">
        <v>2</v>
      </c>
      <c r="F76" s="38">
        <v>3</v>
      </c>
      <c r="G76" s="38">
        <v>4</v>
      </c>
      <c r="H76" s="38">
        <v>5</v>
      </c>
      <c r="I76" s="38">
        <v>6</v>
      </c>
      <c r="J76" s="51">
        <v>7</v>
      </c>
      <c r="K76" s="38">
        <v>8</v>
      </c>
      <c r="L76" s="38">
        <v>9</v>
      </c>
      <c r="M76" s="38">
        <v>10</v>
      </c>
      <c r="N76" s="51" t="s">
        <v>134</v>
      </c>
    </row>
    <row r="77" spans="1:14" x14ac:dyDescent="0.15">
      <c r="B77" s="26" t="s">
        <v>182</v>
      </c>
      <c r="C77" s="28" t="s">
        <v>183</v>
      </c>
      <c r="D77" s="621">
        <f>'Capital Gains Wksht'!F53</f>
        <v>3772500</v>
      </c>
      <c r="E77" s="621">
        <f>'Capital Gains Wksht'!G53</f>
        <v>6218850</v>
      </c>
      <c r="F77" s="621">
        <f>'Capital Gains Wksht'!H53</f>
        <v>4083150</v>
      </c>
      <c r="G77" s="621">
        <f>'Capital Gains Wksht'!I53</f>
        <v>2775510</v>
      </c>
      <c r="H77" s="621">
        <f>'Capital Gains Wksht'!J53</f>
        <v>1352955</v>
      </c>
      <c r="I77" s="621">
        <f>'Capital Gains Wksht'!K53</f>
        <v>0</v>
      </c>
      <c r="J77" s="621">
        <f>'Capital Gains Wksht'!L53</f>
        <v>0</v>
      </c>
      <c r="K77" s="621">
        <f>'Capital Gains Wksht'!M53</f>
        <v>0</v>
      </c>
      <c r="L77" s="621">
        <f>'Capital Gains Wksht'!N53</f>
        <v>0</v>
      </c>
      <c r="M77" s="621">
        <f>'Capital Gains Wksht'!O53</f>
        <v>0</v>
      </c>
      <c r="N77" s="239">
        <f>D77+E77+F77+G77+H77+I77+J77+K77+L77+M77</f>
        <v>18202965</v>
      </c>
    </row>
    <row r="78" spans="1:14" x14ac:dyDescent="0.15">
      <c r="B78" s="26" t="s">
        <v>184</v>
      </c>
      <c r="C78" s="55" t="s">
        <v>185</v>
      </c>
      <c r="D78" s="641">
        <v>20000000</v>
      </c>
      <c r="E78" s="679">
        <f>IF(E$76&gt;'Initial Inputs'!$C$7,0,IF('Initial Inputs'!$E$5=0,D78*(1+Expenses!$F$6),D78))</f>
        <v>20600000</v>
      </c>
      <c r="F78" s="679">
        <f>IF(F$76&gt;'Initial Inputs'!$C$7,0,IF('Initial Inputs'!$E$5=0,E78*(1+Expenses!$F$6),E78))</f>
        <v>21218000</v>
      </c>
      <c r="G78" s="679">
        <f>IF(G$76&gt;'Initial Inputs'!$C$7,0,IF('Initial Inputs'!$E$5=0,F78*(1+Expenses!$F$6),F78))</f>
        <v>21854540</v>
      </c>
      <c r="H78" s="679">
        <f>IF(H$76&gt;'Initial Inputs'!$C$7,0,IF('Initial Inputs'!$E$5=0,G78*(1+Expenses!$F$6),G78))</f>
        <v>22510176.199999999</v>
      </c>
      <c r="I78" s="679">
        <f>IF(I$76&gt;'Initial Inputs'!$C$7,0,IF('Initial Inputs'!$E$5=0,H78*(1+Expenses!$F$6),H78))</f>
        <v>0</v>
      </c>
      <c r="J78" s="679">
        <f>IF(J$76&gt;'Initial Inputs'!$C$7,0,IF('Initial Inputs'!$E$5=0,I78*(1+Expenses!$F$6),I78))</f>
        <v>0</v>
      </c>
      <c r="K78" s="679">
        <f>IF(K$76&gt;'Initial Inputs'!$C$7,0,IF('Initial Inputs'!$E$5=0,J78*(1+Expenses!$F$6),J78))</f>
        <v>0</v>
      </c>
      <c r="L78" s="679">
        <f>IF(L$76&gt;'Initial Inputs'!$C$7,0,IF('Initial Inputs'!$E$5=0,K78*(1+Expenses!$F$6),K78))</f>
        <v>0</v>
      </c>
      <c r="M78" s="679">
        <f>IF(M$76&gt;'Initial Inputs'!$C$7,0,IF('Initial Inputs'!$E$5=0,L78*(1+Expenses!$F$6),L78))</f>
        <v>0</v>
      </c>
      <c r="N78" s="239">
        <f>D78+E78+F78+G78+H78+I78+J78+K78+L78+M78</f>
        <v>106182716.2</v>
      </c>
    </row>
    <row r="79" spans="1:14" x14ac:dyDescent="0.15">
      <c r="B79" s="26" t="s">
        <v>186</v>
      </c>
      <c r="C79" s="28" t="s">
        <v>187</v>
      </c>
      <c r="D79" s="641">
        <v>25250000</v>
      </c>
      <c r="E79" s="679">
        <f>IF(E$76&gt;'Initial Inputs'!$C$7,0,IF('Initial Inputs'!$E$5=0,D79*(1+Expenses!$F$6),D79))</f>
        <v>26007500</v>
      </c>
      <c r="F79" s="679">
        <f>IF(F$76&gt;'Initial Inputs'!$C$7,0,IF('Initial Inputs'!$E$5=0,E79*(1+Expenses!$F$6),E79))</f>
        <v>26787725</v>
      </c>
      <c r="G79" s="679">
        <f>IF(G$76&gt;'Initial Inputs'!$C$7,0,IF('Initial Inputs'!$E$5=0,F79*(1+Expenses!$F$6),F79))</f>
        <v>27591356.75</v>
      </c>
      <c r="H79" s="679">
        <f>IF(H$76&gt;'Initial Inputs'!$C$7,0,IF('Initial Inputs'!$E$5=0,G79*(1+Expenses!$F$6),G79))</f>
        <v>28419097.452500001</v>
      </c>
      <c r="I79" s="679">
        <f>IF(I$76&gt;'Initial Inputs'!$C$7,0,IF('Initial Inputs'!$E$5=0,H79*(1+Expenses!$F$6),H79))</f>
        <v>0</v>
      </c>
      <c r="J79" s="679">
        <f>IF(J$76&gt;'Initial Inputs'!$C$7,0,IF('Initial Inputs'!$E$5=0,I79*(1+Expenses!$F$6),I79))</f>
        <v>0</v>
      </c>
      <c r="K79" s="679">
        <f>IF(K$76&gt;'Initial Inputs'!$C$7,0,IF('Initial Inputs'!$E$5=0,J79*(1+Expenses!$F$6),J79))</f>
        <v>0</v>
      </c>
      <c r="L79" s="679">
        <f>IF(L$76&gt;'Initial Inputs'!$C$7,0,IF('Initial Inputs'!$E$5=0,K79*(1+Expenses!$F$6),K79))</f>
        <v>0</v>
      </c>
      <c r="M79" s="679">
        <f>IF(M$76&gt;'Initial Inputs'!$C$7,0,IF('Initial Inputs'!$E$5=0,L79*(1+Expenses!$F$6),L79))</f>
        <v>0</v>
      </c>
      <c r="N79" s="239">
        <f>D79+E79+F79+G79+H79+I79+J79+K79+L79+M79</f>
        <v>134055679.2025</v>
      </c>
    </row>
    <row r="80" spans="1:14" x14ac:dyDescent="0.15">
      <c r="B80" s="26" t="s">
        <v>188</v>
      </c>
      <c r="C80" s="55" t="s">
        <v>189</v>
      </c>
      <c r="D80" s="641">
        <v>0</v>
      </c>
      <c r="E80" s="679">
        <f>IF(E$76&gt;'Initial Inputs'!$C$7,0,IF('Initial Inputs'!$E$5=0,D80*(1+Expenses!$F$6),D80))</f>
        <v>0</v>
      </c>
      <c r="F80" s="679">
        <f>IF(F$76&gt;'Initial Inputs'!$C$7,0,IF('Initial Inputs'!$E$5=0,E80*(1+Expenses!$F$6),E80))</f>
        <v>0</v>
      </c>
      <c r="G80" s="679">
        <f>IF(G$76&gt;'Initial Inputs'!$C$7,0,IF('Initial Inputs'!$E$5=0,F80*(1+Expenses!$F$6),F80))</f>
        <v>0</v>
      </c>
      <c r="H80" s="679">
        <f>IF(H$76&gt;'Initial Inputs'!$C$7,0,IF('Initial Inputs'!$E$5=0,G80*(1+Expenses!$F$6),G80))</f>
        <v>0</v>
      </c>
      <c r="I80" s="679">
        <f>IF(I$76&gt;'Initial Inputs'!$C$7,0,IF('Initial Inputs'!$E$5=0,H80*(1+Expenses!$F$6),H80))</f>
        <v>0</v>
      </c>
      <c r="J80" s="679">
        <f>IF(J$76&gt;'Initial Inputs'!$C$7,0,IF('Initial Inputs'!$E$5=0,I80*(1+Expenses!$F$6),I80))</f>
        <v>0</v>
      </c>
      <c r="K80" s="679">
        <f>IF(K$76&gt;'Initial Inputs'!$C$7,0,IF('Initial Inputs'!$E$5=0,J80*(1+Expenses!$F$6),J80))</f>
        <v>0</v>
      </c>
      <c r="L80" s="679">
        <f>IF(L$76&gt;'Initial Inputs'!$C$7,0,IF('Initial Inputs'!$E$5=0,K80*(1+Expenses!$F$6),K80))</f>
        <v>0</v>
      </c>
      <c r="M80" s="679">
        <f>IF(M$76&gt;'Initial Inputs'!$C$7,0,IF('Initial Inputs'!$E$5=0,L80*(1+Expenses!$F$6),L80))</f>
        <v>0</v>
      </c>
      <c r="N80" s="239">
        <f t="shared" ref="N80:N92" si="16">D80+E80+F80+G80+H80+I80+J80+K80+L80+M80</f>
        <v>0</v>
      </c>
    </row>
    <row r="81" spans="2:15" ht="14" x14ac:dyDescent="0.15">
      <c r="B81" s="26" t="s">
        <v>188</v>
      </c>
      <c r="C81" s="658" t="s">
        <v>190</v>
      </c>
      <c r="D81" s="641">
        <v>200000</v>
      </c>
      <c r="E81" s="641">
        <v>200000</v>
      </c>
      <c r="F81" s="641">
        <v>200000</v>
      </c>
      <c r="G81" s="641">
        <v>200000</v>
      </c>
      <c r="H81" s="641">
        <v>200000</v>
      </c>
      <c r="I81" s="619">
        <v>0</v>
      </c>
      <c r="J81" s="619">
        <v>0</v>
      </c>
      <c r="K81" s="619">
        <v>0</v>
      </c>
      <c r="L81" s="619">
        <v>0</v>
      </c>
      <c r="M81" s="619">
        <v>0</v>
      </c>
      <c r="N81" s="239">
        <f t="shared" si="16"/>
        <v>1000000</v>
      </c>
    </row>
    <row r="82" spans="2:15" x14ac:dyDescent="0.15">
      <c r="B82" s="26" t="s">
        <v>188</v>
      </c>
      <c r="C82" s="659" t="s">
        <v>191</v>
      </c>
      <c r="D82" s="641">
        <v>500000</v>
      </c>
      <c r="E82" s="619">
        <v>500000</v>
      </c>
      <c r="F82" s="619">
        <v>500000</v>
      </c>
      <c r="G82" s="619">
        <v>500000</v>
      </c>
      <c r="H82" s="619">
        <v>500000</v>
      </c>
      <c r="I82" s="619">
        <v>0</v>
      </c>
      <c r="J82" s="618">
        <v>0</v>
      </c>
      <c r="K82" s="618">
        <v>0</v>
      </c>
      <c r="L82" s="618">
        <v>0</v>
      </c>
      <c r="M82" s="618">
        <v>0</v>
      </c>
      <c r="N82" s="239">
        <f t="shared" si="16"/>
        <v>2500000</v>
      </c>
    </row>
    <row r="83" spans="2:15" x14ac:dyDescent="0.15">
      <c r="B83" s="26" t="s">
        <v>188</v>
      </c>
      <c r="C83" s="28" t="s">
        <v>192</v>
      </c>
      <c r="D83" s="641">
        <v>0</v>
      </c>
      <c r="E83" s="679">
        <f>IF(E$76&gt;'Initial Inputs'!$C$7,0,IF('Initial Inputs'!$E$5=0,D83*(1+Expenses!$F$6),D83))</f>
        <v>0</v>
      </c>
      <c r="F83" s="679">
        <f>IF(F$76&gt;'Initial Inputs'!$C$7,0,IF('Initial Inputs'!$E$5=0,E83*(1+Expenses!$F$6),E83))</f>
        <v>0</v>
      </c>
      <c r="G83" s="679">
        <f>IF(G$76&gt;'Initial Inputs'!$C$7,0,IF('Initial Inputs'!$E$5=0,F83*(1+Expenses!$F$6),F83))</f>
        <v>0</v>
      </c>
      <c r="H83" s="679">
        <f>IF(H$76&gt;'Initial Inputs'!$C$7,0,IF('Initial Inputs'!$E$5=0,G83*(1+Expenses!$F$6),G83))</f>
        <v>0</v>
      </c>
      <c r="I83" s="679">
        <f>IF(I$76&gt;'Initial Inputs'!$C$7,0,IF('Initial Inputs'!$E$5=0,H83*(1+Expenses!$F$6),H83))</f>
        <v>0</v>
      </c>
      <c r="J83" s="679">
        <f>IF(J$76&gt;'Initial Inputs'!$C$7,0,IF('Initial Inputs'!$E$5=0,I83*(1+Expenses!$F$6),I83))</f>
        <v>0</v>
      </c>
      <c r="K83" s="679">
        <f>IF(K$76&gt;'Initial Inputs'!$C$7,0,IF('Initial Inputs'!$E$5=0,J83*(1+Expenses!$F$6),J83))</f>
        <v>0</v>
      </c>
      <c r="L83" s="679">
        <f>IF(L$76&gt;'Initial Inputs'!$C$7,0,IF('Initial Inputs'!$E$5=0,K83*(1+Expenses!$F$6),K83))</f>
        <v>0</v>
      </c>
      <c r="M83" s="679">
        <f>IF(M$76&gt;'Initial Inputs'!$C$7,0,IF('Initial Inputs'!$E$5=0,L83*(1+Expenses!$F$6),L83))</f>
        <v>0</v>
      </c>
      <c r="N83" s="239">
        <f t="shared" si="16"/>
        <v>0</v>
      </c>
    </row>
    <row r="84" spans="2:15" x14ac:dyDescent="0.15">
      <c r="B84" s="26" t="s">
        <v>188</v>
      </c>
      <c r="C84" s="28" t="s">
        <v>193</v>
      </c>
      <c r="D84" s="641">
        <v>0</v>
      </c>
      <c r="E84" s="679">
        <f>IF(E$76&gt;'Initial Inputs'!$C$7,0,IF('Initial Inputs'!$E$5=0,D84*(1+Expenses!$F$6),D84))</f>
        <v>0</v>
      </c>
      <c r="F84" s="679">
        <f>IF(F$76&gt;'Initial Inputs'!$C$7,0,IF('Initial Inputs'!$E$5=0,E84*(1+Expenses!$F$6),E84))</f>
        <v>0</v>
      </c>
      <c r="G84" s="679">
        <f>IF(G$76&gt;'Initial Inputs'!$C$7,0,IF('Initial Inputs'!$E$5=0,F84*(1+Expenses!$F$6),F84))</f>
        <v>0</v>
      </c>
      <c r="H84" s="679">
        <f>IF(H$76&gt;'Initial Inputs'!$C$7,0,IF('Initial Inputs'!$E$5=0,G84*(1+Expenses!$F$6),G84))</f>
        <v>0</v>
      </c>
      <c r="I84" s="679">
        <f>IF(I$76&gt;'Initial Inputs'!$C$7,0,IF('Initial Inputs'!$E$5=0,H84*(1+Expenses!$F$6),H84))</f>
        <v>0</v>
      </c>
      <c r="J84" s="679">
        <f>IF(J$76&gt;'Initial Inputs'!$C$7,0,IF('Initial Inputs'!$E$5=0,I84*(1+Expenses!$F$6),I84))</f>
        <v>0</v>
      </c>
      <c r="K84" s="679">
        <f>IF(K$76&gt;'Initial Inputs'!$C$7,0,IF('Initial Inputs'!$E$5=0,J84*(1+Expenses!$F$6),J84))</f>
        <v>0</v>
      </c>
      <c r="L84" s="679">
        <f>IF(L$76&gt;'Initial Inputs'!$C$7,0,IF('Initial Inputs'!$E$5=0,K84*(1+Expenses!$F$6),K84))</f>
        <v>0</v>
      </c>
      <c r="M84" s="679">
        <f>IF(M$76&gt;'Initial Inputs'!$C$7,0,IF('Initial Inputs'!$E$5=0,L84*(1+Expenses!$F$6),L84))</f>
        <v>0</v>
      </c>
      <c r="N84" s="239">
        <f t="shared" si="16"/>
        <v>0</v>
      </c>
    </row>
    <row r="85" spans="2:15" x14ac:dyDescent="0.15">
      <c r="B85" s="26" t="s">
        <v>188</v>
      </c>
      <c r="C85" s="659" t="s">
        <v>194</v>
      </c>
      <c r="D85" s="641">
        <v>0</v>
      </c>
      <c r="E85" s="619">
        <v>0</v>
      </c>
      <c r="F85" s="619">
        <v>0</v>
      </c>
      <c r="G85" s="619">
        <v>0</v>
      </c>
      <c r="H85" s="619">
        <v>0</v>
      </c>
      <c r="I85" s="619">
        <v>0</v>
      </c>
      <c r="J85" s="619">
        <v>0</v>
      </c>
      <c r="K85" s="619">
        <v>0</v>
      </c>
      <c r="L85" s="619">
        <v>0</v>
      </c>
      <c r="M85" s="619">
        <v>0</v>
      </c>
      <c r="N85" s="239">
        <f t="shared" si="16"/>
        <v>0</v>
      </c>
    </row>
    <row r="86" spans="2:15" x14ac:dyDescent="0.15">
      <c r="B86" s="26" t="s">
        <v>188</v>
      </c>
      <c r="C86" s="661" t="s">
        <v>195</v>
      </c>
      <c r="D86" s="641">
        <v>0</v>
      </c>
      <c r="E86" s="619">
        <v>0</v>
      </c>
      <c r="F86" s="619">
        <v>0</v>
      </c>
      <c r="G86" s="619">
        <v>0</v>
      </c>
      <c r="H86" s="619">
        <v>0</v>
      </c>
      <c r="I86" s="619">
        <v>0</v>
      </c>
      <c r="J86" s="619">
        <v>0</v>
      </c>
      <c r="K86" s="619">
        <v>0</v>
      </c>
      <c r="L86" s="619">
        <v>0</v>
      </c>
      <c r="M86" s="619">
        <v>0</v>
      </c>
      <c r="N86" s="239">
        <f t="shared" si="16"/>
        <v>0</v>
      </c>
    </row>
    <row r="87" spans="2:15" x14ac:dyDescent="0.15">
      <c r="B87" s="26" t="s">
        <v>188</v>
      </c>
      <c r="C87" s="659" t="s">
        <v>196</v>
      </c>
      <c r="D87" s="641">
        <v>400000</v>
      </c>
      <c r="E87" s="620">
        <v>400000</v>
      </c>
      <c r="F87" s="620">
        <v>400000</v>
      </c>
      <c r="G87" s="620">
        <v>400000</v>
      </c>
      <c r="H87" s="620">
        <v>400000</v>
      </c>
      <c r="I87" s="620">
        <v>0</v>
      </c>
      <c r="J87" s="618">
        <v>0</v>
      </c>
      <c r="K87" s="618">
        <v>0</v>
      </c>
      <c r="L87" s="618">
        <v>0</v>
      </c>
      <c r="M87" s="618">
        <v>0</v>
      </c>
      <c r="N87" s="239">
        <f t="shared" si="16"/>
        <v>2000000</v>
      </c>
    </row>
    <row r="88" spans="2:15" x14ac:dyDescent="0.15">
      <c r="B88" s="26" t="s">
        <v>197</v>
      </c>
      <c r="C88" s="32" t="s">
        <v>198</v>
      </c>
      <c r="D88" s="641">
        <v>680000</v>
      </c>
      <c r="E88" s="679">
        <f>IF(E$76&gt;'Initial Inputs'!$C$7,0,IF('Initial Inputs'!$E$5=0,D88*(1+Expenses!$F$6),D88))</f>
        <v>700400</v>
      </c>
      <c r="F88" s="679">
        <f>IF(F$76&gt;'Initial Inputs'!$C$7,0,IF('Initial Inputs'!$E$5=0,E88*(1+Expenses!$F$6),E88))</f>
        <v>721412</v>
      </c>
      <c r="G88" s="679">
        <f>IF(G$76&gt;'Initial Inputs'!$C$7,0,IF('Initial Inputs'!$E$5=0,F88*(1+Expenses!$F$6),F88))</f>
        <v>743054.36</v>
      </c>
      <c r="H88" s="679">
        <f>IF(H$76&gt;'Initial Inputs'!$C$7,0,IF('Initial Inputs'!$E$5=0,G88*(1+Expenses!$F$6),G88))</f>
        <v>765345.99080000003</v>
      </c>
      <c r="I88" s="679">
        <f>IF(I$76&gt;'Initial Inputs'!$C$7,0,IF('Initial Inputs'!$E$5=0,H88*(1+Expenses!$F$6),H88))</f>
        <v>0</v>
      </c>
      <c r="J88" s="679">
        <f>IF(J$76&gt;'Initial Inputs'!$C$7,0,IF('Initial Inputs'!$E$5=0,I88*(1+Expenses!$F$6),I88))</f>
        <v>0</v>
      </c>
      <c r="K88" s="679">
        <f>IF(K$76&gt;'Initial Inputs'!$C$7,0,IF('Initial Inputs'!$E$5=0,J88*(1+Expenses!$F$6),J88))</f>
        <v>0</v>
      </c>
      <c r="L88" s="679">
        <f>IF(L$76&gt;'Initial Inputs'!$C$7,0,IF('Initial Inputs'!$E$5=0,K88*(1+Expenses!$F$6),K88))</f>
        <v>0</v>
      </c>
      <c r="M88" s="679">
        <f>IF(M$76&gt;'Initial Inputs'!$C$7,0,IF('Initial Inputs'!$E$5=0,L88*(1+Expenses!$F$6),L88))</f>
        <v>0</v>
      </c>
      <c r="N88" s="239">
        <f t="shared" si="16"/>
        <v>3610212.3508000001</v>
      </c>
    </row>
    <row r="89" spans="2:15" x14ac:dyDescent="0.15">
      <c r="B89" s="26" t="s">
        <v>188</v>
      </c>
      <c r="C89" s="28" t="s">
        <v>199</v>
      </c>
      <c r="D89" s="641">
        <v>500000</v>
      </c>
      <c r="E89" s="679">
        <f>IF(E$76&gt;'Initial Inputs'!$C$7,0,IF('Initial Inputs'!$E$5=0,D89*(1+Expenses!$F$6),D89))</f>
        <v>515000</v>
      </c>
      <c r="F89" s="679">
        <f>IF(F$76&gt;'Initial Inputs'!$C$7,0,IF('Initial Inputs'!$E$5=0,E89*(1+Expenses!$F$6),E89))</f>
        <v>530450</v>
      </c>
      <c r="G89" s="679">
        <f>IF(G$76&gt;'Initial Inputs'!$C$7,0,IF('Initial Inputs'!$E$5=0,F89*(1+Expenses!$F$6),F89))</f>
        <v>546363.5</v>
      </c>
      <c r="H89" s="679">
        <f>IF(H$76&gt;'Initial Inputs'!$C$7,0,IF('Initial Inputs'!$E$5=0,G89*(1+Expenses!$F$6),G89))</f>
        <v>562754.40500000003</v>
      </c>
      <c r="I89" s="679">
        <f>IF(I$76&gt;'Initial Inputs'!$C$7,0,IF('Initial Inputs'!$E$5=0,H89*(1+Expenses!$F$6),H89))</f>
        <v>0</v>
      </c>
      <c r="J89" s="679">
        <f>IF(J$76&gt;'Initial Inputs'!$C$7,0,IF('Initial Inputs'!$E$5=0,I89*(1+Expenses!$F$6),I89))</f>
        <v>0</v>
      </c>
      <c r="K89" s="679">
        <f>IF(K$76&gt;'Initial Inputs'!$C$7,0,IF('Initial Inputs'!$E$5=0,J89*(1+Expenses!$F$6),J89))</f>
        <v>0</v>
      </c>
      <c r="L89" s="679">
        <f>IF(L$76&gt;'Initial Inputs'!$C$7,0,IF('Initial Inputs'!$E$5=0,K89*(1+Expenses!$F$6),K89))</f>
        <v>0</v>
      </c>
      <c r="M89" s="679">
        <f>IF(M$76&gt;'Initial Inputs'!$C$7,0,IF('Initial Inputs'!$E$5=0,L89*(1+Expenses!$F$6),L89))</f>
        <v>0</v>
      </c>
      <c r="N89" s="239">
        <f t="shared" si="16"/>
        <v>2654567.9050000003</v>
      </c>
    </row>
    <row r="90" spans="2:15" x14ac:dyDescent="0.15">
      <c r="B90" s="26" t="s">
        <v>188</v>
      </c>
      <c r="C90" s="55" t="s">
        <v>200</v>
      </c>
      <c r="D90" s="641">
        <v>100000</v>
      </c>
      <c r="E90" s="679">
        <f>IF(E$76&gt;'Initial Inputs'!$C$7,0,IF('Initial Inputs'!$E$5=0,D90*(1+Expenses!$F$6),D90))</f>
        <v>103000</v>
      </c>
      <c r="F90" s="679">
        <f>IF(F$76&gt;'Initial Inputs'!$C$7,0,IF('Initial Inputs'!$E$5=0,E90*(1+Expenses!$F$6),E90))</f>
        <v>106090</v>
      </c>
      <c r="G90" s="679">
        <f>IF(G$76&gt;'Initial Inputs'!$C$7,0,IF('Initial Inputs'!$E$5=0,F90*(1+Expenses!$F$6),F90))</f>
        <v>109272.7</v>
      </c>
      <c r="H90" s="679">
        <f>IF(H$76&gt;'Initial Inputs'!$C$7,0,IF('Initial Inputs'!$E$5=0,G90*(1+Expenses!$F$6),G90))</f>
        <v>112550.88099999999</v>
      </c>
      <c r="I90" s="679">
        <f>IF(I$76&gt;'Initial Inputs'!$C$7,0,IF('Initial Inputs'!$E$5=0,H90*(1+Expenses!$F$6),H90))</f>
        <v>0</v>
      </c>
      <c r="J90" s="679">
        <f>IF(J$76&gt;'Initial Inputs'!$C$7,0,IF('Initial Inputs'!$E$5=0,I90*(1+Expenses!$F$6),I90))</f>
        <v>0</v>
      </c>
      <c r="K90" s="679">
        <f>IF(K$76&gt;'Initial Inputs'!$C$7,0,IF('Initial Inputs'!$E$5=0,J90*(1+Expenses!$F$6),J90))</f>
        <v>0</v>
      </c>
      <c r="L90" s="679">
        <f>IF(L$76&gt;'Initial Inputs'!$C$7,0,IF('Initial Inputs'!$E$5=0,K90*(1+Expenses!$F$6),K90))</f>
        <v>0</v>
      </c>
      <c r="M90" s="679">
        <f>IF(M$76&gt;'Initial Inputs'!$C$7,0,IF('Initial Inputs'!$E$5=0,L90*(1+Expenses!$F$6),L90))</f>
        <v>0</v>
      </c>
      <c r="N90" s="239">
        <f t="shared" si="16"/>
        <v>530913.58100000001</v>
      </c>
    </row>
    <row r="91" spans="2:15" x14ac:dyDescent="0.15">
      <c r="B91" s="26" t="s">
        <v>188</v>
      </c>
      <c r="C91" s="28" t="s">
        <v>201</v>
      </c>
      <c r="D91" s="641">
        <v>500000</v>
      </c>
      <c r="E91" s="679">
        <f>IF(E$76&gt;'Initial Inputs'!$C$7,0,IF('Initial Inputs'!$E$5=0,D91*(1+Expenses!$F$6),D91))</f>
        <v>515000</v>
      </c>
      <c r="F91" s="679">
        <f>IF(F$76&gt;'Initial Inputs'!$C$7,0,IF('Initial Inputs'!$E$5=0,E91*(1+Expenses!$F$6),E91))</f>
        <v>530450</v>
      </c>
      <c r="G91" s="679">
        <f>IF(G$76&gt;'Initial Inputs'!$C$7,0,IF('Initial Inputs'!$E$5=0,F91*(1+Expenses!$F$6),F91))</f>
        <v>546363.5</v>
      </c>
      <c r="H91" s="679">
        <f>IF(H$76&gt;'Initial Inputs'!$C$7,0,IF('Initial Inputs'!$E$5=0,G91*(1+Expenses!$F$6),G91))</f>
        <v>562754.40500000003</v>
      </c>
      <c r="I91" s="679">
        <f>IF(I$76&gt;'Initial Inputs'!$C$7,0,IF('Initial Inputs'!$E$5=0,H91*(1+Expenses!$F$6),H91))</f>
        <v>0</v>
      </c>
      <c r="J91" s="679">
        <f>IF(J$76&gt;'Initial Inputs'!$C$7,0,IF('Initial Inputs'!$E$5=0,I91*(1+Expenses!$F$6),I91))</f>
        <v>0</v>
      </c>
      <c r="K91" s="679">
        <f>IF(K$76&gt;'Initial Inputs'!$C$7,0,IF('Initial Inputs'!$E$5=0,J91*(1+Expenses!$F$6),J91))</f>
        <v>0</v>
      </c>
      <c r="L91" s="679">
        <f>IF(L$76&gt;'Initial Inputs'!$C$7,0,IF('Initial Inputs'!$E$5=0,K91*(1+Expenses!$F$6),K91))</f>
        <v>0</v>
      </c>
      <c r="M91" s="679">
        <f>IF(M$76&gt;'Initial Inputs'!$C$7,0,IF('Initial Inputs'!$E$5=0,L91*(1+Expenses!$F$6),L91))</f>
        <v>0</v>
      </c>
      <c r="N91" s="239">
        <f t="shared" si="16"/>
        <v>2654567.9050000003</v>
      </c>
    </row>
    <row r="92" spans="2:15" x14ac:dyDescent="0.15">
      <c r="B92" s="26" t="s">
        <v>188</v>
      </c>
      <c r="C92" s="55" t="s">
        <v>202</v>
      </c>
      <c r="D92" s="641">
        <v>80000</v>
      </c>
      <c r="E92" s="679">
        <f>IF(E$76&gt;'Initial Inputs'!$C$7,0,IF('Initial Inputs'!$E$5=0,D92*(1+Expenses!$F$6),D92))</f>
        <v>82400</v>
      </c>
      <c r="F92" s="679">
        <f>IF(F$76&gt;'Initial Inputs'!$C$7,0,IF('Initial Inputs'!$E$5=0,E92*(1+Expenses!$F$6),E92))</f>
        <v>84872</v>
      </c>
      <c r="G92" s="679">
        <f>IF(G$76&gt;'Initial Inputs'!$C$7,0,IF('Initial Inputs'!$E$5=0,F92*(1+Expenses!$F$6),F92))</f>
        <v>87418.16</v>
      </c>
      <c r="H92" s="679">
        <f>IF(H$76&gt;'Initial Inputs'!$C$7,0,IF('Initial Inputs'!$E$5=0,G92*(1+Expenses!$F$6),G92))</f>
        <v>90040.704800000007</v>
      </c>
      <c r="I92" s="679">
        <f>IF(I$76&gt;'Initial Inputs'!$C$7,0,IF('Initial Inputs'!$E$5=0,H92*(1+Expenses!$F$6),H92))</f>
        <v>0</v>
      </c>
      <c r="J92" s="679">
        <f>IF(J$76&gt;'Initial Inputs'!$C$7,0,IF('Initial Inputs'!$E$5=0,I92*(1+Expenses!$F$6),I92))</f>
        <v>0</v>
      </c>
      <c r="K92" s="679">
        <f>IF(K$76&gt;'Initial Inputs'!$C$7,0,IF('Initial Inputs'!$E$5=0,J92*(1+Expenses!$F$6),J92))</f>
        <v>0</v>
      </c>
      <c r="L92" s="679">
        <f>IF(L$76&gt;'Initial Inputs'!$C$7,0,IF('Initial Inputs'!$E$5=0,K92*(1+Expenses!$F$6),K92))</f>
        <v>0</v>
      </c>
      <c r="M92" s="679">
        <f>IF(M$76&gt;'Initial Inputs'!$C$7,0,IF('Initial Inputs'!$E$5=0,L92*(1+Expenses!$F$6),L92))</f>
        <v>0</v>
      </c>
      <c r="N92" s="239">
        <f t="shared" si="16"/>
        <v>424730.86480000004</v>
      </c>
    </row>
    <row r="94" spans="2:15" ht="14" thickBot="1" x14ac:dyDescent="0.2">
      <c r="C94" s="38" t="s">
        <v>133</v>
      </c>
      <c r="D94" s="51">
        <v>1</v>
      </c>
      <c r="E94" s="38">
        <v>2</v>
      </c>
      <c r="F94" s="38">
        <v>3</v>
      </c>
      <c r="G94" s="38">
        <v>4</v>
      </c>
      <c r="H94" s="38">
        <v>5</v>
      </c>
      <c r="I94" s="38">
        <v>6</v>
      </c>
      <c r="J94" s="51">
        <v>7</v>
      </c>
      <c r="K94" s="38">
        <v>8</v>
      </c>
      <c r="L94" s="38">
        <v>9</v>
      </c>
      <c r="M94" s="38">
        <v>10</v>
      </c>
      <c r="N94" s="22" t="s">
        <v>134</v>
      </c>
      <c r="O94" s="22" t="s">
        <v>135</v>
      </c>
    </row>
    <row r="95" spans="2:15" ht="14" thickBot="1" x14ac:dyDescent="0.2">
      <c r="C95" s="28" t="s">
        <v>203</v>
      </c>
      <c r="D95" s="134">
        <f>D66+SUM(D70:D73)+SUM(D77:D92)</f>
        <v>71942500</v>
      </c>
      <c r="E95" s="134">
        <f t="shared" ref="E95:M95" si="17">E66+SUM(E70:E73)+SUM(E77:E92)</f>
        <v>75946150</v>
      </c>
      <c r="F95" s="134">
        <f t="shared" si="17"/>
        <v>75414469</v>
      </c>
      <c r="G95" s="134">
        <f t="shared" si="17"/>
        <v>75758968.569999993</v>
      </c>
      <c r="H95" s="134">
        <f t="shared" si="17"/>
        <v>76038117.327100009</v>
      </c>
      <c r="I95" s="134">
        <f t="shared" si="17"/>
        <v>0</v>
      </c>
      <c r="J95" s="134">
        <f t="shared" si="17"/>
        <v>0</v>
      </c>
      <c r="K95" s="134">
        <f t="shared" si="17"/>
        <v>0</v>
      </c>
      <c r="L95" s="134">
        <f t="shared" si="17"/>
        <v>0</v>
      </c>
      <c r="M95" s="134">
        <f t="shared" si="17"/>
        <v>0</v>
      </c>
      <c r="N95" s="623">
        <f>D95+E95+F95+G95+H95+I95+J95+K95+L95+M95</f>
        <v>375100204.89709997</v>
      </c>
      <c r="O95" s="624">
        <f>IF(ISNUMBER(SUM(D95:M95)/'Initial Inputs'!C7),(SUM(D95:M95)/'Initial Inputs'!C7),"NMF")</f>
        <v>75020040.979419991</v>
      </c>
    </row>
    <row r="97" spans="1:17" x14ac:dyDescent="0.15">
      <c r="C97" s="38" t="s">
        <v>133</v>
      </c>
      <c r="D97" s="38">
        <v>1</v>
      </c>
      <c r="E97" s="38">
        <v>2</v>
      </c>
      <c r="F97" s="38">
        <v>3</v>
      </c>
      <c r="G97" s="38">
        <v>4</v>
      </c>
      <c r="H97" s="38">
        <v>5</v>
      </c>
      <c r="I97" s="38">
        <v>6</v>
      </c>
      <c r="J97" s="38">
        <v>7</v>
      </c>
      <c r="K97" s="38">
        <v>8</v>
      </c>
      <c r="L97" s="38">
        <v>9</v>
      </c>
      <c r="M97" s="38">
        <v>10</v>
      </c>
      <c r="N97" s="22" t="s">
        <v>134</v>
      </c>
    </row>
    <row r="98" spans="1:17" ht="14" x14ac:dyDescent="0.15">
      <c r="C98" s="23" t="s">
        <v>204</v>
      </c>
      <c r="D98" s="134">
        <f t="shared" ref="D98:M98" si="18">D95+D60</f>
        <v>233942500</v>
      </c>
      <c r="E98" s="134">
        <f t="shared" si="18"/>
        <v>259237225.00000003</v>
      </c>
      <c r="F98" s="134">
        <f t="shared" si="18"/>
        <v>282808868.45125008</v>
      </c>
      <c r="G98" s="134">
        <f t="shared" si="18"/>
        <v>310441485.06072807</v>
      </c>
      <c r="H98" s="134">
        <f t="shared" si="18"/>
        <v>341615521.36057305</v>
      </c>
      <c r="I98" s="134">
        <f t="shared" si="18"/>
        <v>0</v>
      </c>
      <c r="J98" s="134">
        <f t="shared" si="18"/>
        <v>0</v>
      </c>
      <c r="K98" s="134">
        <f t="shared" si="18"/>
        <v>0</v>
      </c>
      <c r="L98" s="134">
        <f t="shared" si="18"/>
        <v>0</v>
      </c>
      <c r="M98" s="134">
        <f t="shared" si="18"/>
        <v>0</v>
      </c>
      <c r="N98" s="239">
        <f>D98+E98+F98+G98+H98+I98+J98+K98+L98+M98</f>
        <v>1428045599.8725512</v>
      </c>
    </row>
    <row r="103" spans="1:17" ht="14" thickBot="1" x14ac:dyDescent="0.2">
      <c r="A103" s="138"/>
      <c r="B103" s="138"/>
      <c r="C103" s="138"/>
      <c r="D103" s="138"/>
      <c r="E103" s="138"/>
      <c r="F103" s="138"/>
      <c r="G103" s="138"/>
      <c r="H103" s="138"/>
      <c r="I103" s="138"/>
      <c r="J103" s="138"/>
      <c r="K103" s="138"/>
      <c r="L103" s="138"/>
      <c r="M103" s="138"/>
      <c r="N103" s="138"/>
      <c r="O103" s="138"/>
      <c r="P103" s="138"/>
      <c r="Q103" s="138"/>
    </row>
    <row r="104" spans="1:17" ht="14" thickTop="1" x14ac:dyDescent="0.15"/>
    <row r="105" spans="1:17" x14ac:dyDescent="0.15">
      <c r="N105" s="66"/>
    </row>
    <row r="107" spans="1:17" x14ac:dyDescent="0.15">
      <c r="C107" s="22"/>
      <c r="D107" s="22"/>
      <c r="E107" s="22"/>
      <c r="F107" s="22"/>
      <c r="G107" s="22"/>
      <c r="H107" s="22"/>
      <c r="I107" s="22"/>
      <c r="J107" s="22"/>
    </row>
    <row r="108" spans="1:17" x14ac:dyDescent="0.15">
      <c r="C108" s="1"/>
      <c r="D108" s="4"/>
      <c r="E108" s="4"/>
      <c r="F108" s="4"/>
      <c r="G108" s="4"/>
      <c r="H108" s="4"/>
      <c r="I108" s="4"/>
      <c r="J108" s="4"/>
    </row>
    <row r="109" spans="1:17" x14ac:dyDescent="0.15">
      <c r="C109" s="1"/>
      <c r="D109" s="6"/>
      <c r="E109" s="6"/>
      <c r="F109" s="6"/>
      <c r="G109" s="6"/>
      <c r="H109" s="6"/>
      <c r="I109" s="6"/>
      <c r="J109" s="6"/>
    </row>
  </sheetData>
  <sheetProtection password="AA76" sheet="1" objects="1" scenarios="1"/>
  <phoneticPr fontId="0" type="noConversion"/>
  <printOptions headings="1"/>
  <pageMargins left="0.75" right="0.75" top="1" bottom="1" header="0.5" footer="0.5"/>
  <pageSetup scale="27" orientation="landscape"/>
  <headerFooter alignWithMargins="0">
    <oddHeader>&amp;LEngineering Economics Model for Senior Design&amp;R&amp;"Times New Roman,Bold"&amp;14Operating Expenses</oddHeader>
    <oddFooter>&amp;LJ:/EM355/Spring01/Labs/EEworkingfolder/&amp;F&amp;CPage &amp;P of &amp;N&amp;R&amp;T&amp;D</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124"/>
  <sheetViews>
    <sheetView topLeftCell="A109" zoomScale="130" zoomScaleNormal="130" workbookViewId="0">
      <selection activeCell="H54" sqref="H54"/>
    </sheetView>
  </sheetViews>
  <sheetFormatPr baseColWidth="10" defaultColWidth="8.83203125" defaultRowHeight="13" x14ac:dyDescent="0.15"/>
  <cols>
    <col min="3" max="3" width="12.1640625" customWidth="1"/>
    <col min="4" max="4" width="14.5" customWidth="1"/>
    <col min="5" max="5" width="14" bestFit="1" customWidth="1"/>
    <col min="6" max="6" width="15" customWidth="1"/>
    <col min="7" max="7" width="19.5" customWidth="1"/>
    <col min="8" max="8" width="13.83203125" customWidth="1"/>
    <col min="9" max="9" width="15" customWidth="1"/>
    <col min="10" max="10" width="13.83203125" customWidth="1"/>
    <col min="11" max="11" width="13.33203125" customWidth="1"/>
    <col min="12" max="12" width="13.83203125" customWidth="1"/>
    <col min="13" max="13" width="14.5" customWidth="1"/>
    <col min="14" max="14" width="13.83203125" customWidth="1"/>
    <col min="15" max="15" width="13.5" customWidth="1"/>
  </cols>
  <sheetData>
    <row r="1" spans="1:14" ht="16" x14ac:dyDescent="0.2">
      <c r="A1" s="215" t="s">
        <v>205</v>
      </c>
    </row>
    <row r="2" spans="1:14" x14ac:dyDescent="0.15">
      <c r="B2" s="1"/>
      <c r="E2" s="1"/>
    </row>
    <row r="4" spans="1:14" ht="16" x14ac:dyDescent="0.2">
      <c r="A4" s="206" t="s">
        <v>206</v>
      </c>
    </row>
    <row r="6" spans="1:14" ht="28" x14ac:dyDescent="0.15">
      <c r="B6" s="1" t="s">
        <v>207</v>
      </c>
      <c r="E6" s="14" t="s">
        <v>208</v>
      </c>
      <c r="F6" s="50" t="s">
        <v>209</v>
      </c>
      <c r="G6" s="50" t="s">
        <v>210</v>
      </c>
      <c r="H6" s="50" t="s">
        <v>211</v>
      </c>
    </row>
    <row r="7" spans="1:14" x14ac:dyDescent="0.15">
      <c r="B7" t="s">
        <v>212</v>
      </c>
      <c r="C7" s="745" t="str">
        <f>'Initial Inputs'!C13</f>
        <v>Plant</v>
      </c>
      <c r="D7" s="746"/>
      <c r="E7" s="268">
        <f>'Initial Inputs'!D13</f>
        <v>15000000</v>
      </c>
      <c r="F7" s="124">
        <f>'Initial Inputs'!E13</f>
        <v>20</v>
      </c>
      <c r="G7" s="269">
        <f>'Initial Inputs'!F13</f>
        <v>0</v>
      </c>
      <c r="H7" s="209">
        <f>E7-G7</f>
        <v>15000000</v>
      </c>
    </row>
    <row r="8" spans="1:14" x14ac:dyDescent="0.15">
      <c r="B8" t="s">
        <v>213</v>
      </c>
      <c r="C8" s="745" t="str">
        <f>'Initial Inputs'!C14</f>
        <v>Factory</v>
      </c>
      <c r="D8" s="746"/>
      <c r="E8" s="268">
        <f>'Initial Inputs'!D14</f>
        <v>15250000</v>
      </c>
      <c r="F8" s="124">
        <f>'Initial Inputs'!E14</f>
        <v>5</v>
      </c>
      <c r="G8" s="269">
        <f>'Initial Inputs'!F14</f>
        <v>0</v>
      </c>
      <c r="H8" s="209">
        <f>E8-G8</f>
        <v>15250000</v>
      </c>
    </row>
    <row r="9" spans="1:14" x14ac:dyDescent="0.15">
      <c r="B9" t="s">
        <v>214</v>
      </c>
      <c r="C9" s="745" t="str">
        <f>'Initial Inputs'!C15</f>
        <v>Office</v>
      </c>
      <c r="D9" s="746"/>
      <c r="E9" s="268">
        <f>'Initial Inputs'!D15</f>
        <v>800000</v>
      </c>
      <c r="F9" s="124">
        <f>'Initial Inputs'!E15</f>
        <v>5</v>
      </c>
      <c r="G9" s="269">
        <f>'Initial Inputs'!F15</f>
        <v>0</v>
      </c>
      <c r="H9" s="209">
        <f>E9-G9</f>
        <v>800000</v>
      </c>
    </row>
    <row r="10" spans="1:14" x14ac:dyDescent="0.15">
      <c r="B10" t="s">
        <v>215</v>
      </c>
      <c r="C10" s="752">
        <f>'Initial Inputs'!C16</f>
        <v>0</v>
      </c>
      <c r="D10" s="753"/>
      <c r="E10" s="268">
        <f>'Initial Inputs'!D16</f>
        <v>0</v>
      </c>
      <c r="F10" s="124">
        <f>'Initial Inputs'!E16</f>
        <v>1</v>
      </c>
      <c r="G10" s="269">
        <f>'Initial Inputs'!F16</f>
        <v>0</v>
      </c>
      <c r="H10" s="209">
        <f>E10-G10</f>
        <v>0</v>
      </c>
    </row>
    <row r="11" spans="1:14" ht="14" thickBot="1" x14ac:dyDescent="0.2">
      <c r="D11" s="36" t="s">
        <v>216</v>
      </c>
      <c r="E11" s="208">
        <f>SUM(E7:E10)</f>
        <v>31050000</v>
      </c>
      <c r="G11" s="208">
        <f>SUM(G7:G10)</f>
        <v>0</v>
      </c>
    </row>
    <row r="12" spans="1:14" ht="14" thickBot="1" x14ac:dyDescent="0.2">
      <c r="B12" s="1" t="s">
        <v>217</v>
      </c>
      <c r="J12" s="747" t="s">
        <v>218</v>
      </c>
      <c r="K12" s="748"/>
      <c r="L12" s="749"/>
    </row>
    <row r="13" spans="1:14" x14ac:dyDescent="0.15">
      <c r="B13" t="s">
        <v>219</v>
      </c>
      <c r="C13" s="752" t="str">
        <f>'Initial Inputs'!C27</f>
        <v>Land</v>
      </c>
      <c r="D13" s="753"/>
      <c r="E13" s="267">
        <f>'Initial Inputs'!D27</f>
        <v>1500000</v>
      </c>
      <c r="J13" s="202"/>
      <c r="L13" s="180"/>
    </row>
    <row r="14" spans="1:14" x14ac:dyDescent="0.15">
      <c r="B14" t="s">
        <v>220</v>
      </c>
      <c r="C14" s="745">
        <f>'Initial Inputs'!C28</f>
        <v>0</v>
      </c>
      <c r="D14" s="746"/>
      <c r="E14" s="267">
        <f>'Initial Inputs'!D28</f>
        <v>0</v>
      </c>
      <c r="J14" s="179" t="s">
        <v>221</v>
      </c>
      <c r="L14" s="281">
        <v>0</v>
      </c>
      <c r="N14" s="214" t="s">
        <v>222</v>
      </c>
    </row>
    <row r="15" spans="1:14" x14ac:dyDescent="0.15">
      <c r="D15" s="36" t="s">
        <v>216</v>
      </c>
      <c r="E15" s="208">
        <f>SUM(E13:E14)</f>
        <v>1500000</v>
      </c>
      <c r="J15" s="202"/>
      <c r="L15" s="180"/>
    </row>
    <row r="16" spans="1:14" x14ac:dyDescent="0.15">
      <c r="B16" s="1" t="s">
        <v>115</v>
      </c>
      <c r="J16" s="179" t="s">
        <v>223</v>
      </c>
      <c r="L16" s="212">
        <f>E20</f>
        <v>92550000</v>
      </c>
    </row>
    <row r="17" spans="1:16" x14ac:dyDescent="0.15">
      <c r="C17" s="750" t="s">
        <v>115</v>
      </c>
      <c r="D17" s="751"/>
      <c r="E17" s="269">
        <f>'Initial Inputs'!C30</f>
        <v>60000000</v>
      </c>
      <c r="J17" s="202"/>
      <c r="L17" s="180"/>
    </row>
    <row r="18" spans="1:16" ht="14" thickBot="1" x14ac:dyDescent="0.2">
      <c r="D18" s="36" t="s">
        <v>216</v>
      </c>
      <c r="E18" s="211">
        <f>SUM(E17)</f>
        <v>60000000</v>
      </c>
      <c r="G18" s="28" t="s">
        <v>119</v>
      </c>
      <c r="H18" s="267">
        <f>'Initial Inputs'!C35</f>
        <v>0</v>
      </c>
      <c r="J18" s="179" t="s">
        <v>224</v>
      </c>
      <c r="L18" s="213">
        <f>L16*L14</f>
        <v>0</v>
      </c>
      <c r="N18" s="214" t="s">
        <v>225</v>
      </c>
    </row>
    <row r="19" spans="1:16" x14ac:dyDescent="0.15">
      <c r="J19" s="178"/>
      <c r="K19" s="178"/>
      <c r="L19" s="178"/>
    </row>
    <row r="20" spans="1:16" x14ac:dyDescent="0.15">
      <c r="D20" s="75" t="s">
        <v>223</v>
      </c>
      <c r="E20" s="243">
        <f>E11+E15+E18</f>
        <v>92550000</v>
      </c>
      <c r="G20" s="28" t="s">
        <v>226</v>
      </c>
      <c r="H20" s="242">
        <f>H18/E20</f>
        <v>0</v>
      </c>
      <c r="J20" t="s">
        <v>227</v>
      </c>
    </row>
    <row r="21" spans="1:16" x14ac:dyDescent="0.15">
      <c r="J21" s="116" t="s">
        <v>228</v>
      </c>
    </row>
    <row r="22" spans="1:16" ht="16" x14ac:dyDescent="0.2">
      <c r="A22" s="206" t="s">
        <v>229</v>
      </c>
      <c r="J22" t="s">
        <v>230</v>
      </c>
    </row>
    <row r="23" spans="1:16" ht="16" x14ac:dyDescent="0.2">
      <c r="A23" s="206"/>
      <c r="J23" s="116" t="s">
        <v>231</v>
      </c>
    </row>
    <row r="24" spans="1:16" ht="16" x14ac:dyDescent="0.2">
      <c r="A24" s="206"/>
      <c r="B24" s="1" t="s">
        <v>232</v>
      </c>
      <c r="J24" s="271" t="s">
        <v>233</v>
      </c>
    </row>
    <row r="25" spans="1:16" ht="16" x14ac:dyDescent="0.2">
      <c r="A25" s="206"/>
      <c r="B25" s="1"/>
      <c r="J25" s="116" t="s">
        <v>234</v>
      </c>
    </row>
    <row r="26" spans="1:16" x14ac:dyDescent="0.15">
      <c r="B26" s="1" t="s">
        <v>235</v>
      </c>
      <c r="E26" s="275">
        <v>1</v>
      </c>
    </row>
    <row r="27" spans="1:16" x14ac:dyDescent="0.15">
      <c r="E27" s="135" t="str">
        <f>IF('Capital &amp; Depr'!$E$26=0,"SL",(IF('Capital &amp; Depr'!$E$26=1,"MACRS",0)))</f>
        <v>MACRS</v>
      </c>
    </row>
    <row r="29" spans="1:16" ht="16" x14ac:dyDescent="0.2">
      <c r="A29" s="206" t="s">
        <v>236</v>
      </c>
    </row>
    <row r="31" spans="1:16" ht="27.75" customHeight="1" x14ac:dyDescent="0.15">
      <c r="C31" s="217" t="s">
        <v>237</v>
      </c>
      <c r="D31" s="28" t="s">
        <v>133</v>
      </c>
      <c r="E31" s="27">
        <v>1</v>
      </c>
      <c r="F31" s="33">
        <v>2</v>
      </c>
      <c r="G31" s="26">
        <v>3</v>
      </c>
      <c r="H31" s="27">
        <v>4</v>
      </c>
      <c r="I31" s="33">
        <v>5</v>
      </c>
      <c r="J31" s="26">
        <v>6</v>
      </c>
      <c r="K31" s="27">
        <v>7</v>
      </c>
      <c r="L31" s="33">
        <v>8</v>
      </c>
      <c r="M31" s="26">
        <v>9</v>
      </c>
      <c r="N31" s="27">
        <v>10</v>
      </c>
      <c r="O31" s="26">
        <v>11</v>
      </c>
      <c r="P31" s="27" t="s">
        <v>238</v>
      </c>
    </row>
    <row r="32" spans="1:16" x14ac:dyDescent="0.15">
      <c r="D32" s="28" t="s">
        <v>239</v>
      </c>
      <c r="E32" s="24">
        <v>0.33329999999999999</v>
      </c>
      <c r="F32" s="24">
        <v>0.44440000000000002</v>
      </c>
      <c r="G32" s="24">
        <v>0.14810000000000001</v>
      </c>
      <c r="H32" s="24">
        <v>7.4099999999999999E-2</v>
      </c>
      <c r="I32" s="24"/>
      <c r="J32" s="24"/>
      <c r="K32" s="24"/>
      <c r="L32" s="24"/>
      <c r="M32" s="24"/>
      <c r="N32" s="24"/>
      <c r="O32" s="24"/>
      <c r="P32" s="391">
        <f t="shared" ref="P32:P37" si="0">SUM(E32:O32)</f>
        <v>0.99990000000000001</v>
      </c>
    </row>
    <row r="33" spans="3:16" x14ac:dyDescent="0.15">
      <c r="D33" s="28" t="s">
        <v>240</v>
      </c>
      <c r="E33" s="25">
        <v>0.2</v>
      </c>
      <c r="F33" s="25">
        <v>0.32</v>
      </c>
      <c r="G33" s="25">
        <v>0.192</v>
      </c>
      <c r="H33" s="24">
        <v>0.1152</v>
      </c>
      <c r="I33" s="24">
        <v>0.1152</v>
      </c>
      <c r="J33" s="24">
        <v>5.7599999999999998E-2</v>
      </c>
      <c r="K33" s="24"/>
      <c r="L33" s="24"/>
      <c r="M33" s="24"/>
      <c r="N33" s="24"/>
      <c r="O33" s="24"/>
      <c r="P33" s="391">
        <f t="shared" si="0"/>
        <v>0.99999999999999989</v>
      </c>
    </row>
    <row r="34" spans="3:16" x14ac:dyDescent="0.15">
      <c r="D34" s="28" t="s">
        <v>241</v>
      </c>
      <c r="E34" s="24">
        <v>0.1429</v>
      </c>
      <c r="F34" s="24">
        <v>0.24490000000000001</v>
      </c>
      <c r="G34" s="24">
        <v>0.1749</v>
      </c>
      <c r="H34" s="24">
        <v>0.1249</v>
      </c>
      <c r="I34" s="24">
        <v>8.9200000000000002E-2</v>
      </c>
      <c r="J34" s="24">
        <v>8.9200000000000002E-2</v>
      </c>
      <c r="K34" s="24">
        <v>8.9200000000000002E-2</v>
      </c>
      <c r="L34" s="24">
        <v>4.4600000000000001E-2</v>
      </c>
      <c r="M34" s="24"/>
      <c r="N34" s="24"/>
      <c r="O34" s="24"/>
      <c r="P34" s="391">
        <f t="shared" si="0"/>
        <v>0.9997999999999998</v>
      </c>
    </row>
    <row r="35" spans="3:16" x14ac:dyDescent="0.15">
      <c r="D35" s="28" t="s">
        <v>242</v>
      </c>
      <c r="E35" s="25">
        <v>0.1</v>
      </c>
      <c r="F35" s="25">
        <v>0.18</v>
      </c>
      <c r="G35" s="25">
        <v>0.14399999999999999</v>
      </c>
      <c r="H35" s="24">
        <v>0.1152</v>
      </c>
      <c r="I35" s="24">
        <v>9.2200000000000004E-2</v>
      </c>
      <c r="J35" s="24">
        <v>7.3700000000000002E-2</v>
      </c>
      <c r="K35" s="24">
        <v>6.5500000000000003E-2</v>
      </c>
      <c r="L35" s="24">
        <v>6.5500000000000003E-2</v>
      </c>
      <c r="M35" s="24">
        <v>6.5500000000000003E-2</v>
      </c>
      <c r="N35" s="24">
        <v>6.5500000000000003E-2</v>
      </c>
      <c r="O35" s="24">
        <v>3.2800000000000003E-2</v>
      </c>
      <c r="P35" s="391">
        <f t="shared" si="0"/>
        <v>0.99990000000000001</v>
      </c>
    </row>
    <row r="36" spans="3:16" x14ac:dyDescent="0.15">
      <c r="D36" s="28" t="s">
        <v>243</v>
      </c>
      <c r="E36" s="390">
        <v>0.05</v>
      </c>
      <c r="F36" s="390">
        <v>9.5000000000000001E-2</v>
      </c>
      <c r="G36" s="390">
        <v>8.5500000000000007E-2</v>
      </c>
      <c r="H36" s="390">
        <v>7.6999999999999999E-2</v>
      </c>
      <c r="I36" s="390">
        <v>6.93E-2</v>
      </c>
      <c r="J36" s="390">
        <v>6.2300000000000001E-2</v>
      </c>
      <c r="K36" s="390">
        <v>5.8999999999999997E-2</v>
      </c>
      <c r="L36" s="390">
        <v>5.8999999999999997E-2</v>
      </c>
      <c r="M36" s="390">
        <v>5.91E-2</v>
      </c>
      <c r="N36" s="390">
        <v>5.8999999999999997E-2</v>
      </c>
      <c r="O36" s="390">
        <v>5.91E-2</v>
      </c>
      <c r="P36" s="391">
        <f t="shared" si="0"/>
        <v>0.73430000000000006</v>
      </c>
    </row>
    <row r="37" spans="3:16" x14ac:dyDescent="0.15">
      <c r="D37" s="28" t="s">
        <v>244</v>
      </c>
      <c r="E37" s="390">
        <v>3.7499999999999999E-2</v>
      </c>
      <c r="F37" s="390">
        <v>7.2190000000000004E-2</v>
      </c>
      <c r="G37" s="390">
        <v>6.6769999999999996E-2</v>
      </c>
      <c r="H37" s="390">
        <v>6.1769999999999999E-2</v>
      </c>
      <c r="I37" s="390">
        <v>5.713E-2</v>
      </c>
      <c r="J37" s="390">
        <v>5.2850000000000001E-2</v>
      </c>
      <c r="K37" s="390">
        <v>4.888E-2</v>
      </c>
      <c r="L37" s="390">
        <v>4.5220000000000003E-2</v>
      </c>
      <c r="M37" s="390">
        <v>4.462E-2</v>
      </c>
      <c r="N37" s="390">
        <v>4.4609999999999997E-2</v>
      </c>
      <c r="O37" s="390">
        <v>4.462E-2</v>
      </c>
      <c r="P37" s="391">
        <f t="shared" si="0"/>
        <v>0.57616000000000001</v>
      </c>
    </row>
    <row r="39" spans="3:16" x14ac:dyDescent="0.15">
      <c r="C39" s="1" t="s">
        <v>212</v>
      </c>
      <c r="D39" s="6"/>
      <c r="E39" s="6"/>
      <c r="F39" s="6"/>
    </row>
    <row r="40" spans="3:16" ht="14" x14ac:dyDescent="0.15">
      <c r="D40" s="23" t="s">
        <v>133</v>
      </c>
      <c r="E40" s="722">
        <v>1</v>
      </c>
      <c r="F40" s="723">
        <v>2</v>
      </c>
      <c r="G40" s="14">
        <v>3</v>
      </c>
      <c r="H40" s="722">
        <v>4</v>
      </c>
      <c r="I40" s="723">
        <v>5</v>
      </c>
      <c r="J40" s="14">
        <v>6</v>
      </c>
      <c r="K40" s="722">
        <v>7</v>
      </c>
      <c r="L40" s="723">
        <v>8</v>
      </c>
      <c r="M40" s="14">
        <v>9</v>
      </c>
      <c r="N40" s="722">
        <v>10</v>
      </c>
      <c r="O40" s="14">
        <v>11</v>
      </c>
    </row>
    <row r="41" spans="3:16" ht="28" x14ac:dyDescent="0.15">
      <c r="D41" s="23" t="s">
        <v>245</v>
      </c>
      <c r="E41" s="65">
        <f>$E$7</f>
        <v>15000000</v>
      </c>
      <c r="F41" s="63">
        <f>E45</f>
        <v>14437500</v>
      </c>
      <c r="G41" s="63">
        <f>F45</f>
        <v>13354650</v>
      </c>
      <c r="H41" s="63">
        <f>G45</f>
        <v>12353100</v>
      </c>
      <c r="I41" s="63">
        <f>IF(I$42=0,0,H45)</f>
        <v>11426550</v>
      </c>
      <c r="J41" s="63">
        <f t="shared" ref="J41:O41" si="1">IF(J$42=0,0,I45)</f>
        <v>10998075</v>
      </c>
      <c r="K41" s="63">
        <f t="shared" si="1"/>
        <v>10998075</v>
      </c>
      <c r="L41" s="63">
        <f t="shared" si="1"/>
        <v>10998075</v>
      </c>
      <c r="M41" s="63">
        <f t="shared" si="1"/>
        <v>10998075</v>
      </c>
      <c r="N41" s="63">
        <f t="shared" si="1"/>
        <v>10998075</v>
      </c>
      <c r="O41" s="63">
        <f t="shared" si="1"/>
        <v>10998075</v>
      </c>
    </row>
    <row r="42" spans="3:16" ht="14" x14ac:dyDescent="0.15">
      <c r="D42" s="23" t="s">
        <v>246</v>
      </c>
      <c r="E42" s="389">
        <f>IF($F$7=3,E$32,IF($F$7=5,E$33,IF($F$7=7,E$34,IF($F$7=10,E$35,IF($F$7=15,E$36,IF($F$7=20,E$37,0))))))</f>
        <v>3.7499999999999999E-2</v>
      </c>
      <c r="F42" s="389">
        <f t="shared" ref="F42:O42" si="2">IF($F$7=3,F$32,IF($F$7=5,F$33,IF($F$7=7,F$34,IF($F$7=10,F$35,IF($F$7=15,F$36,IF($F$7=20,F$37,0))))))</f>
        <v>7.2190000000000004E-2</v>
      </c>
      <c r="G42" s="389">
        <f t="shared" si="2"/>
        <v>6.6769999999999996E-2</v>
      </c>
      <c r="H42" s="389">
        <f t="shared" si="2"/>
        <v>6.1769999999999999E-2</v>
      </c>
      <c r="I42" s="389">
        <f t="shared" si="2"/>
        <v>5.713E-2</v>
      </c>
      <c r="J42" s="389">
        <f t="shared" si="2"/>
        <v>5.2850000000000001E-2</v>
      </c>
      <c r="K42" s="389">
        <f t="shared" si="2"/>
        <v>4.888E-2</v>
      </c>
      <c r="L42" s="389">
        <f t="shared" si="2"/>
        <v>4.5220000000000003E-2</v>
      </c>
      <c r="M42" s="389">
        <f t="shared" si="2"/>
        <v>4.462E-2</v>
      </c>
      <c r="N42" s="389">
        <f t="shared" si="2"/>
        <v>4.4609999999999997E-2</v>
      </c>
      <c r="O42" s="389">
        <f t="shared" si="2"/>
        <v>4.462E-2</v>
      </c>
    </row>
    <row r="43" spans="3:16" ht="28" x14ac:dyDescent="0.15">
      <c r="D43" s="23" t="s">
        <v>247</v>
      </c>
      <c r="E43" s="63">
        <f>IF('Initial Inputs'!$G$13+1&lt;'Capital &amp; Depr'!E31,0,IF('Initial Inputs'!$G$13+1='Capital &amp; Depr'!E31,(E42*$E$7)/2,E42*$E$7))</f>
        <v>562500</v>
      </c>
      <c r="F43" s="63">
        <f>IF('Initial Inputs'!$G$13+1&lt;'Capital &amp; Depr'!F31,0,IF('Initial Inputs'!$G$13+1='Capital &amp; Depr'!F31,(F42*$E$7)/2,F42*$E$7))</f>
        <v>1082850</v>
      </c>
      <c r="G43" s="63">
        <f>IF('Initial Inputs'!$G$13+1&lt;'Capital &amp; Depr'!G31,0,IF('Initial Inputs'!$G$13+1='Capital &amp; Depr'!G31,(G42*$E$7)/2,G42*$E$7))</f>
        <v>1001549.9999999999</v>
      </c>
      <c r="H43" s="63">
        <f>IF('Initial Inputs'!$G$13+1&lt;'Capital &amp; Depr'!H31,0,IF('Initial Inputs'!$G$13+1='Capital &amp; Depr'!H31,(H42*$E$7)/2,H42*$E$7))</f>
        <v>926550</v>
      </c>
      <c r="I43" s="63">
        <f>IF('Initial Inputs'!$G$13+1&lt;'Capital &amp; Depr'!I31,0,IF('Initial Inputs'!$G$13+1='Capital &amp; Depr'!I31,(I42*$E$7)/2,I42*$E$7))</f>
        <v>428475</v>
      </c>
      <c r="J43" s="63">
        <f>IF('Initial Inputs'!$G$13+1&lt;'Capital &amp; Depr'!J31,0,IF('Initial Inputs'!$G$13+1='Capital &amp; Depr'!J31,(J42*$E$7)/2,J42*$E$7))</f>
        <v>0</v>
      </c>
      <c r="K43" s="63">
        <f>IF('Initial Inputs'!$G$13+1&lt;'Capital &amp; Depr'!K31,0,IF('Initial Inputs'!$G$13+1='Capital &amp; Depr'!K31,(K42*$E$7)/2,K42*$E$7))</f>
        <v>0</v>
      </c>
      <c r="L43" s="63">
        <f>IF('Initial Inputs'!$G$13+1&lt;'Capital &amp; Depr'!L31,0,IF('Initial Inputs'!$G$13+1='Capital &amp; Depr'!L31,(L42*$E$7)/2,L42*$E$7))</f>
        <v>0</v>
      </c>
      <c r="M43" s="63">
        <f>IF('Initial Inputs'!$G$13+1&lt;'Capital &amp; Depr'!M31,0,IF('Initial Inputs'!$G$13+1='Capital &amp; Depr'!M31,(M42*$E$7)/2,M42*$E$7))</f>
        <v>0</v>
      </c>
      <c r="N43" s="63">
        <f>IF('Initial Inputs'!$G$13+1&lt;'Capital &amp; Depr'!N31,0,IF('Initial Inputs'!$G$13+1='Capital &amp; Depr'!N31,(N42*$E$7)/2,N42*$E$7))</f>
        <v>0</v>
      </c>
      <c r="O43" s="63">
        <f>IF('Initial Inputs'!$G$13+1&lt;'Capital &amp; Depr'!O31,0,IF('Initial Inputs'!$G$13+1='Capital &amp; Depr'!O31,(O42*$E$7)/2,O42*$E$7))</f>
        <v>0</v>
      </c>
    </row>
    <row r="44" spans="3:16" ht="28" x14ac:dyDescent="0.15">
      <c r="D44" s="23" t="s">
        <v>248</v>
      </c>
      <c r="E44" s="63">
        <f>E43</f>
        <v>562500</v>
      </c>
      <c r="F44" s="63">
        <f>E44+F43</f>
        <v>1645350</v>
      </c>
      <c r="G44" s="63">
        <f>F44+G43</f>
        <v>2646900</v>
      </c>
      <c r="H44" s="63">
        <f>G44+H43</f>
        <v>3573450</v>
      </c>
      <c r="I44" s="63">
        <f>(H44+I43)</f>
        <v>4001925</v>
      </c>
      <c r="J44" s="63">
        <f t="shared" ref="J44:O44" si="3">(I44+J43)</f>
        <v>4001925</v>
      </c>
      <c r="K44" s="63">
        <f t="shared" si="3"/>
        <v>4001925</v>
      </c>
      <c r="L44" s="63">
        <f t="shared" si="3"/>
        <v>4001925</v>
      </c>
      <c r="M44" s="63">
        <f t="shared" si="3"/>
        <v>4001925</v>
      </c>
      <c r="N44" s="63">
        <f t="shared" si="3"/>
        <v>4001925</v>
      </c>
      <c r="O44" s="63">
        <f t="shared" si="3"/>
        <v>4001925</v>
      </c>
    </row>
    <row r="45" spans="3:16" ht="28" x14ac:dyDescent="0.15">
      <c r="D45" s="23" t="s">
        <v>249</v>
      </c>
      <c r="E45" s="64">
        <f>$E$7-E44</f>
        <v>14437500</v>
      </c>
      <c r="F45" s="64">
        <f>$E$7-F44</f>
        <v>13354650</v>
      </c>
      <c r="G45" s="64">
        <f>$E$7-G44</f>
        <v>12353100</v>
      </c>
      <c r="H45" s="64">
        <f>$E$7-H44</f>
        <v>11426550</v>
      </c>
      <c r="I45" s="64">
        <f t="shared" ref="I45:O45" si="4">IF(I$42=0,0,($E$7-I44))</f>
        <v>10998075</v>
      </c>
      <c r="J45" s="64">
        <f t="shared" si="4"/>
        <v>10998075</v>
      </c>
      <c r="K45" s="64">
        <f t="shared" si="4"/>
        <v>10998075</v>
      </c>
      <c r="L45" s="64">
        <f t="shared" si="4"/>
        <v>10998075</v>
      </c>
      <c r="M45" s="64">
        <f t="shared" si="4"/>
        <v>10998075</v>
      </c>
      <c r="N45" s="64">
        <f t="shared" si="4"/>
        <v>10998075</v>
      </c>
      <c r="O45" s="64">
        <f t="shared" si="4"/>
        <v>10998075</v>
      </c>
    </row>
    <row r="47" spans="3:16" x14ac:dyDescent="0.15">
      <c r="C47" s="1" t="s">
        <v>213</v>
      </c>
      <c r="D47" s="6"/>
      <c r="E47" s="6"/>
      <c r="F47" s="6"/>
    </row>
    <row r="48" spans="3:16" ht="14" x14ac:dyDescent="0.15">
      <c r="D48" s="23" t="s">
        <v>133</v>
      </c>
      <c r="E48" s="722">
        <v>1</v>
      </c>
      <c r="F48" s="723">
        <v>2</v>
      </c>
      <c r="G48" s="14">
        <v>3</v>
      </c>
      <c r="H48" s="722">
        <v>4</v>
      </c>
      <c r="I48" s="723">
        <v>5</v>
      </c>
      <c r="J48" s="14">
        <v>6</v>
      </c>
      <c r="K48" s="722">
        <v>7</v>
      </c>
      <c r="L48" s="723">
        <v>8</v>
      </c>
      <c r="M48" s="14">
        <v>9</v>
      </c>
      <c r="N48" s="722">
        <v>10</v>
      </c>
      <c r="O48" s="14">
        <v>11</v>
      </c>
    </row>
    <row r="49" spans="3:15" ht="28" x14ac:dyDescent="0.15">
      <c r="D49" s="23" t="s">
        <v>245</v>
      </c>
      <c r="E49" s="65">
        <f>$E$8</f>
        <v>15250000</v>
      </c>
      <c r="F49" s="63">
        <f>E53</f>
        <v>12200000</v>
      </c>
      <c r="G49" s="63">
        <f>F53</f>
        <v>7320000</v>
      </c>
      <c r="H49" s="63">
        <f>G53</f>
        <v>4392000</v>
      </c>
      <c r="I49" s="63">
        <f>IF(I$50=0,0,H53)</f>
        <v>2635200</v>
      </c>
      <c r="J49" s="63">
        <f t="shared" ref="J49:O49" si="5">IF(J$50=0,0,I53)</f>
        <v>1756800</v>
      </c>
      <c r="K49" s="63">
        <f t="shared" si="5"/>
        <v>0</v>
      </c>
      <c r="L49" s="63">
        <f t="shared" si="5"/>
        <v>0</v>
      </c>
      <c r="M49" s="63">
        <f t="shared" si="5"/>
        <v>0</v>
      </c>
      <c r="N49" s="63">
        <f t="shared" si="5"/>
        <v>0</v>
      </c>
      <c r="O49" s="63">
        <f t="shared" si="5"/>
        <v>0</v>
      </c>
    </row>
    <row r="50" spans="3:15" ht="14" x14ac:dyDescent="0.15">
      <c r="D50" s="23" t="s">
        <v>246</v>
      </c>
      <c r="E50" s="389">
        <f>IF($F$8=3,E$32,IF($F$8=5,E$33,IF($F$8=7,E$34,IF($F$8=10,E$35,IF($F$8=15,E$36,IF($F$8=20,E$37,0))))))</f>
        <v>0.2</v>
      </c>
      <c r="F50" s="389">
        <f t="shared" ref="F50:O50" si="6">IF($F$8=3,F$32,IF($F$8=5,F$33,IF($F$8=7,F$34,IF($F$8=10,F$35,IF($F$8=15,F$36,IF($F$8=20,F$37,0))))))</f>
        <v>0.32</v>
      </c>
      <c r="G50" s="389">
        <f t="shared" si="6"/>
        <v>0.192</v>
      </c>
      <c r="H50" s="389">
        <f t="shared" si="6"/>
        <v>0.1152</v>
      </c>
      <c r="I50" s="389">
        <f t="shared" si="6"/>
        <v>0.1152</v>
      </c>
      <c r="J50" s="389">
        <f t="shared" si="6"/>
        <v>5.7599999999999998E-2</v>
      </c>
      <c r="K50" s="389">
        <f t="shared" si="6"/>
        <v>0</v>
      </c>
      <c r="L50" s="389">
        <f t="shared" si="6"/>
        <v>0</v>
      </c>
      <c r="M50" s="389">
        <f t="shared" si="6"/>
        <v>0</v>
      </c>
      <c r="N50" s="389">
        <f t="shared" si="6"/>
        <v>0</v>
      </c>
      <c r="O50" s="389">
        <f t="shared" si="6"/>
        <v>0</v>
      </c>
    </row>
    <row r="51" spans="3:15" ht="28" x14ac:dyDescent="0.15">
      <c r="D51" s="23" t="s">
        <v>247</v>
      </c>
      <c r="E51" s="63">
        <f>IF('Initial Inputs'!$G$14+1&lt;'Capital &amp; Depr'!E31,0,IF('Initial Inputs'!$G$14+1='Capital &amp; Depr'!E31,(E50*$E$8)/2,E50*$E$8))</f>
        <v>3050000</v>
      </c>
      <c r="F51" s="63">
        <f>IF('Initial Inputs'!$G$14+1&lt;'Capital &amp; Depr'!F31,0,IF('Initial Inputs'!$G$14+1='Capital &amp; Depr'!F31,(F50*$E$8)/2,F50*$E$8))</f>
        <v>4880000</v>
      </c>
      <c r="G51" s="63">
        <f>IF('Initial Inputs'!$G$14+1&lt;'Capital &amp; Depr'!G31,0,IF('Initial Inputs'!$G$14+1='Capital &amp; Depr'!G31,(G50*$E$8)/2,G50*$E$8))</f>
        <v>2928000</v>
      </c>
      <c r="H51" s="63">
        <f>IF('Initial Inputs'!$G$14+1&lt;'Capital &amp; Depr'!H31,0,IF('Initial Inputs'!$G$14+1='Capital &amp; Depr'!H31,(H50*$E$8)/2,H50*$E$8))</f>
        <v>1756800</v>
      </c>
      <c r="I51" s="63">
        <f>IF('Initial Inputs'!$G$14+1&lt;'Capital &amp; Depr'!I31,0,IF('Initial Inputs'!$G$14+1='Capital &amp; Depr'!I31,(I50*$E$8)/2,I50*$E$8))</f>
        <v>878400</v>
      </c>
      <c r="J51" s="63">
        <f>IF('Initial Inputs'!$G$14+1&lt;'Capital &amp; Depr'!J31,0,IF('Initial Inputs'!$G$14+1='Capital &amp; Depr'!J31,(J50*$E$8)/2,J50*$E$8))</f>
        <v>0</v>
      </c>
      <c r="K51" s="63">
        <f>IF('Initial Inputs'!$G$14+1&lt;'Capital &amp; Depr'!K31,0,IF('Initial Inputs'!$G$14+1='Capital &amp; Depr'!K31,(K50*$E$8)/2,K50*$E$8))</f>
        <v>0</v>
      </c>
      <c r="L51" s="63">
        <f>IF('Initial Inputs'!$G$14+1&lt;'Capital &amp; Depr'!L31,0,IF('Initial Inputs'!$G$14+1='Capital &amp; Depr'!L31,(L50*$E$8)/2,L50*$E$8))</f>
        <v>0</v>
      </c>
      <c r="M51" s="63">
        <f>IF('Initial Inputs'!$G$14+1&lt;'Capital &amp; Depr'!M31,0,IF('Initial Inputs'!$G$14+1='Capital &amp; Depr'!M31,(M50*$E$8)/2,M50*$E$8))</f>
        <v>0</v>
      </c>
      <c r="N51" s="63">
        <f>IF('Initial Inputs'!$G$14+1&lt;'Capital &amp; Depr'!N31,0,IF('Initial Inputs'!$G$14+1='Capital &amp; Depr'!N31,(N50*$E$8)/2,N50*$E$8))</f>
        <v>0</v>
      </c>
      <c r="O51" s="63">
        <f>IF('Initial Inputs'!$G$14+1&lt;'Capital &amp; Depr'!O31,0,IF('Initial Inputs'!$G$14+1='Capital &amp; Depr'!O31,(O50*$E$8)/2,O50*$E$8))</f>
        <v>0</v>
      </c>
    </row>
    <row r="52" spans="3:15" ht="28" x14ac:dyDescent="0.15">
      <c r="D52" s="23" t="s">
        <v>248</v>
      </c>
      <c r="E52" s="63">
        <f>E51</f>
        <v>3050000</v>
      </c>
      <c r="F52" s="63">
        <f>E52+F51</f>
        <v>7930000</v>
      </c>
      <c r="G52" s="63">
        <f>F52+G51</f>
        <v>10858000</v>
      </c>
      <c r="H52" s="63">
        <f>G52+H51</f>
        <v>12614800</v>
      </c>
      <c r="I52" s="63">
        <f>(H52+I51)</f>
        <v>13493200</v>
      </c>
      <c r="J52" s="63">
        <f t="shared" ref="J52:O52" si="7">(I52+J51)</f>
        <v>13493200</v>
      </c>
      <c r="K52" s="63">
        <f t="shared" si="7"/>
        <v>13493200</v>
      </c>
      <c r="L52" s="63">
        <f t="shared" si="7"/>
        <v>13493200</v>
      </c>
      <c r="M52" s="63">
        <f t="shared" si="7"/>
        <v>13493200</v>
      </c>
      <c r="N52" s="63">
        <f t="shared" si="7"/>
        <v>13493200</v>
      </c>
      <c r="O52" s="63">
        <f t="shared" si="7"/>
        <v>13493200</v>
      </c>
    </row>
    <row r="53" spans="3:15" ht="28" x14ac:dyDescent="0.15">
      <c r="D53" s="23" t="s">
        <v>249</v>
      </c>
      <c r="E53" s="64">
        <f>$E$8-E52</f>
        <v>12200000</v>
      </c>
      <c r="F53" s="64">
        <f>$E$8-F52</f>
        <v>7320000</v>
      </c>
      <c r="G53" s="64">
        <f>$E$8-G52</f>
        <v>4392000</v>
      </c>
      <c r="H53" s="64">
        <f>$E$8-H52</f>
        <v>2635200</v>
      </c>
      <c r="I53" s="64">
        <f t="shared" ref="I53:O53" si="8">IF(I$50=0,0,($E$8-I52))</f>
        <v>1756800</v>
      </c>
      <c r="J53" s="64">
        <f t="shared" si="8"/>
        <v>1756800</v>
      </c>
      <c r="K53" s="64">
        <f t="shared" si="8"/>
        <v>0</v>
      </c>
      <c r="L53" s="64">
        <f t="shared" si="8"/>
        <v>0</v>
      </c>
      <c r="M53" s="64">
        <f t="shared" si="8"/>
        <v>0</v>
      </c>
      <c r="N53" s="64">
        <f t="shared" si="8"/>
        <v>0</v>
      </c>
      <c r="O53" s="64">
        <f t="shared" si="8"/>
        <v>0</v>
      </c>
    </row>
    <row r="55" spans="3:15" x14ac:dyDescent="0.15">
      <c r="C55" s="1" t="s">
        <v>214</v>
      </c>
      <c r="D55" s="6"/>
      <c r="E55" s="6"/>
      <c r="F55" s="6"/>
    </row>
    <row r="56" spans="3:15" ht="14" x14ac:dyDescent="0.15">
      <c r="D56" s="23" t="s">
        <v>133</v>
      </c>
      <c r="E56" s="722">
        <v>1</v>
      </c>
      <c r="F56" s="723">
        <v>2</v>
      </c>
      <c r="G56" s="14">
        <v>3</v>
      </c>
      <c r="H56" s="722">
        <v>4</v>
      </c>
      <c r="I56" s="723">
        <v>5</v>
      </c>
      <c r="J56" s="14">
        <v>6</v>
      </c>
      <c r="K56" s="722">
        <v>7</v>
      </c>
      <c r="L56" s="723">
        <v>8</v>
      </c>
      <c r="M56" s="14">
        <v>9</v>
      </c>
      <c r="N56" s="722">
        <v>10</v>
      </c>
      <c r="O56" s="14">
        <v>11</v>
      </c>
    </row>
    <row r="57" spans="3:15" ht="28" x14ac:dyDescent="0.15">
      <c r="D57" s="23" t="s">
        <v>245</v>
      </c>
      <c r="E57" s="65">
        <f>$E$9</f>
        <v>800000</v>
      </c>
      <c r="F57" s="63">
        <f>E61</f>
        <v>640000</v>
      </c>
      <c r="G57" s="63">
        <f>F61</f>
        <v>384000</v>
      </c>
      <c r="H57" s="63">
        <f>G61</f>
        <v>230400</v>
      </c>
      <c r="I57" s="63">
        <f>IF(I$58=0,0,H61)</f>
        <v>138240</v>
      </c>
      <c r="J57" s="63">
        <f t="shared" ref="J57:O57" si="9">IF(J$58=0,0,I61)</f>
        <v>92160</v>
      </c>
      <c r="K57" s="63">
        <f t="shared" si="9"/>
        <v>0</v>
      </c>
      <c r="L57" s="63">
        <f t="shared" si="9"/>
        <v>0</v>
      </c>
      <c r="M57" s="63">
        <f t="shared" si="9"/>
        <v>0</v>
      </c>
      <c r="N57" s="63">
        <f t="shared" si="9"/>
        <v>0</v>
      </c>
      <c r="O57" s="63">
        <f t="shared" si="9"/>
        <v>0</v>
      </c>
    </row>
    <row r="58" spans="3:15" ht="14" x14ac:dyDescent="0.15">
      <c r="D58" s="23" t="s">
        <v>246</v>
      </c>
      <c r="E58" s="389">
        <f>IF($F$9=3,E$32,IF($F$9=5,E$33,IF($F$9=7,E$34,IF($F$9=10,E$35,IF($F$9=15,E$36,IF($F$9=20,E$37,0))))))</f>
        <v>0.2</v>
      </c>
      <c r="F58" s="389">
        <f t="shared" ref="F58:O58" si="10">IF($F$9=3,F$32,IF($F$9=5,F$33,IF($F$9=7,F$34,IF($F$9=10,F$35,IF($F$9=15,F$36,IF($F$9=20,F$37,0))))))</f>
        <v>0.32</v>
      </c>
      <c r="G58" s="389">
        <f t="shared" si="10"/>
        <v>0.192</v>
      </c>
      <c r="H58" s="389">
        <f t="shared" si="10"/>
        <v>0.1152</v>
      </c>
      <c r="I58" s="389">
        <f t="shared" si="10"/>
        <v>0.1152</v>
      </c>
      <c r="J58" s="389">
        <f t="shared" si="10"/>
        <v>5.7599999999999998E-2</v>
      </c>
      <c r="K58" s="389">
        <f t="shared" si="10"/>
        <v>0</v>
      </c>
      <c r="L58" s="389">
        <f t="shared" si="10"/>
        <v>0</v>
      </c>
      <c r="M58" s="389">
        <f t="shared" si="10"/>
        <v>0</v>
      </c>
      <c r="N58" s="389">
        <f t="shared" si="10"/>
        <v>0</v>
      </c>
      <c r="O58" s="389">
        <f t="shared" si="10"/>
        <v>0</v>
      </c>
    </row>
    <row r="59" spans="3:15" ht="28" x14ac:dyDescent="0.15">
      <c r="D59" s="23" t="s">
        <v>247</v>
      </c>
      <c r="E59" s="63">
        <f>IF('Initial Inputs'!$G$15+1&lt;'Capital &amp; Depr'!E31,0,IF('Initial Inputs'!$G$15+1='Capital &amp; Depr'!E31,(E58*$E$9)/2,E58*$E$9))</f>
        <v>160000</v>
      </c>
      <c r="F59" s="63">
        <f>IF('Initial Inputs'!$G$15+1&lt;'Capital &amp; Depr'!F31,0,IF('Initial Inputs'!$G$15+1='Capital &amp; Depr'!F31,(F58*$E$9)/2,F58*$E$9))</f>
        <v>256000</v>
      </c>
      <c r="G59" s="63">
        <f>IF('Initial Inputs'!$G$15+1&lt;'Capital &amp; Depr'!G31,0,IF('Initial Inputs'!$G$15+1='Capital &amp; Depr'!G31,(G58*$E$9)/2,G58*$E$9))</f>
        <v>153600</v>
      </c>
      <c r="H59" s="63">
        <f>IF('Initial Inputs'!$G$15+1&lt;'Capital &amp; Depr'!H31,0,IF('Initial Inputs'!$G$15+1='Capital &amp; Depr'!H31,(H58*$E$9)/2,H58*$E$9))</f>
        <v>92160</v>
      </c>
      <c r="I59" s="63">
        <f>IF('Initial Inputs'!$G$15+1&lt;'Capital &amp; Depr'!I31,0,IF('Initial Inputs'!$G$15+1='Capital &amp; Depr'!I31,(I58*$E$9)/2,I58*$E$9))</f>
        <v>46080</v>
      </c>
      <c r="J59" s="63">
        <f>IF('Initial Inputs'!$G$15+1&lt;'Capital &amp; Depr'!J31,0,IF('Initial Inputs'!$G$15+1='Capital &amp; Depr'!J31,(J58*$E$9)/2,J58*$E$9))</f>
        <v>0</v>
      </c>
      <c r="K59" s="63">
        <f>IF('Initial Inputs'!$G$15+1&lt;'Capital &amp; Depr'!K31,0,IF('Initial Inputs'!$G$15+1='Capital &amp; Depr'!K31,(K58*$E$9)/2,K58*$E$9))</f>
        <v>0</v>
      </c>
      <c r="L59" s="63">
        <f>IF('Initial Inputs'!$G$15+1&lt;'Capital &amp; Depr'!L31,0,IF('Initial Inputs'!$G$15+1='Capital &amp; Depr'!L31,(L58*$E$9)/2,L58*$E$9))</f>
        <v>0</v>
      </c>
      <c r="M59" s="63">
        <f>IF('Initial Inputs'!$G$15+1&lt;'Capital &amp; Depr'!M31,0,IF('Initial Inputs'!$G$15+1='Capital &amp; Depr'!M31,(M58*$E$9)/2,M58*$E$9))</f>
        <v>0</v>
      </c>
      <c r="N59" s="63">
        <f>IF('Initial Inputs'!$G$15+1&lt;'Capital &amp; Depr'!N31,0,IF('Initial Inputs'!$G$15+1='Capital &amp; Depr'!N31,(N58*$E$9)/2,N58*$E$9))</f>
        <v>0</v>
      </c>
      <c r="O59" s="63">
        <f>IF('Initial Inputs'!$G$15+1&lt;'Capital &amp; Depr'!O31,0,IF('Initial Inputs'!$G$15+1='Capital &amp; Depr'!O31,(O58*$E$9)/2,O58*$E$9))</f>
        <v>0</v>
      </c>
    </row>
    <row r="60" spans="3:15" ht="28" x14ac:dyDescent="0.15">
      <c r="D60" s="23" t="s">
        <v>248</v>
      </c>
      <c r="E60" s="63">
        <f>E59</f>
        <v>160000</v>
      </c>
      <c r="F60" s="63">
        <f>E60+F59</f>
        <v>416000</v>
      </c>
      <c r="G60" s="63">
        <f>F60+G59</f>
        <v>569600</v>
      </c>
      <c r="H60" s="63">
        <f>G60+H59</f>
        <v>661760</v>
      </c>
      <c r="I60" s="63">
        <f>(H60+I59)</f>
        <v>707840</v>
      </c>
      <c r="J60" s="63">
        <f t="shared" ref="J60:O60" si="11">(I60+J59)</f>
        <v>707840</v>
      </c>
      <c r="K60" s="63">
        <f t="shared" si="11"/>
        <v>707840</v>
      </c>
      <c r="L60" s="63">
        <f t="shared" si="11"/>
        <v>707840</v>
      </c>
      <c r="M60" s="63">
        <f t="shared" si="11"/>
        <v>707840</v>
      </c>
      <c r="N60" s="63">
        <f t="shared" si="11"/>
        <v>707840</v>
      </c>
      <c r="O60" s="63">
        <f t="shared" si="11"/>
        <v>707840</v>
      </c>
    </row>
    <row r="61" spans="3:15" ht="28" x14ac:dyDescent="0.15">
      <c r="D61" s="23" t="s">
        <v>249</v>
      </c>
      <c r="E61" s="64">
        <f>$E$9-E60</f>
        <v>640000</v>
      </c>
      <c r="F61" s="64">
        <f>$E$9-F60</f>
        <v>384000</v>
      </c>
      <c r="G61" s="64">
        <f>$E$9-G60</f>
        <v>230400</v>
      </c>
      <c r="H61" s="64">
        <f>$E$9-H60</f>
        <v>138240</v>
      </c>
      <c r="I61" s="64">
        <f t="shared" ref="I61:O61" si="12">IF(I$58=0,0,($E$9-I60))</f>
        <v>92160</v>
      </c>
      <c r="J61" s="64">
        <f t="shared" si="12"/>
        <v>92160</v>
      </c>
      <c r="K61" s="64">
        <f t="shared" si="12"/>
        <v>0</v>
      </c>
      <c r="L61" s="64">
        <f t="shared" si="12"/>
        <v>0</v>
      </c>
      <c r="M61" s="64">
        <f t="shared" si="12"/>
        <v>0</v>
      </c>
      <c r="N61" s="64">
        <f t="shared" si="12"/>
        <v>0</v>
      </c>
      <c r="O61" s="64">
        <f t="shared" si="12"/>
        <v>0</v>
      </c>
    </row>
    <row r="63" spans="3:15" x14ac:dyDescent="0.15">
      <c r="C63" s="1" t="s">
        <v>215</v>
      </c>
      <c r="D63" s="6"/>
      <c r="E63" s="6"/>
      <c r="F63" s="6"/>
    </row>
    <row r="64" spans="3:15" ht="14" x14ac:dyDescent="0.15">
      <c r="D64" s="23" t="s">
        <v>133</v>
      </c>
      <c r="E64" s="722">
        <v>1</v>
      </c>
      <c r="F64" s="723">
        <v>2</v>
      </c>
      <c r="G64" s="14">
        <v>3</v>
      </c>
      <c r="H64" s="722">
        <v>4</v>
      </c>
      <c r="I64" s="723">
        <v>5</v>
      </c>
      <c r="J64" s="14">
        <v>6</v>
      </c>
      <c r="K64" s="722">
        <v>7</v>
      </c>
      <c r="L64" s="723">
        <v>8</v>
      </c>
      <c r="M64" s="14">
        <v>9</v>
      </c>
      <c r="N64" s="722">
        <v>10</v>
      </c>
      <c r="O64" s="14">
        <v>11</v>
      </c>
    </row>
    <row r="65" spans="1:15" ht="28" x14ac:dyDescent="0.15">
      <c r="D65" s="23" t="s">
        <v>245</v>
      </c>
      <c r="E65" s="65">
        <f>$E$10</f>
        <v>0</v>
      </c>
      <c r="F65" s="63">
        <f>E69</f>
        <v>0</v>
      </c>
      <c r="G65" s="63">
        <f>F69</f>
        <v>0</v>
      </c>
      <c r="H65" s="63">
        <f>G69</f>
        <v>0</v>
      </c>
      <c r="I65" s="63">
        <f>IF(I$66=0,0,H69)</f>
        <v>0</v>
      </c>
      <c r="J65" s="63">
        <f t="shared" ref="J65:O65" si="13">IF(J$66=0,0,I69)</f>
        <v>0</v>
      </c>
      <c r="K65" s="63">
        <f t="shared" si="13"/>
        <v>0</v>
      </c>
      <c r="L65" s="63">
        <f t="shared" si="13"/>
        <v>0</v>
      </c>
      <c r="M65" s="63">
        <f t="shared" si="13"/>
        <v>0</v>
      </c>
      <c r="N65" s="63">
        <f t="shared" si="13"/>
        <v>0</v>
      </c>
      <c r="O65" s="63">
        <f t="shared" si="13"/>
        <v>0</v>
      </c>
    </row>
    <row r="66" spans="1:15" ht="14" x14ac:dyDescent="0.15">
      <c r="D66" s="23" t="s">
        <v>246</v>
      </c>
      <c r="E66" s="389">
        <f>IF($F$10=3,E$32,IF($F$10=5,E$33,IF($F$10=7,E$34,IF($F$10=10,E$35,IF($F$10=15,E$36,IF($F$10=20,E$37,0))))))</f>
        <v>0</v>
      </c>
      <c r="F66" s="389">
        <f t="shared" ref="F66:O66" si="14">IF($F$10=3,F$32,IF($F$10=5,F$33,IF($F$10=7,F$34,IF($F$10=10,F$35,IF($F$10=15,F$36,IF($F$10=20,F$37,0))))))</f>
        <v>0</v>
      </c>
      <c r="G66" s="389">
        <f t="shared" si="14"/>
        <v>0</v>
      </c>
      <c r="H66" s="389">
        <f t="shared" si="14"/>
        <v>0</v>
      </c>
      <c r="I66" s="389">
        <f t="shared" si="14"/>
        <v>0</v>
      </c>
      <c r="J66" s="389">
        <f t="shared" si="14"/>
        <v>0</v>
      </c>
      <c r="K66" s="389">
        <f t="shared" si="14"/>
        <v>0</v>
      </c>
      <c r="L66" s="389">
        <f t="shared" si="14"/>
        <v>0</v>
      </c>
      <c r="M66" s="389">
        <f t="shared" si="14"/>
        <v>0</v>
      </c>
      <c r="N66" s="389">
        <f t="shared" si="14"/>
        <v>0</v>
      </c>
      <c r="O66" s="389">
        <f t="shared" si="14"/>
        <v>0</v>
      </c>
    </row>
    <row r="67" spans="1:15" ht="28" x14ac:dyDescent="0.15">
      <c r="D67" s="23" t="s">
        <v>247</v>
      </c>
      <c r="E67" s="63">
        <f>IF('Initial Inputs'!$G$16+1&lt;'Capital &amp; Depr'!E31,0,IF('Initial Inputs'!$G$16+1='Capital &amp; Depr'!E31,(E66*$E$10)/2,E66*$E$10))</f>
        <v>0</v>
      </c>
      <c r="F67" s="63">
        <f>IF('Initial Inputs'!$G$16+1&lt;'Capital &amp; Depr'!F31,0,IF('Initial Inputs'!$G$16+1='Capital &amp; Depr'!F31,(F66*$E$10)/2,F66*$E$10))</f>
        <v>0</v>
      </c>
      <c r="G67" s="63">
        <f>IF('Initial Inputs'!$G$16+1&lt;'Capital &amp; Depr'!G31,0,IF('Initial Inputs'!$G$16+1='Capital &amp; Depr'!G31,(G66*$E$10)/2,G66*$E$10))</f>
        <v>0</v>
      </c>
      <c r="H67" s="63">
        <f>IF('Initial Inputs'!$G$16+1&lt;'Capital &amp; Depr'!H31,0,IF('Initial Inputs'!$G$16+1='Capital &amp; Depr'!H31,(H66*$E$10)/2,H66*$E$10))</f>
        <v>0</v>
      </c>
      <c r="I67" s="63">
        <f>IF('Initial Inputs'!$G$16+1&lt;'Capital &amp; Depr'!I31,0,IF('Initial Inputs'!$G$16+1='Capital &amp; Depr'!I31,(I66*$E$10)/2,I66*$E$10))</f>
        <v>0</v>
      </c>
      <c r="J67" s="63">
        <f>IF('Initial Inputs'!$G$16+1&lt;'Capital &amp; Depr'!J31,0,IF('Initial Inputs'!$G$16+1='Capital &amp; Depr'!J31,(J66*$E$10)/2,J66*$E$10))</f>
        <v>0</v>
      </c>
      <c r="K67" s="63">
        <f>IF('Initial Inputs'!$G$16+1&lt;'Capital &amp; Depr'!K31,0,IF('Initial Inputs'!$G$16+1='Capital &amp; Depr'!K31,(K66*$E$10)/2,K66*$E$10))</f>
        <v>0</v>
      </c>
      <c r="L67" s="63">
        <f>IF('Initial Inputs'!$G$16+1&lt;'Capital &amp; Depr'!L31,0,IF('Initial Inputs'!$G$16+1='Capital &amp; Depr'!L31,(L66*$E$10)/2,L66*$E$10))</f>
        <v>0</v>
      </c>
      <c r="M67" s="63">
        <f>IF('Initial Inputs'!$G$16+1&lt;'Capital &amp; Depr'!M31,0,IF('Initial Inputs'!$G$16+1='Capital &amp; Depr'!M31,(M66*$E$10)/2,M66*$E$10))</f>
        <v>0</v>
      </c>
      <c r="N67" s="63">
        <f>IF('Initial Inputs'!$G$16+1&lt;'Capital &amp; Depr'!N31,0,IF('Initial Inputs'!$G$16+1='Capital &amp; Depr'!N31,(N66*$E$10)/2,N66*$E$10))</f>
        <v>0</v>
      </c>
      <c r="O67" s="63">
        <f>IF('Initial Inputs'!$G$16+1&lt;'Capital &amp; Depr'!O31,0,IF('Initial Inputs'!$G$16+1='Capital &amp; Depr'!O31,(O66*$E$10)/2,O66*$E$10))</f>
        <v>0</v>
      </c>
    </row>
    <row r="68" spans="1:15" ht="28" x14ac:dyDescent="0.15">
      <c r="D68" s="23" t="s">
        <v>248</v>
      </c>
      <c r="E68" s="63">
        <f>E67</f>
        <v>0</v>
      </c>
      <c r="F68" s="63">
        <f>E68+F67</f>
        <v>0</v>
      </c>
      <c r="G68" s="63">
        <f>F68+G67</f>
        <v>0</v>
      </c>
      <c r="H68" s="63">
        <f>G68+H67</f>
        <v>0</v>
      </c>
      <c r="I68" s="63">
        <f>(H68+I67)</f>
        <v>0</v>
      </c>
      <c r="J68" s="63">
        <f t="shared" ref="J68:O68" si="15">(I68+J67)</f>
        <v>0</v>
      </c>
      <c r="K68" s="63">
        <f t="shared" si="15"/>
        <v>0</v>
      </c>
      <c r="L68" s="63">
        <f t="shared" si="15"/>
        <v>0</v>
      </c>
      <c r="M68" s="63">
        <f t="shared" si="15"/>
        <v>0</v>
      </c>
      <c r="N68" s="63">
        <f t="shared" si="15"/>
        <v>0</v>
      </c>
      <c r="O68" s="63">
        <f t="shared" si="15"/>
        <v>0</v>
      </c>
    </row>
    <row r="69" spans="1:15" ht="28" x14ac:dyDescent="0.15">
      <c r="D69" s="23" t="s">
        <v>249</v>
      </c>
      <c r="E69" s="64">
        <f>$E$10-E68</f>
        <v>0</v>
      </c>
      <c r="F69" s="64">
        <f>$E$10-F68</f>
        <v>0</v>
      </c>
      <c r="G69" s="64">
        <f>$E$10-G68</f>
        <v>0</v>
      </c>
      <c r="H69" s="64">
        <f>$E$10-H68</f>
        <v>0</v>
      </c>
      <c r="I69" s="64">
        <f t="shared" ref="I69:O69" si="16">IF(I$66=0,0,($E$10-I68))</f>
        <v>0</v>
      </c>
      <c r="J69" s="64">
        <f t="shared" si="16"/>
        <v>0</v>
      </c>
      <c r="K69" s="64">
        <f t="shared" si="16"/>
        <v>0</v>
      </c>
      <c r="L69" s="64">
        <f t="shared" si="16"/>
        <v>0</v>
      </c>
      <c r="M69" s="64">
        <f t="shared" si="16"/>
        <v>0</v>
      </c>
      <c r="N69" s="64">
        <f t="shared" si="16"/>
        <v>0</v>
      </c>
      <c r="O69" s="64">
        <f t="shared" si="16"/>
        <v>0</v>
      </c>
    </row>
    <row r="71" spans="1:15" x14ac:dyDescent="0.15">
      <c r="B71" s="1" t="s">
        <v>250</v>
      </c>
    </row>
    <row r="72" spans="1:15" ht="14" x14ac:dyDescent="0.15">
      <c r="D72" s="23" t="s">
        <v>133</v>
      </c>
      <c r="E72" s="722">
        <v>1</v>
      </c>
      <c r="F72" s="723">
        <v>2</v>
      </c>
      <c r="G72" s="14">
        <v>3</v>
      </c>
      <c r="H72" s="722">
        <v>4</v>
      </c>
      <c r="I72" s="723">
        <v>5</v>
      </c>
      <c r="J72" s="14">
        <v>6</v>
      </c>
      <c r="K72" s="722">
        <v>7</v>
      </c>
      <c r="L72" s="723">
        <v>8</v>
      </c>
      <c r="M72" s="14">
        <v>9</v>
      </c>
      <c r="N72" s="722">
        <v>10</v>
      </c>
      <c r="O72" s="14">
        <v>11</v>
      </c>
    </row>
    <row r="73" spans="1:15" ht="28" x14ac:dyDescent="0.15">
      <c r="D73" s="23" t="s">
        <v>251</v>
      </c>
      <c r="E73" s="63">
        <f>E41+E49+E57+E65</f>
        <v>31050000</v>
      </c>
      <c r="F73" s="63">
        <f t="shared" ref="F73:O73" si="17">F41+F49+F57+F65</f>
        <v>27277500</v>
      </c>
      <c r="G73" s="63">
        <f t="shared" si="17"/>
        <v>21058650</v>
      </c>
      <c r="H73" s="63">
        <f t="shared" si="17"/>
        <v>16975500</v>
      </c>
      <c r="I73" s="63">
        <f t="shared" si="17"/>
        <v>14199990</v>
      </c>
      <c r="J73" s="63">
        <f t="shared" si="17"/>
        <v>12847035</v>
      </c>
      <c r="K73" s="63">
        <f t="shared" si="17"/>
        <v>10998075</v>
      </c>
      <c r="L73" s="63">
        <f t="shared" si="17"/>
        <v>10998075</v>
      </c>
      <c r="M73" s="63">
        <f t="shared" si="17"/>
        <v>10998075</v>
      </c>
      <c r="N73" s="63">
        <f t="shared" si="17"/>
        <v>10998075</v>
      </c>
      <c r="O73" s="63">
        <f t="shared" si="17"/>
        <v>10998075</v>
      </c>
    </row>
    <row r="74" spans="1:15" ht="28" x14ac:dyDescent="0.15">
      <c r="D74" s="23" t="s">
        <v>252</v>
      </c>
      <c r="E74" s="64">
        <f>E43+E51+E59+E67</f>
        <v>3772500</v>
      </c>
      <c r="F74" s="64">
        <f t="shared" ref="F74:O74" si="18">F43+F51+F59+F67</f>
        <v>6218850</v>
      </c>
      <c r="G74" s="64">
        <f t="shared" si="18"/>
        <v>4083150</v>
      </c>
      <c r="H74" s="64">
        <f t="shared" si="18"/>
        <v>2775510</v>
      </c>
      <c r="I74" s="64">
        <f t="shared" si="18"/>
        <v>1352955</v>
      </c>
      <c r="J74" s="64">
        <f t="shared" si="18"/>
        <v>0</v>
      </c>
      <c r="K74" s="64">
        <f t="shared" si="18"/>
        <v>0</v>
      </c>
      <c r="L74" s="64">
        <f t="shared" si="18"/>
        <v>0</v>
      </c>
      <c r="M74" s="64">
        <f t="shared" si="18"/>
        <v>0</v>
      </c>
      <c r="N74" s="64">
        <f t="shared" si="18"/>
        <v>0</v>
      </c>
      <c r="O74" s="64">
        <f t="shared" si="18"/>
        <v>0</v>
      </c>
    </row>
    <row r="75" spans="1:15" ht="28" x14ac:dyDescent="0.15">
      <c r="D75" s="23" t="s">
        <v>253</v>
      </c>
      <c r="E75" s="120">
        <f>E44+E52+E60+E68</f>
        <v>3772500</v>
      </c>
      <c r="F75" s="120">
        <f t="shared" ref="F75:O75" si="19">F44+F52+F60+F68</f>
        <v>9991350</v>
      </c>
      <c r="G75" s="120">
        <f t="shared" si="19"/>
        <v>14074500</v>
      </c>
      <c r="H75" s="120">
        <f t="shared" si="19"/>
        <v>16850010</v>
      </c>
      <c r="I75" s="120">
        <f t="shared" si="19"/>
        <v>18202965</v>
      </c>
      <c r="J75" s="120">
        <f t="shared" si="19"/>
        <v>18202965</v>
      </c>
      <c r="K75" s="120">
        <f t="shared" si="19"/>
        <v>18202965</v>
      </c>
      <c r="L75" s="120">
        <f t="shared" si="19"/>
        <v>18202965</v>
      </c>
      <c r="M75" s="120">
        <f t="shared" si="19"/>
        <v>18202965</v>
      </c>
      <c r="N75" s="120">
        <f t="shared" si="19"/>
        <v>18202965</v>
      </c>
      <c r="O75" s="120">
        <f t="shared" si="19"/>
        <v>18202965</v>
      </c>
    </row>
    <row r="76" spans="1:15" ht="28" x14ac:dyDescent="0.15">
      <c r="D76" s="23" t="s">
        <v>254</v>
      </c>
      <c r="E76" s="64">
        <f>E45+E53+E61+E69</f>
        <v>27277500</v>
      </c>
      <c r="F76" s="64">
        <f t="shared" ref="F76:O76" si="20">F45+F53+F61+F69</f>
        <v>21058650</v>
      </c>
      <c r="G76" s="64">
        <f t="shared" si="20"/>
        <v>16975500</v>
      </c>
      <c r="H76" s="64">
        <f t="shared" si="20"/>
        <v>14199990</v>
      </c>
      <c r="I76" s="64">
        <f t="shared" si="20"/>
        <v>12847035</v>
      </c>
      <c r="J76" s="64">
        <f t="shared" si="20"/>
        <v>12847035</v>
      </c>
      <c r="K76" s="64">
        <f t="shared" si="20"/>
        <v>10998075</v>
      </c>
      <c r="L76" s="64">
        <f t="shared" si="20"/>
        <v>10998075</v>
      </c>
      <c r="M76" s="64">
        <f t="shared" si="20"/>
        <v>10998075</v>
      </c>
      <c r="N76" s="64">
        <f t="shared" si="20"/>
        <v>10998075</v>
      </c>
      <c r="O76" s="64">
        <f t="shared" si="20"/>
        <v>10998075</v>
      </c>
    </row>
    <row r="79" spans="1:15" ht="16" x14ac:dyDescent="0.2">
      <c r="A79" s="206" t="s">
        <v>255</v>
      </c>
      <c r="B79" s="1"/>
    </row>
    <row r="81" spans="3:15" x14ac:dyDescent="0.15">
      <c r="C81" s="1" t="s">
        <v>212</v>
      </c>
    </row>
    <row r="82" spans="3:15" ht="14" x14ac:dyDescent="0.15">
      <c r="D82" s="23" t="s">
        <v>133</v>
      </c>
      <c r="E82" s="27">
        <v>1</v>
      </c>
      <c r="F82" s="33">
        <v>2</v>
      </c>
      <c r="G82" s="26">
        <v>3</v>
      </c>
      <c r="H82" s="27">
        <v>4</v>
      </c>
      <c r="I82" s="33">
        <v>5</v>
      </c>
      <c r="J82" s="26">
        <v>6</v>
      </c>
      <c r="K82" s="27">
        <v>7</v>
      </c>
      <c r="L82" s="33">
        <v>8</v>
      </c>
      <c r="M82" s="26">
        <v>9</v>
      </c>
      <c r="N82" s="27">
        <v>10</v>
      </c>
      <c r="O82" s="26">
        <v>11</v>
      </c>
    </row>
    <row r="83" spans="3:15" ht="28" x14ac:dyDescent="0.15">
      <c r="D83" s="23" t="s">
        <v>245</v>
      </c>
      <c r="E83" s="63">
        <f>$E$7</f>
        <v>15000000</v>
      </c>
      <c r="F83" s="63">
        <f t="shared" ref="F83:O83" si="21">E87</f>
        <v>14250000</v>
      </c>
      <c r="G83" s="63">
        <f t="shared" si="21"/>
        <v>13500000</v>
      </c>
      <c r="H83" s="63">
        <f t="shared" si="21"/>
        <v>12750000</v>
      </c>
      <c r="I83" s="63">
        <f t="shared" si="21"/>
        <v>12000000</v>
      </c>
      <c r="J83" s="63">
        <f t="shared" si="21"/>
        <v>11250000</v>
      </c>
      <c r="K83" s="63">
        <f t="shared" si="21"/>
        <v>10500000</v>
      </c>
      <c r="L83" s="63">
        <f t="shared" si="21"/>
        <v>9750000</v>
      </c>
      <c r="M83" s="63">
        <f t="shared" si="21"/>
        <v>9000000</v>
      </c>
      <c r="N83" s="63">
        <f t="shared" si="21"/>
        <v>8250000</v>
      </c>
      <c r="O83" s="63">
        <f t="shared" si="21"/>
        <v>7500000</v>
      </c>
    </row>
    <row r="84" spans="3:15" ht="14" x14ac:dyDescent="0.15">
      <c r="D84" s="23" t="s">
        <v>256</v>
      </c>
      <c r="E84" s="34">
        <f>1/$F$7</f>
        <v>0.05</v>
      </c>
      <c r="F84" s="34">
        <f>1/$F$7</f>
        <v>0.05</v>
      </c>
      <c r="G84" s="34">
        <f>1/$F$7</f>
        <v>0.05</v>
      </c>
      <c r="H84" s="34">
        <f>IF(G86=$H$7,0,(1/$F$7))</f>
        <v>0.05</v>
      </c>
      <c r="I84" s="34">
        <f t="shared" ref="I84:O84" si="22">IF(H86=$H$7,0,(1/$F$7))</f>
        <v>0.05</v>
      </c>
      <c r="J84" s="34">
        <f t="shared" si="22"/>
        <v>0.05</v>
      </c>
      <c r="K84" s="34">
        <f t="shared" si="22"/>
        <v>0.05</v>
      </c>
      <c r="L84" s="34">
        <f t="shared" si="22"/>
        <v>0.05</v>
      </c>
      <c r="M84" s="34">
        <f t="shared" si="22"/>
        <v>0.05</v>
      </c>
      <c r="N84" s="34">
        <f t="shared" si="22"/>
        <v>0.05</v>
      </c>
      <c r="O84" s="34">
        <f t="shared" si="22"/>
        <v>0.05</v>
      </c>
    </row>
    <row r="85" spans="3:15" ht="28" x14ac:dyDescent="0.15">
      <c r="D85" s="23" t="s">
        <v>247</v>
      </c>
      <c r="E85" s="62">
        <f>($E$7-$G$7)/$F$7</f>
        <v>750000</v>
      </c>
      <c r="F85" s="62">
        <f>($E$7-$G$7)/$F$7</f>
        <v>750000</v>
      </c>
      <c r="G85" s="62">
        <f>($E$7-$G$7)/$F$7</f>
        <v>750000</v>
      </c>
      <c r="H85" s="62">
        <f>IF(G86=$H$7,0,(($E$7-$G$7)/$F$7))</f>
        <v>750000</v>
      </c>
      <c r="I85" s="62">
        <f t="shared" ref="I85:O85" si="23">IF(H86=$H$7,0,(($E$7-$G$7)/$F$7))</f>
        <v>750000</v>
      </c>
      <c r="J85" s="62">
        <f t="shared" si="23"/>
        <v>750000</v>
      </c>
      <c r="K85" s="62">
        <f t="shared" si="23"/>
        <v>750000</v>
      </c>
      <c r="L85" s="62">
        <f t="shared" si="23"/>
        <v>750000</v>
      </c>
      <c r="M85" s="62">
        <f t="shared" si="23"/>
        <v>750000</v>
      </c>
      <c r="N85" s="62">
        <f t="shared" si="23"/>
        <v>750000</v>
      </c>
      <c r="O85" s="62">
        <f t="shared" si="23"/>
        <v>750000</v>
      </c>
    </row>
    <row r="86" spans="3:15" ht="28" x14ac:dyDescent="0.15">
      <c r="D86" s="23" t="s">
        <v>248</v>
      </c>
      <c r="E86" s="63">
        <f>E85</f>
        <v>750000</v>
      </c>
      <c r="F86" s="63">
        <f>E86+F85</f>
        <v>1500000</v>
      </c>
      <c r="G86" s="63">
        <f t="shared" ref="G86:O86" si="24">F86+G85</f>
        <v>2250000</v>
      </c>
      <c r="H86" s="63">
        <f t="shared" si="24"/>
        <v>3000000</v>
      </c>
      <c r="I86" s="63">
        <f t="shared" si="24"/>
        <v>3750000</v>
      </c>
      <c r="J86" s="63">
        <f t="shared" si="24"/>
        <v>4500000</v>
      </c>
      <c r="K86" s="63">
        <f t="shared" si="24"/>
        <v>5250000</v>
      </c>
      <c r="L86" s="63">
        <f t="shared" si="24"/>
        <v>6000000</v>
      </c>
      <c r="M86" s="63">
        <f t="shared" si="24"/>
        <v>6750000</v>
      </c>
      <c r="N86" s="63">
        <f t="shared" si="24"/>
        <v>7500000</v>
      </c>
      <c r="O86" s="63">
        <f t="shared" si="24"/>
        <v>8250000</v>
      </c>
    </row>
    <row r="87" spans="3:15" ht="28" x14ac:dyDescent="0.15">
      <c r="D87" s="23" t="s">
        <v>249</v>
      </c>
      <c r="E87" s="64">
        <f>$E$7-E86</f>
        <v>14250000</v>
      </c>
      <c r="F87" s="64">
        <f>$E$7-F86</f>
        <v>13500000</v>
      </c>
      <c r="G87" s="64">
        <f>$E$7-G86</f>
        <v>12750000</v>
      </c>
      <c r="H87" s="64">
        <f t="shared" ref="H87:O87" si="25">IF(G86=$E$83,0,($E$7-H86))</f>
        <v>12000000</v>
      </c>
      <c r="I87" s="64">
        <f t="shared" si="25"/>
        <v>11250000</v>
      </c>
      <c r="J87" s="64">
        <f t="shared" si="25"/>
        <v>10500000</v>
      </c>
      <c r="K87" s="64">
        <f t="shared" si="25"/>
        <v>9750000</v>
      </c>
      <c r="L87" s="64">
        <f t="shared" si="25"/>
        <v>9000000</v>
      </c>
      <c r="M87" s="64">
        <f t="shared" si="25"/>
        <v>8250000</v>
      </c>
      <c r="N87" s="64">
        <f t="shared" si="25"/>
        <v>7500000</v>
      </c>
      <c r="O87" s="64">
        <f t="shared" si="25"/>
        <v>6750000</v>
      </c>
    </row>
    <row r="89" spans="3:15" x14ac:dyDescent="0.15">
      <c r="C89" s="1" t="s">
        <v>213</v>
      </c>
    </row>
    <row r="90" spans="3:15" ht="14" x14ac:dyDescent="0.15">
      <c r="D90" s="23" t="s">
        <v>133</v>
      </c>
      <c r="E90" s="27">
        <v>1</v>
      </c>
      <c r="F90" s="33">
        <v>2</v>
      </c>
      <c r="G90" s="26">
        <v>3</v>
      </c>
      <c r="H90" s="27">
        <v>4</v>
      </c>
      <c r="I90" s="33">
        <v>5</v>
      </c>
      <c r="J90" s="26">
        <v>6</v>
      </c>
      <c r="K90" s="27">
        <v>7</v>
      </c>
      <c r="L90" s="33">
        <v>8</v>
      </c>
      <c r="M90" s="26">
        <v>9</v>
      </c>
      <c r="N90" s="27">
        <v>10</v>
      </c>
      <c r="O90" s="26">
        <v>11</v>
      </c>
    </row>
    <row r="91" spans="3:15" ht="28" x14ac:dyDescent="0.15">
      <c r="D91" s="23" t="s">
        <v>245</v>
      </c>
      <c r="E91" s="63">
        <f>$E$8</f>
        <v>15250000</v>
      </c>
      <c r="F91" s="63">
        <f t="shared" ref="F91:O91" si="26">E95</f>
        <v>12200000</v>
      </c>
      <c r="G91" s="63">
        <f t="shared" si="26"/>
        <v>9150000</v>
      </c>
      <c r="H91" s="63">
        <f t="shared" si="26"/>
        <v>6100000</v>
      </c>
      <c r="I91" s="63">
        <f t="shared" si="26"/>
        <v>3050000</v>
      </c>
      <c r="J91" s="63">
        <f t="shared" si="26"/>
        <v>0</v>
      </c>
      <c r="K91" s="63">
        <f t="shared" si="26"/>
        <v>0</v>
      </c>
      <c r="L91" s="63">
        <f t="shared" si="26"/>
        <v>0</v>
      </c>
      <c r="M91" s="63">
        <f t="shared" si="26"/>
        <v>0</v>
      </c>
      <c r="N91" s="63">
        <f t="shared" si="26"/>
        <v>0</v>
      </c>
      <c r="O91" s="63">
        <f t="shared" si="26"/>
        <v>0</v>
      </c>
    </row>
    <row r="92" spans="3:15" ht="14" x14ac:dyDescent="0.15">
      <c r="D92" s="23" t="s">
        <v>256</v>
      </c>
      <c r="E92" s="34">
        <f>1/$F$8</f>
        <v>0.2</v>
      </c>
      <c r="F92" s="34">
        <f>1/$F$8</f>
        <v>0.2</v>
      </c>
      <c r="G92" s="34">
        <f>1/$F$8</f>
        <v>0.2</v>
      </c>
      <c r="H92" s="34">
        <f>IF(G94=$H$8,0,(1/$F$8))</f>
        <v>0.2</v>
      </c>
      <c r="I92" s="34">
        <f t="shared" ref="I92:O92" si="27">IF(H94=$H$8,0,(1/$F$8))</f>
        <v>0.2</v>
      </c>
      <c r="J92" s="34">
        <f t="shared" si="27"/>
        <v>0</v>
      </c>
      <c r="K92" s="34">
        <f t="shared" si="27"/>
        <v>0</v>
      </c>
      <c r="L92" s="34">
        <f t="shared" si="27"/>
        <v>0</v>
      </c>
      <c r="M92" s="34">
        <f t="shared" si="27"/>
        <v>0</v>
      </c>
      <c r="N92" s="34">
        <f t="shared" si="27"/>
        <v>0</v>
      </c>
      <c r="O92" s="34">
        <f t="shared" si="27"/>
        <v>0</v>
      </c>
    </row>
    <row r="93" spans="3:15" ht="28" x14ac:dyDescent="0.15">
      <c r="D93" s="23" t="s">
        <v>247</v>
      </c>
      <c r="E93" s="62">
        <f>($E$8-$G$8)/$F$8</f>
        <v>3050000</v>
      </c>
      <c r="F93" s="62">
        <f>($E$8-$G$8)/$F$8</f>
        <v>3050000</v>
      </c>
      <c r="G93" s="62">
        <f>($E$8-$G$8)/$F$8</f>
        <v>3050000</v>
      </c>
      <c r="H93" s="62">
        <f>IF(G94=$H$8,0,(($E$8-$G$8)/$F$8))</f>
        <v>3050000</v>
      </c>
      <c r="I93" s="62">
        <f t="shared" ref="I93:O93" si="28">IF(H94=$H$8,0,(($E$8-$G$8)/$F$8))</f>
        <v>3050000</v>
      </c>
      <c r="J93" s="62">
        <f t="shared" si="28"/>
        <v>0</v>
      </c>
      <c r="K93" s="62">
        <f t="shared" si="28"/>
        <v>0</v>
      </c>
      <c r="L93" s="62">
        <f t="shared" si="28"/>
        <v>0</v>
      </c>
      <c r="M93" s="62">
        <f t="shared" si="28"/>
        <v>0</v>
      </c>
      <c r="N93" s="62">
        <f t="shared" si="28"/>
        <v>0</v>
      </c>
      <c r="O93" s="62">
        <f t="shared" si="28"/>
        <v>0</v>
      </c>
    </row>
    <row r="94" spans="3:15" ht="28" x14ac:dyDescent="0.15">
      <c r="D94" s="23" t="s">
        <v>248</v>
      </c>
      <c r="E94" s="63">
        <f>E93</f>
        <v>3050000</v>
      </c>
      <c r="F94" s="63">
        <f t="shared" ref="F94:O94" si="29">E94+F93</f>
        <v>6100000</v>
      </c>
      <c r="G94" s="63">
        <f t="shared" si="29"/>
        <v>9150000</v>
      </c>
      <c r="H94" s="63">
        <f t="shared" si="29"/>
        <v>12200000</v>
      </c>
      <c r="I94" s="63">
        <f t="shared" si="29"/>
        <v>15250000</v>
      </c>
      <c r="J94" s="63">
        <f t="shared" si="29"/>
        <v>15250000</v>
      </c>
      <c r="K94" s="63">
        <f t="shared" si="29"/>
        <v>15250000</v>
      </c>
      <c r="L94" s="63">
        <f t="shared" si="29"/>
        <v>15250000</v>
      </c>
      <c r="M94" s="63">
        <f t="shared" si="29"/>
        <v>15250000</v>
      </c>
      <c r="N94" s="63">
        <f t="shared" si="29"/>
        <v>15250000</v>
      </c>
      <c r="O94" s="63">
        <f t="shared" si="29"/>
        <v>15250000</v>
      </c>
    </row>
    <row r="95" spans="3:15" ht="28" x14ac:dyDescent="0.15">
      <c r="D95" s="23" t="s">
        <v>249</v>
      </c>
      <c r="E95" s="64">
        <f>$E$8-E94</f>
        <v>12200000</v>
      </c>
      <c r="F95" s="64">
        <f>$E$8-F94</f>
        <v>9150000</v>
      </c>
      <c r="G95" s="64">
        <f>$E$8-G94</f>
        <v>6100000</v>
      </c>
      <c r="H95" s="64">
        <f t="shared" ref="H95:O95" si="30">$E$8-H94</f>
        <v>3050000</v>
      </c>
      <c r="I95" s="64">
        <f t="shared" si="30"/>
        <v>0</v>
      </c>
      <c r="J95" s="64">
        <f t="shared" si="30"/>
        <v>0</v>
      </c>
      <c r="K95" s="64">
        <f t="shared" si="30"/>
        <v>0</v>
      </c>
      <c r="L95" s="64">
        <f t="shared" si="30"/>
        <v>0</v>
      </c>
      <c r="M95" s="64">
        <f t="shared" si="30"/>
        <v>0</v>
      </c>
      <c r="N95" s="64">
        <f t="shared" si="30"/>
        <v>0</v>
      </c>
      <c r="O95" s="64">
        <f t="shared" si="30"/>
        <v>0</v>
      </c>
    </row>
    <row r="97" spans="3:15" x14ac:dyDescent="0.15">
      <c r="C97" s="1" t="s">
        <v>214</v>
      </c>
    </row>
    <row r="98" spans="3:15" ht="14" x14ac:dyDescent="0.15">
      <c r="D98" s="23" t="s">
        <v>133</v>
      </c>
      <c r="E98" s="27">
        <v>1</v>
      </c>
      <c r="F98" s="33">
        <v>2</v>
      </c>
      <c r="G98" s="26">
        <v>3</v>
      </c>
      <c r="H98" s="27">
        <v>4</v>
      </c>
      <c r="I98" s="33">
        <v>5</v>
      </c>
      <c r="J98" s="26">
        <v>6</v>
      </c>
      <c r="K98" s="27">
        <v>7</v>
      </c>
      <c r="L98" s="33">
        <v>8</v>
      </c>
      <c r="M98" s="26">
        <v>9</v>
      </c>
      <c r="N98" s="27">
        <v>10</v>
      </c>
      <c r="O98" s="26">
        <v>11</v>
      </c>
    </row>
    <row r="99" spans="3:15" ht="28" x14ac:dyDescent="0.15">
      <c r="D99" s="23" t="s">
        <v>245</v>
      </c>
      <c r="E99" s="63">
        <f>$E$9</f>
        <v>800000</v>
      </c>
      <c r="F99" s="63">
        <f t="shared" ref="F99:O99" si="31">E103</f>
        <v>640000</v>
      </c>
      <c r="G99" s="63">
        <f t="shared" si="31"/>
        <v>480000</v>
      </c>
      <c r="H99" s="63">
        <f t="shared" si="31"/>
        <v>320000</v>
      </c>
      <c r="I99" s="63">
        <f t="shared" si="31"/>
        <v>160000</v>
      </c>
      <c r="J99" s="63">
        <f t="shared" si="31"/>
        <v>0</v>
      </c>
      <c r="K99" s="63">
        <f t="shared" si="31"/>
        <v>0</v>
      </c>
      <c r="L99" s="63">
        <f t="shared" si="31"/>
        <v>0</v>
      </c>
      <c r="M99" s="63">
        <f t="shared" si="31"/>
        <v>0</v>
      </c>
      <c r="N99" s="63">
        <f t="shared" si="31"/>
        <v>0</v>
      </c>
      <c r="O99" s="63">
        <f t="shared" si="31"/>
        <v>0</v>
      </c>
    </row>
    <row r="100" spans="3:15" ht="14" x14ac:dyDescent="0.15">
      <c r="D100" s="23" t="s">
        <v>256</v>
      </c>
      <c r="E100" s="34">
        <f>1/$F$9</f>
        <v>0.2</v>
      </c>
      <c r="F100" s="34">
        <f>1/$F$9</f>
        <v>0.2</v>
      </c>
      <c r="G100" s="34">
        <f>1/$F$9</f>
        <v>0.2</v>
      </c>
      <c r="H100" s="34">
        <f>IF(G102=$H$9,0,(1/$F$9))</f>
        <v>0.2</v>
      </c>
      <c r="I100" s="34">
        <f>IF(H102=$H$9,0,(1/$F$9))</f>
        <v>0.2</v>
      </c>
      <c r="J100" s="34">
        <f t="shared" ref="J100:O100" si="32">IF(I102=$H$9,0,(1/$F$9))</f>
        <v>0</v>
      </c>
      <c r="K100" s="34">
        <f t="shared" si="32"/>
        <v>0</v>
      </c>
      <c r="L100" s="34">
        <f t="shared" si="32"/>
        <v>0</v>
      </c>
      <c r="M100" s="34">
        <f t="shared" si="32"/>
        <v>0</v>
      </c>
      <c r="N100" s="34">
        <f t="shared" si="32"/>
        <v>0</v>
      </c>
      <c r="O100" s="34">
        <f t="shared" si="32"/>
        <v>0</v>
      </c>
    </row>
    <row r="101" spans="3:15" ht="28" x14ac:dyDescent="0.15">
      <c r="D101" s="23" t="s">
        <v>247</v>
      </c>
      <c r="E101" s="62">
        <f>($E$9-$G$9)/$F$9</f>
        <v>160000</v>
      </c>
      <c r="F101" s="62">
        <f>($E$9-$G$9)/$F$9</f>
        <v>160000</v>
      </c>
      <c r="G101" s="62">
        <f>($E$9-$G$9)/$F$9</f>
        <v>160000</v>
      </c>
      <c r="H101" s="62">
        <f>IF(G102=$H$9,0,(($E$9-$G$9)/$F$9))</f>
        <v>160000</v>
      </c>
      <c r="I101" s="62">
        <f>IF(H102=$H$9,0,(($E$9-$G$9)/$F$9))</f>
        <v>160000</v>
      </c>
      <c r="J101" s="62">
        <f t="shared" ref="J101:O101" si="33">IF(I102=$H$9,0,(($E$9-$G$9)/$F$9))</f>
        <v>0</v>
      </c>
      <c r="K101" s="62">
        <f t="shared" si="33"/>
        <v>0</v>
      </c>
      <c r="L101" s="62">
        <f t="shared" si="33"/>
        <v>0</v>
      </c>
      <c r="M101" s="62">
        <f t="shared" si="33"/>
        <v>0</v>
      </c>
      <c r="N101" s="62">
        <f t="shared" si="33"/>
        <v>0</v>
      </c>
      <c r="O101" s="62">
        <f t="shared" si="33"/>
        <v>0</v>
      </c>
    </row>
    <row r="102" spans="3:15" ht="28" x14ac:dyDescent="0.15">
      <c r="D102" s="23" t="s">
        <v>248</v>
      </c>
      <c r="E102" s="63">
        <f>E101</f>
        <v>160000</v>
      </c>
      <c r="F102" s="63">
        <f t="shared" ref="F102:O102" si="34">E102+F101</f>
        <v>320000</v>
      </c>
      <c r="G102" s="63">
        <f t="shared" si="34"/>
        <v>480000</v>
      </c>
      <c r="H102" s="63">
        <f t="shared" si="34"/>
        <v>640000</v>
      </c>
      <c r="I102" s="63">
        <f t="shared" si="34"/>
        <v>800000</v>
      </c>
      <c r="J102" s="63">
        <f t="shared" si="34"/>
        <v>800000</v>
      </c>
      <c r="K102" s="63">
        <f t="shared" si="34"/>
        <v>800000</v>
      </c>
      <c r="L102" s="63">
        <f t="shared" si="34"/>
        <v>800000</v>
      </c>
      <c r="M102" s="63">
        <f t="shared" si="34"/>
        <v>800000</v>
      </c>
      <c r="N102" s="63">
        <f t="shared" si="34"/>
        <v>800000</v>
      </c>
      <c r="O102" s="63">
        <f t="shared" si="34"/>
        <v>800000</v>
      </c>
    </row>
    <row r="103" spans="3:15" ht="28" x14ac:dyDescent="0.15">
      <c r="D103" s="23" t="s">
        <v>249</v>
      </c>
      <c r="E103" s="64">
        <f>$E$9-E102</f>
        <v>640000</v>
      </c>
      <c r="F103" s="64">
        <f>$E$9-F102</f>
        <v>480000</v>
      </c>
      <c r="G103" s="64">
        <f>$E$9-G102</f>
        <v>320000</v>
      </c>
      <c r="H103" s="64">
        <f t="shared" ref="H103:O103" si="35">$E$9-H102</f>
        <v>160000</v>
      </c>
      <c r="I103" s="64">
        <f t="shared" si="35"/>
        <v>0</v>
      </c>
      <c r="J103" s="64">
        <f t="shared" si="35"/>
        <v>0</v>
      </c>
      <c r="K103" s="64">
        <f t="shared" si="35"/>
        <v>0</v>
      </c>
      <c r="L103" s="64">
        <f t="shared" si="35"/>
        <v>0</v>
      </c>
      <c r="M103" s="64">
        <f t="shared" si="35"/>
        <v>0</v>
      </c>
      <c r="N103" s="64">
        <f t="shared" si="35"/>
        <v>0</v>
      </c>
      <c r="O103" s="64">
        <f t="shared" si="35"/>
        <v>0</v>
      </c>
    </row>
    <row r="105" spans="3:15" x14ac:dyDescent="0.15">
      <c r="C105" s="1" t="s">
        <v>215</v>
      </c>
    </row>
    <row r="106" spans="3:15" ht="14" x14ac:dyDescent="0.15">
      <c r="D106" s="23" t="s">
        <v>133</v>
      </c>
      <c r="E106" s="27">
        <v>1</v>
      </c>
      <c r="F106" s="33">
        <v>2</v>
      </c>
      <c r="G106" s="26">
        <v>3</v>
      </c>
      <c r="H106" s="27">
        <v>4</v>
      </c>
      <c r="I106" s="33">
        <v>5</v>
      </c>
      <c r="J106" s="26">
        <v>6</v>
      </c>
      <c r="K106" s="27">
        <v>7</v>
      </c>
      <c r="L106" s="33">
        <v>8</v>
      </c>
      <c r="M106" s="26">
        <v>9</v>
      </c>
      <c r="N106" s="27">
        <v>10</v>
      </c>
      <c r="O106" s="26">
        <v>11</v>
      </c>
    </row>
    <row r="107" spans="3:15" ht="28" x14ac:dyDescent="0.15">
      <c r="D107" s="23" t="s">
        <v>245</v>
      </c>
      <c r="E107" s="63">
        <f>$E$10</f>
        <v>0</v>
      </c>
      <c r="F107" s="63">
        <f t="shared" ref="F107:O107" si="36">E111</f>
        <v>0</v>
      </c>
      <c r="G107" s="63">
        <f t="shared" si="36"/>
        <v>0</v>
      </c>
      <c r="H107" s="63">
        <f t="shared" si="36"/>
        <v>0</v>
      </c>
      <c r="I107" s="63">
        <f t="shared" si="36"/>
        <v>0</v>
      </c>
      <c r="J107" s="63">
        <f t="shared" si="36"/>
        <v>0</v>
      </c>
      <c r="K107" s="63">
        <f t="shared" si="36"/>
        <v>0</v>
      </c>
      <c r="L107" s="63">
        <f t="shared" si="36"/>
        <v>0</v>
      </c>
      <c r="M107" s="63">
        <f t="shared" si="36"/>
        <v>0</v>
      </c>
      <c r="N107" s="63">
        <f t="shared" si="36"/>
        <v>0</v>
      </c>
      <c r="O107" s="63">
        <f t="shared" si="36"/>
        <v>0</v>
      </c>
    </row>
    <row r="108" spans="3:15" ht="14" x14ac:dyDescent="0.15">
      <c r="D108" s="23" t="s">
        <v>256</v>
      </c>
      <c r="E108" s="34">
        <f>1/$F$10</f>
        <v>1</v>
      </c>
      <c r="F108" s="34">
        <f>1/$F$10</f>
        <v>1</v>
      </c>
      <c r="G108" s="34">
        <f>1/$F$10</f>
        <v>1</v>
      </c>
      <c r="H108" s="34">
        <f>IF(G110=$H$10,0,(1/$F$10))</f>
        <v>0</v>
      </c>
      <c r="I108" s="34">
        <f t="shared" ref="I108:O108" si="37">IF(H110=$H$10,0,(1/$F$10))</f>
        <v>0</v>
      </c>
      <c r="J108" s="34">
        <f t="shared" si="37"/>
        <v>0</v>
      </c>
      <c r="K108" s="34">
        <f t="shared" si="37"/>
        <v>0</v>
      </c>
      <c r="L108" s="34">
        <f t="shared" si="37"/>
        <v>0</v>
      </c>
      <c r="M108" s="34">
        <f t="shared" si="37"/>
        <v>0</v>
      </c>
      <c r="N108" s="34">
        <f t="shared" si="37"/>
        <v>0</v>
      </c>
      <c r="O108" s="34">
        <f t="shared" si="37"/>
        <v>0</v>
      </c>
    </row>
    <row r="109" spans="3:15" ht="28" x14ac:dyDescent="0.15">
      <c r="D109" s="23" t="s">
        <v>247</v>
      </c>
      <c r="E109" s="62">
        <f>($E$10-$G$10)/$F$10</f>
        <v>0</v>
      </c>
      <c r="F109" s="62">
        <f>($E$10-$G$10)/$F$10</f>
        <v>0</v>
      </c>
      <c r="G109" s="62">
        <f>($E$10-$G$10)/$F$10</f>
        <v>0</v>
      </c>
      <c r="H109" s="62">
        <f>IF(G110=$H$10,0,(($E$10-$G$10)/$F$10))</f>
        <v>0</v>
      </c>
      <c r="I109" s="62">
        <f t="shared" ref="I109:O109" si="38">IF(H110=$H$10,0,(($E$10-$G$10)/$F$10))</f>
        <v>0</v>
      </c>
      <c r="J109" s="62">
        <f t="shared" si="38"/>
        <v>0</v>
      </c>
      <c r="K109" s="62">
        <f t="shared" si="38"/>
        <v>0</v>
      </c>
      <c r="L109" s="62">
        <f t="shared" si="38"/>
        <v>0</v>
      </c>
      <c r="M109" s="62">
        <f t="shared" si="38"/>
        <v>0</v>
      </c>
      <c r="N109" s="62">
        <f t="shared" si="38"/>
        <v>0</v>
      </c>
      <c r="O109" s="62">
        <f t="shared" si="38"/>
        <v>0</v>
      </c>
    </row>
    <row r="110" spans="3:15" ht="28" x14ac:dyDescent="0.15">
      <c r="D110" s="23" t="s">
        <v>248</v>
      </c>
      <c r="E110" s="63">
        <f>E109</f>
        <v>0</v>
      </c>
      <c r="F110" s="63">
        <f t="shared" ref="F110:O110" si="39">E110+F109</f>
        <v>0</v>
      </c>
      <c r="G110" s="63">
        <f t="shared" si="39"/>
        <v>0</v>
      </c>
      <c r="H110" s="63">
        <f t="shared" si="39"/>
        <v>0</v>
      </c>
      <c r="I110" s="63">
        <f t="shared" si="39"/>
        <v>0</v>
      </c>
      <c r="J110" s="63">
        <f t="shared" si="39"/>
        <v>0</v>
      </c>
      <c r="K110" s="63">
        <f t="shared" si="39"/>
        <v>0</v>
      </c>
      <c r="L110" s="63">
        <f t="shared" si="39"/>
        <v>0</v>
      </c>
      <c r="M110" s="63">
        <f t="shared" si="39"/>
        <v>0</v>
      </c>
      <c r="N110" s="63">
        <f t="shared" si="39"/>
        <v>0</v>
      </c>
      <c r="O110" s="63">
        <f t="shared" si="39"/>
        <v>0</v>
      </c>
    </row>
    <row r="111" spans="3:15" ht="28" x14ac:dyDescent="0.15">
      <c r="D111" s="23" t="s">
        <v>249</v>
      </c>
      <c r="E111" s="64">
        <f>$E$10-E110</f>
        <v>0</v>
      </c>
      <c r="F111" s="64">
        <f>$E$10-F110</f>
        <v>0</v>
      </c>
      <c r="G111" s="64">
        <f>$E$10-G110</f>
        <v>0</v>
      </c>
      <c r="H111" s="64">
        <f t="shared" ref="H111:O111" si="40">$E$10-H110</f>
        <v>0</v>
      </c>
      <c r="I111" s="64">
        <f t="shared" si="40"/>
        <v>0</v>
      </c>
      <c r="J111" s="64">
        <f t="shared" si="40"/>
        <v>0</v>
      </c>
      <c r="K111" s="64">
        <f t="shared" si="40"/>
        <v>0</v>
      </c>
      <c r="L111" s="64">
        <f t="shared" si="40"/>
        <v>0</v>
      </c>
      <c r="M111" s="64">
        <f t="shared" si="40"/>
        <v>0</v>
      </c>
      <c r="N111" s="64">
        <f t="shared" si="40"/>
        <v>0</v>
      </c>
      <c r="O111" s="64">
        <f t="shared" si="40"/>
        <v>0</v>
      </c>
    </row>
    <row r="114" spans="1:16" x14ac:dyDescent="0.15">
      <c r="B114" s="1" t="s">
        <v>257</v>
      </c>
    </row>
    <row r="115" spans="1:16" ht="14" x14ac:dyDescent="0.15">
      <c r="D115" s="23" t="s">
        <v>133</v>
      </c>
      <c r="E115" s="27">
        <v>1</v>
      </c>
      <c r="F115" s="33">
        <v>2</v>
      </c>
      <c r="G115" s="26">
        <v>3</v>
      </c>
      <c r="H115" s="27">
        <v>4</v>
      </c>
      <c r="I115" s="33">
        <v>5</v>
      </c>
      <c r="J115" s="26">
        <v>6</v>
      </c>
      <c r="K115" s="27">
        <v>7</v>
      </c>
      <c r="L115" s="33">
        <v>8</v>
      </c>
      <c r="M115" s="26">
        <v>9</v>
      </c>
      <c r="N115" s="27">
        <v>10</v>
      </c>
      <c r="O115" s="26">
        <v>11</v>
      </c>
    </row>
    <row r="116" spans="1:16" ht="28" x14ac:dyDescent="0.15">
      <c r="D116" s="23" t="s">
        <v>251</v>
      </c>
      <c r="E116" s="63">
        <f>E83+E91+E99+E107</f>
        <v>31050000</v>
      </c>
      <c r="F116" s="63">
        <f t="shared" ref="F116:O116" si="41">F83+F91+F99+F107</f>
        <v>27090000</v>
      </c>
      <c r="G116" s="63">
        <f t="shared" si="41"/>
        <v>23130000</v>
      </c>
      <c r="H116" s="63">
        <f t="shared" si="41"/>
        <v>19170000</v>
      </c>
      <c r="I116" s="63">
        <f t="shared" si="41"/>
        <v>15210000</v>
      </c>
      <c r="J116" s="63">
        <f t="shared" si="41"/>
        <v>11250000</v>
      </c>
      <c r="K116" s="63">
        <f t="shared" si="41"/>
        <v>10500000</v>
      </c>
      <c r="L116" s="63">
        <f t="shared" si="41"/>
        <v>9750000</v>
      </c>
      <c r="M116" s="63">
        <f t="shared" si="41"/>
        <v>9000000</v>
      </c>
      <c r="N116" s="63">
        <f t="shared" si="41"/>
        <v>8250000</v>
      </c>
      <c r="O116" s="63">
        <f t="shared" si="41"/>
        <v>7500000</v>
      </c>
    </row>
    <row r="117" spans="1:16" ht="28" x14ac:dyDescent="0.15">
      <c r="D117" s="23" t="s">
        <v>252</v>
      </c>
      <c r="E117" s="64">
        <f>E85+E93+E101+E109</f>
        <v>3960000</v>
      </c>
      <c r="F117" s="64">
        <f t="shared" ref="F117:O117" si="42">F85+F93+F101+F109</f>
        <v>3960000</v>
      </c>
      <c r="G117" s="64">
        <f t="shared" si="42"/>
        <v>3960000</v>
      </c>
      <c r="H117" s="64">
        <f t="shared" si="42"/>
        <v>3960000</v>
      </c>
      <c r="I117" s="64">
        <f t="shared" si="42"/>
        <v>3960000</v>
      </c>
      <c r="J117" s="64">
        <f t="shared" si="42"/>
        <v>750000</v>
      </c>
      <c r="K117" s="64">
        <f t="shared" si="42"/>
        <v>750000</v>
      </c>
      <c r="L117" s="64">
        <f t="shared" si="42"/>
        <v>750000</v>
      </c>
      <c r="M117" s="64">
        <f t="shared" si="42"/>
        <v>750000</v>
      </c>
      <c r="N117" s="64">
        <f t="shared" si="42"/>
        <v>750000</v>
      </c>
      <c r="O117" s="64">
        <f t="shared" si="42"/>
        <v>750000</v>
      </c>
    </row>
    <row r="118" spans="1:16" ht="28" x14ac:dyDescent="0.15">
      <c r="D118" s="23" t="s">
        <v>253</v>
      </c>
      <c r="E118" s="120">
        <f>E86+E94+E102+E110</f>
        <v>3960000</v>
      </c>
      <c r="F118" s="120">
        <f t="shared" ref="F118:O118" si="43">F86+F94+F102+F110</f>
        <v>7920000</v>
      </c>
      <c r="G118" s="120">
        <f t="shared" si="43"/>
        <v>11880000</v>
      </c>
      <c r="H118" s="120">
        <f t="shared" si="43"/>
        <v>15840000</v>
      </c>
      <c r="I118" s="120">
        <f t="shared" si="43"/>
        <v>19800000</v>
      </c>
      <c r="J118" s="120">
        <f t="shared" si="43"/>
        <v>20550000</v>
      </c>
      <c r="K118" s="120">
        <f t="shared" si="43"/>
        <v>21300000</v>
      </c>
      <c r="L118" s="120">
        <f t="shared" si="43"/>
        <v>22050000</v>
      </c>
      <c r="M118" s="120">
        <f t="shared" si="43"/>
        <v>22800000</v>
      </c>
      <c r="N118" s="120">
        <f t="shared" si="43"/>
        <v>23550000</v>
      </c>
      <c r="O118" s="120">
        <f t="shared" si="43"/>
        <v>24300000</v>
      </c>
    </row>
    <row r="119" spans="1:16" ht="28" x14ac:dyDescent="0.15">
      <c r="D119" s="23" t="s">
        <v>254</v>
      </c>
      <c r="E119" s="64">
        <f>E87+E95+E103+E111</f>
        <v>27090000</v>
      </c>
      <c r="F119" s="64">
        <f t="shared" ref="F119:O119" si="44">F87+F95+F103+F111</f>
        <v>23130000</v>
      </c>
      <c r="G119" s="64">
        <f t="shared" si="44"/>
        <v>19170000</v>
      </c>
      <c r="H119" s="64">
        <f t="shared" si="44"/>
        <v>15210000</v>
      </c>
      <c r="I119" s="64">
        <f t="shared" si="44"/>
        <v>11250000</v>
      </c>
      <c r="J119" s="64">
        <f t="shared" si="44"/>
        <v>10500000</v>
      </c>
      <c r="K119" s="64">
        <f t="shared" si="44"/>
        <v>9750000</v>
      </c>
      <c r="L119" s="64">
        <f t="shared" si="44"/>
        <v>9000000</v>
      </c>
      <c r="M119" s="64">
        <f t="shared" si="44"/>
        <v>8250000</v>
      </c>
      <c r="N119" s="64">
        <f t="shared" si="44"/>
        <v>7500000</v>
      </c>
      <c r="O119" s="64">
        <f t="shared" si="44"/>
        <v>6750000</v>
      </c>
    </row>
    <row r="120" spans="1:16" x14ac:dyDescent="0.15">
      <c r="E120" s="66"/>
      <c r="F120" s="66"/>
      <c r="G120" s="66"/>
      <c r="H120" s="66"/>
      <c r="I120" s="66"/>
      <c r="J120" s="66"/>
      <c r="K120" s="66"/>
      <c r="L120" s="66"/>
      <c r="M120" s="66"/>
      <c r="N120" s="66"/>
      <c r="O120" s="66"/>
    </row>
    <row r="122" spans="1:16" ht="14" thickBot="1" x14ac:dyDescent="0.2">
      <c r="A122" s="138"/>
      <c r="B122" s="138"/>
      <c r="C122" s="138"/>
      <c r="D122" s="138"/>
      <c r="E122" s="138"/>
      <c r="F122" s="138"/>
      <c r="G122" s="138"/>
      <c r="H122" s="138"/>
      <c r="I122" s="138"/>
      <c r="J122" s="138"/>
      <c r="K122" s="138"/>
      <c r="L122" s="138"/>
      <c r="M122" s="138"/>
      <c r="N122" s="138"/>
      <c r="O122" s="138"/>
      <c r="P122" s="138"/>
    </row>
    <row r="123" spans="1:16" ht="14" thickTop="1" x14ac:dyDescent="0.15"/>
    <row r="124" spans="1:16" ht="16" x14ac:dyDescent="0.2">
      <c r="A124" s="205" t="s">
        <v>258</v>
      </c>
    </row>
  </sheetData>
  <sheetProtection password="AA36" sheet="1" objects="1" scenarios="1"/>
  <mergeCells count="8">
    <mergeCell ref="C7:D7"/>
    <mergeCell ref="C9:D9"/>
    <mergeCell ref="C14:D14"/>
    <mergeCell ref="J12:L12"/>
    <mergeCell ref="C17:D17"/>
    <mergeCell ref="C8:D8"/>
    <mergeCell ref="C13:D13"/>
    <mergeCell ref="C10:D10"/>
  </mergeCells>
  <phoneticPr fontId="0" type="noConversion"/>
  <printOptions headings="1"/>
  <pageMargins left="0.75" right="0.75" top="1" bottom="1" header="0.5" footer="0.5"/>
  <pageSetup scale="40" fitToHeight="2" orientation="landscape"/>
  <headerFooter alignWithMargins="0">
    <oddHeader>&amp;LEngineering Economics Model for Senior Design&amp;R&amp;"Times New Roman,Bold"&amp;14Captial + Depreciation</oddHeader>
    <oddFooter>&amp;LJ:/EM355/Spring01/Labs/EEworkingfolder/&amp;F&amp;CPage &amp;P of &amp;N&amp;R&amp;T&amp;D</oddFooter>
  </headerFooter>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4"/>
  <sheetViews>
    <sheetView zoomScale="140" zoomScaleNormal="140" workbookViewId="0">
      <selection activeCell="D9" sqref="D9"/>
    </sheetView>
  </sheetViews>
  <sheetFormatPr baseColWidth="10" defaultColWidth="8.83203125" defaultRowHeight="13" x14ac:dyDescent="0.15"/>
  <cols>
    <col min="3" max="3" width="30.33203125" customWidth="1"/>
    <col min="4" max="19" width="13.6640625" customWidth="1"/>
    <col min="20" max="20" width="15.83203125" customWidth="1"/>
  </cols>
  <sheetData>
    <row r="1" spans="1:8" ht="16" x14ac:dyDescent="0.2">
      <c r="A1" s="215" t="s">
        <v>259</v>
      </c>
    </row>
    <row r="2" spans="1:8" x14ac:dyDescent="0.15">
      <c r="B2" s="1"/>
    </row>
    <row r="3" spans="1:8" x14ac:dyDescent="0.15">
      <c r="B3" s="216" t="s">
        <v>260</v>
      </c>
    </row>
    <row r="4" spans="1:8" x14ac:dyDescent="0.15">
      <c r="C4" s="4"/>
      <c r="E4" s="7"/>
    </row>
    <row r="5" spans="1:8" ht="14" x14ac:dyDescent="0.15">
      <c r="B5" s="4"/>
      <c r="C5" s="52" t="s">
        <v>119</v>
      </c>
      <c r="D5" s="210">
        <f>'Initial Inputs'!C35</f>
        <v>0</v>
      </c>
      <c r="E5" s="7"/>
    </row>
    <row r="6" spans="1:8" ht="14" x14ac:dyDescent="0.15">
      <c r="B6" s="4"/>
      <c r="C6" s="52" t="s">
        <v>121</v>
      </c>
      <c r="D6" s="123">
        <f>'Initial Inputs'!C37</f>
        <v>0.08</v>
      </c>
      <c r="E6" s="7"/>
    </row>
    <row r="7" spans="1:8" ht="14" x14ac:dyDescent="0.15">
      <c r="B7" s="4"/>
      <c r="C7" s="23" t="s">
        <v>261</v>
      </c>
      <c r="D7" s="121">
        <f>IF('Initial Inputs'!C39=0,10,'Initial Inputs'!C39)</f>
        <v>5</v>
      </c>
      <c r="E7" s="7"/>
    </row>
    <row r="8" spans="1:8" ht="14" x14ac:dyDescent="0.15">
      <c r="B8" s="4"/>
      <c r="C8" s="52" t="s">
        <v>262</v>
      </c>
      <c r="D8" s="275">
        <v>0</v>
      </c>
      <c r="E8" s="7"/>
    </row>
    <row r="9" spans="1:8" ht="14" x14ac:dyDescent="0.15">
      <c r="B9" s="4"/>
      <c r="C9" s="23" t="s">
        <v>263</v>
      </c>
      <c r="D9" s="12">
        <f>D7*D8</f>
        <v>0</v>
      </c>
      <c r="E9" s="7"/>
      <c r="F9" s="6"/>
    </row>
    <row r="10" spans="1:8" ht="14" x14ac:dyDescent="0.15">
      <c r="B10" s="4"/>
      <c r="C10" s="52" t="s">
        <v>264</v>
      </c>
      <c r="D10" s="241" t="e">
        <f>D6/D8</f>
        <v>#DIV/0!</v>
      </c>
      <c r="E10" s="7"/>
    </row>
    <row r="11" spans="1:8" x14ac:dyDescent="0.15">
      <c r="B11" s="4"/>
      <c r="C11" s="4"/>
      <c r="E11" s="7"/>
    </row>
    <row r="12" spans="1:8" x14ac:dyDescent="0.15">
      <c r="B12" s="1" t="s">
        <v>265</v>
      </c>
    </row>
    <row r="14" spans="1:8" x14ac:dyDescent="0.15">
      <c r="C14" s="28" t="s">
        <v>266</v>
      </c>
      <c r="D14" s="234" t="e">
        <f>PMT($D$10,$D$9,$D$5)</f>
        <v>#DIV/0!</v>
      </c>
    </row>
    <row r="15" spans="1:8" x14ac:dyDescent="0.15">
      <c r="C15" s="28" t="s">
        <v>267</v>
      </c>
      <c r="D15" s="234" t="e">
        <f>$D$14*$D$8</f>
        <v>#DIV/0!</v>
      </c>
    </row>
    <row r="16" spans="1:8" x14ac:dyDescent="0.15">
      <c r="C16" s="28" t="s">
        <v>268</v>
      </c>
      <c r="D16" s="234" t="e">
        <f>$D$15*$D$7</f>
        <v>#DIV/0!</v>
      </c>
      <c r="H16" s="9"/>
    </row>
    <row r="17" spans="1:20" x14ac:dyDescent="0.15">
      <c r="C17" s="1"/>
      <c r="D17" s="2"/>
      <c r="H17" s="9"/>
    </row>
    <row r="18" spans="1:20" x14ac:dyDescent="0.15">
      <c r="B18" s="1" t="s">
        <v>269</v>
      </c>
    </row>
    <row r="19" spans="1:20" x14ac:dyDescent="0.15">
      <c r="B19" s="1"/>
    </row>
    <row r="20" spans="1:20" x14ac:dyDescent="0.15">
      <c r="C20" s="55" t="s">
        <v>270</v>
      </c>
      <c r="D20" s="26">
        <v>1</v>
      </c>
      <c r="E20" s="26">
        <v>2</v>
      </c>
      <c r="F20" s="26">
        <v>3</v>
      </c>
      <c r="G20" s="26">
        <v>4</v>
      </c>
      <c r="H20" s="26">
        <v>5</v>
      </c>
      <c r="I20" s="26">
        <v>6</v>
      </c>
      <c r="J20" s="26">
        <v>7</v>
      </c>
      <c r="K20" s="26">
        <v>8</v>
      </c>
      <c r="L20" s="26">
        <v>9</v>
      </c>
      <c r="M20" s="26">
        <v>10</v>
      </c>
      <c r="N20" s="26">
        <v>11</v>
      </c>
      <c r="O20" s="26">
        <v>12</v>
      </c>
      <c r="P20" s="26">
        <v>13</v>
      </c>
      <c r="Q20" s="26">
        <v>14</v>
      </c>
      <c r="R20" s="26">
        <v>15</v>
      </c>
      <c r="S20" s="22" t="s">
        <v>216</v>
      </c>
    </row>
    <row r="21" spans="1:20" x14ac:dyDescent="0.15">
      <c r="C21" s="28" t="s">
        <v>271</v>
      </c>
      <c r="D21" s="397">
        <f>$D$5</f>
        <v>0</v>
      </c>
      <c r="E21" s="397" t="e">
        <f>IF(E33=1,0,D25)</f>
        <v>#DIV/0!</v>
      </c>
      <c r="F21" s="397" t="e">
        <f>IF(F33=1,0,E25)</f>
        <v>#DIV/0!</v>
      </c>
      <c r="G21" s="397" t="e">
        <f>IF(G33=1,0,F25)</f>
        <v>#DIV/0!</v>
      </c>
      <c r="H21" s="397" t="e">
        <f t="shared" ref="H21:R21" si="0">IF(H33=1,0,G25)</f>
        <v>#DIV/0!</v>
      </c>
      <c r="I21" s="397" t="e">
        <f t="shared" si="0"/>
        <v>#DIV/0!</v>
      </c>
      <c r="J21" s="397" t="e">
        <f t="shared" si="0"/>
        <v>#DIV/0!</v>
      </c>
      <c r="K21" s="397" t="e">
        <f t="shared" si="0"/>
        <v>#DIV/0!</v>
      </c>
      <c r="L21" s="397" t="e">
        <f t="shared" si="0"/>
        <v>#DIV/0!</v>
      </c>
      <c r="M21" s="397" t="e">
        <f t="shared" si="0"/>
        <v>#DIV/0!</v>
      </c>
      <c r="N21" s="397" t="e">
        <f t="shared" si="0"/>
        <v>#DIV/0!</v>
      </c>
      <c r="O21" s="397" t="e">
        <f t="shared" si="0"/>
        <v>#DIV/0!</v>
      </c>
      <c r="P21" s="397" t="e">
        <f t="shared" si="0"/>
        <v>#DIV/0!</v>
      </c>
      <c r="Q21" s="397" t="e">
        <f t="shared" si="0"/>
        <v>#DIV/0!</v>
      </c>
      <c r="R21" s="397" t="e">
        <f t="shared" si="0"/>
        <v>#DIV/0!</v>
      </c>
      <c r="S21" s="57"/>
    </row>
    <row r="22" spans="1:20" x14ac:dyDescent="0.15">
      <c r="C22" s="56" t="s">
        <v>272</v>
      </c>
      <c r="D22" s="397" t="e">
        <f>$D$15</f>
        <v>#DIV/0!</v>
      </c>
      <c r="E22" s="397" t="e">
        <f>$D$15</f>
        <v>#DIV/0!</v>
      </c>
      <c r="F22" s="397" t="e">
        <f t="shared" ref="F22:R22" si="1">IF(F21&gt;(-1*$D$15),$D$15,0)</f>
        <v>#DIV/0!</v>
      </c>
      <c r="G22" s="397" t="e">
        <f t="shared" si="1"/>
        <v>#DIV/0!</v>
      </c>
      <c r="H22" s="397" t="e">
        <f t="shared" si="1"/>
        <v>#DIV/0!</v>
      </c>
      <c r="I22" s="397" t="e">
        <f t="shared" si="1"/>
        <v>#DIV/0!</v>
      </c>
      <c r="J22" s="397" t="e">
        <f t="shared" si="1"/>
        <v>#DIV/0!</v>
      </c>
      <c r="K22" s="397" t="e">
        <f t="shared" si="1"/>
        <v>#DIV/0!</v>
      </c>
      <c r="L22" s="397" t="e">
        <f t="shared" si="1"/>
        <v>#DIV/0!</v>
      </c>
      <c r="M22" s="397" t="e">
        <f t="shared" si="1"/>
        <v>#DIV/0!</v>
      </c>
      <c r="N22" s="397" t="e">
        <f t="shared" si="1"/>
        <v>#DIV/0!</v>
      </c>
      <c r="O22" s="397" t="e">
        <f t="shared" si="1"/>
        <v>#DIV/0!</v>
      </c>
      <c r="P22" s="397" t="e">
        <f t="shared" si="1"/>
        <v>#DIV/0!</v>
      </c>
      <c r="Q22" s="397" t="e">
        <f t="shared" si="1"/>
        <v>#DIV/0!</v>
      </c>
      <c r="R22" s="397" t="e">
        <f t="shared" si="1"/>
        <v>#DIV/0!</v>
      </c>
      <c r="S22" s="67" t="e">
        <f>SUM(D22:R22)</f>
        <v>#DIV/0!</v>
      </c>
    </row>
    <row r="23" spans="1:20" x14ac:dyDescent="0.15">
      <c r="C23" s="28" t="s">
        <v>273</v>
      </c>
      <c r="D23" s="397">
        <f>-D21*$D$6</f>
        <v>0</v>
      </c>
      <c r="E23" s="397" t="e">
        <f>-E21*$D$6</f>
        <v>#DIV/0!</v>
      </c>
      <c r="F23" s="397" t="e">
        <f>-F21*$D$6</f>
        <v>#DIV/0!</v>
      </c>
      <c r="G23" s="397" t="e">
        <f>IF(G22=0,0,(-G21*$D$6))</f>
        <v>#DIV/0!</v>
      </c>
      <c r="H23" s="397" t="e">
        <f t="shared" ref="H23:R23" si="2">IF(H22=0,0,(-H21*$D$6))</f>
        <v>#DIV/0!</v>
      </c>
      <c r="I23" s="397" t="e">
        <f t="shared" si="2"/>
        <v>#DIV/0!</v>
      </c>
      <c r="J23" s="397" t="e">
        <f t="shared" si="2"/>
        <v>#DIV/0!</v>
      </c>
      <c r="K23" s="397" t="e">
        <f t="shared" si="2"/>
        <v>#DIV/0!</v>
      </c>
      <c r="L23" s="397" t="e">
        <f t="shared" si="2"/>
        <v>#DIV/0!</v>
      </c>
      <c r="M23" s="397" t="e">
        <f t="shared" si="2"/>
        <v>#DIV/0!</v>
      </c>
      <c r="N23" s="397" t="e">
        <f t="shared" si="2"/>
        <v>#DIV/0!</v>
      </c>
      <c r="O23" s="397" t="e">
        <f t="shared" si="2"/>
        <v>#DIV/0!</v>
      </c>
      <c r="P23" s="397" t="e">
        <f t="shared" si="2"/>
        <v>#DIV/0!</v>
      </c>
      <c r="Q23" s="397" t="e">
        <f t="shared" si="2"/>
        <v>#DIV/0!</v>
      </c>
      <c r="R23" s="397" t="e">
        <f t="shared" si="2"/>
        <v>#DIV/0!</v>
      </c>
      <c r="S23" s="67" t="e">
        <f>SUM(D23:R23)</f>
        <v>#DIV/0!</v>
      </c>
    </row>
    <row r="24" spans="1:20" x14ac:dyDescent="0.15">
      <c r="C24" s="28" t="s">
        <v>274</v>
      </c>
      <c r="D24" s="397" t="e">
        <f>D22-D23</f>
        <v>#DIV/0!</v>
      </c>
      <c r="E24" s="397" t="e">
        <f>E22-E23</f>
        <v>#DIV/0!</v>
      </c>
      <c r="F24" s="397" t="e">
        <f>IF(F21&lt;-$D$15,-F21,(F22-F23))</f>
        <v>#DIV/0!</v>
      </c>
      <c r="G24" s="397" t="e">
        <f>IF(G21&lt;-$D$15,-G21,(G22-G23))</f>
        <v>#DIV/0!</v>
      </c>
      <c r="H24" s="397" t="e">
        <f t="shared" ref="H24:R24" si="3">IF(H21&lt;-$D$15,-H21,(H22-H23))</f>
        <v>#DIV/0!</v>
      </c>
      <c r="I24" s="397" t="e">
        <f t="shared" si="3"/>
        <v>#DIV/0!</v>
      </c>
      <c r="J24" s="397" t="e">
        <f t="shared" si="3"/>
        <v>#DIV/0!</v>
      </c>
      <c r="K24" s="397" t="e">
        <f t="shared" si="3"/>
        <v>#DIV/0!</v>
      </c>
      <c r="L24" s="397" t="e">
        <f t="shared" si="3"/>
        <v>#DIV/0!</v>
      </c>
      <c r="M24" s="397" t="e">
        <f t="shared" si="3"/>
        <v>#DIV/0!</v>
      </c>
      <c r="N24" s="397" t="e">
        <f t="shared" si="3"/>
        <v>#DIV/0!</v>
      </c>
      <c r="O24" s="397" t="e">
        <f t="shared" si="3"/>
        <v>#DIV/0!</v>
      </c>
      <c r="P24" s="397" t="e">
        <f t="shared" si="3"/>
        <v>#DIV/0!</v>
      </c>
      <c r="Q24" s="397" t="e">
        <f t="shared" si="3"/>
        <v>#DIV/0!</v>
      </c>
      <c r="R24" s="397" t="e">
        <f t="shared" si="3"/>
        <v>#DIV/0!</v>
      </c>
      <c r="S24" s="68" t="e">
        <f>SUM(D24:R24)</f>
        <v>#DIV/0!</v>
      </c>
    </row>
    <row r="25" spans="1:20" x14ac:dyDescent="0.15">
      <c r="C25" s="28" t="s">
        <v>275</v>
      </c>
      <c r="D25" s="397" t="e">
        <f>D21+D24</f>
        <v>#DIV/0!</v>
      </c>
      <c r="E25" s="397" t="e">
        <f>E21+E24</f>
        <v>#DIV/0!</v>
      </c>
      <c r="F25" s="397" t="e">
        <f>F21+F24</f>
        <v>#DIV/0!</v>
      </c>
      <c r="G25" s="397" t="e">
        <f>IF(G24=0,0,(G21+G24))</f>
        <v>#DIV/0!</v>
      </c>
      <c r="H25" s="397" t="e">
        <f t="shared" ref="H25:R25" si="4">IF(H24=0,0,(H21+H24))</f>
        <v>#DIV/0!</v>
      </c>
      <c r="I25" s="397" t="e">
        <f t="shared" si="4"/>
        <v>#DIV/0!</v>
      </c>
      <c r="J25" s="397" t="e">
        <f t="shared" si="4"/>
        <v>#DIV/0!</v>
      </c>
      <c r="K25" s="397" t="e">
        <f t="shared" si="4"/>
        <v>#DIV/0!</v>
      </c>
      <c r="L25" s="397" t="e">
        <f t="shared" si="4"/>
        <v>#DIV/0!</v>
      </c>
      <c r="M25" s="397" t="e">
        <f t="shared" si="4"/>
        <v>#DIV/0!</v>
      </c>
      <c r="N25" s="397" t="e">
        <f t="shared" si="4"/>
        <v>#DIV/0!</v>
      </c>
      <c r="O25" s="397" t="e">
        <f t="shared" si="4"/>
        <v>#DIV/0!</v>
      </c>
      <c r="P25" s="397" t="e">
        <f t="shared" si="4"/>
        <v>#DIV/0!</v>
      </c>
      <c r="Q25" s="397" t="e">
        <f t="shared" si="4"/>
        <v>#DIV/0!</v>
      </c>
      <c r="R25" s="397" t="e">
        <f t="shared" si="4"/>
        <v>#DIV/0!</v>
      </c>
      <c r="S25" s="57"/>
    </row>
    <row r="26" spans="1:20" x14ac:dyDescent="0.15">
      <c r="C26" s="4"/>
      <c r="D26" s="3"/>
      <c r="E26" s="3"/>
      <c r="F26" s="3"/>
      <c r="G26" s="3"/>
    </row>
    <row r="27" spans="1:20" x14ac:dyDescent="0.15">
      <c r="C27" s="4"/>
      <c r="D27" s="3"/>
      <c r="E27" s="3"/>
      <c r="F27" s="3"/>
      <c r="G27" s="3"/>
    </row>
    <row r="28" spans="1:20" ht="14" thickBot="1" x14ac:dyDescent="0.2">
      <c r="A28" s="138"/>
      <c r="B28" s="138"/>
      <c r="C28" s="141"/>
      <c r="D28" s="220"/>
      <c r="E28" s="220"/>
      <c r="F28" s="220"/>
      <c r="G28" s="220"/>
      <c r="H28" s="138"/>
      <c r="I28" s="138"/>
      <c r="J28" s="138"/>
      <c r="K28" s="138"/>
      <c r="L28" s="138"/>
      <c r="M28" s="138"/>
      <c r="N28" s="138"/>
      <c r="O28" s="138"/>
      <c r="P28" s="138"/>
      <c r="Q28" s="138"/>
      <c r="R28" s="138"/>
      <c r="S28" s="138"/>
      <c r="T28" s="138"/>
    </row>
    <row r="29" spans="1:20" ht="14" thickTop="1" x14ac:dyDescent="0.15">
      <c r="C29" s="4"/>
      <c r="D29" s="3"/>
      <c r="E29" s="3"/>
      <c r="F29" s="3"/>
      <c r="G29" s="3"/>
    </row>
    <row r="30" spans="1:20" ht="16" x14ac:dyDescent="0.2">
      <c r="A30" s="205" t="s">
        <v>276</v>
      </c>
      <c r="C30" s="4"/>
      <c r="D30" s="3"/>
      <c r="E30" s="3"/>
      <c r="F30" s="3"/>
      <c r="G30" s="3"/>
    </row>
    <row r="31" spans="1:20" x14ac:dyDescent="0.15">
      <c r="C31" s="4"/>
    </row>
    <row r="32" spans="1:20" x14ac:dyDescent="0.15">
      <c r="C32" s="4"/>
    </row>
    <row r="35" spans="3:8" x14ac:dyDescent="0.15">
      <c r="C35" s="4"/>
      <c r="D35" s="4"/>
      <c r="E35" s="4"/>
      <c r="F35" s="4"/>
      <c r="G35" s="4"/>
      <c r="H35" s="4"/>
    </row>
    <row r="36" spans="3:8" x14ac:dyDescent="0.15">
      <c r="C36" s="4"/>
      <c r="D36" s="4"/>
      <c r="E36" s="10"/>
      <c r="F36" s="10"/>
      <c r="G36" s="10"/>
      <c r="H36" s="10"/>
    </row>
    <row r="37" spans="3:8" x14ac:dyDescent="0.15">
      <c r="C37" s="4"/>
      <c r="D37" s="4"/>
      <c r="E37" s="10"/>
      <c r="F37" s="10"/>
      <c r="G37" s="10"/>
      <c r="H37" s="10"/>
    </row>
    <row r="38" spans="3:8" x14ac:dyDescent="0.15">
      <c r="C38" s="4"/>
      <c r="D38" s="4"/>
      <c r="E38" s="10"/>
      <c r="F38" s="10"/>
      <c r="G38" s="10"/>
      <c r="H38" s="10"/>
    </row>
    <row r="39" spans="3:8" x14ac:dyDescent="0.15">
      <c r="C39" s="4"/>
      <c r="D39" s="4"/>
      <c r="E39" s="10"/>
      <c r="F39" s="10"/>
      <c r="G39" s="10"/>
      <c r="H39" s="10"/>
    </row>
    <row r="40" spans="3:8" x14ac:dyDescent="0.15">
      <c r="C40" s="4"/>
      <c r="D40" s="4"/>
      <c r="E40" s="10"/>
      <c r="F40" s="10"/>
      <c r="G40" s="10"/>
      <c r="H40" s="10"/>
    </row>
    <row r="41" spans="3:8" x14ac:dyDescent="0.15">
      <c r="C41" s="4"/>
      <c r="D41" s="4"/>
      <c r="E41" s="10"/>
      <c r="F41" s="10"/>
      <c r="G41" s="10"/>
      <c r="H41" s="54"/>
    </row>
    <row r="42" spans="3:8" x14ac:dyDescent="0.15">
      <c r="C42" s="4"/>
      <c r="D42" s="4"/>
      <c r="E42" s="10"/>
      <c r="F42" s="10"/>
      <c r="G42" s="10"/>
      <c r="H42" s="10"/>
    </row>
    <row r="43" spans="3:8" x14ac:dyDescent="0.15">
      <c r="C43" s="4"/>
      <c r="D43" s="4"/>
      <c r="E43" s="10"/>
      <c r="F43" s="10"/>
      <c r="G43" s="10"/>
      <c r="H43" s="10"/>
    </row>
    <row r="44" spans="3:8" x14ac:dyDescent="0.15">
      <c r="F44" s="6"/>
      <c r="G44" s="4"/>
    </row>
  </sheetData>
  <sheetProtection password="AA36" sheet="1" objects="1" scenarios="1"/>
  <phoneticPr fontId="0" type="noConversion"/>
  <printOptions headings="1"/>
  <pageMargins left="0.75" right="0.75" top="1" bottom="1" header="0.5" footer="0.5"/>
  <pageSetup scale="39" orientation="landscape"/>
  <headerFooter alignWithMargins="0">
    <oddHeader>&amp;LEngineering Economics Model for Senior Design&amp;R&amp;"Times New Roman,Bold"&amp;14Loan Amortization</oddHeader>
    <oddFooter>&amp;LJ:/EM355/Spring01/labs/EEworkingfolder/&amp;F&amp;CPage &amp;P of &amp;N&amp;R&amp;T&amp;D</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T67"/>
  <sheetViews>
    <sheetView topLeftCell="A52" zoomScale="110" zoomScaleNormal="110" workbookViewId="0">
      <selection activeCell="D38" sqref="D38"/>
    </sheetView>
  </sheetViews>
  <sheetFormatPr baseColWidth="10" defaultColWidth="8.83203125" defaultRowHeight="13" x14ac:dyDescent="0.15"/>
  <cols>
    <col min="1" max="1" width="18.33203125" customWidth="1"/>
    <col min="2" max="2" width="19.5" customWidth="1"/>
    <col min="3" max="3" width="32.33203125" customWidth="1"/>
    <col min="4" max="4" width="21.83203125" customWidth="1"/>
    <col min="5" max="5" width="19.33203125" customWidth="1"/>
    <col min="6" max="6" width="25.5" customWidth="1"/>
    <col min="7" max="7" width="18.33203125" bestFit="1" customWidth="1"/>
    <col min="8" max="8" width="20.5" customWidth="1"/>
    <col min="9" max="9" width="23.33203125" customWidth="1"/>
    <col min="10" max="10" width="17.5" bestFit="1" customWidth="1"/>
    <col min="11" max="11" width="18.33203125" bestFit="1" customWidth="1"/>
    <col min="12" max="12" width="23.5" customWidth="1"/>
    <col min="13" max="13" width="18" bestFit="1" customWidth="1"/>
    <col min="14" max="14" width="17.1640625" bestFit="1" customWidth="1"/>
    <col min="15" max="15" width="20.5" bestFit="1" customWidth="1"/>
    <col min="16" max="16" width="17.5" bestFit="1" customWidth="1"/>
  </cols>
  <sheetData>
    <row r="1" spans="1:16" ht="23" x14ac:dyDescent="0.25">
      <c r="A1" s="674" t="s">
        <v>277</v>
      </c>
      <c r="C1" s="39"/>
      <c r="D1" s="39"/>
      <c r="E1" s="39"/>
      <c r="F1" s="39"/>
      <c r="G1" s="39"/>
      <c r="H1" s="39"/>
      <c r="I1" s="39"/>
      <c r="J1" s="39"/>
      <c r="K1" s="39"/>
      <c r="L1" s="39"/>
    </row>
    <row r="2" spans="1:16" ht="16" x14ac:dyDescent="0.2">
      <c r="A2" s="215"/>
      <c r="C2" s="39"/>
      <c r="D2" s="39"/>
      <c r="E2" s="39"/>
      <c r="F2" s="39"/>
      <c r="G2" s="39"/>
      <c r="H2" s="39"/>
      <c r="I2" s="39"/>
      <c r="J2" s="39"/>
      <c r="K2" s="39"/>
      <c r="L2" s="39"/>
    </row>
    <row r="3" spans="1:16" ht="34" x14ac:dyDescent="0.2">
      <c r="B3" s="48" t="s">
        <v>278</v>
      </c>
      <c r="C3" s="39"/>
      <c r="D3" s="39"/>
      <c r="E3" s="39"/>
      <c r="F3" s="232" t="s">
        <v>279</v>
      </c>
      <c r="G3" s="129">
        <f>'Initial Inputs'!C43</f>
        <v>0.3</v>
      </c>
      <c r="H3" s="39"/>
      <c r="I3" s="39"/>
      <c r="J3" s="39"/>
      <c r="K3" s="39"/>
      <c r="L3" s="39"/>
    </row>
    <row r="4" spans="1:16" ht="17" x14ac:dyDescent="0.2">
      <c r="C4" s="39"/>
      <c r="D4" s="39"/>
      <c r="E4" s="39"/>
      <c r="F4" s="232" t="s">
        <v>280</v>
      </c>
      <c r="G4" s="130">
        <f>'Initial Inputs'!C45</f>
        <v>0.18</v>
      </c>
      <c r="H4" s="39"/>
      <c r="L4" s="39"/>
    </row>
    <row r="5" spans="1:16" ht="34" x14ac:dyDescent="0.2">
      <c r="B5" s="39"/>
      <c r="C5" s="39"/>
      <c r="D5" s="39"/>
      <c r="E5" s="39"/>
      <c r="F5" s="232" t="s">
        <v>281</v>
      </c>
      <c r="G5" s="129">
        <f>'Initial Inputs'!C47</f>
        <v>0</v>
      </c>
      <c r="H5" s="39"/>
      <c r="I5" s="39"/>
      <c r="J5" s="39"/>
      <c r="K5" s="39"/>
      <c r="L5" s="39"/>
    </row>
    <row r="6" spans="1:16" ht="17" thickBot="1" x14ac:dyDescent="0.25">
      <c r="B6" s="39"/>
      <c r="C6" s="39"/>
      <c r="D6" s="39"/>
      <c r="E6" s="39"/>
      <c r="F6" s="39"/>
      <c r="G6" s="39"/>
      <c r="H6" s="39"/>
      <c r="I6" s="39"/>
      <c r="J6" s="39"/>
      <c r="K6" s="39"/>
      <c r="L6" s="39"/>
    </row>
    <row r="7" spans="1:16" ht="18" thickTop="1" thickBot="1" x14ac:dyDescent="0.25">
      <c r="B7" s="40" t="s">
        <v>282</v>
      </c>
      <c r="C7" s="41" t="s">
        <v>283</v>
      </c>
      <c r="D7" s="42">
        <v>0</v>
      </c>
      <c r="E7" s="42">
        <v>1</v>
      </c>
      <c r="F7" s="42">
        <v>2</v>
      </c>
      <c r="G7" s="42">
        <v>3</v>
      </c>
      <c r="H7" s="42">
        <v>4</v>
      </c>
      <c r="I7" s="42">
        <v>5</v>
      </c>
      <c r="J7" s="43">
        <v>6</v>
      </c>
      <c r="K7" s="42">
        <v>7</v>
      </c>
      <c r="L7" s="42">
        <v>8</v>
      </c>
      <c r="M7" s="42">
        <v>9</v>
      </c>
      <c r="N7" s="42">
        <v>10</v>
      </c>
      <c r="O7" s="42" t="s">
        <v>284</v>
      </c>
      <c r="P7" s="44" t="s">
        <v>285</v>
      </c>
    </row>
    <row r="8" spans="1:16" ht="16" x14ac:dyDescent="0.2">
      <c r="B8" s="185" t="s">
        <v>286</v>
      </c>
      <c r="C8" s="86" t="s">
        <v>287</v>
      </c>
      <c r="D8" s="45">
        <v>0</v>
      </c>
      <c r="E8" s="78">
        <f>Revenues!D27</f>
        <v>300000000</v>
      </c>
      <c r="F8" s="78">
        <f>Revenues!E27</f>
        <v>313500000.00000006</v>
      </c>
      <c r="G8" s="78">
        <f>Revenues!F27</f>
        <v>327607500.00000006</v>
      </c>
      <c r="H8" s="78">
        <f>Revenues!G27</f>
        <v>342349837.50000012</v>
      </c>
      <c r="I8" s="78">
        <f>Revenues!H27</f>
        <v>357755580.18750012</v>
      </c>
      <c r="J8" s="78">
        <f>Revenues!I27</f>
        <v>0</v>
      </c>
      <c r="K8" s="78">
        <f>Revenues!J27</f>
        <v>0</v>
      </c>
      <c r="L8" s="78">
        <f>Revenues!K27</f>
        <v>0</v>
      </c>
      <c r="M8" s="78">
        <f>Revenues!L27</f>
        <v>0</v>
      </c>
      <c r="N8" s="78">
        <f>Revenues!M27</f>
        <v>0</v>
      </c>
      <c r="O8" s="155"/>
      <c r="P8" s="79">
        <f>SUM(D8:N8)</f>
        <v>1641212917.6875</v>
      </c>
    </row>
    <row r="9" spans="1:16" ht="34" x14ac:dyDescent="0.2">
      <c r="B9" s="186" t="s">
        <v>288</v>
      </c>
      <c r="C9" s="89" t="s">
        <v>289</v>
      </c>
      <c r="D9" s="46">
        <v>0</v>
      </c>
      <c r="E9" s="80">
        <f>Expenses!D98-Expenses!D77</f>
        <v>230170000</v>
      </c>
      <c r="F9" s="80">
        <f>Expenses!E98-Expenses!E77</f>
        <v>253018375.00000003</v>
      </c>
      <c r="G9" s="80">
        <f>Expenses!F98-Expenses!F77</f>
        <v>278725718.45125008</v>
      </c>
      <c r="H9" s="80">
        <f>Expenses!G98-Expenses!G77</f>
        <v>307665975.06072807</v>
      </c>
      <c r="I9" s="80">
        <f>Expenses!H98-Expenses!H77</f>
        <v>340262566.36057305</v>
      </c>
      <c r="J9" s="80">
        <f>Expenses!I98-Expenses!I77</f>
        <v>0</v>
      </c>
      <c r="K9" s="80">
        <f>Expenses!J98-Expenses!J77</f>
        <v>0</v>
      </c>
      <c r="L9" s="80">
        <f>Expenses!K98-Expenses!K77</f>
        <v>0</v>
      </c>
      <c r="M9" s="80">
        <f>Expenses!L98-Expenses!L77</f>
        <v>0</v>
      </c>
      <c r="N9" s="80">
        <f>Expenses!M98-Expenses!M77</f>
        <v>0</v>
      </c>
      <c r="O9" s="57"/>
      <c r="P9" s="79">
        <f t="shared" ref="P9:P31" si="0">SUM(D9:N9)</f>
        <v>1409842634.8725512</v>
      </c>
    </row>
    <row r="10" spans="1:16" ht="16" x14ac:dyDescent="0.2">
      <c r="B10" s="186">
        <v>3</v>
      </c>
      <c r="C10" s="85" t="s">
        <v>290</v>
      </c>
      <c r="D10" s="46">
        <f>D8-D9</f>
        <v>0</v>
      </c>
      <c r="E10" s="81">
        <f t="shared" ref="E10:J10" si="1">E8-E9</f>
        <v>69830000</v>
      </c>
      <c r="F10" s="81">
        <f t="shared" si="1"/>
        <v>60481625.00000003</v>
      </c>
      <c r="G10" s="81">
        <f t="shared" si="1"/>
        <v>48881781.548749983</v>
      </c>
      <c r="H10" s="81">
        <f t="shared" si="1"/>
        <v>34683862.439272046</v>
      </c>
      <c r="I10" s="81">
        <f t="shared" si="1"/>
        <v>17493013.826927066</v>
      </c>
      <c r="J10" s="81">
        <f t="shared" si="1"/>
        <v>0</v>
      </c>
      <c r="K10" s="81">
        <f>K8-K9</f>
        <v>0</v>
      </c>
      <c r="L10" s="81">
        <f>L8-L9</f>
        <v>0</v>
      </c>
      <c r="M10" s="81">
        <f>M8-M9</f>
        <v>0</v>
      </c>
      <c r="N10" s="81">
        <f>N8-N9</f>
        <v>0</v>
      </c>
      <c r="O10" s="57"/>
      <c r="P10" s="79">
        <f t="shared" si="0"/>
        <v>231370282.81494913</v>
      </c>
    </row>
    <row r="11" spans="1:16" ht="16" x14ac:dyDescent="0.2">
      <c r="B11" s="186" t="s">
        <v>291</v>
      </c>
      <c r="C11" s="85" t="s">
        <v>292</v>
      </c>
      <c r="D11" s="46">
        <v>0</v>
      </c>
      <c r="E11" s="228">
        <f>'Capital Gains Wksht'!F53</f>
        <v>3772500</v>
      </c>
      <c r="F11" s="228">
        <f>'Capital Gains Wksht'!G53</f>
        <v>6218850</v>
      </c>
      <c r="G11" s="228">
        <f>'Capital Gains Wksht'!H53</f>
        <v>4083150</v>
      </c>
      <c r="H11" s="228">
        <f>'Capital Gains Wksht'!I53</f>
        <v>2775510</v>
      </c>
      <c r="I11" s="228">
        <f>'Capital Gains Wksht'!J53</f>
        <v>1352955</v>
      </c>
      <c r="J11" s="228">
        <f>'Capital Gains Wksht'!K53</f>
        <v>0</v>
      </c>
      <c r="K11" s="228">
        <f>'Capital Gains Wksht'!L53</f>
        <v>0</v>
      </c>
      <c r="L11" s="228">
        <f>'Capital Gains Wksht'!M53</f>
        <v>0</v>
      </c>
      <c r="M11" s="228">
        <f>'Capital Gains Wksht'!N53</f>
        <v>0</v>
      </c>
      <c r="N11" s="228">
        <f>'Capital Gains Wksht'!O53</f>
        <v>0</v>
      </c>
      <c r="O11" s="57"/>
      <c r="P11" s="79">
        <f t="shared" si="0"/>
        <v>18202965</v>
      </c>
    </row>
    <row r="12" spans="1:16" ht="16" x14ac:dyDescent="0.2">
      <c r="B12" s="186">
        <v>5</v>
      </c>
      <c r="C12" s="85" t="s">
        <v>293</v>
      </c>
      <c r="D12" s="46">
        <f>D10-D11</f>
        <v>0</v>
      </c>
      <c r="E12" s="81">
        <f t="shared" ref="E12:J12" si="2">E10-E11</f>
        <v>66057500</v>
      </c>
      <c r="F12" s="81">
        <f t="shared" si="2"/>
        <v>54262775.00000003</v>
      </c>
      <c r="G12" s="81">
        <f t="shared" si="2"/>
        <v>44798631.548749983</v>
      </c>
      <c r="H12" s="81">
        <f t="shared" si="2"/>
        <v>31908352.439272046</v>
      </c>
      <c r="I12" s="81">
        <f t="shared" si="2"/>
        <v>16140058.826927066</v>
      </c>
      <c r="J12" s="81">
        <f t="shared" si="2"/>
        <v>0</v>
      </c>
      <c r="K12" s="81">
        <f>K10-K11</f>
        <v>0</v>
      </c>
      <c r="L12" s="81">
        <f>L10-L11</f>
        <v>0</v>
      </c>
      <c r="M12" s="81">
        <f>M10-M11</f>
        <v>0</v>
      </c>
      <c r="N12" s="81">
        <f>N10-N11</f>
        <v>0</v>
      </c>
      <c r="O12" s="57"/>
      <c r="P12" s="79">
        <f t="shared" si="0"/>
        <v>213167317.81494913</v>
      </c>
    </row>
    <row r="13" spans="1:16" ht="34" x14ac:dyDescent="0.2">
      <c r="B13" s="187" t="s">
        <v>294</v>
      </c>
      <c r="C13" s="85" t="s">
        <v>295</v>
      </c>
      <c r="D13" s="46">
        <v>0</v>
      </c>
      <c r="E13" s="82">
        <f>IF('Initial Inputs'!$E$36=0,-'Level Payment Fin Sens Calc'!D122,-'Level Prin Paymt Fin Sens Calc'!D142)</f>
        <v>0</v>
      </c>
      <c r="F13" s="82">
        <f>IF('Initial Inputs'!$E$36=0,-'Level Payment Fin Sens Calc'!E122,-'Level Prin Paymt Fin Sens Calc'!E142)</f>
        <v>0</v>
      </c>
      <c r="G13" s="82">
        <f>IF('Initial Inputs'!$E$36=0,-'Level Payment Fin Sens Calc'!F122,-'Level Prin Paymt Fin Sens Calc'!F142)</f>
        <v>0</v>
      </c>
      <c r="H13" s="82">
        <f>IF('Initial Inputs'!$E$36=0,-'Level Payment Fin Sens Calc'!G122,-'Level Prin Paymt Fin Sens Calc'!G142)</f>
        <v>0</v>
      </c>
      <c r="I13" s="82">
        <f>IF('Initial Inputs'!$E$36=0,-'Level Payment Fin Sens Calc'!H122,-'Level Prin Paymt Fin Sens Calc'!H142)</f>
        <v>0</v>
      </c>
      <c r="J13" s="82">
        <f>IF('Initial Inputs'!$E$36=0,-'Level Payment Fin Sens Calc'!I122,-'Level Prin Paymt Fin Sens Calc'!I142)</f>
        <v>0</v>
      </c>
      <c r="K13" s="82">
        <f>IF('Initial Inputs'!$E$36=0,-'Level Payment Fin Sens Calc'!J122,-'Level Prin Paymt Fin Sens Calc'!J142)</f>
        <v>0</v>
      </c>
      <c r="L13" s="82">
        <f>IF('Initial Inputs'!$E$36=0,-'Level Payment Fin Sens Calc'!K122,-'Level Prin Paymt Fin Sens Calc'!K142)</f>
        <v>0</v>
      </c>
      <c r="M13" s="82">
        <f>IF('Initial Inputs'!$E$36=0,-'Level Payment Fin Sens Calc'!L122,-'Level Prin Paymt Fin Sens Calc'!L142)</f>
        <v>0</v>
      </c>
      <c r="N13" s="82">
        <f>IF('Initial Inputs'!$E$36=0,-'Level Payment Fin Sens Calc'!M122,-'Level Prin Paymt Fin Sens Calc'!M142)</f>
        <v>0</v>
      </c>
      <c r="O13" s="57"/>
      <c r="P13" s="79">
        <f t="shared" si="0"/>
        <v>0</v>
      </c>
    </row>
    <row r="14" spans="1:16" ht="16" x14ac:dyDescent="0.2">
      <c r="B14" s="186">
        <v>7</v>
      </c>
      <c r="C14" s="85" t="s">
        <v>296</v>
      </c>
      <c r="D14" s="46">
        <f>D12-D13</f>
        <v>0</v>
      </c>
      <c r="E14" s="81">
        <f t="shared" ref="E14:J14" si="3">E12-E13</f>
        <v>66057500</v>
      </c>
      <c r="F14" s="81">
        <f t="shared" si="3"/>
        <v>54262775.00000003</v>
      </c>
      <c r="G14" s="81">
        <f t="shared" si="3"/>
        <v>44798631.548749983</v>
      </c>
      <c r="H14" s="81">
        <f t="shared" si="3"/>
        <v>31908352.439272046</v>
      </c>
      <c r="I14" s="81">
        <f t="shared" si="3"/>
        <v>16140058.826927066</v>
      </c>
      <c r="J14" s="81">
        <f t="shared" si="3"/>
        <v>0</v>
      </c>
      <c r="K14" s="81">
        <f>K12-K13</f>
        <v>0</v>
      </c>
      <c r="L14" s="81">
        <f>L12-L13</f>
        <v>0</v>
      </c>
      <c r="M14" s="81">
        <f>M12-M13</f>
        <v>0</v>
      </c>
      <c r="N14" s="81">
        <f>N12-N13</f>
        <v>0</v>
      </c>
      <c r="O14" s="57"/>
      <c r="P14" s="79">
        <f t="shared" si="0"/>
        <v>213167317.81494913</v>
      </c>
    </row>
    <row r="15" spans="1:16" ht="17" x14ac:dyDescent="0.2">
      <c r="B15" s="186">
        <f>1+B14</f>
        <v>8</v>
      </c>
      <c r="C15" s="89" t="s">
        <v>297</v>
      </c>
      <c r="D15" s="46">
        <v>0</v>
      </c>
      <c r="E15" s="83">
        <f t="shared" ref="E15:N15" si="4">$G$3*E14</f>
        <v>19817250</v>
      </c>
      <c r="F15" s="83">
        <f t="shared" si="4"/>
        <v>16278832.500000007</v>
      </c>
      <c r="G15" s="83">
        <f t="shared" si="4"/>
        <v>13439589.464624995</v>
      </c>
      <c r="H15" s="83">
        <f t="shared" si="4"/>
        <v>9572505.7317816131</v>
      </c>
      <c r="I15" s="83">
        <f t="shared" si="4"/>
        <v>4842017.6480781194</v>
      </c>
      <c r="J15" s="83">
        <f t="shared" si="4"/>
        <v>0</v>
      </c>
      <c r="K15" s="83">
        <f t="shared" si="4"/>
        <v>0</v>
      </c>
      <c r="L15" s="83">
        <f t="shared" si="4"/>
        <v>0</v>
      </c>
      <c r="M15" s="83">
        <f t="shared" si="4"/>
        <v>0</v>
      </c>
      <c r="N15" s="83">
        <f t="shared" si="4"/>
        <v>0</v>
      </c>
      <c r="O15" s="57"/>
      <c r="P15" s="79">
        <f t="shared" si="0"/>
        <v>63950195.344484739</v>
      </c>
    </row>
    <row r="16" spans="1:16" ht="34" x14ac:dyDescent="0.2">
      <c r="B16" s="186">
        <f>1+B15</f>
        <v>9</v>
      </c>
      <c r="C16" s="89" t="s">
        <v>298</v>
      </c>
      <c r="D16" s="46">
        <v>0</v>
      </c>
      <c r="E16" s="83">
        <f>G5*'Initial Inputs'!D22</f>
        <v>0</v>
      </c>
      <c r="F16" s="83">
        <v>0</v>
      </c>
      <c r="G16" s="83">
        <v>0</v>
      </c>
      <c r="H16" s="83">
        <v>0</v>
      </c>
      <c r="I16" s="83">
        <v>0</v>
      </c>
      <c r="J16" s="227">
        <v>0</v>
      </c>
      <c r="K16" s="83">
        <v>0</v>
      </c>
      <c r="L16" s="83">
        <v>0</v>
      </c>
      <c r="M16" s="83">
        <v>0</v>
      </c>
      <c r="N16" s="83">
        <v>0</v>
      </c>
      <c r="O16" s="57"/>
      <c r="P16" s="79">
        <f t="shared" si="0"/>
        <v>0</v>
      </c>
    </row>
    <row r="17" spans="2:16" ht="16" x14ac:dyDescent="0.2">
      <c r="B17" s="186">
        <f>1+B16</f>
        <v>10</v>
      </c>
      <c r="C17" s="85" t="s">
        <v>299</v>
      </c>
      <c r="D17" s="46">
        <f>D14-D15+D16</f>
        <v>0</v>
      </c>
      <c r="E17" s="81">
        <f t="shared" ref="E17:J17" si="5">E14-E15+E16</f>
        <v>46240250</v>
      </c>
      <c r="F17" s="81">
        <f t="shared" si="5"/>
        <v>37983942.500000022</v>
      </c>
      <c r="G17" s="81">
        <f t="shared" si="5"/>
        <v>31359042.08412499</v>
      </c>
      <c r="H17" s="81">
        <f t="shared" si="5"/>
        <v>22335846.707490433</v>
      </c>
      <c r="I17" s="81">
        <f t="shared" si="5"/>
        <v>11298041.178848946</v>
      </c>
      <c r="J17" s="81">
        <f t="shared" si="5"/>
        <v>0</v>
      </c>
      <c r="K17" s="81">
        <f>K14-K15+K16</f>
        <v>0</v>
      </c>
      <c r="L17" s="81">
        <f>L14-L15+L16</f>
        <v>0</v>
      </c>
      <c r="M17" s="81">
        <f>M14-M15+M16</f>
        <v>0</v>
      </c>
      <c r="N17" s="81">
        <f>N14-N15+N16</f>
        <v>0</v>
      </c>
      <c r="O17" s="57"/>
      <c r="P17" s="79">
        <f t="shared" si="0"/>
        <v>149217122.47046441</v>
      </c>
    </row>
    <row r="18" spans="2:16" ht="16" x14ac:dyDescent="0.2">
      <c r="B18" s="186" t="s">
        <v>300</v>
      </c>
      <c r="C18" s="85" t="s">
        <v>292</v>
      </c>
      <c r="D18" s="46">
        <v>0</v>
      </c>
      <c r="E18" s="225">
        <f t="shared" ref="E18:J18" si="6">E11</f>
        <v>3772500</v>
      </c>
      <c r="F18" s="225">
        <f t="shared" si="6"/>
        <v>6218850</v>
      </c>
      <c r="G18" s="225">
        <f t="shared" si="6"/>
        <v>4083150</v>
      </c>
      <c r="H18" s="225">
        <f t="shared" si="6"/>
        <v>2775510</v>
      </c>
      <c r="I18" s="225">
        <f t="shared" si="6"/>
        <v>1352955</v>
      </c>
      <c r="J18" s="225">
        <f t="shared" si="6"/>
        <v>0</v>
      </c>
      <c r="K18" s="225">
        <f>K11</f>
        <v>0</v>
      </c>
      <c r="L18" s="225">
        <f>L11</f>
        <v>0</v>
      </c>
      <c r="M18" s="225">
        <f>M11</f>
        <v>0</v>
      </c>
      <c r="N18" s="225">
        <f>N11</f>
        <v>0</v>
      </c>
      <c r="O18" s="57"/>
      <c r="P18" s="79">
        <f t="shared" si="0"/>
        <v>18202965</v>
      </c>
    </row>
    <row r="19" spans="2:16" ht="17" thickBot="1" x14ac:dyDescent="0.25">
      <c r="B19" s="188">
        <v>12</v>
      </c>
      <c r="C19" s="87" t="s">
        <v>301</v>
      </c>
      <c r="D19" s="47">
        <f>D17+D18</f>
        <v>0</v>
      </c>
      <c r="E19" s="127">
        <f t="shared" ref="E19:J19" si="7">E17+E18</f>
        <v>50012750</v>
      </c>
      <c r="F19" s="127">
        <f t="shared" si="7"/>
        <v>44202792.500000022</v>
      </c>
      <c r="G19" s="127">
        <f t="shared" si="7"/>
        <v>35442192.08412499</v>
      </c>
      <c r="H19" s="127">
        <f t="shared" si="7"/>
        <v>25111356.707490433</v>
      </c>
      <c r="I19" s="127">
        <f t="shared" si="7"/>
        <v>12650996.178848946</v>
      </c>
      <c r="J19" s="127">
        <f t="shared" si="7"/>
        <v>0</v>
      </c>
      <c r="K19" s="127">
        <f>K17+K18</f>
        <v>0</v>
      </c>
      <c r="L19" s="127">
        <f>L17+L18</f>
        <v>0</v>
      </c>
      <c r="M19" s="127">
        <f>M17+M18</f>
        <v>0</v>
      </c>
      <c r="N19" s="127">
        <f>N17+N18</f>
        <v>0</v>
      </c>
      <c r="O19" s="154"/>
      <c r="P19" s="79">
        <f t="shared" si="0"/>
        <v>167420087.47046441</v>
      </c>
    </row>
    <row r="20" spans="2:16" ht="35" thickTop="1" x14ac:dyDescent="0.2">
      <c r="B20" s="189" t="s">
        <v>302</v>
      </c>
      <c r="C20" s="85" t="s">
        <v>303</v>
      </c>
      <c r="D20" s="46">
        <v>0</v>
      </c>
      <c r="E20" s="82">
        <f>IF('Initial Inputs'!$E$36=0,'Level Payment Fin Sens Calc'!D123,'Level Prin Paymt Fin Sens Calc'!D141)</f>
        <v>0</v>
      </c>
      <c r="F20" s="82">
        <f>IF('Initial Inputs'!$E$36=0,'Level Payment Fin Sens Calc'!E123,'Level Prin Paymt Fin Sens Calc'!E141)</f>
        <v>0</v>
      </c>
      <c r="G20" s="82">
        <f>IF('Initial Inputs'!$E$36=0,'Level Payment Fin Sens Calc'!F123,'Level Prin Paymt Fin Sens Calc'!F141)</f>
        <v>0</v>
      </c>
      <c r="H20" s="82">
        <f>IF('Initial Inputs'!$E$36=0,'Level Payment Fin Sens Calc'!G123,'Level Prin Paymt Fin Sens Calc'!G141)</f>
        <v>0</v>
      </c>
      <c r="I20" s="82">
        <f>IF('Initial Inputs'!$E$36=0,'Level Payment Fin Sens Calc'!H123,'Level Prin Paymt Fin Sens Calc'!H141)</f>
        <v>0</v>
      </c>
      <c r="J20" s="82">
        <f>IF('Initial Inputs'!$E$36=0,'Level Payment Fin Sens Calc'!I123,'Level Prin Paymt Fin Sens Calc'!I141)</f>
        <v>0</v>
      </c>
      <c r="K20" s="82">
        <f>IF('Initial Inputs'!$E$36=0,'Level Payment Fin Sens Calc'!J123,'Level Prin Paymt Fin Sens Calc'!J141)</f>
        <v>0</v>
      </c>
      <c r="L20" s="82">
        <f>IF('Initial Inputs'!$E$36=0,'Level Payment Fin Sens Calc'!K123,'Level Prin Paymt Fin Sens Calc'!K141)</f>
        <v>0</v>
      </c>
      <c r="M20" s="82">
        <f>IF('Initial Inputs'!$E$36=0,'Level Payment Fin Sens Calc'!L123,'Level Prin Paymt Fin Sens Calc'!L141)</f>
        <v>0</v>
      </c>
      <c r="N20" s="82">
        <f>IF('Initial Inputs'!$E$36=0,'Level Payment Fin Sens Calc'!M123,'Level Prin Paymt Fin Sens Calc'!M141)</f>
        <v>0</v>
      </c>
      <c r="O20" s="155"/>
      <c r="P20" s="79">
        <f t="shared" si="0"/>
        <v>0</v>
      </c>
    </row>
    <row r="21" spans="2:16" ht="16" x14ac:dyDescent="0.2">
      <c r="B21" s="186">
        <v>14</v>
      </c>
      <c r="C21" s="85" t="s">
        <v>304</v>
      </c>
      <c r="D21" s="81">
        <f>D22+D23+D24</f>
        <v>-32550000</v>
      </c>
      <c r="E21" s="81">
        <f t="shared" ref="E21:N21" si="8">E22+E23+E24</f>
        <v>0</v>
      </c>
      <c r="F21" s="81">
        <f t="shared" si="8"/>
        <v>0</v>
      </c>
      <c r="G21" s="81">
        <f t="shared" si="8"/>
        <v>0</v>
      </c>
      <c r="H21" s="81">
        <f t="shared" si="8"/>
        <v>0</v>
      </c>
      <c r="I21" s="81">
        <f t="shared" si="8"/>
        <v>14347035</v>
      </c>
      <c r="J21" s="81">
        <f t="shared" si="8"/>
        <v>0</v>
      </c>
      <c r="K21" s="81">
        <f t="shared" si="8"/>
        <v>0</v>
      </c>
      <c r="L21" s="81">
        <f t="shared" si="8"/>
        <v>0</v>
      </c>
      <c r="M21" s="81">
        <f t="shared" si="8"/>
        <v>0</v>
      </c>
      <c r="N21" s="81">
        <f t="shared" si="8"/>
        <v>0</v>
      </c>
      <c r="O21" s="12"/>
      <c r="P21" s="79">
        <f t="shared" si="0"/>
        <v>-18202965</v>
      </c>
    </row>
    <row r="22" spans="2:16" ht="34" x14ac:dyDescent="0.2">
      <c r="B22" s="190" t="s">
        <v>305</v>
      </c>
      <c r="C22" s="88" t="s">
        <v>207</v>
      </c>
      <c r="D22" s="83">
        <f>-'Capital &amp; Depr'!E11</f>
        <v>-31050000</v>
      </c>
      <c r="E22" s="225">
        <f>'Capital Gains Wksht'!F47</f>
        <v>0</v>
      </c>
      <c r="F22" s="225">
        <f>'Capital Gains Wksht'!G47</f>
        <v>0</v>
      </c>
      <c r="G22" s="225">
        <f>'Capital Gains Wksht'!H47</f>
        <v>0</v>
      </c>
      <c r="H22" s="225">
        <f>'Capital Gains Wksht'!I47</f>
        <v>0</v>
      </c>
      <c r="I22" s="225">
        <f>'Capital Gains Wksht'!J47</f>
        <v>12847035</v>
      </c>
      <c r="J22" s="225">
        <f>'Capital Gains Wksht'!K47</f>
        <v>0</v>
      </c>
      <c r="K22" s="225">
        <f>'Capital Gains Wksht'!L47</f>
        <v>0</v>
      </c>
      <c r="L22" s="225">
        <f>'Capital Gains Wksht'!M47</f>
        <v>0</v>
      </c>
      <c r="M22" s="225">
        <f>'Capital Gains Wksht'!N47</f>
        <v>0</v>
      </c>
      <c r="N22" s="225">
        <f>'Capital Gains Wksht'!O47</f>
        <v>0</v>
      </c>
      <c r="O22" s="225">
        <f>'Capital Gains Wksht'!O47</f>
        <v>0</v>
      </c>
      <c r="P22" s="79">
        <f t="shared" si="0"/>
        <v>-18202965</v>
      </c>
    </row>
    <row r="23" spans="2:16" ht="34" x14ac:dyDescent="0.2">
      <c r="B23" s="191" t="s">
        <v>306</v>
      </c>
      <c r="C23" s="88" t="s">
        <v>307</v>
      </c>
      <c r="D23" s="81">
        <f>-'Capital &amp; Depr'!E15</f>
        <v>-1500000</v>
      </c>
      <c r="E23" s="83">
        <f>'Capital Gains Wksht'!F71</f>
        <v>0</v>
      </c>
      <c r="F23" s="83">
        <f>'Capital Gains Wksht'!G71</f>
        <v>0</v>
      </c>
      <c r="G23" s="83">
        <f>'Capital Gains Wksht'!H71</f>
        <v>0</v>
      </c>
      <c r="H23" s="83">
        <f>'Capital Gains Wksht'!I71</f>
        <v>0</v>
      </c>
      <c r="I23" s="83">
        <f>'Capital Gains Wksht'!J71</f>
        <v>1500000</v>
      </c>
      <c r="J23" s="83">
        <f>'Capital Gains Wksht'!K71</f>
        <v>0</v>
      </c>
      <c r="K23" s="83">
        <f>'Capital Gains Wksht'!L71</f>
        <v>0</v>
      </c>
      <c r="L23" s="83">
        <f>'Capital Gains Wksht'!M71</f>
        <v>0</v>
      </c>
      <c r="M23" s="83">
        <f>'Capital Gains Wksht'!N71</f>
        <v>0</v>
      </c>
      <c r="N23" s="83">
        <f>'Capital Gains Wksht'!O71</f>
        <v>0</v>
      </c>
      <c r="O23" s="83">
        <f>'Capital Gains Wksht'!O71</f>
        <v>0</v>
      </c>
      <c r="P23" s="79">
        <f t="shared" si="0"/>
        <v>0</v>
      </c>
    </row>
    <row r="24" spans="2:16" ht="34" x14ac:dyDescent="0.2">
      <c r="B24" s="191" t="s">
        <v>308</v>
      </c>
      <c r="C24" s="88" t="s">
        <v>309</v>
      </c>
      <c r="D24" s="84">
        <f>'Loan Amortization'!D5</f>
        <v>0</v>
      </c>
      <c r="E24" s="46"/>
      <c r="F24" s="46"/>
      <c r="G24" s="46"/>
      <c r="H24" s="46"/>
      <c r="I24" s="46"/>
      <c r="J24" s="46"/>
      <c r="K24" s="46"/>
      <c r="L24" s="46"/>
      <c r="M24" s="46"/>
      <c r="N24" s="46"/>
      <c r="O24" s="12"/>
      <c r="P24" s="79">
        <f t="shared" si="0"/>
        <v>0</v>
      </c>
    </row>
    <row r="25" spans="2:16" ht="34" x14ac:dyDescent="0.2">
      <c r="B25" s="189" t="s">
        <v>310</v>
      </c>
      <c r="C25" s="86" t="s">
        <v>311</v>
      </c>
      <c r="D25" s="77">
        <v>0</v>
      </c>
      <c r="E25" s="226">
        <f>'Capital Gains Wksht'!F22</f>
        <v>0</v>
      </c>
      <c r="F25" s="226">
        <f>'Capital Gains Wksht'!G22</f>
        <v>0</v>
      </c>
      <c r="G25" s="226">
        <f>'Capital Gains Wksht'!H22</f>
        <v>0</v>
      </c>
      <c r="H25" s="226">
        <f>'Capital Gains Wksht'!I22</f>
        <v>0</v>
      </c>
      <c r="I25" s="226">
        <f>'Capital Gains Wksht'!J22</f>
        <v>-2596968.7000000002</v>
      </c>
      <c r="J25" s="226">
        <f>'Capital Gains Wksht'!K22</f>
        <v>0</v>
      </c>
      <c r="K25" s="226">
        <f>'Capital Gains Wksht'!L22</f>
        <v>0</v>
      </c>
      <c r="L25" s="226">
        <f>'Capital Gains Wksht'!M22</f>
        <v>0</v>
      </c>
      <c r="M25" s="226">
        <f>'Capital Gains Wksht'!N22</f>
        <v>0</v>
      </c>
      <c r="N25" s="226">
        <f>'Capital Gains Wksht'!O22</f>
        <v>0</v>
      </c>
      <c r="O25" s="226">
        <f>'Capital Gains Wksht'!P22</f>
        <v>0</v>
      </c>
      <c r="P25" s="79">
        <f t="shared" si="0"/>
        <v>-2596968.7000000002</v>
      </c>
    </row>
    <row r="26" spans="2:16" ht="16" x14ac:dyDescent="0.2">
      <c r="B26" s="186" t="s">
        <v>312</v>
      </c>
      <c r="C26" s="85" t="s">
        <v>115</v>
      </c>
      <c r="D26" s="83">
        <f>-'Capital &amp; Depr'!E18</f>
        <v>-60000000</v>
      </c>
      <c r="E26" s="83">
        <f>IF('Initial Inputs'!$E$31='After Tax Analysis'!D7,'Initial Inputs'!$C$30,0)</f>
        <v>0</v>
      </c>
      <c r="F26" s="83">
        <f>IF('Initial Inputs'!$E$31='After Tax Analysis'!E7,'Initial Inputs'!$C$30,0)</f>
        <v>0</v>
      </c>
      <c r="G26" s="83">
        <f>IF('Initial Inputs'!$E$31='After Tax Analysis'!F7,'Initial Inputs'!$C$30,0)</f>
        <v>0</v>
      </c>
      <c r="H26" s="83">
        <f>IF('Initial Inputs'!$E$31='After Tax Analysis'!G7,'Initial Inputs'!$C$30,0)</f>
        <v>0</v>
      </c>
      <c r="I26" s="83">
        <f>IF('Initial Inputs'!$E$31='After Tax Analysis'!H7,'Initial Inputs'!$C$30,0)</f>
        <v>60000000</v>
      </c>
      <c r="J26" s="83">
        <f>IF('Initial Inputs'!$E$31='After Tax Analysis'!I7,'Initial Inputs'!$C$30,0)</f>
        <v>0</v>
      </c>
      <c r="K26" s="83">
        <f>IF('Initial Inputs'!$E$31='After Tax Analysis'!J7,'Initial Inputs'!$C$30,0)</f>
        <v>0</v>
      </c>
      <c r="L26" s="83">
        <f>IF('Initial Inputs'!$E$31='After Tax Analysis'!K7,'Initial Inputs'!$C$30,0)</f>
        <v>0</v>
      </c>
      <c r="M26" s="83">
        <f>IF('Initial Inputs'!$E$31='After Tax Analysis'!L7,'Initial Inputs'!$C$30,0)</f>
        <v>0</v>
      </c>
      <c r="N26" s="83">
        <f>IF('Initial Inputs'!$E$31='After Tax Analysis'!M7,'Initial Inputs'!$C$30,0)</f>
        <v>0</v>
      </c>
      <c r="O26" s="83">
        <f>IF('Initial Inputs'!$E$31='After Tax Analysis'!N7,'Initial Inputs'!$C$30,0)</f>
        <v>0</v>
      </c>
      <c r="P26" s="79">
        <f t="shared" si="0"/>
        <v>0</v>
      </c>
    </row>
    <row r="27" spans="2:16" ht="35" thickBot="1" x14ac:dyDescent="0.25">
      <c r="B27" s="188">
        <v>17</v>
      </c>
      <c r="C27" s="192" t="s">
        <v>313</v>
      </c>
      <c r="D27" s="127">
        <f>D20+D21+D25+D26</f>
        <v>-92550000</v>
      </c>
      <c r="E27" s="127">
        <f t="shared" ref="E27:N27" si="9">E20+E21+E25+E26</f>
        <v>0</v>
      </c>
      <c r="F27" s="127">
        <f t="shared" si="9"/>
        <v>0</v>
      </c>
      <c r="G27" s="127">
        <f t="shared" si="9"/>
        <v>0</v>
      </c>
      <c r="H27" s="127">
        <f t="shared" si="9"/>
        <v>0</v>
      </c>
      <c r="I27" s="127">
        <f t="shared" si="9"/>
        <v>71750066.299999997</v>
      </c>
      <c r="J27" s="127">
        <f t="shared" si="9"/>
        <v>0</v>
      </c>
      <c r="K27" s="127">
        <f t="shared" si="9"/>
        <v>0</v>
      </c>
      <c r="L27" s="127">
        <f t="shared" si="9"/>
        <v>0</v>
      </c>
      <c r="M27" s="127">
        <f t="shared" si="9"/>
        <v>0</v>
      </c>
      <c r="N27" s="127">
        <f t="shared" si="9"/>
        <v>0</v>
      </c>
      <c r="O27" s="156">
        <f>SUM(O21:O26)</f>
        <v>0</v>
      </c>
      <c r="P27" s="79">
        <f t="shared" si="0"/>
        <v>-20799933.700000003</v>
      </c>
    </row>
    <row r="28" spans="2:16" ht="17" thickTop="1" x14ac:dyDescent="0.2">
      <c r="B28" s="185">
        <f>1+B27</f>
        <v>18</v>
      </c>
      <c r="C28" s="85" t="s">
        <v>314</v>
      </c>
      <c r="D28" s="237">
        <f t="shared" ref="D28:M28" si="10">D27+D19</f>
        <v>-92550000</v>
      </c>
      <c r="E28" s="237">
        <f t="shared" si="10"/>
        <v>50012750</v>
      </c>
      <c r="F28" s="237">
        <f t="shared" si="10"/>
        <v>44202792.500000022</v>
      </c>
      <c r="G28" s="237">
        <f t="shared" si="10"/>
        <v>35442192.08412499</v>
      </c>
      <c r="H28" s="237">
        <f t="shared" si="10"/>
        <v>25111356.707490433</v>
      </c>
      <c r="I28" s="237">
        <f t="shared" si="10"/>
        <v>84401062.478848949</v>
      </c>
      <c r="J28" s="237">
        <f t="shared" si="10"/>
        <v>0</v>
      </c>
      <c r="K28" s="237">
        <f t="shared" si="10"/>
        <v>0</v>
      </c>
      <c r="L28" s="237">
        <f t="shared" si="10"/>
        <v>0</v>
      </c>
      <c r="M28" s="237">
        <f t="shared" si="10"/>
        <v>0</v>
      </c>
      <c r="N28" s="237">
        <f>N27+N19</f>
        <v>0</v>
      </c>
      <c r="O28" s="159"/>
      <c r="P28" s="79">
        <f t="shared" si="0"/>
        <v>146620153.77046439</v>
      </c>
    </row>
    <row r="29" spans="2:16" ht="16" x14ac:dyDescent="0.2">
      <c r="B29" s="185"/>
      <c r="C29" s="85"/>
      <c r="D29" s="237">
        <f>D28</f>
        <v>-92550000</v>
      </c>
      <c r="E29" s="237">
        <f>E28+D29</f>
        <v>-42537250</v>
      </c>
      <c r="F29" s="237">
        <f t="shared" ref="F29:N29" si="11">F28+E29</f>
        <v>1665542.5000000224</v>
      </c>
      <c r="G29" s="237">
        <f t="shared" si="11"/>
        <v>37107734.584125012</v>
      </c>
      <c r="H29" s="237">
        <f t="shared" si="11"/>
        <v>62219091.291615441</v>
      </c>
      <c r="I29" s="237">
        <f t="shared" si="11"/>
        <v>146620153.77046439</v>
      </c>
      <c r="J29" s="237">
        <f t="shared" si="11"/>
        <v>146620153.77046439</v>
      </c>
      <c r="K29" s="237">
        <f t="shared" si="11"/>
        <v>146620153.77046439</v>
      </c>
      <c r="L29" s="237">
        <f t="shared" si="11"/>
        <v>146620153.77046439</v>
      </c>
      <c r="M29" s="237">
        <f t="shared" si="11"/>
        <v>146620153.77046439</v>
      </c>
      <c r="N29" s="237">
        <f t="shared" si="11"/>
        <v>146620153.77046439</v>
      </c>
      <c r="O29" s="159"/>
      <c r="P29" s="79"/>
    </row>
    <row r="30" spans="2:16" ht="16" x14ac:dyDescent="0.2">
      <c r="B30" s="186">
        <f>1+B28</f>
        <v>19</v>
      </c>
      <c r="C30" s="85" t="s">
        <v>315</v>
      </c>
      <c r="D30" s="184">
        <v>1</v>
      </c>
      <c r="E30" s="183">
        <f>(1)/((1+'Initial Inputs'!$C$5)^'After Tax Analysis'!E$7)</f>
        <v>0.86206896551724144</v>
      </c>
      <c r="F30" s="183">
        <f>(1)/((1+'Initial Inputs'!$C$5)^'After Tax Analysis'!F$7)</f>
        <v>0.74316290130796681</v>
      </c>
      <c r="G30" s="183">
        <f>(1)/((1+'Initial Inputs'!$C$5)^'After Tax Analysis'!G$7)</f>
        <v>0.64065767354135073</v>
      </c>
      <c r="H30" s="183">
        <f>(1)/((1+'Initial Inputs'!$C$5)^'After Tax Analysis'!H$7)</f>
        <v>0.5522910978804747</v>
      </c>
      <c r="I30" s="183">
        <f>(1)/((1+'Initial Inputs'!$C$5)^'After Tax Analysis'!I$7)</f>
        <v>0.47611301541420237</v>
      </c>
      <c r="J30" s="183">
        <f>(1)/((1+'Initial Inputs'!$C$5)^'After Tax Analysis'!J$7)</f>
        <v>0.41044225466741585</v>
      </c>
      <c r="K30" s="183">
        <f>(1)/((1+'Initial Inputs'!$C$5)^'After Tax Analysis'!K$7)</f>
        <v>0.35382952988570338</v>
      </c>
      <c r="L30" s="183">
        <f>(1)/((1+'Initial Inputs'!$C$5)^'After Tax Analysis'!L$7)</f>
        <v>0.30502545679802012</v>
      </c>
      <c r="M30" s="183">
        <f>(1)/((1+'Initial Inputs'!$C$5)^'After Tax Analysis'!M$7)</f>
        <v>0.26295297999829326</v>
      </c>
      <c r="N30" s="183">
        <f>(1)/((1+'Initial Inputs'!$C$5)^'After Tax Analysis'!N$7)</f>
        <v>0.22668360344680452</v>
      </c>
      <c r="O30" s="160"/>
      <c r="P30" s="79">
        <f t="shared" si="0"/>
        <v>5.8332274784574745</v>
      </c>
    </row>
    <row r="31" spans="2:16" ht="16" x14ac:dyDescent="0.2">
      <c r="B31" s="186">
        <f>1+B30</f>
        <v>20</v>
      </c>
      <c r="C31" s="85" t="s">
        <v>316</v>
      </c>
      <c r="D31" s="125">
        <f t="shared" ref="D31:J31" si="12">D28*D30</f>
        <v>-92550000</v>
      </c>
      <c r="E31" s="125">
        <f t="shared" si="12"/>
        <v>43114439.655172415</v>
      </c>
      <c r="F31" s="125">
        <f t="shared" si="12"/>
        <v>32849875.520214051</v>
      </c>
      <c r="G31" s="125">
        <f t="shared" si="12"/>
        <v>22706312.325821191</v>
      </c>
      <c r="H31" s="125">
        <f t="shared" si="12"/>
        <v>13868778.765248114</v>
      </c>
      <c r="I31" s="125">
        <f t="shared" si="12"/>
        <v>40184444.360967264</v>
      </c>
      <c r="J31" s="125">
        <f t="shared" si="12"/>
        <v>0</v>
      </c>
      <c r="K31" s="125">
        <f>K28*K30</f>
        <v>0</v>
      </c>
      <c r="L31" s="125">
        <f>L28*L30</f>
        <v>0</v>
      </c>
      <c r="M31" s="125">
        <f>M28*M30</f>
        <v>0</v>
      </c>
      <c r="N31" s="125">
        <f>N28*N30</f>
        <v>0</v>
      </c>
      <c r="O31" s="161"/>
      <c r="P31" s="79">
        <f t="shared" si="0"/>
        <v>60173850.627423033</v>
      </c>
    </row>
    <row r="32" spans="2:16" ht="17" thickBot="1" x14ac:dyDescent="0.25">
      <c r="B32" s="188">
        <f>1+B31</f>
        <v>21</v>
      </c>
      <c r="C32" s="87" t="s">
        <v>317</v>
      </c>
      <c r="D32" s="126">
        <f>D31</f>
        <v>-92550000</v>
      </c>
      <c r="E32" s="126">
        <f t="shared" ref="E32:J32" si="13">D32+E31</f>
        <v>-49435560.344827585</v>
      </c>
      <c r="F32" s="126">
        <f t="shared" si="13"/>
        <v>-16585684.824613534</v>
      </c>
      <c r="G32" s="126">
        <f t="shared" si="13"/>
        <v>6120627.5012076572</v>
      </c>
      <c r="H32" s="126">
        <f t="shared" si="13"/>
        <v>19989406.26645577</v>
      </c>
      <c r="I32" s="126">
        <f t="shared" si="13"/>
        <v>60173850.627423033</v>
      </c>
      <c r="J32" s="126">
        <f t="shared" si="13"/>
        <v>60173850.627423033</v>
      </c>
      <c r="K32" s="126">
        <f>J32+K31</f>
        <v>60173850.627423033</v>
      </c>
      <c r="L32" s="126">
        <f>K32+L31</f>
        <v>60173850.627423033</v>
      </c>
      <c r="M32" s="126">
        <f>L32+M31</f>
        <v>60173850.627423033</v>
      </c>
      <c r="N32" s="126">
        <f>M32+N31</f>
        <v>60173850.627423033</v>
      </c>
      <c r="O32" s="157"/>
      <c r="P32" s="158"/>
    </row>
    <row r="33" spans="2:16" ht="17" thickTop="1" x14ac:dyDescent="0.2">
      <c r="L33" s="39"/>
    </row>
    <row r="34" spans="2:16" ht="16" x14ac:dyDescent="0.2">
      <c r="B34" s="206" t="s">
        <v>318</v>
      </c>
      <c r="L34" s="39"/>
    </row>
    <row r="35" spans="2:16" ht="16" x14ac:dyDescent="0.2">
      <c r="L35" s="39"/>
    </row>
    <row r="36" spans="2:16" ht="16" x14ac:dyDescent="0.2">
      <c r="C36" s="75" t="s">
        <v>319</v>
      </c>
      <c r="D36" s="105">
        <f>'Initial Inputs'!C5</f>
        <v>0.16</v>
      </c>
      <c r="L36" s="39"/>
    </row>
    <row r="37" spans="2:16" ht="16" x14ac:dyDescent="0.2">
      <c r="L37" s="39"/>
    </row>
    <row r="38" spans="2:16" ht="16" x14ac:dyDescent="0.2">
      <c r="C38" s="75" t="s">
        <v>320</v>
      </c>
      <c r="D38" s="233">
        <f>P31</f>
        <v>60173850.627423033</v>
      </c>
      <c r="L38" s="48"/>
    </row>
    <row r="39" spans="2:16" ht="16" x14ac:dyDescent="0.2">
      <c r="C39" s="75" t="s">
        <v>321</v>
      </c>
      <c r="D39" s="622">
        <f>IF(ISNUMBER(IRR(D28:N28)),IF(P31&lt;(-1000000),"Really BAD!",IRR(D28:N28)),"NMF")</f>
        <v>0.40549033935008683</v>
      </c>
      <c r="L39" s="48"/>
    </row>
    <row r="41" spans="2:16" ht="16" x14ac:dyDescent="0.2">
      <c r="B41" s="235" t="s">
        <v>322</v>
      </c>
      <c r="F41" s="3"/>
      <c r="I41" s="48"/>
      <c r="P41" s="2"/>
    </row>
    <row r="42" spans="2:16" ht="16" x14ac:dyDescent="0.2">
      <c r="B42" s="235"/>
      <c r="F42" s="3"/>
      <c r="I42" s="48"/>
      <c r="P42" s="2"/>
    </row>
    <row r="43" spans="2:16" ht="16" x14ac:dyDescent="0.2">
      <c r="B43" s="236" t="s">
        <v>323</v>
      </c>
      <c r="F43" s="3"/>
      <c r="I43" s="48"/>
      <c r="P43" s="2"/>
    </row>
    <row r="44" spans="2:16" ht="16" x14ac:dyDescent="0.2">
      <c r="B44" s="235"/>
      <c r="F44" s="3"/>
      <c r="I44" s="48"/>
      <c r="P44" s="2"/>
    </row>
    <row r="45" spans="2:16" x14ac:dyDescent="0.15">
      <c r="C45" s="11" t="s">
        <v>212</v>
      </c>
      <c r="F45" s="11" t="s">
        <v>213</v>
      </c>
      <c r="I45" s="11" t="s">
        <v>214</v>
      </c>
      <c r="L45" s="11" t="s">
        <v>215</v>
      </c>
    </row>
    <row r="46" spans="2:16" ht="28" x14ac:dyDescent="0.15">
      <c r="C46" s="117" t="s">
        <v>97</v>
      </c>
      <c r="D46" s="136">
        <f>'Initial Inputs'!H13</f>
        <v>6800000</v>
      </c>
      <c r="F46" s="117" t="s">
        <v>97</v>
      </c>
      <c r="G46" s="136">
        <f>'Initial Inputs'!H14</f>
        <v>2500000</v>
      </c>
      <c r="I46" s="117" t="s">
        <v>97</v>
      </c>
      <c r="J46" s="136">
        <f>'Initial Inputs'!H15</f>
        <v>80000</v>
      </c>
      <c r="L46" s="117" t="s">
        <v>97</v>
      </c>
      <c r="M46" s="136">
        <f>'Initial Inputs'!H16</f>
        <v>0</v>
      </c>
      <c r="O46" s="2"/>
      <c r="P46" s="2"/>
    </row>
    <row r="47" spans="2:16" ht="28" x14ac:dyDescent="0.15">
      <c r="C47" t="s">
        <v>324</v>
      </c>
      <c r="D47" s="12">
        <f>'Initial Inputs'!G13+1</f>
        <v>5</v>
      </c>
      <c r="F47" s="117" t="s">
        <v>324</v>
      </c>
      <c r="G47" s="12">
        <f>'Initial Inputs'!G14+1</f>
        <v>5</v>
      </c>
      <c r="I47" s="117" t="s">
        <v>324</v>
      </c>
      <c r="J47" s="12">
        <f>'Initial Inputs'!G15+1</f>
        <v>5</v>
      </c>
      <c r="L47" s="117" t="s">
        <v>325</v>
      </c>
      <c r="M47" s="12">
        <f>'Initial Inputs'!G16+1</f>
        <v>1</v>
      </c>
      <c r="P47" s="2"/>
    </row>
    <row r="48" spans="2:16" x14ac:dyDescent="0.15">
      <c r="C48" t="s">
        <v>326</v>
      </c>
      <c r="D48" s="135" t="str">
        <f>IF('Capital &amp; Depr'!E26=0,"SL",(IF('Capital &amp; Depr'!E26=1,"MACRS",0)))</f>
        <v>MACRS</v>
      </c>
      <c r="F48" t="s">
        <v>326</v>
      </c>
      <c r="G48" s="135" t="str">
        <f>IF('Capital &amp; Depr'!E26=0,"SL",(IF('Capital &amp; Depr'!E26=1,"MACRS",0)))</f>
        <v>MACRS</v>
      </c>
      <c r="I48" t="s">
        <v>326</v>
      </c>
      <c r="J48" s="135" t="str">
        <f>IF('Capital &amp; Depr'!E26=0,"SL",(IF('Capital &amp; Depr'!E26=1,"MACRS",0)))</f>
        <v>MACRS</v>
      </c>
      <c r="L48" t="s">
        <v>326</v>
      </c>
      <c r="M48" s="135" t="str">
        <f>IF('Capital &amp; Depr'!E26=0,"SL",(IF('Capital &amp; Depr'!E26=1,"MACRS",0)))</f>
        <v>MACRS</v>
      </c>
    </row>
    <row r="49" spans="2:16" x14ac:dyDescent="0.15">
      <c r="C49" t="s">
        <v>327</v>
      </c>
      <c r="D49" s="134">
        <f>CHOOSE((D47),'Capital Gains Wksht'!F11,'Capital Gains Wksht'!G11,'Capital Gains Wksht'!H11,'Capital Gains Wksht'!I11,'Capital Gains Wksht'!J11,'Capital Gains Wksht'!K11,'Capital Gains Wksht'!L11,'Capital Gains Wksht'!M11,'Capital Gains Wksht'!N11,'Capital Gains Wksht'!O11,'Capital Gains Wksht'!P11)</f>
        <v>10998075</v>
      </c>
      <c r="F49" t="s">
        <v>327</v>
      </c>
      <c r="G49" s="134">
        <f>CHOOSE((G47),'Capital Gains Wksht'!F12,'Capital Gains Wksht'!G12,'Capital Gains Wksht'!H12,'Capital Gains Wksht'!I12,'Capital Gains Wksht'!J12,'Capital Gains Wksht'!K12,'Capital Gains Wksht'!L12,'Capital Gains Wksht'!M12,'Capital Gains Wksht'!N12,'Capital Gains Wksht'!O12,'Capital Gains Wksht'!P12)</f>
        <v>1756800</v>
      </c>
      <c r="I49" t="s">
        <v>327</v>
      </c>
      <c r="J49" s="134">
        <f>CHOOSE((J47),'Capital Gains Wksht'!F13,'Capital Gains Wksht'!G13,'Capital Gains Wksht'!H13,'Capital Gains Wksht'!I13,'Capital Gains Wksht'!J13,'Capital Gains Wksht'!K13,'Capital Gains Wksht'!L13,'Capital Gains Wksht'!M13,'Capital Gains Wksht'!N13,'Capital Gains Wksht'!O13,'Capital Gains Wksht'!P13)</f>
        <v>92160</v>
      </c>
      <c r="L49" t="s">
        <v>327</v>
      </c>
      <c r="M49" s="134">
        <f>CHOOSE((M47),'Capital Gains Wksht'!F14,'Capital Gains Wksht'!G14,'Capital Gains Wksht'!H14,'Capital Gains Wksht'!I14,'Capital Gains Wksht'!J14,'Capital Gains Wksht'!K14,'Capital Gains Wksht'!L14,'Capital Gains Wksht'!M14,'Capital Gains Wksht'!N14,'Capital Gains Wksht'!O14,'Capital Gains Wksht'!P14)</f>
        <v>0</v>
      </c>
      <c r="P49" s="2"/>
    </row>
    <row r="50" spans="2:16" x14ac:dyDescent="0.15">
      <c r="C50" t="s">
        <v>328</v>
      </c>
      <c r="D50" s="74">
        <f>D46-D49</f>
        <v>-4198075</v>
      </c>
      <c r="F50" t="s">
        <v>328</v>
      </c>
      <c r="G50" s="74">
        <f>G46-G49</f>
        <v>743200</v>
      </c>
      <c r="I50" t="s">
        <v>328</v>
      </c>
      <c r="J50" s="74">
        <f>J46-J49</f>
        <v>-12160</v>
      </c>
      <c r="L50" t="s">
        <v>328</v>
      </c>
      <c r="M50" s="74">
        <f>M46-M49</f>
        <v>0</v>
      </c>
    </row>
    <row r="51" spans="2:16" x14ac:dyDescent="0.15">
      <c r="C51" t="s">
        <v>329</v>
      </c>
      <c r="D51" s="136">
        <f>D50*G4</f>
        <v>-755653.5</v>
      </c>
      <c r="F51" t="s">
        <v>329</v>
      </c>
      <c r="G51" s="136">
        <f>G50*G4</f>
        <v>133776</v>
      </c>
      <c r="I51" t="s">
        <v>329</v>
      </c>
      <c r="J51" s="136">
        <f>J50*G4</f>
        <v>-2188.7999999999997</v>
      </c>
      <c r="L51" t="s">
        <v>329</v>
      </c>
      <c r="M51" s="136">
        <f>M50*G4</f>
        <v>0</v>
      </c>
    </row>
    <row r="52" spans="2:16" x14ac:dyDescent="0.15">
      <c r="C52" s="1" t="s">
        <v>330</v>
      </c>
      <c r="D52" s="234">
        <f>D50-D51</f>
        <v>-3442421.5</v>
      </c>
      <c r="F52" s="1" t="s">
        <v>330</v>
      </c>
      <c r="G52" s="234">
        <f>G50-G51</f>
        <v>609424</v>
      </c>
      <c r="I52" s="1" t="s">
        <v>330</v>
      </c>
      <c r="J52" s="234">
        <f>J50-J51</f>
        <v>-9971.2000000000007</v>
      </c>
      <c r="L52" s="1" t="s">
        <v>330</v>
      </c>
      <c r="M52" s="234">
        <f>M50-M51</f>
        <v>0</v>
      </c>
    </row>
    <row r="54" spans="2:16" ht="16" x14ac:dyDescent="0.2">
      <c r="B54" s="236" t="s">
        <v>331</v>
      </c>
    </row>
    <row r="56" spans="2:16" x14ac:dyDescent="0.15">
      <c r="C56" s="11" t="s">
        <v>219</v>
      </c>
      <c r="F56" s="11" t="s">
        <v>220</v>
      </c>
    </row>
    <row r="57" spans="2:16" ht="28" x14ac:dyDescent="0.15">
      <c r="C57" s="117" t="s">
        <v>111</v>
      </c>
      <c r="D57" s="136">
        <f>'Initial Inputs'!F27</f>
        <v>1800000</v>
      </c>
      <c r="F57" s="117" t="s">
        <v>111</v>
      </c>
      <c r="G57" s="136">
        <f>'Initial Inputs'!F28</f>
        <v>0</v>
      </c>
    </row>
    <row r="58" spans="2:16" ht="28" x14ac:dyDescent="0.15">
      <c r="C58" s="117" t="s">
        <v>324</v>
      </c>
      <c r="D58" s="12">
        <f>'Initial Inputs'!E27+1</f>
        <v>5</v>
      </c>
      <c r="F58" s="117" t="s">
        <v>324</v>
      </c>
      <c r="G58" s="12">
        <f>'Initial Inputs'!E28+1</f>
        <v>1</v>
      </c>
    </row>
    <row r="59" spans="2:16" x14ac:dyDescent="0.15">
      <c r="C59" t="s">
        <v>332</v>
      </c>
      <c r="D59" s="134">
        <f>'Initial Inputs'!D27</f>
        <v>1500000</v>
      </c>
      <c r="F59" t="s">
        <v>332</v>
      </c>
      <c r="G59" s="134">
        <f>'Initial Inputs'!D28</f>
        <v>0</v>
      </c>
    </row>
    <row r="60" spans="2:16" x14ac:dyDescent="0.15">
      <c r="C60" t="s">
        <v>328</v>
      </c>
      <c r="D60" s="74">
        <f>D57-D59</f>
        <v>300000</v>
      </c>
      <c r="F60" t="s">
        <v>328</v>
      </c>
      <c r="G60" s="74">
        <f>G57-G59</f>
        <v>0</v>
      </c>
    </row>
    <row r="61" spans="2:16" x14ac:dyDescent="0.15">
      <c r="C61" t="s">
        <v>329</v>
      </c>
      <c r="D61" s="136">
        <f>D60*G4</f>
        <v>54000</v>
      </c>
      <c r="F61" t="s">
        <v>329</v>
      </c>
      <c r="G61" s="136">
        <f>G60*G4</f>
        <v>0</v>
      </c>
    </row>
    <row r="62" spans="2:16" x14ac:dyDescent="0.15">
      <c r="C62" s="1" t="s">
        <v>330</v>
      </c>
      <c r="D62" s="234">
        <f>D60-D61</f>
        <v>246000</v>
      </c>
      <c r="F62" s="1" t="s">
        <v>330</v>
      </c>
      <c r="G62" s="234">
        <f>G60-G61</f>
        <v>0</v>
      </c>
    </row>
    <row r="65" spans="1:20" ht="14" thickBot="1" x14ac:dyDescent="0.2">
      <c r="A65" s="138"/>
      <c r="B65" s="138"/>
      <c r="C65" s="138"/>
      <c r="D65" s="138"/>
      <c r="E65" s="138"/>
      <c r="F65" s="138"/>
      <c r="G65" s="138"/>
      <c r="H65" s="138"/>
      <c r="I65" s="138"/>
      <c r="J65" s="138"/>
      <c r="K65" s="138"/>
      <c r="L65" s="138"/>
      <c r="M65" s="138"/>
      <c r="N65" s="138"/>
      <c r="O65" s="138"/>
      <c r="P65" s="138"/>
      <c r="Q65" s="138"/>
      <c r="R65" s="138"/>
      <c r="S65" s="138"/>
      <c r="T65" s="138"/>
    </row>
    <row r="66" spans="1:20" ht="14" thickTop="1" x14ac:dyDescent="0.15"/>
    <row r="67" spans="1:20" ht="16" x14ac:dyDescent="0.2">
      <c r="A67" s="205" t="s">
        <v>333</v>
      </c>
    </row>
  </sheetData>
  <sheetProtection password="AA36" sheet="1" objects="1" scenarios="1"/>
  <phoneticPr fontId="0" type="noConversion"/>
  <printOptions horizontalCentered="1" headings="1"/>
  <pageMargins left="0.5" right="0.5" top="0.5" bottom="0.5" header="0" footer="0"/>
  <pageSetup scale="37" orientation="landscape"/>
  <headerFooter alignWithMargins="0">
    <oddHeader>&amp;LEngineering Economics Model for Senior Design&amp;R&amp;"Times New Roman,Bold"&amp;14After Tax Analysis</oddHeader>
    <oddFooter>&amp;LJ:/EM355/Spring01/Labs/EEworkingfolder/&amp;F&amp;CPage &amp;P of &amp;N&amp;R&amp;T&amp;D</oddFooter>
  </headerFooter>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D135"/>
  <sheetViews>
    <sheetView topLeftCell="A77" zoomScale="110" zoomScaleNormal="110" workbookViewId="0">
      <selection activeCell="K58" sqref="K58"/>
    </sheetView>
  </sheetViews>
  <sheetFormatPr baseColWidth="10" defaultColWidth="8.83203125" defaultRowHeight="13" x14ac:dyDescent="0.15"/>
  <cols>
    <col min="1" max="1" width="12.6640625" customWidth="1"/>
    <col min="2" max="2" width="27.33203125" customWidth="1"/>
    <col min="3" max="3" width="17.33203125" customWidth="1"/>
    <col min="4" max="4" width="17.6640625" customWidth="1"/>
    <col min="5" max="5" width="17.83203125" bestFit="1" customWidth="1"/>
    <col min="6" max="9" width="19.33203125" bestFit="1" customWidth="1"/>
    <col min="10" max="10" width="19.1640625" customWidth="1"/>
    <col min="11" max="11" width="19.33203125" bestFit="1" customWidth="1"/>
    <col min="12" max="22" width="20.6640625" customWidth="1"/>
    <col min="23" max="23" width="12.83203125" customWidth="1"/>
    <col min="24" max="24" width="14.83203125" bestFit="1" customWidth="1"/>
    <col min="25" max="25" width="11.33203125" bestFit="1" customWidth="1"/>
    <col min="26" max="26" width="13.83203125" bestFit="1" customWidth="1"/>
    <col min="27" max="27" width="15.83203125" bestFit="1" customWidth="1"/>
    <col min="28" max="28" width="13.6640625" customWidth="1"/>
    <col min="29" max="29" width="17.6640625" bestFit="1" customWidth="1"/>
    <col min="30" max="30" width="14.83203125" bestFit="1" customWidth="1"/>
    <col min="31" max="31" width="11.5" customWidth="1"/>
    <col min="32" max="32" width="13.83203125" customWidth="1"/>
  </cols>
  <sheetData>
    <row r="1" spans="1:22" ht="16" x14ac:dyDescent="0.2">
      <c r="A1" s="215" t="s">
        <v>334</v>
      </c>
    </row>
    <row r="5" spans="1:22" ht="16" x14ac:dyDescent="0.2">
      <c r="A5" s="206" t="s">
        <v>335</v>
      </c>
      <c r="Q5" s="1"/>
    </row>
    <row r="6" spans="1:22" x14ac:dyDescent="0.15">
      <c r="Q6" s="1"/>
    </row>
    <row r="7" spans="1:22" ht="16" x14ac:dyDescent="0.2">
      <c r="J7" s="206" t="s">
        <v>336</v>
      </c>
      <c r="L7" s="721"/>
    </row>
    <row r="9" spans="1:22" ht="28" x14ac:dyDescent="0.15">
      <c r="L9" s="52" t="s">
        <v>88</v>
      </c>
      <c r="M9" s="76">
        <f>'Initial Inputs'!C7</f>
        <v>5</v>
      </c>
      <c r="O9" s="23" t="s">
        <v>337</v>
      </c>
      <c r="P9" s="92">
        <f>'After Tax Analysis'!$D$27</f>
        <v>-92550000</v>
      </c>
    </row>
    <row r="10" spans="1:22" x14ac:dyDescent="0.15">
      <c r="S10" s="3"/>
    </row>
    <row r="11" spans="1:22" x14ac:dyDescent="0.15">
      <c r="O11" s="1"/>
      <c r="P11" s="247"/>
    </row>
    <row r="13" spans="1:22" x14ac:dyDescent="0.15">
      <c r="O13" s="1"/>
      <c r="P13" s="143"/>
    </row>
    <row r="14" spans="1:22" x14ac:dyDescent="0.15">
      <c r="K14" s="28" t="s">
        <v>338</v>
      </c>
      <c r="L14" s="26">
        <v>0</v>
      </c>
      <c r="M14" s="26">
        <v>1</v>
      </c>
      <c r="N14" s="26">
        <v>2</v>
      </c>
      <c r="O14" s="26">
        <v>3</v>
      </c>
      <c r="P14" s="26">
        <v>4</v>
      </c>
      <c r="Q14" s="26">
        <v>5</v>
      </c>
      <c r="R14" s="26">
        <v>6</v>
      </c>
      <c r="S14" s="26">
        <v>7</v>
      </c>
      <c r="T14" s="26">
        <v>8</v>
      </c>
      <c r="U14" s="26">
        <v>9</v>
      </c>
      <c r="V14" s="26">
        <v>10</v>
      </c>
    </row>
    <row r="15" spans="1:22" x14ac:dyDescent="0.15">
      <c r="K15" s="28" t="s">
        <v>339</v>
      </c>
      <c r="L15" s="240">
        <f>'After Tax Analysis'!D28</f>
        <v>-92550000</v>
      </c>
      <c r="M15" s="240">
        <f>'After Tax Analysis'!E28</f>
        <v>50012750</v>
      </c>
      <c r="N15" s="240">
        <f>'After Tax Analysis'!F28</f>
        <v>44202792.500000022</v>
      </c>
      <c r="O15" s="240">
        <f>'After Tax Analysis'!G28</f>
        <v>35442192.08412499</v>
      </c>
      <c r="P15" s="240">
        <f>'After Tax Analysis'!H28</f>
        <v>25111356.707490433</v>
      </c>
      <c r="Q15" s="240">
        <f>'After Tax Analysis'!I28</f>
        <v>84401062.478848949</v>
      </c>
      <c r="R15" s="240">
        <f>'After Tax Analysis'!J28</f>
        <v>0</v>
      </c>
      <c r="S15" s="240">
        <f>'After Tax Analysis'!K28</f>
        <v>0</v>
      </c>
      <c r="T15" s="240">
        <f>'After Tax Analysis'!L28</f>
        <v>0</v>
      </c>
      <c r="U15" s="240">
        <f>'After Tax Analysis'!M28</f>
        <v>0</v>
      </c>
      <c r="V15" s="240">
        <f>'After Tax Analysis'!N28</f>
        <v>0</v>
      </c>
    </row>
    <row r="16" spans="1:22" x14ac:dyDescent="0.15">
      <c r="K16" s="28" t="s">
        <v>340</v>
      </c>
      <c r="L16" s="260">
        <f>'After Tax Analysis'!D30</f>
        <v>1</v>
      </c>
      <c r="M16" s="260">
        <f>'After Tax Analysis'!E30</f>
        <v>0.86206896551724144</v>
      </c>
      <c r="N16" s="260">
        <f>'After Tax Analysis'!F30</f>
        <v>0.74316290130796681</v>
      </c>
      <c r="O16" s="260">
        <f>'After Tax Analysis'!G30</f>
        <v>0.64065767354135073</v>
      </c>
      <c r="P16" s="260">
        <f>'After Tax Analysis'!H30</f>
        <v>0.5522910978804747</v>
      </c>
      <c r="Q16" s="260">
        <f>'After Tax Analysis'!I30</f>
        <v>0.47611301541420237</v>
      </c>
      <c r="R16" s="260">
        <f>'After Tax Analysis'!J30</f>
        <v>0.41044225466741585</v>
      </c>
      <c r="S16" s="260">
        <f>'After Tax Analysis'!K30</f>
        <v>0.35382952988570338</v>
      </c>
      <c r="T16" s="260">
        <f>'After Tax Analysis'!L30</f>
        <v>0.30502545679802012</v>
      </c>
      <c r="U16" s="260">
        <f>'After Tax Analysis'!M30</f>
        <v>0.26295297999829326</v>
      </c>
      <c r="V16" s="260">
        <f>'After Tax Analysis'!N30</f>
        <v>0.22668360344680452</v>
      </c>
    </row>
    <row r="17" spans="11:22" x14ac:dyDescent="0.15">
      <c r="K17" s="28" t="s">
        <v>341</v>
      </c>
      <c r="L17" s="261">
        <f>L15*L16</f>
        <v>-92550000</v>
      </c>
      <c r="M17" s="261">
        <f t="shared" ref="M17:V17" si="0">M15*M16</f>
        <v>43114439.655172415</v>
      </c>
      <c r="N17" s="261">
        <f t="shared" si="0"/>
        <v>32849875.520214051</v>
      </c>
      <c r="O17" s="261">
        <f t="shared" si="0"/>
        <v>22706312.325821191</v>
      </c>
      <c r="P17" s="261">
        <f t="shared" si="0"/>
        <v>13868778.765248114</v>
      </c>
      <c r="Q17" s="261">
        <f t="shared" si="0"/>
        <v>40184444.360967264</v>
      </c>
      <c r="R17" s="261">
        <f t="shared" si="0"/>
        <v>0</v>
      </c>
      <c r="S17" s="261">
        <f t="shared" si="0"/>
        <v>0</v>
      </c>
      <c r="T17" s="261">
        <f t="shared" si="0"/>
        <v>0</v>
      </c>
      <c r="U17" s="261">
        <f t="shared" si="0"/>
        <v>0</v>
      </c>
      <c r="V17" s="261">
        <f t="shared" si="0"/>
        <v>0</v>
      </c>
    </row>
    <row r="18" spans="11:22" x14ac:dyDescent="0.15">
      <c r="K18" s="28" t="s">
        <v>317</v>
      </c>
      <c r="L18" s="261">
        <f>L17</f>
        <v>-92550000</v>
      </c>
      <c r="M18" s="261">
        <f>L18+M17</f>
        <v>-49435560.344827585</v>
      </c>
      <c r="N18" s="261">
        <f t="shared" ref="N18:V18" si="1">M18+N17</f>
        <v>-16585684.824613534</v>
      </c>
      <c r="O18" s="261">
        <f t="shared" si="1"/>
        <v>6120627.5012076572</v>
      </c>
      <c r="P18" s="261">
        <f t="shared" si="1"/>
        <v>19989406.26645577</v>
      </c>
      <c r="Q18" s="261">
        <f t="shared" si="1"/>
        <v>60173850.627423033</v>
      </c>
      <c r="R18" s="261">
        <f t="shared" si="1"/>
        <v>60173850.627423033</v>
      </c>
      <c r="S18" s="261">
        <f t="shared" si="1"/>
        <v>60173850.627423033</v>
      </c>
      <c r="T18" s="261">
        <f t="shared" si="1"/>
        <v>60173850.627423033</v>
      </c>
      <c r="U18" s="261">
        <f t="shared" si="1"/>
        <v>60173850.627423033</v>
      </c>
      <c r="V18" s="261">
        <f t="shared" si="1"/>
        <v>60173850.627423033</v>
      </c>
    </row>
    <row r="20" spans="11:22" x14ac:dyDescent="0.15">
      <c r="K20" s="114" t="s">
        <v>342</v>
      </c>
      <c r="R20" s="2">
        <f>R18-Q18</f>
        <v>0</v>
      </c>
      <c r="S20" s="90" t="e">
        <f>-Q18/R20</f>
        <v>#DIV/0!</v>
      </c>
      <c r="T20" s="672"/>
    </row>
    <row r="21" spans="11:22" x14ac:dyDescent="0.15">
      <c r="K21" s="671" t="s">
        <v>343</v>
      </c>
      <c r="L21" s="12">
        <v>0</v>
      </c>
      <c r="M21" s="12">
        <f>IF(L21&lt;1,IF(M18&gt;0,1,0),"N/A")</f>
        <v>0</v>
      </c>
      <c r="N21" s="12">
        <f t="shared" ref="N21:V21" si="2">IF(M21&lt;1,IF(N18&gt;0,1,0),"N/A")</f>
        <v>0</v>
      </c>
      <c r="O21" s="12">
        <f t="shared" si="2"/>
        <v>1</v>
      </c>
      <c r="P21" s="12" t="str">
        <f t="shared" si="2"/>
        <v>N/A</v>
      </c>
      <c r="Q21" s="12" t="str">
        <f t="shared" si="2"/>
        <v>N/A</v>
      </c>
      <c r="R21" s="12" t="str">
        <f t="shared" si="2"/>
        <v>N/A</v>
      </c>
      <c r="S21" s="12" t="str">
        <f t="shared" si="2"/>
        <v>N/A</v>
      </c>
      <c r="T21" s="12" t="str">
        <f t="shared" si="2"/>
        <v>N/A</v>
      </c>
      <c r="U21" s="12" t="str">
        <f t="shared" si="2"/>
        <v>N/A</v>
      </c>
      <c r="V21" s="12" t="str">
        <f t="shared" si="2"/>
        <v>N/A</v>
      </c>
    </row>
    <row r="22" spans="11:22" x14ac:dyDescent="0.15">
      <c r="K22" s="32" t="s">
        <v>344</v>
      </c>
      <c r="L22" s="673">
        <f>IF(L21&gt;0,IF(ISNUMBER((-K18/(L18-K18))*Revenues!C27+B93),((-K18/(L18-K18))*Revenues!C27+B93),0),0)</f>
        <v>0</v>
      </c>
      <c r="M22" s="673">
        <f>IF(M21&gt;0,IF(ISNUMBER((-L18/(M18-L18))*Revenues!D27+C93),((-L18/(M18-L18))*Revenues!D27+C93),0),0)</f>
        <v>0</v>
      </c>
      <c r="N22" s="673">
        <f>IF(N21&gt;0,IF(ISNUMBER((-M18/(N18-M18))*Revenues!E27+D93),((-M18/(N18-M18))*Revenues!E27+D93),0),0)</f>
        <v>0</v>
      </c>
      <c r="O22" s="673">
        <f>IF(O21&gt;0,IF(ISNUMBER((-N18/(O18-N18))*Revenues!F27+E93),((-N18/(O18-N18))*Revenues!F27+E93),0),0)</f>
        <v>852798863.82301712</v>
      </c>
      <c r="P22" s="673">
        <f>IF(P21&gt;0,IF(ISNUMBER((-O18/(P18-O18))*Revenues!G27+F93),((-O18/(P18-O18))*Revenues!G27+F93),0),0)</f>
        <v>790020236.59314251</v>
      </c>
      <c r="Q22" s="673">
        <f>IF(Q21&gt;0,IF(ISNUMBER((-P18/(Q18-P18))*Revenues!H27+G93),((-P18/(Q18-P18))*Revenues!H27+G93),0),0)</f>
        <v>1105494900.786407</v>
      </c>
      <c r="R22" s="673">
        <f>IF(R21&gt;0,IF(ISNUMBER((-Q18/(R18-Q18))*Revenues!I27+H93),((-Q18/(R18-Q18))*Revenues!I27+H93),0),0)</f>
        <v>0</v>
      </c>
      <c r="S22" s="673">
        <f>IF(S21&gt;0,IF(ISNUMBER((-R18/(S18-R18))*Revenues!J27+I93),((-R18/(S18-R18))*Revenues!J27+I93),0),0)</f>
        <v>0</v>
      </c>
      <c r="T22" s="673">
        <f>IF(T21&gt;0,IF(ISNUMBER((-S18/(T18-S18))*Revenues!K27+J93),((-S18/(T18-S18))*Revenues!K27+J93),0),0)</f>
        <v>0</v>
      </c>
      <c r="U22" s="673">
        <f>IF(U21&gt;0,IF(ISNUMBER((-T18/(U18-T18))*Revenues!L27+K93),((-T18/(U18-T18))*Revenues!L27+K93),0),0)</f>
        <v>0</v>
      </c>
      <c r="V22" s="673">
        <f>IF(V21&gt;0,IF(ISNUMBER((-U18/(V18-U18))*Revenues!M27+L93),((-U18/(V18-U18))*Revenues!M27+L93),0),0)</f>
        <v>0</v>
      </c>
    </row>
    <row r="40" spans="1:18" ht="16" x14ac:dyDescent="0.2">
      <c r="A40" s="206" t="s">
        <v>345</v>
      </c>
    </row>
    <row r="41" spans="1:18" ht="14" thickBot="1" x14ac:dyDescent="0.2"/>
    <row r="42" spans="1:18" ht="17" thickTop="1" x14ac:dyDescent="0.2">
      <c r="J42" s="668" t="s">
        <v>346</v>
      </c>
      <c r="K42" s="669"/>
    </row>
    <row r="43" spans="1:18" ht="16" x14ac:dyDescent="0.15">
      <c r="J43" s="670" t="s">
        <v>347</v>
      </c>
      <c r="K43" s="656"/>
    </row>
    <row r="44" spans="1:18" ht="14" thickBot="1" x14ac:dyDescent="0.2">
      <c r="J44" s="663"/>
      <c r="K44" s="662"/>
    </row>
    <row r="45" spans="1:18" ht="29" thickBot="1" x14ac:dyDescent="0.2">
      <c r="J45" s="664" t="s">
        <v>348</v>
      </c>
      <c r="K45" s="665">
        <f>N124</f>
        <v>156396739.13043478</v>
      </c>
    </row>
    <row r="46" spans="1:18" ht="14" thickBot="1" x14ac:dyDescent="0.2">
      <c r="J46" s="663"/>
      <c r="K46" s="662"/>
      <c r="N46" s="264" t="s">
        <v>349</v>
      </c>
    </row>
    <row r="47" spans="1:18" ht="29" thickBot="1" x14ac:dyDescent="0.2">
      <c r="J47" s="666" t="s">
        <v>350</v>
      </c>
      <c r="K47" s="667">
        <f>N125</f>
        <v>781983.69565217395</v>
      </c>
    </row>
    <row r="48" spans="1:18" ht="29" thickTop="1" x14ac:dyDescent="0.15">
      <c r="M48" s="22"/>
      <c r="N48" s="12"/>
      <c r="O48" s="27" t="s">
        <v>351</v>
      </c>
      <c r="P48" s="27" t="s">
        <v>352</v>
      </c>
      <c r="Q48" s="27" t="s">
        <v>353</v>
      </c>
      <c r="R48" s="27" t="s">
        <v>354</v>
      </c>
    </row>
    <row r="49" spans="10:18" x14ac:dyDescent="0.15">
      <c r="J49" s="1" t="s">
        <v>355</v>
      </c>
      <c r="K49" s="1"/>
      <c r="L49" s="22"/>
      <c r="N49" s="28" t="s">
        <v>132</v>
      </c>
      <c r="O49" s="197">
        <f>Revenues!P9</f>
        <v>1</v>
      </c>
      <c r="P49" s="197">
        <f>Revenues!P7</f>
        <v>1</v>
      </c>
      <c r="Q49" s="12">
        <f>O49*P49</f>
        <v>1</v>
      </c>
      <c r="R49" s="197">
        <f>Q49/Q52</f>
        <v>1</v>
      </c>
    </row>
    <row r="50" spans="10:18" ht="14" x14ac:dyDescent="0.15">
      <c r="J50" s="262" t="s">
        <v>132</v>
      </c>
      <c r="K50" s="263">
        <f>IF(Revenues!O9&gt;0,K45*Revenues!P9/Revenues!O8,0)</f>
        <v>864188.55136508867</v>
      </c>
      <c r="M50" s="181"/>
      <c r="N50" s="23" t="s">
        <v>140</v>
      </c>
      <c r="O50" s="197">
        <f>Revenues!P16</f>
        <v>0</v>
      </c>
      <c r="P50" s="197">
        <f>Revenues!P14</f>
        <v>0</v>
      </c>
      <c r="Q50" s="12">
        <f>O50*P50</f>
        <v>0</v>
      </c>
      <c r="R50" s="197">
        <f>Q50/Q52</f>
        <v>0</v>
      </c>
    </row>
    <row r="51" spans="10:18" ht="14" thickBot="1" x14ac:dyDescent="0.2">
      <c r="J51" s="262" t="s">
        <v>140</v>
      </c>
      <c r="K51" s="263">
        <f>IF(Revenues!O16&gt;0,K45*Revenues!P16/Revenues!O15,0)</f>
        <v>0</v>
      </c>
      <c r="L51" s="181"/>
      <c r="N51" s="199" t="s">
        <v>141</v>
      </c>
      <c r="O51" s="200">
        <f>Revenues!P23</f>
        <v>0</v>
      </c>
      <c r="P51" s="200">
        <f>Revenues!P21</f>
        <v>0</v>
      </c>
      <c r="Q51" s="201">
        <f>O51*P51</f>
        <v>0</v>
      </c>
      <c r="R51" s="200">
        <f>Q51/Q52</f>
        <v>0</v>
      </c>
    </row>
    <row r="52" spans="10:18" x14ac:dyDescent="0.15">
      <c r="J52" s="262" t="s">
        <v>141</v>
      </c>
      <c r="K52" s="263">
        <f>IF(Revenues!O23&gt;0,K45*Revenues!P23/Revenues!O22,0)</f>
        <v>0</v>
      </c>
      <c r="N52" s="32" t="s">
        <v>160</v>
      </c>
      <c r="O52" s="198">
        <f>SUM(O49:O51)</f>
        <v>1</v>
      </c>
      <c r="P52" s="198">
        <f>SUM(P49:P51)</f>
        <v>1</v>
      </c>
      <c r="Q52" s="72">
        <f>SUM(Q49:Q51)</f>
        <v>1</v>
      </c>
      <c r="R52" s="198">
        <f>SUM(R49:R51)</f>
        <v>1</v>
      </c>
    </row>
    <row r="54" spans="10:18" x14ac:dyDescent="0.15">
      <c r="N54" s="239" t="s">
        <v>356</v>
      </c>
      <c r="O54" s="258">
        <f>N92</f>
        <v>1641212917.6875</v>
      </c>
    </row>
    <row r="56" spans="10:18" ht="14" x14ac:dyDescent="0.15">
      <c r="N56" s="26"/>
      <c r="O56" s="26" t="s">
        <v>357</v>
      </c>
      <c r="P56" s="26" t="s">
        <v>358</v>
      </c>
      <c r="Q56" s="27" t="s">
        <v>354</v>
      </c>
      <c r="R56" s="27" t="s">
        <v>359</v>
      </c>
    </row>
    <row r="57" spans="10:18" ht="14" x14ac:dyDescent="0.15">
      <c r="N57" s="255" t="s">
        <v>132</v>
      </c>
      <c r="O57" s="63">
        <f>Expenses!N18+Expenses!N39+Expenses!N37*Expenses!O55</f>
        <v>1051580204.5131462</v>
      </c>
      <c r="P57" s="18">
        <f>O57/O54</f>
        <v>0.64073356551131866</v>
      </c>
      <c r="Q57" s="102">
        <f>R49</f>
        <v>1</v>
      </c>
      <c r="R57" s="18">
        <f>P57*Q57</f>
        <v>0.64073356551131866</v>
      </c>
    </row>
    <row r="58" spans="10:18" ht="14" x14ac:dyDescent="0.15">
      <c r="N58" s="256" t="s">
        <v>140</v>
      </c>
      <c r="O58" s="62">
        <f>Expenses!N25+Expenses!N44+Expenses!N42*Expenses!O55</f>
        <v>0</v>
      </c>
      <c r="P58" s="18">
        <f>O58/O54</f>
        <v>0</v>
      </c>
      <c r="Q58" s="102">
        <f>R50</f>
        <v>0</v>
      </c>
      <c r="R58" s="18">
        <f>P58*Q58</f>
        <v>0</v>
      </c>
    </row>
    <row r="59" spans="10:18" ht="14" x14ac:dyDescent="0.15">
      <c r="N59" s="257" t="s">
        <v>141</v>
      </c>
      <c r="O59" s="62">
        <f>Expenses!N32+Expenses!N49+Expenses!N47*Expenses!O55</f>
        <v>0</v>
      </c>
      <c r="P59" s="19">
        <f>O59/O54</f>
        <v>0</v>
      </c>
      <c r="Q59" s="102">
        <f>R51</f>
        <v>0</v>
      </c>
      <c r="R59" s="18">
        <f>P59*Q59</f>
        <v>0</v>
      </c>
    </row>
    <row r="61" spans="10:18" x14ac:dyDescent="0.15">
      <c r="Q61" s="28" t="s">
        <v>360</v>
      </c>
      <c r="R61" s="259">
        <f>SUM(R57:R59)</f>
        <v>0.64073356551131866</v>
      </c>
    </row>
    <row r="71" spans="1:30" x14ac:dyDescent="0.15">
      <c r="AD71" s="66"/>
    </row>
    <row r="72" spans="1:30" x14ac:dyDescent="0.15">
      <c r="AD72" s="181"/>
    </row>
    <row r="73" spans="1:30" x14ac:dyDescent="0.15">
      <c r="A73" s="264" t="s">
        <v>361</v>
      </c>
      <c r="J73" s="1"/>
      <c r="K73" s="66"/>
      <c r="L73" s="66"/>
      <c r="M73" s="66"/>
      <c r="AD73" s="247"/>
    </row>
    <row r="74" spans="1:30" x14ac:dyDescent="0.15">
      <c r="J74" s="1"/>
      <c r="K74" s="181"/>
      <c r="L74" s="181"/>
      <c r="M74" s="181"/>
    </row>
    <row r="75" spans="1:30" x14ac:dyDescent="0.15">
      <c r="B75" s="28" t="s">
        <v>362</v>
      </c>
      <c r="C75" s="233">
        <v>0</v>
      </c>
      <c r="D75" s="266">
        <f>M106/10</f>
        <v>142804559.98725513</v>
      </c>
      <c r="E75" s="239">
        <f t="shared" ref="E75:M75" si="3">D75+$D$75</f>
        <v>285609119.97451025</v>
      </c>
      <c r="F75" s="239">
        <f t="shared" si="3"/>
        <v>428413679.96176541</v>
      </c>
      <c r="G75" s="239">
        <f t="shared" si="3"/>
        <v>571218239.9490205</v>
      </c>
      <c r="H75" s="239">
        <f t="shared" si="3"/>
        <v>714022799.9362756</v>
      </c>
      <c r="I75" s="239">
        <f t="shared" si="3"/>
        <v>856827359.9235307</v>
      </c>
      <c r="J75" s="239">
        <f t="shared" si="3"/>
        <v>999631919.91078579</v>
      </c>
      <c r="K75" s="239">
        <f t="shared" si="3"/>
        <v>1142436479.898041</v>
      </c>
      <c r="L75" s="239">
        <f t="shared" si="3"/>
        <v>1285241039.8852961</v>
      </c>
      <c r="M75" s="239">
        <f t="shared" si="3"/>
        <v>1428045599.8725512</v>
      </c>
      <c r="N75" s="28" t="s">
        <v>362</v>
      </c>
    </row>
    <row r="76" spans="1:30" x14ac:dyDescent="0.15">
      <c r="B76" s="28" t="s">
        <v>166</v>
      </c>
      <c r="C76" s="299">
        <f>C81+C80+C79</f>
        <v>0</v>
      </c>
      <c r="D76" s="319">
        <f>SUM(D79:D81)</f>
        <v>789083.36906430637</v>
      </c>
      <c r="E76" s="319">
        <f t="shared" ref="E76:M76" si="4">SUM(E79:E81)</f>
        <v>1578166.7381286127</v>
      </c>
      <c r="F76" s="319">
        <f t="shared" si="4"/>
        <v>2367250.1071929191</v>
      </c>
      <c r="G76" s="319">
        <f t="shared" si="4"/>
        <v>3156333.4762572255</v>
      </c>
      <c r="H76" s="319">
        <f t="shared" si="4"/>
        <v>3945416.8453215319</v>
      </c>
      <c r="I76" s="319">
        <f t="shared" si="4"/>
        <v>4734500.2143858382</v>
      </c>
      <c r="J76" s="319">
        <f t="shared" si="4"/>
        <v>5523583.5834501442</v>
      </c>
      <c r="K76" s="319">
        <f t="shared" si="4"/>
        <v>6312666.952514451</v>
      </c>
      <c r="L76" s="319">
        <f t="shared" si="4"/>
        <v>7101750.3215787569</v>
      </c>
      <c r="M76" s="319">
        <f t="shared" si="4"/>
        <v>7890833.6906430637</v>
      </c>
      <c r="N76" s="28" t="s">
        <v>166</v>
      </c>
    </row>
    <row r="77" spans="1:30" x14ac:dyDescent="0.15">
      <c r="B77" s="28" t="s">
        <v>363</v>
      </c>
      <c r="C77" s="299">
        <f>C76</f>
        <v>0</v>
      </c>
      <c r="D77" s="319">
        <f>D76+C77</f>
        <v>789083.36906430637</v>
      </c>
      <c r="E77" s="319">
        <f t="shared" ref="E77:M77" si="5">E76+D77</f>
        <v>2367250.1071929191</v>
      </c>
      <c r="F77" s="319">
        <f t="shared" si="5"/>
        <v>4734500.2143858382</v>
      </c>
      <c r="G77" s="319">
        <f t="shared" si="5"/>
        <v>7890833.6906430637</v>
      </c>
      <c r="H77" s="319">
        <f t="shared" si="5"/>
        <v>11836250.535964595</v>
      </c>
      <c r="I77" s="319">
        <f t="shared" si="5"/>
        <v>16570750.750350434</v>
      </c>
      <c r="J77" s="319">
        <f t="shared" si="5"/>
        <v>22094334.333800577</v>
      </c>
      <c r="K77" s="319">
        <f t="shared" si="5"/>
        <v>28407001.286315028</v>
      </c>
      <c r="L77" s="319">
        <f t="shared" si="5"/>
        <v>35508751.607893787</v>
      </c>
      <c r="M77" s="319">
        <f t="shared" si="5"/>
        <v>43399585.298536852</v>
      </c>
      <c r="N77" s="28"/>
    </row>
    <row r="78" spans="1:30" x14ac:dyDescent="0.15">
      <c r="B78" s="265" t="s">
        <v>364</v>
      </c>
      <c r="C78" s="12"/>
      <c r="D78" s="193"/>
      <c r="E78" s="193"/>
      <c r="F78" s="193"/>
      <c r="G78" s="193"/>
      <c r="H78" s="193"/>
      <c r="I78" s="193"/>
      <c r="J78" s="193"/>
      <c r="K78" s="193"/>
      <c r="L78" s="193"/>
      <c r="M78" s="193"/>
      <c r="N78" s="265" t="s">
        <v>364</v>
      </c>
    </row>
    <row r="79" spans="1:30" x14ac:dyDescent="0.15">
      <c r="B79" s="262" t="s">
        <v>132</v>
      </c>
      <c r="C79" s="289">
        <v>0</v>
      </c>
      <c r="D79" s="289">
        <f>IF(Revenues!$O$8&gt;0,D$75*$O49/Revenues!$O$8,0)</f>
        <v>789083.36906430637</v>
      </c>
      <c r="E79" s="289">
        <f>IF(Revenues!$O$8&gt;0,E$75*$O49/Revenues!$O$8,0)</f>
        <v>1578166.7381286127</v>
      </c>
      <c r="F79" s="289">
        <f>IF(Revenues!$O$8&gt;0,F$75*$O49/Revenues!$O$8,0)</f>
        <v>2367250.1071929191</v>
      </c>
      <c r="G79" s="289">
        <f>IF(Revenues!$O$8&gt;0,G$75*$O49/Revenues!$O$8,0)</f>
        <v>3156333.4762572255</v>
      </c>
      <c r="H79" s="289">
        <f>IF(Revenues!$O$8&gt;0,H$75*$O49/Revenues!$O$8,0)</f>
        <v>3945416.8453215319</v>
      </c>
      <c r="I79" s="289">
        <f>IF(Revenues!$O$8&gt;0,I$75*$O49/Revenues!$O$8,0)</f>
        <v>4734500.2143858382</v>
      </c>
      <c r="J79" s="289">
        <f>IF(Revenues!$O$8&gt;0,J$75*$O49/Revenues!$O$8,0)</f>
        <v>5523583.5834501442</v>
      </c>
      <c r="K79" s="289">
        <f>IF(Revenues!$O$8&gt;0,K$75*$O49/Revenues!$O$8,0)</f>
        <v>6312666.952514451</v>
      </c>
      <c r="L79" s="289">
        <f>IF(Revenues!$O$8&gt;0,L$75*$O49/Revenues!$O$8,0)</f>
        <v>7101750.3215787569</v>
      </c>
      <c r="M79" s="289">
        <f>IF(Revenues!$O$8&gt;0,M$75*$O49/Revenues!$O$8,0)</f>
        <v>7890833.6906430637</v>
      </c>
      <c r="N79" s="262" t="s">
        <v>132</v>
      </c>
    </row>
    <row r="80" spans="1:30" x14ac:dyDescent="0.15">
      <c r="B80" s="262" t="s">
        <v>140</v>
      </c>
      <c r="C80" s="289">
        <v>0</v>
      </c>
      <c r="D80" s="289">
        <f>IF(Revenues!$O$15&gt;0,D$75*$O50/Revenues!$O$15,0)</f>
        <v>0</v>
      </c>
      <c r="E80" s="289">
        <f>IF(Revenues!$O$15&gt;0,E$75*$O50/Revenues!$O$15,0)</f>
        <v>0</v>
      </c>
      <c r="F80" s="289">
        <f>IF(Revenues!$O$15&gt;0,F$75*$O50/Revenues!$O$15,0)</f>
        <v>0</v>
      </c>
      <c r="G80" s="289">
        <f>IF(Revenues!$O$15&gt;0,G$75*$O50/Revenues!$O$15,0)</f>
        <v>0</v>
      </c>
      <c r="H80" s="289">
        <f>IF(Revenues!$O$15&gt;0,H$75*$O50/Revenues!$O$15,0)</f>
        <v>0</v>
      </c>
      <c r="I80" s="289">
        <f>IF(Revenues!$O$15&gt;0,I$75*$O50/Revenues!$O$15,0)</f>
        <v>0</v>
      </c>
      <c r="J80" s="289">
        <f>IF(Revenues!$O$15&gt;0,J$75*$O50/Revenues!$O$15,0)</f>
        <v>0</v>
      </c>
      <c r="K80" s="289">
        <f>IF(Revenues!$O$15&gt;0,K$75*$O50/Revenues!$O$15,0)</f>
        <v>0</v>
      </c>
      <c r="L80" s="289">
        <f>IF(Revenues!$O$15&gt;0,L$75*$O50/Revenues!$O$15,0)</f>
        <v>0</v>
      </c>
      <c r="M80" s="289">
        <f>IF(Revenues!$O$15&gt;0,M$75*$O50/Revenues!$O$15,0)</f>
        <v>0</v>
      </c>
      <c r="N80" s="262" t="s">
        <v>140</v>
      </c>
    </row>
    <row r="81" spans="2:15" x14ac:dyDescent="0.15">
      <c r="B81" s="262" t="s">
        <v>141</v>
      </c>
      <c r="C81" s="289">
        <v>0</v>
      </c>
      <c r="D81" s="289">
        <f>IF(Revenues!$O$22&gt;0,D$75*$O51/Revenues!$O$22,0)</f>
        <v>0</v>
      </c>
      <c r="E81" s="289">
        <f>IF(Revenues!$O$22&gt;0,E$75*$O51/Revenues!$O$22,0)</f>
        <v>0</v>
      </c>
      <c r="F81" s="289">
        <f>IF(Revenues!$O$22&gt;0,F$75*$O51/Revenues!$O$22,0)</f>
        <v>0</v>
      </c>
      <c r="G81" s="289">
        <f>IF(Revenues!$O$22&gt;0,G$75*$O51/Revenues!$O$22,0)</f>
        <v>0</v>
      </c>
      <c r="H81" s="289">
        <f>IF(Revenues!$O$22&gt;0,H$75*$O51/Revenues!$O$22,0)</f>
        <v>0</v>
      </c>
      <c r="I81" s="289">
        <f>IF(Revenues!$O$22&gt;0,I$75*$O51/Revenues!$O$22,0)</f>
        <v>0</v>
      </c>
      <c r="J81" s="289">
        <f>IF(Revenues!$O$22&gt;0,J$75*$O51/Revenues!$O$22,0)</f>
        <v>0</v>
      </c>
      <c r="K81" s="289">
        <f>IF(Revenues!$O$22&gt;0,K$75*$O51/Revenues!$O$22,0)</f>
        <v>0</v>
      </c>
      <c r="L81" s="289">
        <f>IF(Revenues!$O$22&gt;0,L$75*$O51/Revenues!$O$22,0)</f>
        <v>0</v>
      </c>
      <c r="M81" s="289">
        <f>IF(Revenues!$O$22&gt;0,M$75*$O51/Revenues!$O$22,0)</f>
        <v>0</v>
      </c>
      <c r="N81" s="262" t="s">
        <v>141</v>
      </c>
    </row>
    <row r="86" spans="2:15" x14ac:dyDescent="0.15">
      <c r="B86" s="1" t="s">
        <v>365</v>
      </c>
    </row>
    <row r="88" spans="2:15" x14ac:dyDescent="0.15">
      <c r="B88" s="1" t="s">
        <v>366</v>
      </c>
      <c r="O88" s="1" t="s">
        <v>366</v>
      </c>
    </row>
    <row r="89" spans="2:15" x14ac:dyDescent="0.15">
      <c r="B89" s="28" t="s">
        <v>133</v>
      </c>
      <c r="C89" s="26">
        <v>0</v>
      </c>
      <c r="D89" s="26">
        <v>1</v>
      </c>
      <c r="E89" s="26">
        <v>2</v>
      </c>
      <c r="F89" s="26">
        <v>3</v>
      </c>
      <c r="G89" s="26">
        <v>4</v>
      </c>
      <c r="H89" s="26">
        <v>5</v>
      </c>
      <c r="I89" s="26">
        <v>6</v>
      </c>
      <c r="J89" s="26">
        <v>7</v>
      </c>
      <c r="K89" s="26">
        <v>8</v>
      </c>
      <c r="L89" s="26">
        <v>9</v>
      </c>
      <c r="M89" s="26">
        <v>10</v>
      </c>
      <c r="N89" s="22" t="s">
        <v>216</v>
      </c>
      <c r="O89" s="28" t="s">
        <v>133</v>
      </c>
    </row>
    <row r="90" spans="2:15" x14ac:dyDescent="0.15">
      <c r="B90" s="28" t="s">
        <v>367</v>
      </c>
      <c r="C90" s="289">
        <v>0</v>
      </c>
      <c r="D90" s="298">
        <f>Expenses!D59</f>
        <v>1500000</v>
      </c>
      <c r="E90" s="298">
        <f>Expenses!E59</f>
        <v>1650000.0000000002</v>
      </c>
      <c r="F90" s="298">
        <f>Expenses!F59</f>
        <v>1815000.0000000005</v>
      </c>
      <c r="G90" s="298">
        <f>Expenses!G59</f>
        <v>1996500.0000000007</v>
      </c>
      <c r="H90" s="298">
        <f>Expenses!H59</f>
        <v>2196150.0000000009</v>
      </c>
      <c r="I90" s="298">
        <f>Expenses!I59</f>
        <v>0</v>
      </c>
      <c r="J90" s="298">
        <f>Expenses!J59</f>
        <v>0</v>
      </c>
      <c r="K90" s="298">
        <f>Expenses!K59</f>
        <v>0</v>
      </c>
      <c r="L90" s="298">
        <f>Expenses!L59</f>
        <v>0</v>
      </c>
      <c r="M90" s="298">
        <f>Expenses!M59</f>
        <v>0</v>
      </c>
      <c r="N90" s="289">
        <f>SUM(D90:M90)</f>
        <v>9157650.0000000019</v>
      </c>
      <c r="O90" s="28" t="s">
        <v>367</v>
      </c>
    </row>
    <row r="91" spans="2:15" ht="14" x14ac:dyDescent="0.15">
      <c r="B91" s="23" t="s">
        <v>368</v>
      </c>
      <c r="C91" s="289">
        <f>C90</f>
        <v>0</v>
      </c>
      <c r="D91" s="289">
        <f>C91+D90</f>
        <v>1500000</v>
      </c>
      <c r="E91" s="289">
        <f t="shared" ref="E91:M91" si="6">D91+E90</f>
        <v>3150000</v>
      </c>
      <c r="F91" s="289">
        <f t="shared" si="6"/>
        <v>4965000</v>
      </c>
      <c r="G91" s="289">
        <f t="shared" si="6"/>
        <v>6961500.0000000009</v>
      </c>
      <c r="H91" s="289">
        <f t="shared" si="6"/>
        <v>9157650.0000000019</v>
      </c>
      <c r="I91" s="289">
        <f t="shared" si="6"/>
        <v>9157650.0000000019</v>
      </c>
      <c r="J91" s="289">
        <f t="shared" si="6"/>
        <v>9157650.0000000019</v>
      </c>
      <c r="K91" s="289">
        <f t="shared" si="6"/>
        <v>9157650.0000000019</v>
      </c>
      <c r="L91" s="289">
        <f t="shared" si="6"/>
        <v>9157650.0000000019</v>
      </c>
      <c r="M91" s="289">
        <f t="shared" si="6"/>
        <v>9157650.0000000019</v>
      </c>
      <c r="N91" s="57"/>
      <c r="O91" s="23" t="s">
        <v>368</v>
      </c>
    </row>
    <row r="92" spans="2:15" x14ac:dyDescent="0.15">
      <c r="B92" s="28" t="s">
        <v>130</v>
      </c>
      <c r="C92" s="62">
        <v>0</v>
      </c>
      <c r="D92" s="61">
        <f>Revenues!D27</f>
        <v>300000000</v>
      </c>
      <c r="E92" s="61">
        <f>Revenues!E27</f>
        <v>313500000.00000006</v>
      </c>
      <c r="F92" s="61">
        <f>Revenues!F27</f>
        <v>327607500.00000006</v>
      </c>
      <c r="G92" s="61">
        <f>Revenues!G27</f>
        <v>342349837.50000012</v>
      </c>
      <c r="H92" s="61">
        <f>Revenues!H27</f>
        <v>357755580.18750012</v>
      </c>
      <c r="I92" s="61">
        <f>Revenues!I27</f>
        <v>0</v>
      </c>
      <c r="J92" s="61">
        <f>Revenues!J27</f>
        <v>0</v>
      </c>
      <c r="K92" s="61">
        <f>Revenues!K27</f>
        <v>0</v>
      </c>
      <c r="L92" s="61">
        <f>Revenues!L27</f>
        <v>0</v>
      </c>
      <c r="M92" s="61">
        <f>Revenues!M27</f>
        <v>0</v>
      </c>
      <c r="N92" s="63">
        <f>SUM(D92:M92)</f>
        <v>1641212917.6875</v>
      </c>
      <c r="O92" s="28" t="s">
        <v>130</v>
      </c>
    </row>
    <row r="93" spans="2:15" ht="14" x14ac:dyDescent="0.15">
      <c r="B93" s="23" t="s">
        <v>369</v>
      </c>
      <c r="C93" s="134">
        <f>C92</f>
        <v>0</v>
      </c>
      <c r="D93" s="64">
        <f>C93+D92</f>
        <v>300000000</v>
      </c>
      <c r="E93" s="64">
        <f t="shared" ref="E93:M93" si="7">D93+E92</f>
        <v>613500000</v>
      </c>
      <c r="F93" s="64">
        <f t="shared" si="7"/>
        <v>941107500</v>
      </c>
      <c r="G93" s="64">
        <f t="shared" si="7"/>
        <v>1283457337.5</v>
      </c>
      <c r="H93" s="64">
        <f t="shared" si="7"/>
        <v>1641212917.6875</v>
      </c>
      <c r="I93" s="64">
        <f t="shared" si="7"/>
        <v>1641212917.6875</v>
      </c>
      <c r="J93" s="64">
        <f t="shared" si="7"/>
        <v>1641212917.6875</v>
      </c>
      <c r="K93" s="64">
        <f t="shared" si="7"/>
        <v>1641212917.6875</v>
      </c>
      <c r="L93" s="64">
        <f t="shared" si="7"/>
        <v>1641212917.6875</v>
      </c>
      <c r="M93" s="64">
        <f t="shared" si="7"/>
        <v>1641212917.6875</v>
      </c>
      <c r="N93" s="57"/>
      <c r="O93" s="23" t="s">
        <v>369</v>
      </c>
    </row>
    <row r="94" spans="2:15" x14ac:dyDescent="0.15">
      <c r="B94" s="1"/>
      <c r="O94" s="1"/>
    </row>
    <row r="95" spans="2:15" x14ac:dyDescent="0.15">
      <c r="B95" s="1" t="s">
        <v>370</v>
      </c>
      <c r="O95" s="1" t="s">
        <v>370</v>
      </c>
    </row>
    <row r="96" spans="2:15" x14ac:dyDescent="0.15">
      <c r="B96" s="114" t="s">
        <v>133</v>
      </c>
      <c r="C96" s="38">
        <v>0</v>
      </c>
      <c r="D96" s="38">
        <v>1</v>
      </c>
      <c r="E96" s="38">
        <v>2</v>
      </c>
      <c r="F96" s="38">
        <v>3</v>
      </c>
      <c r="G96" s="38">
        <v>4</v>
      </c>
      <c r="H96" s="38">
        <v>5</v>
      </c>
      <c r="I96" s="38">
        <v>6</v>
      </c>
      <c r="J96" s="38">
        <v>7</v>
      </c>
      <c r="K96" s="38">
        <v>8</v>
      </c>
      <c r="L96" s="38">
        <v>9</v>
      </c>
      <c r="M96" s="38">
        <v>10</v>
      </c>
      <c r="N96" s="22" t="s">
        <v>216</v>
      </c>
      <c r="O96" s="114" t="s">
        <v>133</v>
      </c>
    </row>
    <row r="97" spans="1:22" x14ac:dyDescent="0.15">
      <c r="B97" s="28" t="s">
        <v>371</v>
      </c>
      <c r="C97" s="63">
        <v>0</v>
      </c>
      <c r="D97" s="61">
        <f>Expenses!D95</f>
        <v>71942500</v>
      </c>
      <c r="E97" s="61">
        <f>Expenses!E95</f>
        <v>75946150</v>
      </c>
      <c r="F97" s="61">
        <f>Expenses!F95</f>
        <v>75414469</v>
      </c>
      <c r="G97" s="61">
        <f>Expenses!G95</f>
        <v>75758968.569999993</v>
      </c>
      <c r="H97" s="61">
        <f>Expenses!H95</f>
        <v>76038117.327100009</v>
      </c>
      <c r="I97" s="61">
        <f>Expenses!I95</f>
        <v>0</v>
      </c>
      <c r="J97" s="61">
        <f>Expenses!J95</f>
        <v>0</v>
      </c>
      <c r="K97" s="61">
        <f>Expenses!K95</f>
        <v>0</v>
      </c>
      <c r="L97" s="61">
        <f>Expenses!L95</f>
        <v>0</v>
      </c>
      <c r="M97" s="61">
        <f>Expenses!M95</f>
        <v>0</v>
      </c>
      <c r="N97" s="63">
        <f>SUM(D97:M97)</f>
        <v>375100204.89709997</v>
      </c>
      <c r="O97" s="28" t="s">
        <v>371</v>
      </c>
    </row>
    <row r="98" spans="1:22" ht="14" x14ac:dyDescent="0.15">
      <c r="B98" s="253" t="s">
        <v>372</v>
      </c>
      <c r="C98" s="67">
        <f>C97</f>
        <v>0</v>
      </c>
      <c r="D98" s="67">
        <f>C98+D97</f>
        <v>71942500</v>
      </c>
      <c r="E98" s="67">
        <f t="shared" ref="E98:M98" si="8">D98+E97</f>
        <v>147888650</v>
      </c>
      <c r="F98" s="67">
        <f t="shared" si="8"/>
        <v>223303119</v>
      </c>
      <c r="G98" s="67">
        <f t="shared" si="8"/>
        <v>299062087.56999999</v>
      </c>
      <c r="H98" s="67">
        <f t="shared" si="8"/>
        <v>375100204.89709997</v>
      </c>
      <c r="I98" s="67">
        <f t="shared" si="8"/>
        <v>375100204.89709997</v>
      </c>
      <c r="J98" s="67">
        <f t="shared" si="8"/>
        <v>375100204.89709997</v>
      </c>
      <c r="K98" s="67">
        <f t="shared" si="8"/>
        <v>375100204.89709997</v>
      </c>
      <c r="L98" s="67">
        <f t="shared" si="8"/>
        <v>375100204.89709997</v>
      </c>
      <c r="M98" s="67">
        <f t="shared" si="8"/>
        <v>375100204.89709997</v>
      </c>
      <c r="N98" s="171"/>
      <c r="O98" s="253" t="s">
        <v>372</v>
      </c>
    </row>
    <row r="100" spans="1:22" x14ac:dyDescent="0.15">
      <c r="B100" s="1" t="s">
        <v>373</v>
      </c>
      <c r="O100" s="1" t="s">
        <v>373</v>
      </c>
    </row>
    <row r="101" spans="1:22" x14ac:dyDescent="0.15">
      <c r="B101" s="114" t="s">
        <v>133</v>
      </c>
      <c r="C101" s="38">
        <v>0</v>
      </c>
      <c r="D101" s="38">
        <v>1</v>
      </c>
      <c r="E101" s="38">
        <v>2</v>
      </c>
      <c r="F101" s="38">
        <v>3</v>
      </c>
      <c r="G101" s="38">
        <v>4</v>
      </c>
      <c r="H101" s="38">
        <v>5</v>
      </c>
      <c r="I101" s="38">
        <v>6</v>
      </c>
      <c r="J101" s="38">
        <v>7</v>
      </c>
      <c r="K101" s="38">
        <v>8</v>
      </c>
      <c r="L101" s="38">
        <v>9</v>
      </c>
      <c r="M101" s="38">
        <v>10</v>
      </c>
      <c r="N101" s="22" t="s">
        <v>216</v>
      </c>
      <c r="O101" s="114" t="s">
        <v>133</v>
      </c>
    </row>
    <row r="102" spans="1:22" x14ac:dyDescent="0.15">
      <c r="B102" s="28" t="s">
        <v>367</v>
      </c>
      <c r="C102" s="289">
        <v>0</v>
      </c>
      <c r="D102" s="298">
        <f>D90</f>
        <v>1500000</v>
      </c>
      <c r="E102" s="298">
        <f t="shared" ref="E102:M102" si="9">E90</f>
        <v>1650000.0000000002</v>
      </c>
      <c r="F102" s="298">
        <f t="shared" si="9"/>
        <v>1815000.0000000005</v>
      </c>
      <c r="G102" s="298">
        <f t="shared" si="9"/>
        <v>1996500.0000000007</v>
      </c>
      <c r="H102" s="298">
        <f t="shared" si="9"/>
        <v>2196150.0000000009</v>
      </c>
      <c r="I102" s="298">
        <f t="shared" si="9"/>
        <v>0</v>
      </c>
      <c r="J102" s="298">
        <f t="shared" si="9"/>
        <v>0</v>
      </c>
      <c r="K102" s="298">
        <f t="shared" si="9"/>
        <v>0</v>
      </c>
      <c r="L102" s="298">
        <f t="shared" si="9"/>
        <v>0</v>
      </c>
      <c r="M102" s="298">
        <f t="shared" si="9"/>
        <v>0</v>
      </c>
      <c r="N102" s="289">
        <f>SUM(D102:M102)</f>
        <v>9157650.0000000019</v>
      </c>
      <c r="O102" s="28" t="s">
        <v>367</v>
      </c>
    </row>
    <row r="103" spans="1:22" ht="14" x14ac:dyDescent="0.15">
      <c r="B103" s="23" t="s">
        <v>374</v>
      </c>
      <c r="C103" s="62">
        <v>0</v>
      </c>
      <c r="D103" s="61">
        <f>Expenses!D60</f>
        <v>162000000</v>
      </c>
      <c r="E103" s="61">
        <f>Expenses!E60</f>
        <v>183291075.00000003</v>
      </c>
      <c r="F103" s="61">
        <f>Expenses!F60</f>
        <v>207394399.45125008</v>
      </c>
      <c r="G103" s="61">
        <f>Expenses!G60</f>
        <v>234682516.49072805</v>
      </c>
      <c r="H103" s="61">
        <f>Expenses!H60</f>
        <v>265577404.03347307</v>
      </c>
      <c r="I103" s="61">
        <f>Expenses!I60</f>
        <v>0</v>
      </c>
      <c r="J103" s="61">
        <f>Expenses!J60</f>
        <v>0</v>
      </c>
      <c r="K103" s="61">
        <f>Expenses!K60</f>
        <v>0</v>
      </c>
      <c r="L103" s="61">
        <f>Expenses!L60</f>
        <v>0</v>
      </c>
      <c r="M103" s="61">
        <f>Expenses!M60</f>
        <v>0</v>
      </c>
      <c r="N103" s="63">
        <f>SUM(D103:M103)</f>
        <v>1052945394.9754512</v>
      </c>
      <c r="O103" s="23" t="s">
        <v>374</v>
      </c>
    </row>
    <row r="104" spans="1:22" ht="28" x14ac:dyDescent="0.15">
      <c r="B104" s="23" t="s">
        <v>375</v>
      </c>
      <c r="C104" s="62">
        <f>0</f>
        <v>0</v>
      </c>
      <c r="D104" s="63">
        <f t="shared" ref="D104:M104" si="10">C104+D103</f>
        <v>162000000</v>
      </c>
      <c r="E104" s="63">
        <f t="shared" si="10"/>
        <v>345291075</v>
      </c>
      <c r="F104" s="63">
        <f t="shared" si="10"/>
        <v>552685474.45125008</v>
      </c>
      <c r="G104" s="63">
        <f t="shared" si="10"/>
        <v>787367990.9419781</v>
      </c>
      <c r="H104" s="63">
        <f t="shared" si="10"/>
        <v>1052945394.9754512</v>
      </c>
      <c r="I104" s="63">
        <f t="shared" si="10"/>
        <v>1052945394.9754512</v>
      </c>
      <c r="J104" s="63">
        <f t="shared" si="10"/>
        <v>1052945394.9754512</v>
      </c>
      <c r="K104" s="63">
        <f t="shared" si="10"/>
        <v>1052945394.9754512</v>
      </c>
      <c r="L104" s="63">
        <f t="shared" si="10"/>
        <v>1052945394.9754512</v>
      </c>
      <c r="M104" s="63">
        <f t="shared" si="10"/>
        <v>1052945394.9754512</v>
      </c>
      <c r="N104" s="57"/>
      <c r="O104" s="23" t="s">
        <v>375</v>
      </c>
      <c r="T104" s="247"/>
      <c r="U104" s="248"/>
      <c r="V104" s="249"/>
    </row>
    <row r="105" spans="1:22" ht="28" x14ac:dyDescent="0.15">
      <c r="B105" s="23" t="s">
        <v>376</v>
      </c>
      <c r="C105" s="68">
        <f>C97</f>
        <v>0</v>
      </c>
      <c r="D105" s="63">
        <f t="shared" ref="D105:M105" si="11">D103+D97</f>
        <v>233942500</v>
      </c>
      <c r="E105" s="63">
        <f t="shared" si="11"/>
        <v>259237225.00000003</v>
      </c>
      <c r="F105" s="63">
        <f t="shared" si="11"/>
        <v>282808868.45125008</v>
      </c>
      <c r="G105" s="63">
        <f t="shared" si="11"/>
        <v>310441485.06072807</v>
      </c>
      <c r="H105" s="63">
        <f t="shared" si="11"/>
        <v>341615521.36057305</v>
      </c>
      <c r="I105" s="63">
        <f t="shared" si="11"/>
        <v>0</v>
      </c>
      <c r="J105" s="63">
        <f t="shared" si="11"/>
        <v>0</v>
      </c>
      <c r="K105" s="63">
        <f t="shared" si="11"/>
        <v>0</v>
      </c>
      <c r="L105" s="63">
        <f t="shared" si="11"/>
        <v>0</v>
      </c>
      <c r="M105" s="63">
        <f t="shared" si="11"/>
        <v>0</v>
      </c>
      <c r="N105" s="63">
        <f>SUM(C105:M105)</f>
        <v>1428045599.8725512</v>
      </c>
      <c r="O105" s="23" t="s">
        <v>376</v>
      </c>
    </row>
    <row r="106" spans="1:22" ht="14" x14ac:dyDescent="0.15">
      <c r="B106" s="23" t="s">
        <v>377</v>
      </c>
      <c r="C106" s="74">
        <f>C105</f>
        <v>0</v>
      </c>
      <c r="D106" s="64">
        <f>C106+D105</f>
        <v>233942500</v>
      </c>
      <c r="E106" s="64">
        <f t="shared" ref="E106:M106" si="12">D106+E105</f>
        <v>493179725</v>
      </c>
      <c r="F106" s="64">
        <f t="shared" si="12"/>
        <v>775988593.45125008</v>
      </c>
      <c r="G106" s="64">
        <f t="shared" si="12"/>
        <v>1086430078.5119781</v>
      </c>
      <c r="H106" s="64">
        <f t="shared" si="12"/>
        <v>1428045599.8725512</v>
      </c>
      <c r="I106" s="64">
        <f t="shared" si="12"/>
        <v>1428045599.8725512</v>
      </c>
      <c r="J106" s="64">
        <f t="shared" si="12"/>
        <v>1428045599.8725512</v>
      </c>
      <c r="K106" s="64">
        <f t="shared" si="12"/>
        <v>1428045599.8725512</v>
      </c>
      <c r="L106" s="64">
        <f t="shared" si="12"/>
        <v>1428045599.8725512</v>
      </c>
      <c r="M106" s="64">
        <f t="shared" si="12"/>
        <v>1428045599.8725512</v>
      </c>
      <c r="N106" s="57"/>
      <c r="O106" s="23" t="s">
        <v>377</v>
      </c>
      <c r="U106" s="36"/>
      <c r="V106" s="254"/>
    </row>
    <row r="107" spans="1:22" x14ac:dyDescent="0.15">
      <c r="B107" s="37"/>
      <c r="C107" s="2"/>
      <c r="D107" s="66"/>
      <c r="E107" s="66"/>
      <c r="F107" s="66"/>
      <c r="G107" s="66"/>
      <c r="H107" s="66"/>
      <c r="I107" s="66"/>
      <c r="J107" s="66"/>
      <c r="K107" s="66"/>
      <c r="L107" s="66"/>
      <c r="M107" s="66"/>
      <c r="O107" s="37"/>
      <c r="U107" s="36"/>
      <c r="V107" s="254"/>
    </row>
    <row r="108" spans="1:22" x14ac:dyDescent="0.15">
      <c r="N108" s="22" t="s">
        <v>216</v>
      </c>
    </row>
    <row r="109" spans="1:22" ht="15" customHeight="1" x14ac:dyDescent="0.15">
      <c r="B109" s="23" t="s">
        <v>378</v>
      </c>
      <c r="C109" s="63">
        <f>C92-C103</f>
        <v>0</v>
      </c>
      <c r="D109" s="63">
        <f t="shared" ref="D109:M109" si="13">D92-D103</f>
        <v>138000000</v>
      </c>
      <c r="E109" s="63">
        <f t="shared" si="13"/>
        <v>130208925.00000003</v>
      </c>
      <c r="F109" s="63">
        <f t="shared" si="13"/>
        <v>120213100.54874998</v>
      </c>
      <c r="G109" s="63">
        <f t="shared" si="13"/>
        <v>107667321.00927207</v>
      </c>
      <c r="H109" s="63">
        <f t="shared" si="13"/>
        <v>92178176.154027045</v>
      </c>
      <c r="I109" s="63">
        <f t="shared" si="13"/>
        <v>0</v>
      </c>
      <c r="J109" s="63">
        <f t="shared" si="13"/>
        <v>0</v>
      </c>
      <c r="K109" s="63">
        <f t="shared" si="13"/>
        <v>0</v>
      </c>
      <c r="L109" s="63">
        <f t="shared" si="13"/>
        <v>0</v>
      </c>
      <c r="M109" s="63">
        <f t="shared" si="13"/>
        <v>0</v>
      </c>
      <c r="N109" s="63">
        <f>SUM(D109:M109)</f>
        <v>588267522.71204925</v>
      </c>
      <c r="O109" s="23" t="s">
        <v>378</v>
      </c>
      <c r="P109" s="9">
        <f>N109/N92</f>
        <v>0.35843461647921299</v>
      </c>
      <c r="Q109" s="23" t="s">
        <v>379</v>
      </c>
    </row>
    <row r="110" spans="1:22" ht="29" thickBot="1" x14ac:dyDescent="0.2">
      <c r="A110" s="1"/>
      <c r="B110" s="300" t="s">
        <v>380</v>
      </c>
      <c r="C110" s="301">
        <f>C109</f>
        <v>0</v>
      </c>
      <c r="D110" s="301">
        <f>C110+D109</f>
        <v>138000000</v>
      </c>
      <c r="E110" s="301">
        <f t="shared" ref="E110:M110" si="14">D110+E109</f>
        <v>268208925.00000003</v>
      </c>
      <c r="F110" s="301">
        <f t="shared" si="14"/>
        <v>388422025.54875004</v>
      </c>
      <c r="G110" s="301">
        <f t="shared" si="14"/>
        <v>496089346.55802214</v>
      </c>
      <c r="H110" s="301">
        <f t="shared" si="14"/>
        <v>588267522.71204925</v>
      </c>
      <c r="I110" s="301">
        <f t="shared" si="14"/>
        <v>588267522.71204925</v>
      </c>
      <c r="J110" s="301">
        <f t="shared" si="14"/>
        <v>588267522.71204925</v>
      </c>
      <c r="K110" s="301">
        <f t="shared" si="14"/>
        <v>588267522.71204925</v>
      </c>
      <c r="L110" s="301">
        <f t="shared" si="14"/>
        <v>588267522.71204925</v>
      </c>
      <c r="M110" s="301">
        <f t="shared" si="14"/>
        <v>588267522.71204925</v>
      </c>
      <c r="N110" s="57"/>
      <c r="O110" s="23" t="s">
        <v>380</v>
      </c>
    </row>
    <row r="111" spans="1:22" ht="15" customHeight="1" thickBot="1" x14ac:dyDescent="0.2">
      <c r="A111" s="1" t="s">
        <v>381</v>
      </c>
      <c r="B111" s="654" t="s">
        <v>382</v>
      </c>
      <c r="C111" s="311">
        <f>C$110-C$98</f>
        <v>0</v>
      </c>
      <c r="D111" s="307"/>
      <c r="E111" s="302"/>
      <c r="F111" s="302"/>
      <c r="G111" s="302"/>
      <c r="H111" s="302"/>
      <c r="I111" s="302"/>
      <c r="J111" s="302"/>
      <c r="K111" s="302"/>
      <c r="L111" s="302"/>
      <c r="M111" s="290"/>
      <c r="N111" s="165"/>
      <c r="O111" s="37"/>
    </row>
    <row r="112" spans="1:22" ht="15" customHeight="1" thickBot="1" x14ac:dyDescent="0.2">
      <c r="A112" s="1"/>
      <c r="B112" s="655" t="s">
        <v>383</v>
      </c>
      <c r="C112" s="312"/>
      <c r="D112" s="304">
        <f>D$110-D$98</f>
        <v>66057500</v>
      </c>
      <c r="E112" s="308"/>
      <c r="F112" s="63"/>
      <c r="G112" s="63"/>
      <c r="H112" s="63"/>
      <c r="I112" s="63"/>
      <c r="J112" s="63"/>
      <c r="K112" s="63"/>
      <c r="L112" s="63"/>
      <c r="M112" s="291"/>
      <c r="N112" s="165"/>
      <c r="O112" s="37"/>
    </row>
    <row r="113" spans="1:18" ht="15" customHeight="1" thickBot="1" x14ac:dyDescent="0.2">
      <c r="A113" s="1"/>
      <c r="B113" s="655" t="s">
        <v>384</v>
      </c>
      <c r="C113" s="306"/>
      <c r="D113" s="305"/>
      <c r="E113" s="304">
        <f>E$110-E$98</f>
        <v>120320275.00000003</v>
      </c>
      <c r="F113" s="308"/>
      <c r="G113" s="63"/>
      <c r="H113" s="63"/>
      <c r="I113" s="63"/>
      <c r="J113" s="63"/>
      <c r="K113" s="63"/>
      <c r="L113" s="63"/>
      <c r="M113" s="291"/>
      <c r="N113" s="165"/>
      <c r="O113" s="37"/>
    </row>
    <row r="114" spans="1:18" ht="15" customHeight="1" thickBot="1" x14ac:dyDescent="0.2">
      <c r="A114" s="1"/>
      <c r="B114" s="655" t="s">
        <v>385</v>
      </c>
      <c r="C114" s="306"/>
      <c r="D114" s="63"/>
      <c r="E114" s="305"/>
      <c r="F114" s="304">
        <f>F$110-F$98</f>
        <v>165118906.54875004</v>
      </c>
      <c r="G114" s="308"/>
      <c r="H114" s="63"/>
      <c r="I114" s="63"/>
      <c r="J114" s="63"/>
      <c r="K114" s="63"/>
      <c r="L114" s="63"/>
      <c r="M114" s="291"/>
      <c r="N114" s="165"/>
      <c r="O114" s="37"/>
    </row>
    <row r="115" spans="1:18" ht="15" customHeight="1" thickBot="1" x14ac:dyDescent="0.2">
      <c r="A115" s="1"/>
      <c r="B115" s="655" t="s">
        <v>386</v>
      </c>
      <c r="C115" s="306"/>
      <c r="D115" s="63"/>
      <c r="E115" s="63"/>
      <c r="F115" s="305"/>
      <c r="G115" s="304">
        <f>G$110-G$98</f>
        <v>197027258.98802215</v>
      </c>
      <c r="H115" s="308"/>
      <c r="I115" s="63"/>
      <c r="J115" s="63"/>
      <c r="K115" s="63"/>
      <c r="L115" s="63"/>
      <c r="M115" s="291"/>
      <c r="N115" s="165"/>
      <c r="O115" s="37"/>
    </row>
    <row r="116" spans="1:18" ht="15" customHeight="1" thickBot="1" x14ac:dyDescent="0.2">
      <c r="A116" s="1"/>
      <c r="B116" s="655" t="s">
        <v>387</v>
      </c>
      <c r="C116" s="306"/>
      <c r="D116" s="63"/>
      <c r="E116" s="63"/>
      <c r="F116" s="63"/>
      <c r="G116" s="305"/>
      <c r="H116" s="304">
        <f>H$110-H$98</f>
        <v>213167317.81494927</v>
      </c>
      <c r="I116" s="308"/>
      <c r="J116" s="63"/>
      <c r="K116" s="63"/>
      <c r="L116" s="63"/>
      <c r="M116" s="291"/>
      <c r="N116" s="165"/>
      <c r="O116" s="37"/>
    </row>
    <row r="117" spans="1:18" ht="15" customHeight="1" thickBot="1" x14ac:dyDescent="0.2">
      <c r="A117" s="1"/>
      <c r="B117" s="655" t="s">
        <v>388</v>
      </c>
      <c r="C117" s="306"/>
      <c r="D117" s="63"/>
      <c r="E117" s="63"/>
      <c r="F117" s="63"/>
      <c r="G117" s="63"/>
      <c r="H117" s="305"/>
      <c r="I117" s="304">
        <f>I$110-I$98</f>
        <v>213167317.81494927</v>
      </c>
      <c r="J117" s="308"/>
      <c r="K117" s="63"/>
      <c r="L117" s="63"/>
      <c r="M117" s="291"/>
      <c r="N117" s="165"/>
      <c r="O117" s="37"/>
    </row>
    <row r="118" spans="1:18" ht="15" customHeight="1" thickBot="1" x14ac:dyDescent="0.2">
      <c r="A118" s="1"/>
      <c r="B118" s="655" t="s">
        <v>389</v>
      </c>
      <c r="C118" s="306"/>
      <c r="D118" s="63"/>
      <c r="E118" s="63"/>
      <c r="F118" s="63"/>
      <c r="G118" s="63"/>
      <c r="H118" s="63"/>
      <c r="I118" s="305"/>
      <c r="J118" s="304">
        <f>J$110-J$98</f>
        <v>213167317.81494927</v>
      </c>
      <c r="K118" s="308"/>
      <c r="L118" s="63"/>
      <c r="M118" s="291"/>
      <c r="N118" s="165"/>
      <c r="O118" s="37"/>
    </row>
    <row r="119" spans="1:18" ht="15" customHeight="1" thickBot="1" x14ac:dyDescent="0.2">
      <c r="A119" s="1"/>
      <c r="B119" s="655" t="s">
        <v>390</v>
      </c>
      <c r="C119" s="306"/>
      <c r="D119" s="63"/>
      <c r="E119" s="63"/>
      <c r="F119" s="63"/>
      <c r="G119" s="63"/>
      <c r="H119" s="63"/>
      <c r="I119" s="63"/>
      <c r="J119" s="305"/>
      <c r="K119" s="304">
        <f>K$110-K$98</f>
        <v>213167317.81494927</v>
      </c>
      <c r="L119" s="308"/>
      <c r="M119" s="291"/>
      <c r="N119" s="165"/>
      <c r="O119" s="37"/>
    </row>
    <row r="120" spans="1:18" ht="15" customHeight="1" thickBot="1" x14ac:dyDescent="0.2">
      <c r="A120" s="1"/>
      <c r="B120" s="655" t="s">
        <v>391</v>
      </c>
      <c r="C120" s="306"/>
      <c r="D120" s="63"/>
      <c r="E120" s="63"/>
      <c r="F120" s="63"/>
      <c r="G120" s="63"/>
      <c r="H120" s="63"/>
      <c r="I120" s="63"/>
      <c r="J120" s="63"/>
      <c r="K120" s="305"/>
      <c r="L120" s="304">
        <f>L$110-L$98</f>
        <v>213167317.81494927</v>
      </c>
      <c r="M120" s="310"/>
      <c r="N120" s="165"/>
      <c r="O120" s="37"/>
    </row>
    <row r="121" spans="1:18" ht="15" customHeight="1" thickBot="1" x14ac:dyDescent="0.2">
      <c r="A121" s="1"/>
      <c r="B121" s="657" t="s">
        <v>392</v>
      </c>
      <c r="C121" s="313"/>
      <c r="D121" s="303"/>
      <c r="E121" s="303"/>
      <c r="F121" s="303"/>
      <c r="G121" s="303"/>
      <c r="H121" s="303"/>
      <c r="I121" s="303"/>
      <c r="J121" s="303"/>
      <c r="K121" s="303"/>
      <c r="L121" s="309"/>
      <c r="M121" s="304">
        <f>M$110-M$98</f>
        <v>213167317.81494927</v>
      </c>
      <c r="N121" s="165"/>
      <c r="O121" s="37"/>
    </row>
    <row r="122" spans="1:18" ht="15" customHeight="1" x14ac:dyDescent="0.15">
      <c r="A122" s="1"/>
      <c r="B122" s="37" t="s">
        <v>393</v>
      </c>
      <c r="C122" s="66">
        <f>C111</f>
        <v>0</v>
      </c>
      <c r="D122" s="66">
        <f>D110-D98</f>
        <v>66057500</v>
      </c>
      <c r="E122" s="66">
        <f t="shared" ref="E122:M122" si="15">E110-E98</f>
        <v>120320275.00000003</v>
      </c>
      <c r="F122" s="66">
        <f t="shared" si="15"/>
        <v>165118906.54875004</v>
      </c>
      <c r="G122" s="66">
        <f t="shared" si="15"/>
        <v>197027258.98802215</v>
      </c>
      <c r="H122" s="66">
        <f t="shared" si="15"/>
        <v>213167317.81494927</v>
      </c>
      <c r="I122" s="66">
        <f t="shared" si="15"/>
        <v>213167317.81494927</v>
      </c>
      <c r="J122" s="66">
        <f t="shared" si="15"/>
        <v>213167317.81494927</v>
      </c>
      <c r="K122" s="66">
        <f t="shared" si="15"/>
        <v>213167317.81494927</v>
      </c>
      <c r="L122" s="66">
        <f t="shared" si="15"/>
        <v>213167317.81494927</v>
      </c>
      <c r="M122" s="66">
        <f t="shared" si="15"/>
        <v>213167317.81494927</v>
      </c>
      <c r="N122" s="165"/>
      <c r="O122" s="37"/>
    </row>
    <row r="123" spans="1:18" ht="15" customHeight="1" thickBot="1" x14ac:dyDescent="0.2">
      <c r="A123" s="1"/>
      <c r="B123" s="37" t="s">
        <v>394</v>
      </c>
      <c r="C123" s="314">
        <v>1</v>
      </c>
      <c r="D123" s="314">
        <f>IF(D122&gt;0,IF(C123&lt;1,0,(D109+C122-D122)/D109),1)</f>
        <v>0.52132246376811597</v>
      </c>
      <c r="E123" s="314">
        <f t="shared" ref="E123:M123" si="16">IF(E122&gt;0,IF(D123&lt;1,0,(E109+D122-E122)/E109),1)</f>
        <v>0</v>
      </c>
      <c r="F123" s="314">
        <f t="shared" si="16"/>
        <v>0</v>
      </c>
      <c r="G123" s="314">
        <f t="shared" si="16"/>
        <v>0</v>
      </c>
      <c r="H123" s="314">
        <f t="shared" si="16"/>
        <v>0</v>
      </c>
      <c r="I123" s="314">
        <f t="shared" si="16"/>
        <v>0</v>
      </c>
      <c r="J123" s="314">
        <f t="shared" si="16"/>
        <v>0</v>
      </c>
      <c r="K123" s="314">
        <f t="shared" si="16"/>
        <v>0</v>
      </c>
      <c r="L123" s="314">
        <f t="shared" si="16"/>
        <v>0</v>
      </c>
      <c r="M123" s="314">
        <f t="shared" si="16"/>
        <v>0</v>
      </c>
      <c r="N123" s="165"/>
      <c r="O123" s="37"/>
    </row>
    <row r="124" spans="1:18" ht="15" customHeight="1" thickBot="1" x14ac:dyDescent="0.2">
      <c r="A124" s="1"/>
      <c r="B124" s="37" t="s">
        <v>130</v>
      </c>
      <c r="C124" s="143">
        <f>C123*C92</f>
        <v>0</v>
      </c>
      <c r="D124" s="143">
        <f t="shared" ref="D124:M124" si="17">D123*D92</f>
        <v>156396739.13043478</v>
      </c>
      <c r="E124" s="143">
        <f t="shared" si="17"/>
        <v>0</v>
      </c>
      <c r="F124" s="143">
        <f t="shared" si="17"/>
        <v>0</v>
      </c>
      <c r="G124" s="143">
        <f t="shared" si="17"/>
        <v>0</v>
      </c>
      <c r="H124" s="143">
        <f t="shared" si="17"/>
        <v>0</v>
      </c>
      <c r="I124" s="143">
        <f t="shared" si="17"/>
        <v>0</v>
      </c>
      <c r="J124" s="143">
        <f t="shared" si="17"/>
        <v>0</v>
      </c>
      <c r="K124" s="143">
        <f t="shared" si="17"/>
        <v>0</v>
      </c>
      <c r="L124" s="143">
        <f t="shared" si="17"/>
        <v>0</v>
      </c>
      <c r="M124" s="143">
        <f t="shared" si="17"/>
        <v>0</v>
      </c>
      <c r="N124" s="315">
        <f>SUM(C124:M124)</f>
        <v>156396739.13043478</v>
      </c>
      <c r="O124" s="37" t="s">
        <v>395</v>
      </c>
      <c r="P124" s="316">
        <f>P109*N124</f>
        <v>56058005.208816916</v>
      </c>
    </row>
    <row r="125" spans="1:18" ht="15" customHeight="1" thickBot="1" x14ac:dyDescent="0.2">
      <c r="A125" s="1"/>
      <c r="B125" s="37" t="s">
        <v>367</v>
      </c>
      <c r="C125" s="317">
        <f>C123*(C79+C80+C81)</f>
        <v>0</v>
      </c>
      <c r="D125" s="317">
        <f>D123*(Revenues!D7+Revenues!D14+Revenues!D21)</f>
        <v>781983.69565217395</v>
      </c>
      <c r="E125" s="317">
        <f>E123*(Revenues!E7+Revenues!E14+Revenues!E21)</f>
        <v>0</v>
      </c>
      <c r="F125" s="317">
        <f>F123*(Revenues!F7+Revenues!F14+Revenues!F21)</f>
        <v>0</v>
      </c>
      <c r="G125" s="317">
        <f>G123*(Revenues!G7+Revenues!G14+Revenues!G21)</f>
        <v>0</v>
      </c>
      <c r="H125" s="317">
        <f>H123*(Revenues!H7+Revenues!H14+Revenues!H21)</f>
        <v>0</v>
      </c>
      <c r="I125" s="317">
        <f>I123*(Revenues!I7+Revenues!I14+Revenues!I21)</f>
        <v>0</v>
      </c>
      <c r="J125" s="317">
        <f>J123*(Revenues!J7+Revenues!J14+Revenues!J21)</f>
        <v>0</v>
      </c>
      <c r="K125" s="317">
        <f>K123*(Revenues!K7+Revenues!K14+Revenues!K21)</f>
        <v>0</v>
      </c>
      <c r="L125" s="317">
        <f>L123*(Revenues!L7+Revenues!L14+Revenues!L21)</f>
        <v>0</v>
      </c>
      <c r="M125" s="317">
        <f>M123*(Revenues!M7+Revenues!M14+Revenues!M21)</f>
        <v>0</v>
      </c>
      <c r="N125" s="318">
        <f>SUM(C125:M125)</f>
        <v>781983.69565217395</v>
      </c>
      <c r="O125" s="37" t="s">
        <v>396</v>
      </c>
    </row>
    <row r="126" spans="1:18" ht="14" thickBot="1" x14ac:dyDescent="0.2">
      <c r="A126" s="138"/>
      <c r="B126" s="138"/>
      <c r="C126" s="138"/>
      <c r="D126" s="138"/>
      <c r="E126" s="138"/>
      <c r="F126" s="138"/>
      <c r="G126" s="138"/>
      <c r="H126" s="138"/>
      <c r="I126" s="138"/>
      <c r="J126" s="138"/>
      <c r="K126" s="138"/>
      <c r="L126" s="138"/>
      <c r="M126" s="138"/>
      <c r="N126" s="138"/>
      <c r="O126" s="138"/>
      <c r="P126" s="138"/>
      <c r="Q126" s="138"/>
      <c r="R126" s="138"/>
    </row>
    <row r="127" spans="1:18" ht="14" thickTop="1" x14ac:dyDescent="0.15"/>
    <row r="129" spans="1:13" ht="16" x14ac:dyDescent="0.2">
      <c r="A129" s="205" t="s">
        <v>397</v>
      </c>
    </row>
    <row r="130" spans="1:13" x14ac:dyDescent="0.15">
      <c r="B130" s="1"/>
      <c r="C130" s="22"/>
      <c r="D130" s="22"/>
      <c r="E130" s="22"/>
      <c r="F130" s="22"/>
      <c r="G130" s="22"/>
      <c r="H130" s="22"/>
      <c r="I130" s="22"/>
      <c r="J130" s="22"/>
      <c r="K130" s="22"/>
      <c r="L130" s="22"/>
    </row>
    <row r="131" spans="1:13" x14ac:dyDescent="0.15">
      <c r="B131" s="37"/>
      <c r="C131" s="2"/>
      <c r="D131" s="2"/>
      <c r="E131" s="2"/>
      <c r="F131" s="2"/>
      <c r="G131" s="2"/>
      <c r="H131" s="2"/>
      <c r="I131" s="2"/>
      <c r="J131" s="2"/>
      <c r="K131" s="2"/>
      <c r="L131" s="2"/>
    </row>
    <row r="132" spans="1:13" x14ac:dyDescent="0.15">
      <c r="B132" s="1"/>
      <c r="C132" s="247"/>
      <c r="D132" s="247"/>
      <c r="E132" s="247"/>
      <c r="F132" s="247"/>
      <c r="G132" s="247"/>
      <c r="H132" s="247"/>
      <c r="I132" s="247"/>
      <c r="J132" s="247"/>
      <c r="K132" s="247"/>
      <c r="L132" s="247"/>
    </row>
    <row r="134" spans="1:13" x14ac:dyDescent="0.15">
      <c r="B134" s="28" t="s">
        <v>338</v>
      </c>
      <c r="C134" s="26">
        <v>0</v>
      </c>
      <c r="D134" s="26">
        <v>1</v>
      </c>
      <c r="E134" s="26">
        <v>2</v>
      </c>
      <c r="F134" s="26">
        <v>3</v>
      </c>
      <c r="G134" s="26">
        <v>4</v>
      </c>
      <c r="H134" s="26">
        <v>5</v>
      </c>
      <c r="I134" s="26">
        <v>6</v>
      </c>
      <c r="J134" s="26">
        <v>7</v>
      </c>
      <c r="K134" s="26">
        <v>8</v>
      </c>
      <c r="L134" s="26">
        <v>9</v>
      </c>
      <c r="M134" s="26">
        <v>10</v>
      </c>
    </row>
    <row r="135" spans="1:13" x14ac:dyDescent="0.15">
      <c r="B135" s="28" t="s">
        <v>398</v>
      </c>
      <c r="C135" s="68">
        <v>0</v>
      </c>
      <c r="D135" s="68">
        <v>0</v>
      </c>
      <c r="E135" s="68">
        <v>0</v>
      </c>
      <c r="F135" s="68">
        <v>0</v>
      </c>
      <c r="G135" s="68">
        <v>0</v>
      </c>
      <c r="H135" s="68">
        <v>0</v>
      </c>
      <c r="I135" s="68">
        <v>0</v>
      </c>
      <c r="J135" s="68">
        <v>0</v>
      </c>
      <c r="K135" s="68">
        <v>0</v>
      </c>
      <c r="L135" s="68">
        <v>0</v>
      </c>
      <c r="M135" s="68">
        <v>0</v>
      </c>
    </row>
  </sheetData>
  <sheetProtection password="AA36" sheet="1" objects="1" scenarios="1"/>
  <phoneticPr fontId="0" type="noConversion"/>
  <pageMargins left="0.75" right="0.75" top="1" bottom="1" header="0.5" footer="0.5"/>
  <pageSetup scale="24" orientation="landscape"/>
  <headerFooter alignWithMargins="0">
    <oddHeader>&amp;LEngineering Economics Model for Senior Design&amp;R&amp;"Times New Roman,Bold"&amp;14Break Even Analysis</oddHeader>
    <oddFooter>&amp;LJ:/EM355/Spring01/Labs/EEworkingfolder/&amp;F&amp;CPage &amp;P of &amp;N&amp;R&amp;T&amp;D</oddFooter>
  </headerFooter>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33</vt:i4>
      </vt:variant>
      <vt:variant>
        <vt:lpstr>Named Ranges</vt:lpstr>
      </vt:variant>
      <vt:variant>
        <vt:i4>4</vt:i4>
      </vt:variant>
    </vt:vector>
  </HeadingPairs>
  <TitlesOfParts>
    <vt:vector size="37" baseType="lpstr">
      <vt:lpstr>Lab 8 Questions</vt:lpstr>
      <vt:lpstr>Introduction</vt:lpstr>
      <vt:lpstr>Initial Inputs</vt:lpstr>
      <vt:lpstr>Revenues</vt:lpstr>
      <vt:lpstr>Expenses</vt:lpstr>
      <vt:lpstr>Capital &amp; Depr</vt:lpstr>
      <vt:lpstr>Loan Amortization</vt:lpstr>
      <vt:lpstr>After Tax Analysis</vt:lpstr>
      <vt:lpstr>Break Even Analysis</vt:lpstr>
      <vt:lpstr>Sensitivity Analysis</vt:lpstr>
      <vt:lpstr>Income Statement</vt:lpstr>
      <vt:lpstr>Balance Sheet</vt:lpstr>
      <vt:lpstr>Economic Life</vt:lpstr>
      <vt:lpstr>Financial Ratios</vt:lpstr>
      <vt:lpstr>Capital Gains Wksht</vt:lpstr>
      <vt:lpstr>Disposl $ Sensitivity Wksht</vt:lpstr>
      <vt:lpstr>Level Payment Fin Sens Wksht</vt:lpstr>
      <vt:lpstr>Level Prin Paymt Fin Sens Wksht</vt:lpstr>
      <vt:lpstr>Level Prin Paymt Fin Sens Calc</vt:lpstr>
      <vt:lpstr>Amort Sensitivity Wksht</vt:lpstr>
      <vt:lpstr>Lvl Prin Pmt Int Rate Sens Calc</vt:lpstr>
      <vt:lpstr>Lvl Prin Pmt Int Rate Sens Wksh</vt:lpstr>
      <vt:lpstr>Lvl Pmt Int Rate Sens Calc</vt:lpstr>
      <vt:lpstr>Lvl Pmt Int Rate Sens Wksht</vt:lpstr>
      <vt:lpstr>Level Payment Fin Sens Calc</vt:lpstr>
      <vt:lpstr>Price Sens Wksht Prod X</vt:lpstr>
      <vt:lpstr>Volume Sens Wksht Prod X</vt:lpstr>
      <vt:lpstr>Price Sens Wksht Prod Y</vt:lpstr>
      <vt:lpstr>Volume Sens Wksht Prod Y</vt:lpstr>
      <vt:lpstr>Price Sens Wksht Prod Z</vt:lpstr>
      <vt:lpstr>Volume Sens Wksht Prod Z</vt:lpstr>
      <vt:lpstr>Expense Sens Wksht</vt:lpstr>
      <vt:lpstr>MARR Sens Wksht</vt:lpstr>
      <vt:lpstr>'After Tax Analysis'!Print_Area</vt:lpstr>
      <vt:lpstr>'Financial Ratios'!Print_Area</vt:lpstr>
      <vt:lpstr>'Sensitivity Analysis'!Print_Area</vt:lpstr>
      <vt:lpstr>'Volume Sens Wksht Prod Y'!Print_Area</vt:lpstr>
    </vt:vector>
  </TitlesOfParts>
  <Manager/>
  <Company>Stevens Institute of Technolo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W.J. Howe College of Tech Mgt</dc:creator>
  <cp:keywords/>
  <dc:description/>
  <cp:lastModifiedBy>Microsoft Office User</cp:lastModifiedBy>
  <cp:revision/>
  <dcterms:created xsi:type="dcterms:W3CDTF">2000-08-08T19:05:05Z</dcterms:created>
  <dcterms:modified xsi:type="dcterms:W3CDTF">2022-04-19T17:59:32Z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1480832315</vt:i4>
  </property>
  <property fmtid="{D5CDD505-2E9C-101B-9397-08002B2CF9AE}" pid="3" name="_EmailSubject">
    <vt:lpwstr>SEED Latest</vt:lpwstr>
  </property>
  <property fmtid="{D5CDD505-2E9C-101B-9397-08002B2CF9AE}" pid="4" name="_AuthorEmail">
    <vt:lpwstr>hberline@stevens.edu</vt:lpwstr>
  </property>
  <property fmtid="{D5CDD505-2E9C-101B-9397-08002B2CF9AE}" pid="5" name="_AuthorEmailDisplayName">
    <vt:lpwstr>HBERLINE@stevens.edu</vt:lpwstr>
  </property>
  <property fmtid="{D5CDD505-2E9C-101B-9397-08002B2CF9AE}" pid="6" name="_ReviewingToolsShownOnce">
    <vt:lpwstr/>
  </property>
</Properties>
</file>