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YHi14\Documents\terrarum_renewed\work_files\"/>
    </mc:Choice>
  </mc:AlternateContent>
  <bookViews>
    <workbookView xWindow="0" yWindow="0" windowWidth="25200" windowHeight="11895"/>
  </bookViews>
  <sheets>
    <sheet name="Sheet1" sheetId="1" r:id="rId1"/>
    <sheet name="Sheet1 (2)" sheetId="4" r:id="rId2"/>
    <sheet name="Variables" sheetId="5" r:id="rId3"/>
  </sheets>
  <calcPr calcId="162913"/>
</workbook>
</file>

<file path=xl/calcChain.xml><?xml version="1.0" encoding="utf-8"?>
<calcChain xmlns="http://schemas.openxmlformats.org/spreadsheetml/2006/main">
  <c r="C13" i="1" l="1"/>
  <c r="C14" i="1"/>
  <c r="E5" i="4"/>
  <c r="A16" i="1"/>
  <c r="L12" i="1"/>
  <c r="L13" i="1"/>
  <c r="H6" i="5"/>
  <c r="H7" i="5"/>
  <c r="H8" i="5"/>
  <c r="H9" i="5"/>
  <c r="H10" i="5"/>
  <c r="H11" i="5"/>
  <c r="H12" i="5"/>
  <c r="H13" i="5"/>
  <c r="H5" i="5"/>
  <c r="F7" i="1"/>
  <c r="F12" i="1"/>
  <c r="H13" i="1"/>
  <c r="B3" i="5"/>
  <c r="L6" i="1" s="1"/>
  <c r="C6" i="1"/>
  <c r="O6" i="1" s="1"/>
  <c r="N7" i="1"/>
  <c r="O7" i="1"/>
  <c r="P7" i="1"/>
  <c r="Q7" i="1"/>
  <c r="R7" i="1"/>
  <c r="S7" i="1"/>
  <c r="E5" i="1"/>
  <c r="M3" i="4"/>
  <c r="N3" i="4"/>
  <c r="O3" i="4"/>
  <c r="P3" i="4"/>
  <c r="Q3" i="4"/>
  <c r="C14" i="4"/>
  <c r="M14" i="4" s="1"/>
  <c r="R13" i="1"/>
  <c r="C12" i="1"/>
  <c r="P12" i="1" s="1"/>
  <c r="C9" i="1"/>
  <c r="R9" i="1" s="1"/>
  <c r="C11" i="1"/>
  <c r="N11" i="1" s="1"/>
  <c r="C10" i="1"/>
  <c r="N10" i="1" s="1"/>
  <c r="C8" i="1"/>
  <c r="P8" i="1" s="1"/>
  <c r="L3" i="4"/>
  <c r="D2" i="5"/>
  <c r="E2" i="5"/>
  <c r="E1" i="5"/>
  <c r="D1" i="5"/>
  <c r="O3" i="1"/>
  <c r="P3" i="1"/>
  <c r="Q3" i="1"/>
  <c r="R3" i="1"/>
  <c r="S3" i="1"/>
  <c r="N3" i="1"/>
  <c r="C7" i="4"/>
  <c r="P7" i="4" s="1"/>
  <c r="C8" i="4"/>
  <c r="N8" i="4" s="1"/>
  <c r="B7" i="4"/>
  <c r="B8" i="4"/>
  <c r="B9" i="4"/>
  <c r="B10" i="4"/>
  <c r="F10" i="4" s="1"/>
  <c r="B11" i="4"/>
  <c r="H11" i="4" s="1"/>
  <c r="B12" i="4"/>
  <c r="B13" i="4"/>
  <c r="B14" i="4"/>
  <c r="E14" i="4" s="1"/>
  <c r="G13" i="5" s="1"/>
  <c r="B6" i="4"/>
  <c r="B1" i="5"/>
  <c r="F7" i="4" s="1"/>
  <c r="A16" i="4"/>
  <c r="O8" i="1" l="1"/>
  <c r="O12" i="1"/>
  <c r="N12" i="1"/>
  <c r="N8" i="1"/>
  <c r="F7" i="5" s="1"/>
  <c r="J11" i="1"/>
  <c r="E13" i="4"/>
  <c r="G12" i="5" s="1"/>
  <c r="J9" i="4"/>
  <c r="H10" i="1"/>
  <c r="J14" i="4"/>
  <c r="H8" i="4"/>
  <c r="G10" i="1"/>
  <c r="E8" i="1"/>
  <c r="J8" i="1"/>
  <c r="G13" i="4"/>
  <c r="J6" i="4"/>
  <c r="E6" i="1"/>
  <c r="G8" i="4"/>
  <c r="E7" i="1"/>
  <c r="I8" i="1"/>
  <c r="F13" i="4"/>
  <c r="I6" i="4"/>
  <c r="I14" i="4"/>
  <c r="I13" i="1"/>
  <c r="G7" i="1"/>
  <c r="I11" i="4"/>
  <c r="E14" i="1"/>
  <c r="J14" i="1"/>
  <c r="G13" i="1"/>
  <c r="I11" i="1"/>
  <c r="F10" i="1"/>
  <c r="H8" i="1"/>
  <c r="J6" i="1"/>
  <c r="E12" i="4"/>
  <c r="G11" i="5" s="1"/>
  <c r="H14" i="4"/>
  <c r="J12" i="4"/>
  <c r="G11" i="4"/>
  <c r="I9" i="4"/>
  <c r="F8" i="4"/>
  <c r="H6" i="4"/>
  <c r="L11" i="1"/>
  <c r="E13" i="1"/>
  <c r="I14" i="1"/>
  <c r="F13" i="1"/>
  <c r="H11" i="1"/>
  <c r="J9" i="1"/>
  <c r="G8" i="1"/>
  <c r="I6" i="1"/>
  <c r="E11" i="4"/>
  <c r="G10" i="5" s="1"/>
  <c r="G14" i="4"/>
  <c r="I12" i="4"/>
  <c r="F11" i="4"/>
  <c r="H9" i="4"/>
  <c r="J7" i="4"/>
  <c r="G6" i="4"/>
  <c r="L10" i="1"/>
  <c r="E12" i="1"/>
  <c r="H14" i="1"/>
  <c r="J12" i="1"/>
  <c r="G11" i="1"/>
  <c r="I9" i="1"/>
  <c r="F8" i="1"/>
  <c r="H6" i="1"/>
  <c r="E10" i="4"/>
  <c r="G9" i="5" s="1"/>
  <c r="F14" i="4"/>
  <c r="H12" i="4"/>
  <c r="J10" i="4"/>
  <c r="G9" i="4"/>
  <c r="I7" i="4"/>
  <c r="F6" i="4"/>
  <c r="L9" i="1"/>
  <c r="E11" i="1"/>
  <c r="G14" i="1"/>
  <c r="I12" i="1"/>
  <c r="F11" i="1"/>
  <c r="H9" i="1"/>
  <c r="J7" i="1"/>
  <c r="G6" i="1"/>
  <c r="E9" i="4"/>
  <c r="G8" i="5" s="1"/>
  <c r="J13" i="4"/>
  <c r="G12" i="4"/>
  <c r="I10" i="4"/>
  <c r="F9" i="4"/>
  <c r="H7" i="4"/>
  <c r="L8" i="1"/>
  <c r="E10" i="1"/>
  <c r="F14" i="1"/>
  <c r="H12" i="1"/>
  <c r="J10" i="1"/>
  <c r="G9" i="1"/>
  <c r="I7" i="1"/>
  <c r="F6" i="1"/>
  <c r="E8" i="4"/>
  <c r="G7" i="5" s="1"/>
  <c r="I13" i="4"/>
  <c r="F12" i="4"/>
  <c r="H10" i="4"/>
  <c r="J8" i="4"/>
  <c r="G7" i="4"/>
  <c r="L7" i="1"/>
  <c r="E9" i="1"/>
  <c r="J13" i="1"/>
  <c r="G12" i="1"/>
  <c r="I10" i="1"/>
  <c r="F9" i="1"/>
  <c r="H7" i="1"/>
  <c r="E6" i="4"/>
  <c r="G5" i="5" s="1"/>
  <c r="E7" i="4"/>
  <c r="G6" i="5" s="1"/>
  <c r="H13" i="4"/>
  <c r="J11" i="4"/>
  <c r="G10" i="4"/>
  <c r="I8" i="4"/>
  <c r="L14" i="1"/>
  <c r="C10" i="4"/>
  <c r="Q10" i="4" s="1"/>
  <c r="S10" i="1"/>
  <c r="R10" i="1"/>
  <c r="O10" i="1"/>
  <c r="Q13" i="1"/>
  <c r="Q9" i="1"/>
  <c r="P13" i="1"/>
  <c r="P9" i="1"/>
  <c r="S12" i="1"/>
  <c r="S8" i="1"/>
  <c r="R14" i="1"/>
  <c r="Q14" i="1"/>
  <c r="O13" i="1"/>
  <c r="S11" i="1"/>
  <c r="Q10" i="1"/>
  <c r="O9" i="1"/>
  <c r="S14" i="1"/>
  <c r="C11" i="4"/>
  <c r="M11" i="4" s="1"/>
  <c r="P14" i="1"/>
  <c r="N13" i="1"/>
  <c r="R11" i="1"/>
  <c r="P10" i="1"/>
  <c r="N9" i="1"/>
  <c r="N14" i="1"/>
  <c r="R12" i="1"/>
  <c r="P11" i="1"/>
  <c r="R8" i="1"/>
  <c r="S13" i="1"/>
  <c r="Q12" i="1"/>
  <c r="O11" i="1"/>
  <c r="S9" i="1"/>
  <c r="Q8" i="1"/>
  <c r="O14" i="1"/>
  <c r="Q11" i="1"/>
  <c r="S6" i="1"/>
  <c r="R6" i="1"/>
  <c r="N6" i="1"/>
  <c r="Q6" i="1"/>
  <c r="P6" i="1"/>
  <c r="F13" i="5"/>
  <c r="F9" i="5"/>
  <c r="F6" i="5"/>
  <c r="F10" i="5"/>
  <c r="L14" i="4"/>
  <c r="Q14" i="4"/>
  <c r="P14" i="4"/>
  <c r="O7" i="4"/>
  <c r="L8" i="4"/>
  <c r="Q8" i="4"/>
  <c r="N7" i="4"/>
  <c r="L7" i="4"/>
  <c r="N10" i="4"/>
  <c r="P8" i="4"/>
  <c r="M7" i="4"/>
  <c r="O8" i="4"/>
  <c r="O14" i="4"/>
  <c r="M8" i="4"/>
  <c r="N14" i="4"/>
  <c r="Q7" i="4"/>
  <c r="C13" i="4"/>
  <c r="C12" i="4"/>
  <c r="C6" i="4"/>
  <c r="C9" i="4"/>
  <c r="O10" i="4" l="1"/>
  <c r="N11" i="4"/>
  <c r="O11" i="4"/>
  <c r="L10" i="4"/>
  <c r="M10" i="4"/>
  <c r="P10" i="4"/>
  <c r="P11" i="4"/>
  <c r="L11" i="4"/>
  <c r="Q11" i="4"/>
  <c r="F12" i="5"/>
  <c r="F5" i="5"/>
  <c r="F11" i="5"/>
  <c r="O12" i="4"/>
  <c r="P12" i="4"/>
  <c r="N12" i="4"/>
  <c r="Q12" i="4"/>
  <c r="L12" i="4"/>
  <c r="M12" i="4"/>
  <c r="L13" i="4"/>
  <c r="M13" i="4"/>
  <c r="N13" i="4"/>
  <c r="O13" i="4"/>
  <c r="P13" i="4"/>
  <c r="Q13" i="4"/>
  <c r="N9" i="4"/>
  <c r="Q9" i="4"/>
  <c r="O9" i="4"/>
  <c r="P9" i="4"/>
  <c r="M9" i="4"/>
  <c r="L9" i="4"/>
  <c r="M6" i="4"/>
  <c r="N6" i="4"/>
  <c r="O6" i="4"/>
  <c r="P6" i="4"/>
  <c r="Q6" i="4"/>
  <c r="L6" i="4"/>
  <c r="F8" i="5"/>
  <c r="E6" i="5"/>
  <c r="E5" i="5"/>
  <c r="E9" i="5"/>
  <c r="E13" i="5"/>
  <c r="E11" i="5"/>
  <c r="E12" i="5"/>
  <c r="E10" i="5"/>
  <c r="E7" i="5"/>
  <c r="E8" i="5"/>
</calcChain>
</file>

<file path=xl/sharedStrings.xml><?xml version="1.0" encoding="utf-8"?>
<sst xmlns="http://schemas.openxmlformats.org/spreadsheetml/2006/main" count="63" uniqueCount="39">
  <si>
    <t>Pickaxe Power</t>
  </si>
  <si>
    <t>Stone</t>
  </si>
  <si>
    <t>Ice</t>
  </si>
  <si>
    <t>Glass</t>
  </si>
  <si>
    <t>Material</t>
  </si>
  <si>
    <t>ForceMod</t>
  </si>
  <si>
    <t>Copper</t>
  </si>
  <si>
    <t>Iron</t>
  </si>
  <si>
    <t>Silver</t>
  </si>
  <si>
    <t>Steel</t>
  </si>
  <si>
    <t>TiAlV</t>
  </si>
  <si>
    <t>ElvenGlass</t>
  </si>
  <si>
    <t>ElvenAuri</t>
  </si>
  <si>
    <t>SpcAdamant</t>
  </si>
  <si>
    <t>Hatchet Power</t>
  </si>
  <si>
    <t>Oak</t>
  </si>
  <si>
    <t>Ebony</t>
  </si>
  <si>
    <t>Birch</t>
  </si>
  <si>
    <t>SwingsPerSec</t>
  </si>
  <si>
    <t>Wrong type of tool halves attack power</t>
  </si>
  <si>
    <t>Durability</t>
  </si>
  <si>
    <t>Each swing takes 1 from durability</t>
  </si>
  <si>
    <t>Seconds take</t>
  </si>
  <si>
    <t>Swinging needed</t>
  </si>
  <si>
    <t>Do not alter this table! Go to Sheet1</t>
  </si>
  <si>
    <t>This is your input table</t>
  </si>
  <si>
    <t>Metal</t>
  </si>
  <si>
    <t>Time</t>
  </si>
  <si>
    <t>Count</t>
  </si>
  <si>
    <t>Dirt</t>
  </si>
  <si>
    <t>Can be buffed</t>
  </si>
  <si>
    <t>Red</t>
  </si>
  <si>
    <t>Pickaxe</t>
  </si>
  <si>
    <t>Tool life for tiles</t>
  </si>
  <si>
    <t>Rows</t>
  </si>
  <si>
    <t>Hatchet</t>
  </si>
  <si>
    <t>AtkPoint</t>
  </si>
  <si>
    <t>AtkPnt per second</t>
  </si>
  <si>
    <t>AtkPnt per 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</si>
</sst>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2" tint="-0.74999237037263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36"/>
      <name val="Raleway"/>
      <family val="3"/>
    </font>
    <font>
      <b/>
      <sz val="11"/>
      <color theme="2" tint="-0.749992370372631"/>
      <name val="Calibri"/>
      <family val="2"/>
    </font>
    <font>
      <sz val="10"/>
      <color rgb="FF3F3F76"/>
      <name val="Calibri"/>
      <family val="2"/>
      <scheme val="minor"/>
    </font>
    <font>
      <i/>
      <sz val="11"/>
      <color theme="2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3" fillId="2" borderId="1" applyNumberFormat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3" borderId="3" applyNumberFormat="0" applyAlignment="0" applyProtection="0"/>
    <xf numFmtId="0" fontId="10" fillId="4" borderId="3" applyNumberFormat="0" applyAlignment="0" applyProtection="0"/>
    <xf numFmtId="0" fontId="1" fillId="5" borderId="0" applyNumberFormat="0" applyBorder="0" applyAlignment="0" applyProtection="0"/>
  </cellStyleXfs>
  <cellXfs count="32">
    <xf numFmtId="0" fontId="0" fillId="0" borderId="0" xfId="0"/>
    <xf numFmtId="0" fontId="7" fillId="0" borderId="0" xfId="0" applyFont="1" applyFill="1" applyBorder="1"/>
    <xf numFmtId="2" fontId="3" fillId="2" borderId="1" xfId="2" applyNumberFormat="1" applyFont="1" applyFill="1" applyBorder="1"/>
    <xf numFmtId="0" fontId="11" fillId="0" borderId="0" xfId="1" applyFont="1"/>
    <xf numFmtId="0" fontId="9" fillId="3" borderId="3" xfId="5"/>
    <xf numFmtId="2" fontId="9" fillId="3" borderId="3" xfId="5" applyNumberFormat="1"/>
    <xf numFmtId="0" fontId="6" fillId="0" borderId="0" xfId="0" applyFont="1" applyFill="1"/>
    <xf numFmtId="0" fontId="8" fillId="0" borderId="0" xfId="4" applyFont="1" applyAlignment="1">
      <alignment wrapText="1"/>
    </xf>
    <xf numFmtId="0" fontId="8" fillId="0" borderId="0" xfId="4" applyFont="1" applyAlignment="1">
      <alignment wrapText="1"/>
    </xf>
    <xf numFmtId="0" fontId="2" fillId="0" borderId="0" xfId="3"/>
    <xf numFmtId="2" fontId="0" fillId="0" borderId="0" xfId="0" applyNumberFormat="1"/>
    <xf numFmtId="0" fontId="10" fillId="4" borderId="3" xfId="6"/>
    <xf numFmtId="0" fontId="9" fillId="3" borderId="3" xfId="5"/>
    <xf numFmtId="0" fontId="2" fillId="0" borderId="0" xfId="3" applyAlignment="1">
      <alignment horizontal="center"/>
    </xf>
    <xf numFmtId="2" fontId="3" fillId="2" borderId="1" xfId="2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/>
    <xf numFmtId="0" fontId="2" fillId="0" borderId="0" xfId="3" applyFont="1" applyFill="1" applyBorder="1" applyAlignment="1">
      <alignment horizontal="center"/>
    </xf>
    <xf numFmtId="0" fontId="8" fillId="0" borderId="0" xfId="4" applyFont="1" applyAlignment="1">
      <alignment horizontal="left" wrapText="1"/>
    </xf>
    <xf numFmtId="0" fontId="2" fillId="0" borderId="0" xfId="3" applyFill="1" applyBorder="1" applyAlignment="1">
      <alignment horizontal="center"/>
    </xf>
    <xf numFmtId="0" fontId="12" fillId="0" borderId="0" xfId="0" applyFont="1"/>
    <xf numFmtId="0" fontId="12" fillId="0" borderId="0" xfId="3" applyFont="1"/>
    <xf numFmtId="49" fontId="13" fillId="3" borderId="5" xfId="5" applyNumberFormat="1" applyFont="1" applyBorder="1" applyAlignment="1">
      <alignment horizontal="center" vertical="center" wrapText="1"/>
    </xf>
    <xf numFmtId="49" fontId="13" fillId="3" borderId="6" xfId="5" applyNumberFormat="1" applyFont="1" applyBorder="1" applyAlignment="1">
      <alignment horizontal="center" vertical="center" wrapText="1"/>
    </xf>
    <xf numFmtId="49" fontId="13" fillId="3" borderId="7" xfId="5" applyNumberFormat="1" applyFont="1" applyBorder="1" applyAlignment="1">
      <alignment horizontal="center" vertical="center" wrapText="1"/>
    </xf>
    <xf numFmtId="0" fontId="7" fillId="0" borderId="0" xfId="0" applyFont="1" applyFill="1"/>
    <xf numFmtId="0" fontId="9" fillId="3" borderId="8" xfId="5" applyBorder="1"/>
    <xf numFmtId="0" fontId="1" fillId="5" borderId="4" xfId="7" applyBorder="1"/>
    <xf numFmtId="0" fontId="12" fillId="0" borderId="2" xfId="3" applyFont="1" applyFill="1" applyBorder="1" applyAlignment="1">
      <alignment horizontal="center"/>
    </xf>
    <xf numFmtId="0" fontId="12" fillId="0" borderId="2" xfId="3" applyFont="1" applyBorder="1" applyAlignment="1">
      <alignment horizontal="center"/>
    </xf>
    <xf numFmtId="0" fontId="14" fillId="2" borderId="1" xfId="2" applyFont="1"/>
  </cellXfs>
  <cellStyles count="8">
    <cellStyle name="20% - Accent3" xfId="7" builtinId="38"/>
    <cellStyle name="Calculation" xfId="6" builtinId="22"/>
    <cellStyle name="Explanatory Text" xfId="3" builtinId="53" customBuiltin="1"/>
    <cellStyle name="Heading 4" xfId="4" builtinId="19"/>
    <cellStyle name="Input" xfId="5" builtinId="20"/>
    <cellStyle name="Normal" xfId="0" builtinId="0" customBuiltin="1"/>
    <cellStyle name="Output" xfId="2" builtinId="21" customBuiltin="1"/>
    <cellStyle name="Title" xfId="1" builtinId="15" customBuiltin="1"/>
  </cellStyles>
  <dxfs count="15">
    <dxf>
      <font>
        <b val="0"/>
        <i/>
        <strike val="0"/>
        <outline val="0"/>
        <shadow val="0"/>
        <u val="none"/>
        <vertAlign val="baseline"/>
        <sz val="11"/>
        <color theme="2" tint="-0.499984740745262"/>
        <name val="Calibri"/>
        <scheme val="none"/>
      </font>
      <numFmt numFmtId="0" formatCode="General"/>
    </dxf>
    <dxf>
      <font>
        <b val="0"/>
        <i/>
        <strike val="0"/>
        <outline val="0"/>
        <shadow val="0"/>
        <u val="none"/>
        <vertAlign val="baseline"/>
        <sz val="11"/>
        <color theme="2" tint="-0.499984740745262"/>
        <name val="Calibri"/>
        <scheme val="none"/>
      </font>
    </dxf>
    <dxf>
      <font>
        <b val="0"/>
        <i/>
        <strike val="0"/>
        <outline val="0"/>
        <shadow val="0"/>
        <u val="none"/>
        <vertAlign val="baseline"/>
        <sz val="11"/>
        <color theme="2" tint="-0.499984740745262"/>
        <name val="Calibri"/>
        <scheme val="none"/>
      </font>
    </dxf>
    <dxf>
      <border diagonalUp="0" diagonalDown="0">
        <left/>
        <right/>
        <top style="thin">
          <color rgb="FF000000"/>
        </top>
        <bottom style="thin">
          <color rgb="FF000000"/>
        </bottom>
      </border>
    </dxf>
    <dxf>
      <font>
        <b val="0"/>
        <i/>
        <strike val="0"/>
        <outline val="0"/>
        <shadow val="0"/>
        <u val="none"/>
        <vertAlign val="baseline"/>
        <sz val="11"/>
        <color theme="2" tint="-0.49998474074526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  <i val="0"/>
        <strike val="0"/>
        <outline val="0"/>
        <shadow val="0"/>
        <u val="none"/>
        <vertAlign val="baseline"/>
        <sz val="11"/>
        <color theme="2" tint="-0.749992370372631"/>
        <name val="Calibri"/>
        <scheme val="none"/>
      </font>
    </dxf>
    <dxf>
      <numFmt numFmtId="2" formatCode="0.0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0" tint="-0.14999847407452621"/>
          <bgColor auto="1"/>
        </patternFill>
      </fill>
    </dxf>
    <dxf>
      <border diagonalUp="0" diagonalDown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Variables!$D$1</c:f>
          <c:strCache>
            <c:ptCount val="1"/>
            <c:pt idx="0">
              <c:v>Seconds take to break a stone tile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28068557375724E-2"/>
          <c:y val="0.11100632065549494"/>
          <c:w val="0.91731129501644038"/>
          <c:h val="0.72423009061860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Sheet1!$A$6:$A$14</c:f>
              <c:strCache>
                <c:ptCount val="9"/>
                <c:pt idx="0">
                  <c:v>Stone</c:v>
                </c:pt>
                <c:pt idx="1">
                  <c:v>Copper</c:v>
                </c:pt>
                <c:pt idx="2">
                  <c:v>ElvenGlass</c:v>
                </c:pt>
                <c:pt idx="3">
                  <c:v>Iron</c:v>
                </c:pt>
                <c:pt idx="4">
                  <c:v>Silver</c:v>
                </c:pt>
                <c:pt idx="5">
                  <c:v>Steel</c:v>
                </c:pt>
                <c:pt idx="6">
                  <c:v>ElvenAuri</c:v>
                </c:pt>
                <c:pt idx="7">
                  <c:v>TiAlV</c:v>
                </c:pt>
                <c:pt idx="8">
                  <c:v>SpcAdamant</c:v>
                </c:pt>
              </c:strCache>
            </c:strRef>
          </c:cat>
          <c:val>
            <c:numRef>
              <c:f>Variables!$E$5:$E$13</c:f>
              <c:numCache>
                <c:formatCode>0.00</c:formatCode>
                <c:ptCount val="9"/>
                <c:pt idx="0">
                  <c:v>4</c:v>
                </c:pt>
                <c:pt idx="1">
                  <c:v>2.8284271247461898</c:v>
                </c:pt>
                <c:pt idx="2">
                  <c:v>2</c:v>
                </c:pt>
                <c:pt idx="3">
                  <c:v>1.7888543819998317</c:v>
                </c:pt>
                <c:pt idx="4">
                  <c:v>1.3333333333333333</c:v>
                </c:pt>
                <c:pt idx="5">
                  <c:v>1.0690449676496976</c:v>
                </c:pt>
                <c:pt idx="6">
                  <c:v>0.87287156094396945</c:v>
                </c:pt>
                <c:pt idx="7">
                  <c:v>0.69631062382279141</c:v>
                </c:pt>
                <c:pt idx="8">
                  <c:v>0.4747126632775413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7-4EF0-BFA0-8553B33A46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99958319"/>
        <c:axId val="1299961231"/>
      </c:barChart>
      <c:catAx>
        <c:axId val="12999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1231"/>
        <c:crosses val="autoZero"/>
        <c:auto val="1"/>
        <c:lblAlgn val="ctr"/>
        <c:lblOffset val="100"/>
        <c:noMultiLvlLbl val="0"/>
      </c:catAx>
      <c:valAx>
        <c:axId val="12999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Variables!$E$1</c:f>
          <c:strCache>
            <c:ptCount val="1"/>
            <c:pt idx="0">
              <c:v>Tool life for stone tiles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Sheet1!$A$6:$A$14</c:f>
              <c:strCache>
                <c:ptCount val="9"/>
                <c:pt idx="0">
                  <c:v>Stone</c:v>
                </c:pt>
                <c:pt idx="1">
                  <c:v>Copper</c:v>
                </c:pt>
                <c:pt idx="2">
                  <c:v>ElvenGlass</c:v>
                </c:pt>
                <c:pt idx="3">
                  <c:v>Iron</c:v>
                </c:pt>
                <c:pt idx="4">
                  <c:v>Silver</c:v>
                </c:pt>
                <c:pt idx="5">
                  <c:v>Steel</c:v>
                </c:pt>
                <c:pt idx="6">
                  <c:v>ElvenAuri</c:v>
                </c:pt>
                <c:pt idx="7">
                  <c:v>TiAlV</c:v>
                </c:pt>
                <c:pt idx="8">
                  <c:v>SpcAdamant</c:v>
                </c:pt>
              </c:strCache>
            </c:strRef>
          </c:cat>
          <c:val>
            <c:numRef>
              <c:f>Variables!$F$5:$F$13</c:f>
              <c:numCache>
                <c:formatCode>0.00</c:formatCode>
                <c:ptCount val="9"/>
                <c:pt idx="0">
                  <c:v>12.25</c:v>
                </c:pt>
                <c:pt idx="1">
                  <c:v>41.247895569215274</c:v>
                </c:pt>
                <c:pt idx="2">
                  <c:v>47.833333333333336</c:v>
                </c:pt>
                <c:pt idx="3">
                  <c:v>92.610482068116283</c:v>
                </c:pt>
                <c:pt idx="4">
                  <c:v>79.75</c:v>
                </c:pt>
                <c:pt idx="5">
                  <c:v>188.95369803208402</c:v>
                </c:pt>
                <c:pt idx="6">
                  <c:v>181.77550256658165</c:v>
                </c:pt>
                <c:pt idx="7">
                  <c:v>361.90744673189579</c:v>
                </c:pt>
                <c:pt idx="8">
                  <c:v>840.50843987434189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C-42CC-ABBA-3C8A93E7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390047"/>
        <c:axId val="315402527"/>
      </c:barChart>
      <c:catAx>
        <c:axId val="3153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02527"/>
        <c:crosses val="autoZero"/>
        <c:auto val="1"/>
        <c:lblAlgn val="ctr"/>
        <c:lblOffset val="100"/>
        <c:noMultiLvlLbl val="0"/>
      </c:catAx>
      <c:valAx>
        <c:axId val="3154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Variables!$D$2</c:f>
          <c:strCache>
            <c:ptCount val="1"/>
            <c:pt idx="0">
              <c:v>Seconds take to break a ebony plank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(2)'!$A$6:$A$14</c:f>
              <c:strCache>
                <c:ptCount val="9"/>
                <c:pt idx="0">
                  <c:v>Stone</c:v>
                </c:pt>
                <c:pt idx="1">
                  <c:v>Copper</c:v>
                </c:pt>
                <c:pt idx="2">
                  <c:v>ElvenGlass</c:v>
                </c:pt>
                <c:pt idx="3">
                  <c:v>Iron</c:v>
                </c:pt>
                <c:pt idx="4">
                  <c:v>Silver</c:v>
                </c:pt>
                <c:pt idx="5">
                  <c:v>Steel</c:v>
                </c:pt>
                <c:pt idx="6">
                  <c:v>ElvenAuri</c:v>
                </c:pt>
                <c:pt idx="7">
                  <c:v>TiAlV</c:v>
                </c:pt>
                <c:pt idx="8">
                  <c:v>SpcAdamant</c:v>
                </c:pt>
              </c:strCache>
            </c:strRef>
          </c:cat>
          <c:val>
            <c:numRef>
              <c:f>Variables!$G$5:$G$13</c:f>
              <c:numCache>
                <c:formatCode>0.00</c:formatCode>
                <c:ptCount val="9"/>
                <c:pt idx="0">
                  <c:v>1.5833333333333333</c:v>
                </c:pt>
                <c:pt idx="1">
                  <c:v>1.1195857368787001</c:v>
                </c:pt>
                <c:pt idx="2">
                  <c:v>0.79166666666666663</c:v>
                </c:pt>
                <c:pt idx="3">
                  <c:v>0.70808819287493341</c:v>
                </c:pt>
                <c:pt idx="4">
                  <c:v>0.52777777777777779</c:v>
                </c:pt>
                <c:pt idx="5">
                  <c:v>0.42316363302800525</c:v>
                </c:pt>
                <c:pt idx="6">
                  <c:v>0.34551165954032126</c:v>
                </c:pt>
                <c:pt idx="7">
                  <c:v>0.27562295526318825</c:v>
                </c:pt>
                <c:pt idx="8">
                  <c:v>0.18790709588069343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2E1-8CA0-7B9D531B2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99958319"/>
        <c:axId val="1299961231"/>
      </c:barChart>
      <c:catAx>
        <c:axId val="12999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1231"/>
        <c:crosses val="autoZero"/>
        <c:auto val="1"/>
        <c:lblAlgn val="ctr"/>
        <c:lblOffset val="100"/>
        <c:noMultiLvlLbl val="0"/>
      </c:catAx>
      <c:valAx>
        <c:axId val="12999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128585</xdr:rowOff>
    </xdr:from>
    <xdr:to>
      <xdr:col>10</xdr:col>
      <xdr:colOff>114300</xdr:colOff>
      <xdr:row>38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80961</xdr:colOff>
      <xdr:row>16</xdr:row>
      <xdr:rowOff>123824</xdr:rowOff>
    </xdr:from>
    <xdr:to>
      <xdr:col>21</xdr:col>
      <xdr:colOff>419100</xdr:colOff>
      <xdr:row>38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0.02967</cdr:x>
      <cdr:y>0.90379</cdr:y>
    </cdr:from>
    <cdr:to>
      <cdr:x>0.99703</cdr:x>
      <cdr:y>0.98526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498" y="3835141"/>
          <a:ext cx="6210301" cy="3457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128586</xdr:rowOff>
    </xdr:from>
    <xdr:to>
      <xdr:col>10</xdr:col>
      <xdr:colOff>485775</xdr:colOff>
      <xdr:row>35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6" displayName="Table6" ref="E3:J4" header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:C14" totalsRowShown="0" headerRowDxfId="14" dataDxfId="13" tableBorderDxfId="12">
  <autoFilter ref="A5:C14"/>
  <sortState ref="A6:B14">
    <sortCondition ref="B5:B14"/>
  </sortState>
  <tableColumns count="3">
    <tableColumn id="1" name="Material" dataDxfId="6" dataCellStyle="20% - Accent3"/>
    <tableColumn id="2" name="ForceMod" dataCellStyle="Input"/>
    <tableColumn id="4" name="Durability" dataDxfId="11"/>
  </tableColumns>
  <tableStyleInfo name="TableStyleLight1" showFirstColumn="1" showLastColumn="0" showRowStripes="0" showColumnStripes="0"/>
</table>
</file>

<file path=xl/tables/table3.xml><?xml version="1.0" encoding="utf-8"?>
<table xmlns="http://schemas.openxmlformats.org/spreadsheetml/2006/main" id="7" name="Table8" displayName="Table8" ref="L5:L14" totalsRowShown="0" headerRowDxfId="10" dataDxfId="9" headerRowCellStyle="Explanatory Text" dataCellStyle="Output">
  <autoFilter ref="L5:L14">
    <filterColumn colId="0" hiddenButton="1"/>
  </autoFilter>
  <tableColumns count="1">
    <tableColumn id="1" name="AtkPoint" dataDxfId="7" dataCellStyle="Output">
      <calculatedColumnFormula>4*SQRT(Table3[[#This Row],[ForceMod]])*VLOOKUP($L$2,Variables!$A$3:$B$4,2,FALSE)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id="1" name="Table62" displayName="Table62" ref="E3:J4" header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Table35" displayName="Table35" ref="A5:C14" totalsRowShown="0" headerRowDxfId="5" dataDxfId="4" tableBorderDxfId="3" dataCellStyle="Output">
  <autoFilter ref="A5:C14"/>
  <sortState ref="A6:B14">
    <sortCondition ref="B5:B14"/>
  </sortState>
  <tableColumns count="3">
    <tableColumn id="1" name="Material" dataDxfId="2" dataCellStyle="Output"/>
    <tableColumn id="2" name="ForceMod" dataDxfId="1" dataCellStyle="Output">
      <calculatedColumnFormula>Table3[[#This Row],[ForceMod]]</calculatedColumnFormula>
    </tableColumn>
    <tableColumn id="3" name="Durability" dataDxfId="0" dataCellStyle="Output">
      <calculatedColumnFormula>Table3[[#This Row],[Durability]]</calculatedColumnFormula>
    </tableColumn>
  </tableColumns>
  <tableStyleInfo name="TableStyleLight1" showFirstColumn="1" showLastColumn="0" showRowStripes="0" showColumnStripes="0"/>
</table>
</file>

<file path=xl/tables/table6.xml><?xml version="1.0" encoding="utf-8"?>
<table xmlns="http://schemas.openxmlformats.org/spreadsheetml/2006/main" id="6" name="Table7" displayName="Table7" ref="A1:B4" headerRowCount="0" totalsRowShown="0">
  <tableColumns count="2">
    <tableColumn id="1" name="Name" dataDxfId="8"/>
    <tableColumn id="2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I2" sqref="I2"/>
    </sheetView>
  </sheetViews>
  <sheetFormatPr defaultRowHeight="15" x14ac:dyDescent="0.25"/>
  <cols>
    <col min="1" max="2" width="12.85546875" customWidth="1"/>
    <col min="3" max="3" width="13.140625" customWidth="1"/>
    <col min="4" max="4" width="2.85546875" customWidth="1"/>
    <col min="5" max="10" width="9.140625" customWidth="1"/>
    <col min="11" max="11" width="2.85546875" customWidth="1"/>
    <col min="12" max="12" width="9.140625" customWidth="1"/>
    <col min="13" max="13" width="2.85546875" customWidth="1"/>
    <col min="14" max="15" width="9.140625" customWidth="1"/>
  </cols>
  <sheetData>
    <row r="1" spans="1:19" ht="45" x14ac:dyDescent="0.6">
      <c r="A1" s="3" t="s">
        <v>0</v>
      </c>
    </row>
    <row r="2" spans="1:19" ht="15" customHeight="1" x14ac:dyDescent="0.25">
      <c r="E2" s="12" t="s">
        <v>22</v>
      </c>
      <c r="F2" s="12"/>
      <c r="H2" s="4" t="s">
        <v>1</v>
      </c>
      <c r="L2" s="23" t="s">
        <v>37</v>
      </c>
    </row>
    <row r="3" spans="1:19" ht="15" customHeight="1" x14ac:dyDescent="0.25">
      <c r="A3" t="s">
        <v>18</v>
      </c>
      <c r="B3" s="5">
        <v>3</v>
      </c>
      <c r="C3" s="9" t="s">
        <v>30</v>
      </c>
      <c r="E3" s="17" t="s">
        <v>1</v>
      </c>
      <c r="F3" s="17" t="s">
        <v>2</v>
      </c>
      <c r="G3" s="17" t="s">
        <v>29</v>
      </c>
      <c r="H3" s="17" t="s">
        <v>3</v>
      </c>
      <c r="I3" s="17" t="s">
        <v>26</v>
      </c>
      <c r="J3" s="17"/>
      <c r="K3" s="17"/>
      <c r="L3" s="24"/>
      <c r="N3" s="17" t="str">
        <f>Table6[[#This Row],[Column1]]</f>
        <v>Stone</v>
      </c>
      <c r="O3" s="17" t="str">
        <f>Table6[[#This Row],[Column2]]</f>
        <v>Ice</v>
      </c>
      <c r="P3" s="17" t="str">
        <f>Table6[[#This Row],[Column3]]</f>
        <v>Dirt</v>
      </c>
      <c r="Q3" s="17" t="str">
        <f>Table6[[#This Row],[Column4]]</f>
        <v>Glass</v>
      </c>
      <c r="R3" s="17" t="str">
        <f>Table6[[#This Row],[Column5]]</f>
        <v>Metal</v>
      </c>
      <c r="S3" s="17">
        <f>Table6[[#This Row],[Column6]]</f>
        <v>0</v>
      </c>
    </row>
    <row r="4" spans="1:19" x14ac:dyDescent="0.25">
      <c r="A4" s="13" t="s">
        <v>25</v>
      </c>
      <c r="B4" s="13"/>
      <c r="C4" s="13"/>
      <c r="E4">
        <v>48</v>
      </c>
      <c r="F4">
        <v>35</v>
      </c>
      <c r="G4">
        <v>24</v>
      </c>
      <c r="H4">
        <v>5</v>
      </c>
      <c r="I4">
        <v>125</v>
      </c>
      <c r="L4" s="25"/>
    </row>
    <row r="5" spans="1:19" x14ac:dyDescent="0.25">
      <c r="A5" s="1" t="s">
        <v>4</v>
      </c>
      <c r="B5" s="1" t="s">
        <v>5</v>
      </c>
      <c r="C5" s="1" t="s">
        <v>20</v>
      </c>
      <c r="D5" s="26"/>
      <c r="E5" s="29" t="str">
        <f>E2&amp;" to take one tile"</f>
        <v>Seconds take to take one tile</v>
      </c>
      <c r="F5" s="29"/>
      <c r="G5" s="29"/>
      <c r="H5" s="29"/>
      <c r="I5" s="29"/>
      <c r="J5" s="29"/>
      <c r="K5" s="18"/>
      <c r="L5" s="20" t="s">
        <v>36</v>
      </c>
      <c r="N5" s="30" t="s">
        <v>33</v>
      </c>
      <c r="O5" s="30"/>
      <c r="P5" s="30"/>
      <c r="Q5" s="30"/>
      <c r="R5" s="30"/>
      <c r="S5" s="30"/>
    </row>
    <row r="6" spans="1:19" x14ac:dyDescent="0.25">
      <c r="A6" s="28" t="s">
        <v>1</v>
      </c>
      <c r="B6" s="27">
        <v>1</v>
      </c>
      <c r="C6" s="11">
        <f>ROUND(0.42*C7,0)</f>
        <v>147</v>
      </c>
      <c r="E6" s="2">
        <f>E$4/(4*VLOOKUP($E$2,Variables!$A$1:$B$2,2,FALSE)*SQRT($B6))</f>
        <v>4</v>
      </c>
      <c r="F6" s="2">
        <f>F$4/(4*VLOOKUP($E$2,Variables!$A$1:$B$2,2,FALSE)*SQRT($B6))</f>
        <v>2.9166666666666665</v>
      </c>
      <c r="G6" s="2">
        <f>G$4/(4*VLOOKUP($E$2,Variables!$A$1:$B$2,2,FALSE)*SQRT($B6))</f>
        <v>2</v>
      </c>
      <c r="H6" s="2">
        <f>H$4/(4*VLOOKUP($E$2,Variables!$A$1:$B$2,2,FALSE)*SQRT($B6))</f>
        <v>0.41666666666666669</v>
      </c>
      <c r="I6" s="2">
        <f>I$4/(4*VLOOKUP($E$2,Variables!$A$1:$B$2,2,FALSE)*SQRT($B6))</f>
        <v>10.416666666666666</v>
      </c>
      <c r="J6" s="2">
        <f>J$4/(4*VLOOKUP($E$2,Variables!$A$1:$B$2,2,FALSE)*SQRT($B6))</f>
        <v>0</v>
      </c>
      <c r="L6" s="14">
        <f>4*SQRT(Table3[[#This Row],[ForceMod]])*VLOOKUP($L$2,Variables!$A$3:$B$4,2,FALSE)</f>
        <v>12</v>
      </c>
      <c r="N6" s="14">
        <f>$C6/(E$4/(4*SQRT($B6)))</f>
        <v>12.25</v>
      </c>
      <c r="O6" s="14">
        <f t="shared" ref="O6:S6" si="0">$C6/(F$4/(4*SQRT($B6)))</f>
        <v>16.8</v>
      </c>
      <c r="P6" s="14">
        <f t="shared" si="0"/>
        <v>24.5</v>
      </c>
      <c r="Q6" s="14">
        <f t="shared" si="0"/>
        <v>117.6</v>
      </c>
      <c r="R6" s="14">
        <f t="shared" si="0"/>
        <v>4.7039999999999997</v>
      </c>
      <c r="S6" s="14" t="e">
        <f t="shared" si="0"/>
        <v>#DIV/0!</v>
      </c>
    </row>
    <row r="7" spans="1:19" x14ac:dyDescent="0.25">
      <c r="A7" s="28" t="s">
        <v>6</v>
      </c>
      <c r="B7" s="27">
        <v>2</v>
      </c>
      <c r="C7" s="4">
        <v>350</v>
      </c>
      <c r="E7" s="2">
        <f>E$4/(4*VLOOKUP($E$2,Variables!$A$1:$B$2,2,FALSE)*SQRT($B7))</f>
        <v>2.8284271247461898</v>
      </c>
      <c r="F7" s="2">
        <f>F$4/(4*VLOOKUP($E$2,Variables!$A$1:$B$2,2,FALSE)*SQRT($B7))</f>
        <v>2.0623947784607632</v>
      </c>
      <c r="G7" s="2">
        <f>G$4/(4*VLOOKUP($E$2,Variables!$A$1:$B$2,2,FALSE)*SQRT($B7))</f>
        <v>1.4142135623730949</v>
      </c>
      <c r="H7" s="2">
        <f>H$4/(4*VLOOKUP($E$2,Variables!$A$1:$B$2,2,FALSE)*SQRT($B7))</f>
        <v>0.29462782549439476</v>
      </c>
      <c r="I7" s="2">
        <f>I$4/(4*VLOOKUP($E$2,Variables!$A$1:$B$2,2,FALSE)*SQRT($B7))</f>
        <v>7.3656956373598694</v>
      </c>
      <c r="J7" s="2">
        <f>J$4/(4*VLOOKUP($E$2,Variables!$A$1:$B$2,2,FALSE)*SQRT($B7))</f>
        <v>0</v>
      </c>
      <c r="L7" s="14">
        <f>4*SQRT(Table3[[#This Row],[ForceMod]])*VLOOKUP($L$2,Variables!$A$3:$B$4,2,FALSE)</f>
        <v>16.970562748477143</v>
      </c>
      <c r="N7" s="14">
        <f t="shared" ref="N7:N14" si="1">$C7/(E$4/(4*SQRT($B7)))</f>
        <v>41.247895569215274</v>
      </c>
      <c r="O7" s="14">
        <f t="shared" ref="O7:O14" si="2">$C7/(F$4/(4*SQRT($B7)))</f>
        <v>56.568542494923811</v>
      </c>
      <c r="P7" s="14">
        <f t="shared" ref="P7:P14" si="3">$C7/(G$4/(4*SQRT($B7)))</f>
        <v>82.495791138430548</v>
      </c>
      <c r="Q7" s="14">
        <f t="shared" ref="Q7:Q14" si="4">$C7/(H$4/(4*SQRT($B7)))</f>
        <v>395.97979746446663</v>
      </c>
      <c r="R7" s="14">
        <f t="shared" ref="R7:R14" si="5">$C7/(I$4/(4*SQRT($B7)))</f>
        <v>15.839191898578667</v>
      </c>
      <c r="S7" s="14" t="e">
        <f t="shared" ref="S7:S14" si="6">$C7/(J$4/(4*SQRT($B7)))</f>
        <v>#DIV/0!</v>
      </c>
    </row>
    <row r="8" spans="1:19" x14ac:dyDescent="0.25">
      <c r="A8" s="28" t="s">
        <v>11</v>
      </c>
      <c r="B8" s="27">
        <v>4</v>
      </c>
      <c r="C8" s="11">
        <f>ROUND(0.82*C7,0)</f>
        <v>287</v>
      </c>
      <c r="E8" s="2">
        <f>E$4/(4*VLOOKUP($E$2,Variables!$A$1:$B$2,2,FALSE)*SQRT($B8))</f>
        <v>2</v>
      </c>
      <c r="F8" s="2">
        <f>F$4/(4*VLOOKUP($E$2,Variables!$A$1:$B$2,2,FALSE)*SQRT($B8))</f>
        <v>1.4583333333333333</v>
      </c>
      <c r="G8" s="2">
        <f>G$4/(4*VLOOKUP($E$2,Variables!$A$1:$B$2,2,FALSE)*SQRT($B8))</f>
        <v>1</v>
      </c>
      <c r="H8" s="2">
        <f>H$4/(4*VLOOKUP($E$2,Variables!$A$1:$B$2,2,FALSE)*SQRT($B8))</f>
        <v>0.20833333333333334</v>
      </c>
      <c r="I8" s="2">
        <f>I$4/(4*VLOOKUP($E$2,Variables!$A$1:$B$2,2,FALSE)*SQRT($B8))</f>
        <v>5.208333333333333</v>
      </c>
      <c r="J8" s="2">
        <f>J$4/(4*VLOOKUP($E$2,Variables!$A$1:$B$2,2,FALSE)*SQRT($B8))</f>
        <v>0</v>
      </c>
      <c r="L8" s="14">
        <f>4*SQRT(Table3[[#This Row],[ForceMod]])*VLOOKUP($L$2,Variables!$A$3:$B$4,2,FALSE)</f>
        <v>24</v>
      </c>
      <c r="N8" s="14">
        <f t="shared" si="1"/>
        <v>47.833333333333336</v>
      </c>
      <c r="O8" s="14">
        <f t="shared" si="2"/>
        <v>65.599999999999994</v>
      </c>
      <c r="P8" s="14">
        <f t="shared" si="3"/>
        <v>95.666666666666671</v>
      </c>
      <c r="Q8" s="14">
        <f t="shared" si="4"/>
        <v>459.2</v>
      </c>
      <c r="R8" s="14">
        <f t="shared" si="5"/>
        <v>18.367999999999999</v>
      </c>
      <c r="S8" s="14" t="e">
        <f t="shared" si="6"/>
        <v>#DIV/0!</v>
      </c>
    </row>
    <row r="9" spans="1:19" x14ac:dyDescent="0.25">
      <c r="A9" s="28" t="s">
        <v>7</v>
      </c>
      <c r="B9" s="27">
        <v>5</v>
      </c>
      <c r="C9" s="11">
        <f>ROUND(1.42*C7,0)</f>
        <v>497</v>
      </c>
      <c r="E9" s="2">
        <f>E$4/(4*VLOOKUP($E$2,Variables!$A$1:$B$2,2,FALSE)*SQRT($B9))</f>
        <v>1.7888543819998317</v>
      </c>
      <c r="F9" s="2">
        <f>F$4/(4*VLOOKUP($E$2,Variables!$A$1:$B$2,2,FALSE)*SQRT($B9))</f>
        <v>1.3043729868748772</v>
      </c>
      <c r="G9" s="2">
        <f>G$4/(4*VLOOKUP($E$2,Variables!$A$1:$B$2,2,FALSE)*SQRT($B9))</f>
        <v>0.89442719099991586</v>
      </c>
      <c r="H9" s="2">
        <f>H$4/(4*VLOOKUP($E$2,Variables!$A$1:$B$2,2,FALSE)*SQRT($B9))</f>
        <v>0.18633899812498247</v>
      </c>
      <c r="I9" s="2">
        <f>I$4/(4*VLOOKUP($E$2,Variables!$A$1:$B$2,2,FALSE)*SQRT($B9))</f>
        <v>4.6584749531245615</v>
      </c>
      <c r="J9" s="2">
        <f>J$4/(4*VLOOKUP($E$2,Variables!$A$1:$B$2,2,FALSE)*SQRT($B9))</f>
        <v>0</v>
      </c>
      <c r="L9" s="14">
        <f>4*SQRT(Table3[[#This Row],[ForceMod]])*VLOOKUP($L$2,Variables!$A$3:$B$4,2,FALSE)</f>
        <v>26.832815729997478</v>
      </c>
      <c r="N9" s="14">
        <f t="shared" si="1"/>
        <v>92.610482068116283</v>
      </c>
      <c r="O9" s="14">
        <f t="shared" si="2"/>
        <v>127.00866112198807</v>
      </c>
      <c r="P9" s="14">
        <f t="shared" si="3"/>
        <v>185.22096413623257</v>
      </c>
      <c r="Q9" s="14">
        <f t="shared" si="4"/>
        <v>889.06062785391634</v>
      </c>
      <c r="R9" s="14">
        <f t="shared" si="5"/>
        <v>35.562425114156653</v>
      </c>
      <c r="S9" s="14" t="e">
        <f t="shared" si="6"/>
        <v>#DIV/0!</v>
      </c>
    </row>
    <row r="10" spans="1:19" x14ac:dyDescent="0.25">
      <c r="A10" s="28" t="s">
        <v>8</v>
      </c>
      <c r="B10" s="27">
        <v>9</v>
      </c>
      <c r="C10" s="11">
        <f>ROUND(0.91*C7,0)</f>
        <v>319</v>
      </c>
      <c r="E10" s="2">
        <f>E$4/(4*VLOOKUP($E$2,Variables!$A$1:$B$2,2,FALSE)*SQRT($B10))</f>
        <v>1.3333333333333333</v>
      </c>
      <c r="F10" s="2">
        <f>F$4/(4*VLOOKUP($E$2,Variables!$A$1:$B$2,2,FALSE)*SQRT($B10))</f>
        <v>0.97222222222222221</v>
      </c>
      <c r="G10" s="2">
        <f>G$4/(4*VLOOKUP($E$2,Variables!$A$1:$B$2,2,FALSE)*SQRT($B10))</f>
        <v>0.66666666666666663</v>
      </c>
      <c r="H10" s="2">
        <f>H$4/(4*VLOOKUP($E$2,Variables!$A$1:$B$2,2,FALSE)*SQRT($B10))</f>
        <v>0.1388888888888889</v>
      </c>
      <c r="I10" s="2">
        <f>I$4/(4*VLOOKUP($E$2,Variables!$A$1:$B$2,2,FALSE)*SQRT($B10))</f>
        <v>3.4722222222222223</v>
      </c>
      <c r="J10" s="2">
        <f>J$4/(4*VLOOKUP($E$2,Variables!$A$1:$B$2,2,FALSE)*SQRT($B10))</f>
        <v>0</v>
      </c>
      <c r="L10" s="14">
        <f>4*SQRT(Table3[[#This Row],[ForceMod]])*VLOOKUP($L$2,Variables!$A$3:$B$4,2,FALSE)</f>
        <v>36</v>
      </c>
      <c r="N10" s="14">
        <f t="shared" si="1"/>
        <v>79.75</v>
      </c>
      <c r="O10" s="14">
        <f t="shared" si="2"/>
        <v>109.37142857142858</v>
      </c>
      <c r="P10" s="14">
        <f t="shared" si="3"/>
        <v>159.5</v>
      </c>
      <c r="Q10" s="14">
        <f t="shared" si="4"/>
        <v>765.6</v>
      </c>
      <c r="R10" s="14">
        <f t="shared" si="5"/>
        <v>30.624000000000002</v>
      </c>
      <c r="S10" s="14" t="e">
        <f t="shared" si="6"/>
        <v>#DIV/0!</v>
      </c>
    </row>
    <row r="11" spans="1:19" x14ac:dyDescent="0.25">
      <c r="A11" s="28" t="s">
        <v>9</v>
      </c>
      <c r="B11" s="27">
        <v>14</v>
      </c>
      <c r="C11" s="11">
        <f>ROUND(1.73*C7,0)</f>
        <v>606</v>
      </c>
      <c r="E11" s="2">
        <f>E$4/(4*VLOOKUP($E$2,Variables!$A$1:$B$2,2,FALSE)*SQRT($B11))</f>
        <v>1.0690449676496976</v>
      </c>
      <c r="F11" s="2">
        <f>F$4/(4*VLOOKUP($E$2,Variables!$A$1:$B$2,2,FALSE)*SQRT($B11))</f>
        <v>0.77951195557790443</v>
      </c>
      <c r="G11" s="2">
        <f>G$4/(4*VLOOKUP($E$2,Variables!$A$1:$B$2,2,FALSE)*SQRT($B11))</f>
        <v>0.53452248382484879</v>
      </c>
      <c r="H11" s="2">
        <f>H$4/(4*VLOOKUP($E$2,Variables!$A$1:$B$2,2,FALSE)*SQRT($B11))</f>
        <v>0.11135885079684349</v>
      </c>
      <c r="I11" s="2">
        <f>I$4/(4*VLOOKUP($E$2,Variables!$A$1:$B$2,2,FALSE)*SQRT($B11))</f>
        <v>2.7839712699210875</v>
      </c>
      <c r="J11" s="2">
        <f>J$4/(4*VLOOKUP($E$2,Variables!$A$1:$B$2,2,FALSE)*SQRT($B11))</f>
        <v>0</v>
      </c>
      <c r="L11" s="14">
        <f>4*SQRT(Table3[[#This Row],[ForceMod]])*VLOOKUP($L$2,Variables!$A$3:$B$4,2,FALSE)</f>
        <v>44.899888641287298</v>
      </c>
      <c r="N11" s="14">
        <f t="shared" si="1"/>
        <v>188.95369803208402</v>
      </c>
      <c r="O11" s="14">
        <f t="shared" si="2"/>
        <v>259.13650015828665</v>
      </c>
      <c r="P11" s="14">
        <f t="shared" si="3"/>
        <v>377.90739606416804</v>
      </c>
      <c r="Q11" s="14">
        <f t="shared" si="4"/>
        <v>1813.955501108007</v>
      </c>
      <c r="R11" s="14">
        <f t="shared" si="5"/>
        <v>72.558220044320265</v>
      </c>
      <c r="S11" s="14" t="e">
        <f t="shared" si="6"/>
        <v>#DIV/0!</v>
      </c>
    </row>
    <row r="12" spans="1:19" x14ac:dyDescent="0.25">
      <c r="A12" s="28" t="s">
        <v>12</v>
      </c>
      <c r="B12" s="27">
        <v>21</v>
      </c>
      <c r="C12" s="11">
        <f>ROUND(1.36*C7,0)</f>
        <v>476</v>
      </c>
      <c r="E12" s="2">
        <f>E$4/(4*VLOOKUP($E$2,Variables!$A$1:$B$2,2,FALSE)*SQRT($B12))</f>
        <v>0.87287156094396945</v>
      </c>
      <c r="F12" s="2">
        <f>F$4/(4*VLOOKUP($E$2,Variables!$A$1:$B$2,2,FALSE)*SQRT($B12))</f>
        <v>0.63646884652164448</v>
      </c>
      <c r="G12" s="2">
        <f>G$4/(4*VLOOKUP($E$2,Variables!$A$1:$B$2,2,FALSE)*SQRT($B12))</f>
        <v>0.43643578047198472</v>
      </c>
      <c r="H12" s="2">
        <f>H$4/(4*VLOOKUP($E$2,Variables!$A$1:$B$2,2,FALSE)*SQRT($B12))</f>
        <v>9.0924120931663494E-2</v>
      </c>
      <c r="I12" s="2">
        <f>I$4/(4*VLOOKUP($E$2,Variables!$A$1:$B$2,2,FALSE)*SQRT($B12))</f>
        <v>2.2731030232915872</v>
      </c>
      <c r="J12" s="2">
        <f>J$4/(4*VLOOKUP($E$2,Variables!$A$1:$B$2,2,FALSE)*SQRT($B12))</f>
        <v>0</v>
      </c>
      <c r="L12" s="14">
        <f>4*SQRT(Table3[[#This Row],[ForceMod]])*VLOOKUP($L$2,Variables!$A$3:$B$4,2,FALSE)</f>
        <v>54.990908339470082</v>
      </c>
      <c r="N12" s="14">
        <f t="shared" si="1"/>
        <v>181.77550256658165</v>
      </c>
      <c r="O12" s="14">
        <f t="shared" si="2"/>
        <v>249.29211780559768</v>
      </c>
      <c r="P12" s="14">
        <f t="shared" si="3"/>
        <v>363.5510051331633</v>
      </c>
      <c r="Q12" s="14">
        <f t="shared" si="4"/>
        <v>1745.0448246391836</v>
      </c>
      <c r="R12" s="14">
        <f t="shared" si="5"/>
        <v>69.801792985567346</v>
      </c>
      <c r="S12" s="14" t="e">
        <f t="shared" si="6"/>
        <v>#DIV/0!</v>
      </c>
    </row>
    <row r="13" spans="1:19" x14ac:dyDescent="0.25">
      <c r="A13" s="28" t="s">
        <v>10</v>
      </c>
      <c r="B13" s="27">
        <v>33</v>
      </c>
      <c r="C13" s="11">
        <f>ROUND(2.16*C7,0)</f>
        <v>756</v>
      </c>
      <c r="E13" s="2">
        <f>E$4/(4*VLOOKUP($E$2,Variables!$A$1:$B$2,2,FALSE)*SQRT($B13))</f>
        <v>0.69631062382279141</v>
      </c>
      <c r="F13" s="2">
        <f>F$4/(4*VLOOKUP($E$2,Variables!$A$1:$B$2,2,FALSE)*SQRT($B13))</f>
        <v>0.50772649653745205</v>
      </c>
      <c r="G13" s="2">
        <f>G$4/(4*VLOOKUP($E$2,Variables!$A$1:$B$2,2,FALSE)*SQRT($B13))</f>
        <v>0.3481553119113957</v>
      </c>
      <c r="H13" s="2">
        <f>H$4/(4*VLOOKUP($E$2,Variables!$A$1:$B$2,2,FALSE)*SQRT($B13))</f>
        <v>7.2532356648207438E-2</v>
      </c>
      <c r="I13" s="2">
        <f>I$4/(4*VLOOKUP($E$2,Variables!$A$1:$B$2,2,FALSE)*SQRT($B13))</f>
        <v>1.8133089162051859</v>
      </c>
      <c r="J13" s="2">
        <f>J$4/(4*VLOOKUP($E$2,Variables!$A$1:$B$2,2,FALSE)*SQRT($B13))</f>
        <v>0</v>
      </c>
      <c r="L13" s="14">
        <f>4*SQRT(Table3[[#This Row],[ForceMod]])*VLOOKUP($L$2,Variables!$A$3:$B$4,2,FALSE)</f>
        <v>68.934751758456343</v>
      </c>
      <c r="N13" s="14">
        <f t="shared" si="1"/>
        <v>361.90744673189579</v>
      </c>
      <c r="O13" s="14">
        <f t="shared" si="2"/>
        <v>496.33021266088571</v>
      </c>
      <c r="P13" s="14">
        <f t="shared" si="3"/>
        <v>723.81489346379158</v>
      </c>
      <c r="Q13" s="14">
        <f t="shared" si="4"/>
        <v>3474.3114886261997</v>
      </c>
      <c r="R13" s="14">
        <f t="shared" si="5"/>
        <v>138.97245954504797</v>
      </c>
      <c r="S13" s="14" t="e">
        <f t="shared" si="6"/>
        <v>#DIV/0!</v>
      </c>
    </row>
    <row r="14" spans="1:19" x14ac:dyDescent="0.25">
      <c r="A14" s="28" t="s">
        <v>13</v>
      </c>
      <c r="B14" s="27">
        <v>71</v>
      </c>
      <c r="C14" s="11">
        <f>ROUND(3.42*C7,0)</f>
        <v>1197</v>
      </c>
      <c r="E14" s="2">
        <f>E$4/(4*VLOOKUP($E$2,Variables!$A$1:$B$2,2,FALSE)*SQRT($B14))</f>
        <v>0.4747126632775413</v>
      </c>
      <c r="F14" s="2">
        <f>F$4/(4*VLOOKUP($E$2,Variables!$A$1:$B$2,2,FALSE)*SQRT($B14))</f>
        <v>0.34614465030654051</v>
      </c>
      <c r="G14" s="2">
        <f>G$4/(4*VLOOKUP($E$2,Variables!$A$1:$B$2,2,FALSE)*SQRT($B14))</f>
        <v>0.23735633163877065</v>
      </c>
      <c r="H14" s="2">
        <f>H$4/(4*VLOOKUP($E$2,Variables!$A$1:$B$2,2,FALSE)*SQRT($B14))</f>
        <v>4.944923575807722E-2</v>
      </c>
      <c r="I14" s="2">
        <f>I$4/(4*VLOOKUP($E$2,Variables!$A$1:$B$2,2,FALSE)*SQRT($B14))</f>
        <v>1.2362308939519304</v>
      </c>
      <c r="J14" s="2">
        <f>J$4/(4*VLOOKUP($E$2,Variables!$A$1:$B$2,2,FALSE)*SQRT($B14))</f>
        <v>0</v>
      </c>
      <c r="L14" s="14">
        <f>4*SQRT(Table3[[#This Row],[ForceMod]])*VLOOKUP($L$2,Variables!$A$3:$B$4,2,FALSE)</f>
        <v>101.11379727811631</v>
      </c>
      <c r="N14" s="14">
        <f t="shared" si="1"/>
        <v>840.50843987434189</v>
      </c>
      <c r="O14" s="14">
        <f t="shared" si="2"/>
        <v>1152.697288970526</v>
      </c>
      <c r="P14" s="14">
        <f t="shared" si="3"/>
        <v>1681.0168797486838</v>
      </c>
      <c r="Q14" s="14">
        <f t="shared" si="4"/>
        <v>8068.881022793681</v>
      </c>
      <c r="R14" s="14">
        <f t="shared" si="5"/>
        <v>322.75524091174725</v>
      </c>
      <c r="S14" s="14" t="e">
        <f t="shared" si="6"/>
        <v>#DIV/0!</v>
      </c>
    </row>
    <row r="15" spans="1:19" x14ac:dyDescent="0.25">
      <c r="A15" s="6"/>
      <c r="B15" s="6"/>
      <c r="C15" s="6"/>
    </row>
    <row r="16" spans="1:19" ht="15" customHeight="1" x14ac:dyDescent="0.25">
      <c r="A16" s="7" t="str">
        <f>"Attack points: 4 * sqrt(ForceMod) for each strike; "&amp;ROUND(B3,2)&amp;" strikes per second"</f>
        <v>Attack points: 4 * sqrt(ForceMod) for each strike; 3 strikes per second</v>
      </c>
      <c r="B16" s="7"/>
      <c r="C16" s="7"/>
      <c r="D16" s="7"/>
      <c r="E16" s="7"/>
      <c r="F16" s="7"/>
      <c r="G16" s="7" t="s">
        <v>19</v>
      </c>
      <c r="H16" s="7"/>
      <c r="I16" s="7"/>
      <c r="J16" s="7"/>
      <c r="K16" s="8"/>
      <c r="L16" s="19" t="s">
        <v>21</v>
      </c>
      <c r="M16" s="19"/>
      <c r="N16" s="19"/>
      <c r="O16" s="19"/>
      <c r="P16" s="19"/>
    </row>
  </sheetData>
  <mergeCells count="8">
    <mergeCell ref="E2:F2"/>
    <mergeCell ref="E5:J5"/>
    <mergeCell ref="A4:C4"/>
    <mergeCell ref="N5:S5"/>
    <mergeCell ref="L16:P16"/>
    <mergeCell ref="L2:L4"/>
    <mergeCell ref="A16:F16"/>
    <mergeCell ref="G16:J16"/>
  </mergeCells>
  <dataValidations count="1">
    <dataValidation type="list" allowBlank="1" showInputMessage="1" showErrorMessage="1" sqref="H2">
      <formula1>$E$3:$J$3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Variables!$A$1:$A$2</xm:f>
          </x14:formula1>
          <xm:sqref>E2:F2</xm:sqref>
        </x14:dataValidation>
        <x14:dataValidation type="list" allowBlank="1" showInputMessage="1" showErrorMessage="1">
          <x14:formula1>
            <xm:f>Variables!$A$3:$A$4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2" sqref="E2:F2"/>
    </sheetView>
  </sheetViews>
  <sheetFormatPr defaultRowHeight="15" x14ac:dyDescent="0.25"/>
  <cols>
    <col min="1" max="2" width="12.85546875" customWidth="1"/>
    <col min="3" max="3" width="13.140625" customWidth="1"/>
    <col min="4" max="4" width="2.85546875" customWidth="1"/>
    <col min="5" max="13" width="9.140625" customWidth="1"/>
  </cols>
  <sheetData>
    <row r="1" spans="1:17" ht="45" x14ac:dyDescent="0.6">
      <c r="A1" s="3" t="s">
        <v>14</v>
      </c>
    </row>
    <row r="2" spans="1:17" x14ac:dyDescent="0.25">
      <c r="E2" s="12" t="s">
        <v>22</v>
      </c>
      <c r="F2" s="12"/>
      <c r="H2" s="4" t="s">
        <v>16</v>
      </c>
    </row>
    <row r="3" spans="1:17" x14ac:dyDescent="0.25">
      <c r="A3" t="s">
        <v>18</v>
      </c>
      <c r="B3" s="5">
        <v>3</v>
      </c>
      <c r="E3" s="17" t="s">
        <v>16</v>
      </c>
      <c r="F3" t="s">
        <v>31</v>
      </c>
      <c r="G3" s="17" t="s">
        <v>15</v>
      </c>
      <c r="H3" s="17" t="s">
        <v>17</v>
      </c>
      <c r="I3" s="17"/>
      <c r="J3" s="17"/>
      <c r="L3" s="17" t="str">
        <f>E3</f>
        <v>Ebony</v>
      </c>
      <c r="M3" s="17" t="str">
        <f t="shared" ref="M3:Q3" si="0">F3</f>
        <v>Red</v>
      </c>
      <c r="N3" s="17" t="str">
        <f t="shared" si="0"/>
        <v>Oak</v>
      </c>
      <c r="O3" s="17" t="str">
        <f t="shared" si="0"/>
        <v>Birch</v>
      </c>
      <c r="P3" s="17">
        <f t="shared" si="0"/>
        <v>0</v>
      </c>
      <c r="Q3" s="17">
        <f t="shared" si="0"/>
        <v>0</v>
      </c>
    </row>
    <row r="4" spans="1:17" x14ac:dyDescent="0.25">
      <c r="A4" s="13" t="s">
        <v>24</v>
      </c>
      <c r="B4" s="13"/>
      <c r="C4" s="13"/>
      <c r="E4">
        <v>19</v>
      </c>
      <c r="F4">
        <v>17</v>
      </c>
      <c r="G4">
        <v>16</v>
      </c>
      <c r="H4">
        <v>15</v>
      </c>
    </row>
    <row r="5" spans="1:17" x14ac:dyDescent="0.25">
      <c r="A5" s="1" t="s">
        <v>4</v>
      </c>
      <c r="B5" s="1" t="s">
        <v>5</v>
      </c>
      <c r="C5" s="1" t="s">
        <v>20</v>
      </c>
      <c r="E5" s="29" t="str">
        <f>E2&amp;" to take one tile"</f>
        <v>Seconds take to take one tile</v>
      </c>
      <c r="F5" s="29"/>
      <c r="G5" s="29"/>
      <c r="H5" s="29"/>
      <c r="I5" s="29"/>
      <c r="J5" s="29"/>
      <c r="L5" s="30" t="s">
        <v>33</v>
      </c>
      <c r="M5" s="30"/>
      <c r="N5" s="30"/>
      <c r="O5" s="30"/>
      <c r="P5" s="30"/>
      <c r="Q5" s="30"/>
    </row>
    <row r="6" spans="1:17" x14ac:dyDescent="0.25">
      <c r="A6" s="31" t="s">
        <v>1</v>
      </c>
      <c r="B6" s="31">
        <f>Table3[[#This Row],[ForceMod]]</f>
        <v>1</v>
      </c>
      <c r="C6" s="31">
        <f>Table3[[#This Row],[Durability]]</f>
        <v>147</v>
      </c>
      <c r="E6" s="2">
        <f>E$4/(4*VLOOKUP($E$2,Variables!$A$1:$B$2,2,FALSE)*SQRT($B6))</f>
        <v>1.5833333333333333</v>
      </c>
      <c r="F6" s="2">
        <f>F$4/(4*VLOOKUP($E$2,Variables!$A$1:$B$2,2,FALSE)*SQRT($B6))</f>
        <v>1.4166666666666667</v>
      </c>
      <c r="G6" s="2">
        <f>G$4/(4*VLOOKUP($E$2,Variables!$A$1:$B$2,2,FALSE)*SQRT($B6))</f>
        <v>1.3333333333333333</v>
      </c>
      <c r="H6" s="2">
        <f>H$4/(4*VLOOKUP($E$2,Variables!$A$1:$B$2,2,FALSE)*SQRT($B6))</f>
        <v>1.25</v>
      </c>
      <c r="I6" s="2">
        <f>I$4/(4*VLOOKUP($E$2,Variables!$A$1:$B$2,2,FALSE)*SQRT($B6))</f>
        <v>0</v>
      </c>
      <c r="J6" s="2">
        <f>J$4/(4*VLOOKUP($E$2,Variables!$A$1:$B$2,2,FALSE)*SQRT($B6))</f>
        <v>0</v>
      </c>
      <c r="L6" s="14">
        <f>$C6/E$4</f>
        <v>7.7368421052631575</v>
      </c>
      <c r="M6" s="14">
        <f t="shared" ref="M6:Q14" si="1">$C6/F$4</f>
        <v>8.6470588235294112</v>
      </c>
      <c r="N6" s="14">
        <f t="shared" si="1"/>
        <v>9.1875</v>
      </c>
      <c r="O6" s="14">
        <f t="shared" si="1"/>
        <v>9.8000000000000007</v>
      </c>
      <c r="P6" s="14" t="e">
        <f t="shared" si="1"/>
        <v>#DIV/0!</v>
      </c>
      <c r="Q6" s="14" t="e">
        <f t="shared" si="1"/>
        <v>#DIV/0!</v>
      </c>
    </row>
    <row r="7" spans="1:17" x14ac:dyDescent="0.25">
      <c r="A7" s="31" t="s">
        <v>6</v>
      </c>
      <c r="B7" s="31">
        <f>Table3[[#This Row],[ForceMod]]</f>
        <v>2</v>
      </c>
      <c r="C7" s="31">
        <f>Table3[[#This Row],[Durability]]</f>
        <v>350</v>
      </c>
      <c r="E7" s="2">
        <f>E$4/(4*VLOOKUP($E$2,Variables!$A$1:$B$2,2,FALSE)*SQRT($B7))</f>
        <v>1.1195857368787001</v>
      </c>
      <c r="F7" s="2">
        <f>F$4/(4*VLOOKUP($E$2,Variables!$A$1:$B$2,2,FALSE)*SQRT($B7))</f>
        <v>1.0017346066809423</v>
      </c>
      <c r="G7" s="2">
        <f>G$4/(4*VLOOKUP($E$2,Variables!$A$1:$B$2,2,FALSE)*SQRT($B7))</f>
        <v>0.94280904158206325</v>
      </c>
      <c r="H7" s="2">
        <f>H$4/(4*VLOOKUP($E$2,Variables!$A$1:$B$2,2,FALSE)*SQRT($B7))</f>
        <v>0.88388347648318433</v>
      </c>
      <c r="I7" s="2">
        <f>I$4/(4*VLOOKUP($E$2,Variables!$A$1:$B$2,2,FALSE)*SQRT($B7))</f>
        <v>0</v>
      </c>
      <c r="J7" s="2">
        <f>J$4/(4*VLOOKUP($E$2,Variables!$A$1:$B$2,2,FALSE)*SQRT($B7))</f>
        <v>0</v>
      </c>
      <c r="L7" s="14">
        <f t="shared" ref="L7:L14" si="2">$C7/E$4</f>
        <v>18.421052631578949</v>
      </c>
      <c r="M7" s="14">
        <f t="shared" si="1"/>
        <v>20.588235294117649</v>
      </c>
      <c r="N7" s="14">
        <f t="shared" si="1"/>
        <v>21.875</v>
      </c>
      <c r="O7" s="14">
        <f t="shared" si="1"/>
        <v>23.333333333333332</v>
      </c>
      <c r="P7" s="14" t="e">
        <f t="shared" si="1"/>
        <v>#DIV/0!</v>
      </c>
      <c r="Q7" s="14" t="e">
        <f t="shared" si="1"/>
        <v>#DIV/0!</v>
      </c>
    </row>
    <row r="8" spans="1:17" x14ac:dyDescent="0.25">
      <c r="A8" s="31" t="s">
        <v>11</v>
      </c>
      <c r="B8" s="31">
        <f>Table3[[#This Row],[ForceMod]]</f>
        <v>4</v>
      </c>
      <c r="C8" s="31">
        <f>Table3[[#This Row],[Durability]]</f>
        <v>287</v>
      </c>
      <c r="E8" s="2">
        <f>E$4/(4*VLOOKUP($E$2,Variables!$A$1:$B$2,2,FALSE)*SQRT($B8))</f>
        <v>0.79166666666666663</v>
      </c>
      <c r="F8" s="2">
        <f>F$4/(4*VLOOKUP($E$2,Variables!$A$1:$B$2,2,FALSE)*SQRT($B8))</f>
        <v>0.70833333333333337</v>
      </c>
      <c r="G8" s="2">
        <f>G$4/(4*VLOOKUP($E$2,Variables!$A$1:$B$2,2,FALSE)*SQRT($B8))</f>
        <v>0.66666666666666663</v>
      </c>
      <c r="H8" s="2">
        <f>H$4/(4*VLOOKUP($E$2,Variables!$A$1:$B$2,2,FALSE)*SQRT($B8))</f>
        <v>0.625</v>
      </c>
      <c r="I8" s="2">
        <f>I$4/(4*VLOOKUP($E$2,Variables!$A$1:$B$2,2,FALSE)*SQRT($B8))</f>
        <v>0</v>
      </c>
      <c r="J8" s="2">
        <f>J$4/(4*VLOOKUP($E$2,Variables!$A$1:$B$2,2,FALSE)*SQRT($B8))</f>
        <v>0</v>
      </c>
      <c r="L8" s="14">
        <f t="shared" si="2"/>
        <v>15.105263157894736</v>
      </c>
      <c r="M8" s="14">
        <f t="shared" si="1"/>
        <v>16.882352941176471</v>
      </c>
      <c r="N8" s="14">
        <f t="shared" si="1"/>
        <v>17.9375</v>
      </c>
      <c r="O8" s="14">
        <f t="shared" si="1"/>
        <v>19.133333333333333</v>
      </c>
      <c r="P8" s="14" t="e">
        <f t="shared" si="1"/>
        <v>#DIV/0!</v>
      </c>
      <c r="Q8" s="14" t="e">
        <f t="shared" si="1"/>
        <v>#DIV/0!</v>
      </c>
    </row>
    <row r="9" spans="1:17" x14ac:dyDescent="0.25">
      <c r="A9" s="31" t="s">
        <v>7</v>
      </c>
      <c r="B9" s="31">
        <f>Table3[[#This Row],[ForceMod]]</f>
        <v>5</v>
      </c>
      <c r="C9" s="31">
        <f>Table3[[#This Row],[Durability]]</f>
        <v>497</v>
      </c>
      <c r="E9" s="2">
        <f>E$4/(4*VLOOKUP($E$2,Variables!$A$1:$B$2,2,FALSE)*SQRT($B9))</f>
        <v>0.70808819287493341</v>
      </c>
      <c r="F9" s="2">
        <f>F$4/(4*VLOOKUP($E$2,Variables!$A$1:$B$2,2,FALSE)*SQRT($B9))</f>
        <v>0.63355259362494043</v>
      </c>
      <c r="G9" s="2">
        <f>G$4/(4*VLOOKUP($E$2,Variables!$A$1:$B$2,2,FALSE)*SQRT($B9))</f>
        <v>0.59628479399994394</v>
      </c>
      <c r="H9" s="2">
        <f>H$4/(4*VLOOKUP($E$2,Variables!$A$1:$B$2,2,FALSE)*SQRT($B9))</f>
        <v>0.55901699437494745</v>
      </c>
      <c r="I9" s="2">
        <f>I$4/(4*VLOOKUP($E$2,Variables!$A$1:$B$2,2,FALSE)*SQRT($B9))</f>
        <v>0</v>
      </c>
      <c r="J9" s="2">
        <f>J$4/(4*VLOOKUP($E$2,Variables!$A$1:$B$2,2,FALSE)*SQRT($B9))</f>
        <v>0</v>
      </c>
      <c r="L9" s="14">
        <f t="shared" si="2"/>
        <v>26.157894736842106</v>
      </c>
      <c r="M9" s="14">
        <f t="shared" si="1"/>
        <v>29.235294117647058</v>
      </c>
      <c r="N9" s="14">
        <f t="shared" si="1"/>
        <v>31.0625</v>
      </c>
      <c r="O9" s="14">
        <f t="shared" si="1"/>
        <v>33.133333333333333</v>
      </c>
      <c r="P9" s="14" t="e">
        <f t="shared" si="1"/>
        <v>#DIV/0!</v>
      </c>
      <c r="Q9" s="14" t="e">
        <f t="shared" si="1"/>
        <v>#DIV/0!</v>
      </c>
    </row>
    <row r="10" spans="1:17" x14ac:dyDescent="0.25">
      <c r="A10" s="31" t="s">
        <v>8</v>
      </c>
      <c r="B10" s="31">
        <f>Table3[[#This Row],[ForceMod]]</f>
        <v>9</v>
      </c>
      <c r="C10" s="31">
        <f>Table3[[#This Row],[Durability]]</f>
        <v>319</v>
      </c>
      <c r="E10" s="2">
        <f>E$4/(4*VLOOKUP($E$2,Variables!$A$1:$B$2,2,FALSE)*SQRT($B10))</f>
        <v>0.52777777777777779</v>
      </c>
      <c r="F10" s="2">
        <f>F$4/(4*VLOOKUP($E$2,Variables!$A$1:$B$2,2,FALSE)*SQRT($B10))</f>
        <v>0.47222222222222221</v>
      </c>
      <c r="G10" s="2">
        <f>G$4/(4*VLOOKUP($E$2,Variables!$A$1:$B$2,2,FALSE)*SQRT($B10))</f>
        <v>0.44444444444444442</v>
      </c>
      <c r="H10" s="2">
        <f>H$4/(4*VLOOKUP($E$2,Variables!$A$1:$B$2,2,FALSE)*SQRT($B10))</f>
        <v>0.41666666666666669</v>
      </c>
      <c r="I10" s="2">
        <f>I$4/(4*VLOOKUP($E$2,Variables!$A$1:$B$2,2,FALSE)*SQRT($B10))</f>
        <v>0</v>
      </c>
      <c r="J10" s="2">
        <f>J$4/(4*VLOOKUP($E$2,Variables!$A$1:$B$2,2,FALSE)*SQRT($B10))</f>
        <v>0</v>
      </c>
      <c r="L10" s="14">
        <f t="shared" si="2"/>
        <v>16.789473684210527</v>
      </c>
      <c r="M10" s="14">
        <f t="shared" si="1"/>
        <v>18.764705882352942</v>
      </c>
      <c r="N10" s="14">
        <f t="shared" si="1"/>
        <v>19.9375</v>
      </c>
      <c r="O10" s="14">
        <f t="shared" si="1"/>
        <v>21.266666666666666</v>
      </c>
      <c r="P10" s="14" t="e">
        <f t="shared" si="1"/>
        <v>#DIV/0!</v>
      </c>
      <c r="Q10" s="14" t="e">
        <f t="shared" si="1"/>
        <v>#DIV/0!</v>
      </c>
    </row>
    <row r="11" spans="1:17" x14ac:dyDescent="0.25">
      <c r="A11" s="31" t="s">
        <v>9</v>
      </c>
      <c r="B11" s="31">
        <f>Table3[[#This Row],[ForceMod]]</f>
        <v>14</v>
      </c>
      <c r="C11" s="31">
        <f>Table3[[#This Row],[Durability]]</f>
        <v>606</v>
      </c>
      <c r="E11" s="2">
        <f>E$4/(4*VLOOKUP($E$2,Variables!$A$1:$B$2,2,FALSE)*SQRT($B11))</f>
        <v>0.42316363302800525</v>
      </c>
      <c r="F11" s="2">
        <f>F$4/(4*VLOOKUP($E$2,Variables!$A$1:$B$2,2,FALSE)*SQRT($B11))</f>
        <v>0.37862009270926789</v>
      </c>
      <c r="G11" s="2">
        <f>G$4/(4*VLOOKUP($E$2,Variables!$A$1:$B$2,2,FALSE)*SQRT($B11))</f>
        <v>0.35634832254989918</v>
      </c>
      <c r="H11" s="2">
        <f>H$4/(4*VLOOKUP($E$2,Variables!$A$1:$B$2,2,FALSE)*SQRT($B11))</f>
        <v>0.33407655239053047</v>
      </c>
      <c r="I11" s="2">
        <f>I$4/(4*VLOOKUP($E$2,Variables!$A$1:$B$2,2,FALSE)*SQRT($B11))</f>
        <v>0</v>
      </c>
      <c r="J11" s="2">
        <f>J$4/(4*VLOOKUP($E$2,Variables!$A$1:$B$2,2,FALSE)*SQRT($B11))</f>
        <v>0</v>
      </c>
      <c r="L11" s="14">
        <f t="shared" si="2"/>
        <v>31.894736842105264</v>
      </c>
      <c r="M11" s="14">
        <f t="shared" si="1"/>
        <v>35.647058823529413</v>
      </c>
      <c r="N11" s="14">
        <f t="shared" si="1"/>
        <v>37.875</v>
      </c>
      <c r="O11" s="14">
        <f t="shared" si="1"/>
        <v>40.4</v>
      </c>
      <c r="P11" s="14" t="e">
        <f t="shared" si="1"/>
        <v>#DIV/0!</v>
      </c>
      <c r="Q11" s="14" t="e">
        <f t="shared" si="1"/>
        <v>#DIV/0!</v>
      </c>
    </row>
    <row r="12" spans="1:17" x14ac:dyDescent="0.25">
      <c r="A12" s="31" t="s">
        <v>12</v>
      </c>
      <c r="B12" s="31">
        <f>Table3[[#This Row],[ForceMod]]</f>
        <v>21</v>
      </c>
      <c r="C12" s="31">
        <f>Table3[[#This Row],[Durability]]</f>
        <v>476</v>
      </c>
      <c r="E12" s="2">
        <f>E$4/(4*VLOOKUP($E$2,Variables!$A$1:$B$2,2,FALSE)*SQRT($B12))</f>
        <v>0.34551165954032126</v>
      </c>
      <c r="F12" s="2">
        <f>F$4/(4*VLOOKUP($E$2,Variables!$A$1:$B$2,2,FALSE)*SQRT($B12))</f>
        <v>0.30914201116765588</v>
      </c>
      <c r="G12" s="2">
        <f>G$4/(4*VLOOKUP($E$2,Variables!$A$1:$B$2,2,FALSE)*SQRT($B12))</f>
        <v>0.29095718698132317</v>
      </c>
      <c r="H12" s="2">
        <f>H$4/(4*VLOOKUP($E$2,Variables!$A$1:$B$2,2,FALSE)*SQRT($B12))</f>
        <v>0.27277236279499045</v>
      </c>
      <c r="I12" s="2">
        <f>I$4/(4*VLOOKUP($E$2,Variables!$A$1:$B$2,2,FALSE)*SQRT($B12))</f>
        <v>0</v>
      </c>
      <c r="J12" s="2">
        <f>J$4/(4*VLOOKUP($E$2,Variables!$A$1:$B$2,2,FALSE)*SQRT($B12))</f>
        <v>0</v>
      </c>
      <c r="L12" s="14">
        <f t="shared" si="2"/>
        <v>25.05263157894737</v>
      </c>
      <c r="M12" s="14">
        <f t="shared" si="1"/>
        <v>28</v>
      </c>
      <c r="N12" s="14">
        <f t="shared" si="1"/>
        <v>29.75</v>
      </c>
      <c r="O12" s="14">
        <f t="shared" si="1"/>
        <v>31.733333333333334</v>
      </c>
      <c r="P12" s="14" t="e">
        <f t="shared" si="1"/>
        <v>#DIV/0!</v>
      </c>
      <c r="Q12" s="14" t="e">
        <f t="shared" si="1"/>
        <v>#DIV/0!</v>
      </c>
    </row>
    <row r="13" spans="1:17" x14ac:dyDescent="0.25">
      <c r="A13" s="31" t="s">
        <v>10</v>
      </c>
      <c r="B13" s="31">
        <f>Table3[[#This Row],[ForceMod]]</f>
        <v>33</v>
      </c>
      <c r="C13" s="31">
        <f>Table3[[#This Row],[Durability]]</f>
        <v>756</v>
      </c>
      <c r="E13" s="2">
        <f>E$4/(4*VLOOKUP($E$2,Variables!$A$1:$B$2,2,FALSE)*SQRT($B13))</f>
        <v>0.27562295526318825</v>
      </c>
      <c r="F13" s="2">
        <f>F$4/(4*VLOOKUP($E$2,Variables!$A$1:$B$2,2,FALSE)*SQRT($B13))</f>
        <v>0.24661001260390528</v>
      </c>
      <c r="G13" s="2">
        <f>G$4/(4*VLOOKUP($E$2,Variables!$A$1:$B$2,2,FALSE)*SQRT($B13))</f>
        <v>0.23210354127426377</v>
      </c>
      <c r="H13" s="2">
        <f>H$4/(4*VLOOKUP($E$2,Variables!$A$1:$B$2,2,FALSE)*SQRT($B13))</f>
        <v>0.2175970699446223</v>
      </c>
      <c r="I13" s="2">
        <f>I$4/(4*VLOOKUP($E$2,Variables!$A$1:$B$2,2,FALSE)*SQRT($B13))</f>
        <v>0</v>
      </c>
      <c r="J13" s="2">
        <f>J$4/(4*VLOOKUP($E$2,Variables!$A$1:$B$2,2,FALSE)*SQRT($B13))</f>
        <v>0</v>
      </c>
      <c r="L13" s="14">
        <f t="shared" si="2"/>
        <v>39.789473684210527</v>
      </c>
      <c r="M13" s="14">
        <f t="shared" si="1"/>
        <v>44.470588235294116</v>
      </c>
      <c r="N13" s="14">
        <f t="shared" si="1"/>
        <v>47.25</v>
      </c>
      <c r="O13" s="14">
        <f t="shared" si="1"/>
        <v>50.4</v>
      </c>
      <c r="P13" s="14" t="e">
        <f t="shared" si="1"/>
        <v>#DIV/0!</v>
      </c>
      <c r="Q13" s="14" t="e">
        <f t="shared" si="1"/>
        <v>#DIV/0!</v>
      </c>
    </row>
    <row r="14" spans="1:17" x14ac:dyDescent="0.25">
      <c r="A14" s="31" t="s">
        <v>13</v>
      </c>
      <c r="B14" s="31">
        <f>Table3[[#This Row],[ForceMod]]</f>
        <v>71</v>
      </c>
      <c r="C14" s="31">
        <f>Table3[[#This Row],[Durability]]</f>
        <v>1197</v>
      </c>
      <c r="E14" s="2">
        <f>E$4/(4*VLOOKUP($E$2,Variables!$A$1:$B$2,2,FALSE)*SQRT($B14))</f>
        <v>0.18790709588069343</v>
      </c>
      <c r="F14" s="2">
        <f>F$4/(4*VLOOKUP($E$2,Variables!$A$1:$B$2,2,FALSE)*SQRT($B14))</f>
        <v>0.16812740157746256</v>
      </c>
      <c r="G14" s="2">
        <f>G$4/(4*VLOOKUP($E$2,Variables!$A$1:$B$2,2,FALSE)*SQRT($B14))</f>
        <v>0.15823755442584711</v>
      </c>
      <c r="H14" s="2">
        <f>H$4/(4*VLOOKUP($E$2,Variables!$A$1:$B$2,2,FALSE)*SQRT($B14))</f>
        <v>0.14834770727423166</v>
      </c>
      <c r="I14" s="2">
        <f>I$4/(4*VLOOKUP($E$2,Variables!$A$1:$B$2,2,FALSE)*SQRT($B14))</f>
        <v>0</v>
      </c>
      <c r="J14" s="2">
        <f>J$4/(4*VLOOKUP($E$2,Variables!$A$1:$B$2,2,FALSE)*SQRT($B14))</f>
        <v>0</v>
      </c>
      <c r="L14" s="14">
        <f t="shared" si="2"/>
        <v>63</v>
      </c>
      <c r="M14" s="14">
        <f t="shared" si="1"/>
        <v>70.411764705882348</v>
      </c>
      <c r="N14" s="14">
        <f t="shared" si="1"/>
        <v>74.8125</v>
      </c>
      <c r="O14" s="14">
        <f t="shared" si="1"/>
        <v>79.8</v>
      </c>
      <c r="P14" s="14" t="e">
        <f t="shared" si="1"/>
        <v>#DIV/0!</v>
      </c>
      <c r="Q14" s="14" t="e">
        <f t="shared" si="1"/>
        <v>#DIV/0!</v>
      </c>
    </row>
    <row r="16" spans="1:17" x14ac:dyDescent="0.25">
      <c r="A16" s="7" t="str">
        <f>"Attacks: 4 * sqrt(ForceMod) for each strike; "&amp;ROUND(B3,2)&amp;" strikes per second"</f>
        <v>Attacks: 4 * sqrt(ForceMod) for each strike; 3 strikes per second</v>
      </c>
      <c r="B16" s="7"/>
      <c r="C16" s="7"/>
      <c r="D16" s="7"/>
      <c r="E16" s="7"/>
      <c r="F16" s="7"/>
      <c r="G16" s="7" t="s">
        <v>19</v>
      </c>
      <c r="H16" s="7"/>
      <c r="I16" s="7"/>
      <c r="J16" s="7"/>
      <c r="K16" s="7" t="s">
        <v>21</v>
      </c>
      <c r="L16" s="7"/>
      <c r="M16" s="7"/>
      <c r="N16" s="7"/>
    </row>
  </sheetData>
  <mergeCells count="7">
    <mergeCell ref="A16:F16"/>
    <mergeCell ref="G16:J16"/>
    <mergeCell ref="E2:F2"/>
    <mergeCell ref="A4:C4"/>
    <mergeCell ref="K16:N16"/>
    <mergeCell ref="L5:Q5"/>
    <mergeCell ref="E5:J5"/>
  </mergeCells>
  <dataValidations count="1">
    <dataValidation type="list" allowBlank="1" showInputMessage="1" showErrorMessage="1" sqref="H2">
      <formula1>$E$3:$J$3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Variables!$A$1:$A$2</xm:f>
          </x14:formula1>
          <xm:sqref>E2:F2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5" sqref="A5"/>
    </sheetView>
  </sheetViews>
  <sheetFormatPr defaultRowHeight="15" x14ac:dyDescent="0.25"/>
  <cols>
    <col min="1" max="1" width="27.42578125" style="22" customWidth="1"/>
    <col min="2" max="2" width="9.140625" customWidth="1"/>
    <col min="4" max="5" width="9.140625" customWidth="1"/>
    <col min="6" max="6" width="9.5703125" bestFit="1" customWidth="1"/>
  </cols>
  <sheetData>
    <row r="1" spans="1:8" x14ac:dyDescent="0.25">
      <c r="A1" s="21" t="s">
        <v>22</v>
      </c>
      <c r="B1">
        <f>Sheet1!B3</f>
        <v>3</v>
      </c>
      <c r="D1" s="11" t="str">
        <f>Sheet1!E2&amp;" to break a "&amp;LOWER(Sheet1!H2)&amp;" tile"</f>
        <v>Seconds take to break a stone tile</v>
      </c>
      <c r="E1" s="11" t="str">
        <f>"Tool life for "&amp;LOWER(Sheet1!H2)&amp;" tiles"</f>
        <v>Tool life for stone tiles</v>
      </c>
    </row>
    <row r="2" spans="1:8" x14ac:dyDescent="0.25">
      <c r="A2" s="21" t="s">
        <v>23</v>
      </c>
      <c r="B2">
        <v>1</v>
      </c>
      <c r="D2" s="11" t="str">
        <f>'Sheet1 (2)'!E2&amp;" to break a "&amp;LOWER('Sheet1 (2)'!H2)&amp;" plank"</f>
        <v>Seconds take to break a ebony plank</v>
      </c>
      <c r="E2" s="11" t="str">
        <f>"Tool life for "&amp;LOWER('Sheet1 (2)'!H2)&amp;" tiles"</f>
        <v>Tool life for ebony tiles</v>
      </c>
    </row>
    <row r="3" spans="1:8" x14ac:dyDescent="0.25">
      <c r="A3" s="22" t="s">
        <v>37</v>
      </c>
      <c r="B3" s="10">
        <f>Sheet1!B3</f>
        <v>3</v>
      </c>
      <c r="E3" s="15" t="s">
        <v>32</v>
      </c>
      <c r="F3" s="15"/>
      <c r="G3" s="15" t="s">
        <v>35</v>
      </c>
      <c r="H3" s="15"/>
    </row>
    <row r="4" spans="1:8" x14ac:dyDescent="0.25">
      <c r="A4" s="22" t="s">
        <v>38</v>
      </c>
      <c r="B4">
        <v>1</v>
      </c>
      <c r="D4" s="16" t="s">
        <v>34</v>
      </c>
      <c r="E4" s="16" t="s">
        <v>27</v>
      </c>
      <c r="F4" t="s">
        <v>28</v>
      </c>
      <c r="G4" s="16" t="s">
        <v>27</v>
      </c>
      <c r="H4" t="s">
        <v>28</v>
      </c>
    </row>
    <row r="5" spans="1:8" x14ac:dyDescent="0.25">
      <c r="D5" s="11">
        <v>4</v>
      </c>
      <c r="E5" s="14">
        <f>HLOOKUP(Sheet1!$H$2,Sheet1!$E$3:$J$14,$D5,FALSE)</f>
        <v>4</v>
      </c>
      <c r="F5" s="14">
        <f>HLOOKUP(Sheet1!$H$2,Sheet1!$N$3:$S$14,$D5,FALSE)</f>
        <v>12.25</v>
      </c>
      <c r="G5" s="14">
        <f>HLOOKUP('Sheet1 (2)'!$H$2,'Sheet1 (2)'!$E$3:$J$14,$D5,FALSE)</f>
        <v>1.5833333333333333</v>
      </c>
      <c r="H5" s="14" t="e">
        <f>HLOOKUP('Sheet1 (2)'!$H$2,'Sheet1 (2)'!$N$3:$S$14,$D5,FALSE)</f>
        <v>#N/A</v>
      </c>
    </row>
    <row r="6" spans="1:8" x14ac:dyDescent="0.25">
      <c r="D6" s="11">
        <v>5</v>
      </c>
      <c r="E6" s="14">
        <f>HLOOKUP(Sheet1!$H$2,Sheet1!$E$3:$J$14,$D6,FALSE)</f>
        <v>2.8284271247461898</v>
      </c>
      <c r="F6" s="14">
        <f>HLOOKUP(Sheet1!$H$2,Sheet1!$N$3:$S$14,$D6,FALSE)</f>
        <v>41.247895569215274</v>
      </c>
      <c r="G6" s="14">
        <f>HLOOKUP('Sheet1 (2)'!$H$2,'Sheet1 (2)'!$E$3:$J$14,$D6,FALSE)</f>
        <v>1.1195857368787001</v>
      </c>
      <c r="H6" s="14" t="e">
        <f>HLOOKUP('Sheet1 (2)'!$H$2,'Sheet1 (2)'!$N$3:$S$14,$D6,FALSE)</f>
        <v>#N/A</v>
      </c>
    </row>
    <row r="7" spans="1:8" x14ac:dyDescent="0.25">
      <c r="D7" s="11">
        <v>6</v>
      </c>
      <c r="E7" s="14">
        <f>HLOOKUP(Sheet1!$H$2,Sheet1!$E$3:$J$14,$D7,FALSE)</f>
        <v>2</v>
      </c>
      <c r="F7" s="14">
        <f>HLOOKUP(Sheet1!$H$2,Sheet1!$N$3:$S$14,$D7,FALSE)</f>
        <v>47.833333333333336</v>
      </c>
      <c r="G7" s="14">
        <f>HLOOKUP('Sheet1 (2)'!$H$2,'Sheet1 (2)'!$E$3:$J$14,$D7,FALSE)</f>
        <v>0.79166666666666663</v>
      </c>
      <c r="H7" s="14" t="e">
        <f>HLOOKUP('Sheet1 (2)'!$H$2,'Sheet1 (2)'!$N$3:$S$14,$D7,FALSE)</f>
        <v>#N/A</v>
      </c>
    </row>
    <row r="8" spans="1:8" x14ac:dyDescent="0.25">
      <c r="D8" s="11">
        <v>7</v>
      </c>
      <c r="E8" s="14">
        <f>HLOOKUP(Sheet1!$H$2,Sheet1!$E$3:$J$14,$D8,FALSE)</f>
        <v>1.7888543819998317</v>
      </c>
      <c r="F8" s="14">
        <f>HLOOKUP(Sheet1!$H$2,Sheet1!$N$3:$S$14,$D8,FALSE)</f>
        <v>92.610482068116283</v>
      </c>
      <c r="G8" s="14">
        <f>HLOOKUP('Sheet1 (2)'!$H$2,'Sheet1 (2)'!$E$3:$J$14,$D8,FALSE)</f>
        <v>0.70808819287493341</v>
      </c>
      <c r="H8" s="14" t="e">
        <f>HLOOKUP('Sheet1 (2)'!$H$2,'Sheet1 (2)'!$N$3:$S$14,$D8,FALSE)</f>
        <v>#N/A</v>
      </c>
    </row>
    <row r="9" spans="1:8" x14ac:dyDescent="0.25">
      <c r="D9" s="11">
        <v>8</v>
      </c>
      <c r="E9" s="14">
        <f>HLOOKUP(Sheet1!$H$2,Sheet1!$E$3:$J$14,$D9,FALSE)</f>
        <v>1.3333333333333333</v>
      </c>
      <c r="F9" s="14">
        <f>HLOOKUP(Sheet1!$H$2,Sheet1!$N$3:$S$14,$D9,FALSE)</f>
        <v>79.75</v>
      </c>
      <c r="G9" s="14">
        <f>HLOOKUP('Sheet1 (2)'!$H$2,'Sheet1 (2)'!$E$3:$J$14,$D9,FALSE)</f>
        <v>0.52777777777777779</v>
      </c>
      <c r="H9" s="14" t="e">
        <f>HLOOKUP('Sheet1 (2)'!$H$2,'Sheet1 (2)'!$N$3:$S$14,$D9,FALSE)</f>
        <v>#N/A</v>
      </c>
    </row>
    <row r="10" spans="1:8" x14ac:dyDescent="0.25">
      <c r="D10" s="11">
        <v>9</v>
      </c>
      <c r="E10" s="14">
        <f>HLOOKUP(Sheet1!$H$2,Sheet1!$E$3:$J$14,$D10,FALSE)</f>
        <v>1.0690449676496976</v>
      </c>
      <c r="F10" s="14">
        <f>HLOOKUP(Sheet1!$H$2,Sheet1!$N$3:$S$14,$D10,FALSE)</f>
        <v>188.95369803208402</v>
      </c>
      <c r="G10" s="14">
        <f>HLOOKUP('Sheet1 (2)'!$H$2,'Sheet1 (2)'!$E$3:$J$14,$D10,FALSE)</f>
        <v>0.42316363302800525</v>
      </c>
      <c r="H10" s="14" t="e">
        <f>HLOOKUP('Sheet1 (2)'!$H$2,'Sheet1 (2)'!$N$3:$S$14,$D10,FALSE)</f>
        <v>#N/A</v>
      </c>
    </row>
    <row r="11" spans="1:8" x14ac:dyDescent="0.25">
      <c r="D11" s="11">
        <v>10</v>
      </c>
      <c r="E11" s="14">
        <f>HLOOKUP(Sheet1!$H$2,Sheet1!$E$3:$J$14,$D11,FALSE)</f>
        <v>0.87287156094396945</v>
      </c>
      <c r="F11" s="14">
        <f>HLOOKUP(Sheet1!$H$2,Sheet1!$N$3:$S$14,$D11,FALSE)</f>
        <v>181.77550256658165</v>
      </c>
      <c r="G11" s="14">
        <f>HLOOKUP('Sheet1 (2)'!$H$2,'Sheet1 (2)'!$E$3:$J$14,$D11,FALSE)</f>
        <v>0.34551165954032126</v>
      </c>
      <c r="H11" s="14" t="e">
        <f>HLOOKUP('Sheet1 (2)'!$H$2,'Sheet1 (2)'!$N$3:$S$14,$D11,FALSE)</f>
        <v>#N/A</v>
      </c>
    </row>
    <row r="12" spans="1:8" x14ac:dyDescent="0.25">
      <c r="D12" s="11">
        <v>11</v>
      </c>
      <c r="E12" s="14">
        <f>HLOOKUP(Sheet1!$H$2,Sheet1!$E$3:$J$14,$D12,FALSE)</f>
        <v>0.69631062382279141</v>
      </c>
      <c r="F12" s="14">
        <f>HLOOKUP(Sheet1!$H$2,Sheet1!$N$3:$S$14,$D12,FALSE)</f>
        <v>361.90744673189579</v>
      </c>
      <c r="G12" s="14">
        <f>HLOOKUP('Sheet1 (2)'!$H$2,'Sheet1 (2)'!$E$3:$J$14,$D12,FALSE)</f>
        <v>0.27562295526318825</v>
      </c>
      <c r="H12" s="14" t="e">
        <f>HLOOKUP('Sheet1 (2)'!$H$2,'Sheet1 (2)'!$N$3:$S$14,$D12,FALSE)</f>
        <v>#N/A</v>
      </c>
    </row>
    <row r="13" spans="1:8" x14ac:dyDescent="0.25">
      <c r="D13" s="11">
        <v>12</v>
      </c>
      <c r="E13" s="14">
        <f>HLOOKUP(Sheet1!$H$2,Sheet1!$E$3:$J$14,$D13,FALSE)</f>
        <v>0.4747126632775413</v>
      </c>
      <c r="F13" s="14">
        <f>HLOOKUP(Sheet1!$H$2,Sheet1!$N$3:$S$14,$D13,FALSE)</f>
        <v>840.50843987434189</v>
      </c>
      <c r="G13" s="14">
        <f>HLOOKUP('Sheet1 (2)'!$H$2,'Sheet1 (2)'!$E$3:$J$14,$D13,FALSE)</f>
        <v>0.18790709588069343</v>
      </c>
      <c r="H13" s="14" t="e">
        <f>HLOOKUP('Sheet1 (2)'!$H$2,'Sheet1 (2)'!$N$3:$S$14,$D13,FALSE)</f>
        <v>#N/A</v>
      </c>
    </row>
    <row r="15" spans="1:8" x14ac:dyDescent="0.25">
      <c r="D15" s="16"/>
      <c r="E15" s="16"/>
    </row>
  </sheetData>
  <dataConsolidate/>
  <mergeCells count="2">
    <mergeCell ref="E3:F3"/>
    <mergeCell ref="G3:H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2017-04-15T18:42:16Z</dcterms:created>
  <dcterms:modified xsi:type="dcterms:W3CDTF">2017-04-16T18:32:26Z</dcterms:modified>
</cp:coreProperties>
</file>