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90" windowWidth="15195" windowHeight="9210" tabRatio="815" activeTab="1"/>
  </bookViews>
  <sheets>
    <sheet name="Instrucciones" sheetId="13" r:id="rId1"/>
    <sheet name="Ventas" sheetId="1" r:id="rId2"/>
    <sheet name="Egresos" sheetId="2" r:id="rId3"/>
    <sheet name="Credito" sheetId="12" r:id="rId4"/>
    <sheet name="Edo Resultados" sheetId="3" r:id="rId5"/>
    <sheet name="Flujo Efectivo" sheetId="4" r:id="rId6"/>
    <sheet name="Balance General" sheetId="5" r:id="rId7"/>
    <sheet name="Razones" sheetId="7" r:id="rId8"/>
    <sheet name="Punto Equilibrio" sheetId="8" r:id="rId9"/>
    <sheet name="VPN" sheetId="10" r:id="rId10"/>
    <sheet name="TIR" sheetId="11" r:id="rId11"/>
  </sheets>
  <definedNames>
    <definedName name="_xlnm.Print_Area" localSheetId="8">'Punto Equilibrio'!$A$2:$K$39</definedName>
  </definedNames>
  <calcPr calcId="125725"/>
</workbook>
</file>

<file path=xl/calcChain.xml><?xml version="1.0" encoding="utf-8"?>
<calcChain xmlns="http://schemas.openxmlformats.org/spreadsheetml/2006/main">
  <c r="AE14" i="1"/>
  <c r="E14"/>
  <c r="F14"/>
  <c r="G14"/>
  <c r="H14"/>
  <c r="I14"/>
  <c r="J14"/>
  <c r="K14"/>
  <c r="L14"/>
  <c r="M14"/>
  <c r="N14"/>
  <c r="D14"/>
  <c r="S14"/>
  <c r="T14"/>
  <c r="U14"/>
  <c r="V14"/>
  <c r="W14"/>
  <c r="X14"/>
  <c r="Y14"/>
  <c r="Z14"/>
  <c r="AA14"/>
  <c r="AB14"/>
  <c r="R14"/>
  <c r="N25" i="4"/>
  <c r="N24"/>
  <c r="N26"/>
  <c r="AB27"/>
  <c r="AA25"/>
  <c r="B22" i="2"/>
  <c r="AB10"/>
  <c r="AC9" i="1"/>
  <c r="Q14"/>
  <c r="B32" i="5" l="1"/>
  <c r="E30"/>
  <c r="D30"/>
  <c r="B27" i="4"/>
  <c r="C14" i="5" l="1"/>
  <c r="D14" s="1"/>
  <c r="E14" s="1"/>
  <c r="C16"/>
  <c r="D16" s="1"/>
  <c r="E16" s="1"/>
  <c r="C17"/>
  <c r="D17" s="1"/>
  <c r="E17" s="1"/>
  <c r="C18"/>
  <c r="D18" s="1"/>
  <c r="E18" s="1"/>
  <c r="C13"/>
  <c r="D13" s="1"/>
  <c r="E13" s="1"/>
  <c r="E9"/>
  <c r="D9"/>
  <c r="C9"/>
  <c r="AB31" i="4"/>
  <c r="AB32"/>
  <c r="AB33"/>
  <c r="AB34"/>
  <c r="AB35"/>
  <c r="AB36"/>
  <c r="AB37"/>
  <c r="AB38"/>
  <c r="AB39"/>
  <c r="AB40"/>
  <c r="AB41"/>
  <c r="AB42"/>
  <c r="P31"/>
  <c r="Q31"/>
  <c r="R31"/>
  <c r="S31"/>
  <c r="T31"/>
  <c r="U31"/>
  <c r="V31"/>
  <c r="W31"/>
  <c r="X31"/>
  <c r="Y31"/>
  <c r="Z31"/>
  <c r="P32"/>
  <c r="Q32"/>
  <c r="R32"/>
  <c r="S32"/>
  <c r="T32"/>
  <c r="U32"/>
  <c r="V32"/>
  <c r="W32"/>
  <c r="X32"/>
  <c r="Y32"/>
  <c r="Z32"/>
  <c r="P33"/>
  <c r="Q33"/>
  <c r="R33"/>
  <c r="S33"/>
  <c r="T33"/>
  <c r="U33"/>
  <c r="V33"/>
  <c r="W33"/>
  <c r="X33"/>
  <c r="Y33"/>
  <c r="Z33"/>
  <c r="P34"/>
  <c r="Q34"/>
  <c r="R34"/>
  <c r="S34"/>
  <c r="T34"/>
  <c r="U34"/>
  <c r="V34"/>
  <c r="W34"/>
  <c r="X34"/>
  <c r="Y34"/>
  <c r="Z34"/>
  <c r="P35"/>
  <c r="Q35"/>
  <c r="R35"/>
  <c r="S35"/>
  <c r="T35"/>
  <c r="U35"/>
  <c r="V35"/>
  <c r="W35"/>
  <c r="X35"/>
  <c r="Y35"/>
  <c r="Z35"/>
  <c r="P36"/>
  <c r="Q36"/>
  <c r="R36"/>
  <c r="S36"/>
  <c r="T36"/>
  <c r="U36"/>
  <c r="V36"/>
  <c r="W36"/>
  <c r="X36"/>
  <c r="Y36"/>
  <c r="Z36"/>
  <c r="P37"/>
  <c r="Q37"/>
  <c r="R37"/>
  <c r="S37"/>
  <c r="T37"/>
  <c r="U37"/>
  <c r="V37"/>
  <c r="W37"/>
  <c r="X37"/>
  <c r="Y37"/>
  <c r="Z37"/>
  <c r="P38"/>
  <c r="Q38"/>
  <c r="R38"/>
  <c r="S38"/>
  <c r="T38"/>
  <c r="U38"/>
  <c r="V38"/>
  <c r="W38"/>
  <c r="X38"/>
  <c r="Y38"/>
  <c r="Z38"/>
  <c r="P39"/>
  <c r="Q39"/>
  <c r="R39"/>
  <c r="S39"/>
  <c r="T39"/>
  <c r="U39"/>
  <c r="V39"/>
  <c r="W39"/>
  <c r="X39"/>
  <c r="Y39"/>
  <c r="Z39"/>
  <c r="P40"/>
  <c r="Q40"/>
  <c r="R40"/>
  <c r="S40"/>
  <c r="T40"/>
  <c r="U40"/>
  <c r="V40"/>
  <c r="W40"/>
  <c r="X40"/>
  <c r="Y40"/>
  <c r="Z40"/>
  <c r="P41"/>
  <c r="Q41"/>
  <c r="R41"/>
  <c r="S41"/>
  <c r="T41"/>
  <c r="U41"/>
  <c r="V41"/>
  <c r="W41"/>
  <c r="X41"/>
  <c r="Y41"/>
  <c r="Z41"/>
  <c r="P42"/>
  <c r="Q42"/>
  <c r="R42"/>
  <c r="S42"/>
  <c r="T42"/>
  <c r="U42"/>
  <c r="V42"/>
  <c r="W42"/>
  <c r="X42"/>
  <c r="Y42"/>
  <c r="Z42"/>
  <c r="O31"/>
  <c r="O32"/>
  <c r="O33"/>
  <c r="O34"/>
  <c r="O35"/>
  <c r="O36"/>
  <c r="O37"/>
  <c r="O38"/>
  <c r="O39"/>
  <c r="O40"/>
  <c r="O41"/>
  <c r="O42"/>
  <c r="C31"/>
  <c r="D31"/>
  <c r="E31"/>
  <c r="F31"/>
  <c r="G31"/>
  <c r="H31"/>
  <c r="I31"/>
  <c r="J31"/>
  <c r="K31"/>
  <c r="L31"/>
  <c r="M31"/>
  <c r="C32"/>
  <c r="D32"/>
  <c r="E32"/>
  <c r="F32"/>
  <c r="G32"/>
  <c r="H32"/>
  <c r="I32"/>
  <c r="J32"/>
  <c r="K32"/>
  <c r="L32"/>
  <c r="M32"/>
  <c r="C33"/>
  <c r="D33"/>
  <c r="E33"/>
  <c r="F33"/>
  <c r="G33"/>
  <c r="H33"/>
  <c r="I33"/>
  <c r="J33"/>
  <c r="K33"/>
  <c r="L33"/>
  <c r="M33"/>
  <c r="C34"/>
  <c r="D34"/>
  <c r="E34"/>
  <c r="F34"/>
  <c r="G34"/>
  <c r="H34"/>
  <c r="I34"/>
  <c r="J34"/>
  <c r="K34"/>
  <c r="L34"/>
  <c r="M34"/>
  <c r="C35"/>
  <c r="D35"/>
  <c r="E35"/>
  <c r="F35"/>
  <c r="G35"/>
  <c r="H35"/>
  <c r="I35"/>
  <c r="J35"/>
  <c r="K35"/>
  <c r="L35"/>
  <c r="M35"/>
  <c r="C36"/>
  <c r="D36"/>
  <c r="E36"/>
  <c r="F36"/>
  <c r="G36"/>
  <c r="H36"/>
  <c r="I36"/>
  <c r="J36"/>
  <c r="K36"/>
  <c r="L36"/>
  <c r="M36"/>
  <c r="C37"/>
  <c r="D37"/>
  <c r="E37"/>
  <c r="F37"/>
  <c r="G37"/>
  <c r="H37"/>
  <c r="I37"/>
  <c r="J37"/>
  <c r="K37"/>
  <c r="L37"/>
  <c r="M37"/>
  <c r="C38"/>
  <c r="D38"/>
  <c r="E38"/>
  <c r="F38"/>
  <c r="G38"/>
  <c r="H38"/>
  <c r="I38"/>
  <c r="J38"/>
  <c r="K38"/>
  <c r="L38"/>
  <c r="M38"/>
  <c r="C39"/>
  <c r="D39"/>
  <c r="E39"/>
  <c r="F39"/>
  <c r="G39"/>
  <c r="H39"/>
  <c r="I39"/>
  <c r="J39"/>
  <c r="K39"/>
  <c r="L39"/>
  <c r="M39"/>
  <c r="C40"/>
  <c r="D40"/>
  <c r="E40"/>
  <c r="F40"/>
  <c r="G40"/>
  <c r="H40"/>
  <c r="I40"/>
  <c r="J40"/>
  <c r="K40"/>
  <c r="L40"/>
  <c r="M40"/>
  <c r="C41"/>
  <c r="D41"/>
  <c r="E41"/>
  <c r="F41"/>
  <c r="G41"/>
  <c r="H41"/>
  <c r="I41"/>
  <c r="J41"/>
  <c r="K41"/>
  <c r="L41"/>
  <c r="M41"/>
  <c r="C42"/>
  <c r="D42"/>
  <c r="E42"/>
  <c r="F42"/>
  <c r="G42"/>
  <c r="H42"/>
  <c r="I42"/>
  <c r="J42"/>
  <c r="K42"/>
  <c r="L42"/>
  <c r="M42"/>
  <c r="B31"/>
  <c r="B32"/>
  <c r="B33"/>
  <c r="B34"/>
  <c r="B35"/>
  <c r="B36"/>
  <c r="B37"/>
  <c r="B38"/>
  <c r="B39"/>
  <c r="B40"/>
  <c r="B41"/>
  <c r="B42"/>
  <c r="A44"/>
  <c r="A43"/>
  <c r="A41"/>
  <c r="A42"/>
  <c r="A40"/>
  <c r="A39"/>
  <c r="A31"/>
  <c r="A32"/>
  <c r="A33"/>
  <c r="A34"/>
  <c r="A35"/>
  <c r="A36"/>
  <c r="A37"/>
  <c r="A38"/>
  <c r="A30"/>
  <c r="A12" i="3"/>
  <c r="A11"/>
  <c r="AB17"/>
  <c r="AB18"/>
  <c r="AB19"/>
  <c r="AB20"/>
  <c r="AB21"/>
  <c r="AB22"/>
  <c r="AB23"/>
  <c r="AB24"/>
  <c r="AB25"/>
  <c r="P16"/>
  <c r="Q16"/>
  <c r="R16"/>
  <c r="S16"/>
  <c r="T16"/>
  <c r="U16"/>
  <c r="V16"/>
  <c r="W16"/>
  <c r="X16"/>
  <c r="Y16"/>
  <c r="Z16"/>
  <c r="P17"/>
  <c r="Q17"/>
  <c r="R17"/>
  <c r="S17"/>
  <c r="T17"/>
  <c r="U17"/>
  <c r="V17"/>
  <c r="W17"/>
  <c r="X17"/>
  <c r="Y17"/>
  <c r="Z17"/>
  <c r="P18"/>
  <c r="Q18"/>
  <c r="R18"/>
  <c r="S18"/>
  <c r="T18"/>
  <c r="U18"/>
  <c r="V18"/>
  <c r="W18"/>
  <c r="X18"/>
  <c r="Y18"/>
  <c r="Z18"/>
  <c r="P19"/>
  <c r="Q19"/>
  <c r="R19"/>
  <c r="S19"/>
  <c r="T19"/>
  <c r="U19"/>
  <c r="V19"/>
  <c r="W19"/>
  <c r="X19"/>
  <c r="Y19"/>
  <c r="Z19"/>
  <c r="P20"/>
  <c r="Q20"/>
  <c r="R20"/>
  <c r="S20"/>
  <c r="T20"/>
  <c r="U20"/>
  <c r="V20"/>
  <c r="W20"/>
  <c r="X20"/>
  <c r="Y20"/>
  <c r="Z20"/>
  <c r="P21"/>
  <c r="Q21"/>
  <c r="R21"/>
  <c r="S21"/>
  <c r="T21"/>
  <c r="U21"/>
  <c r="V21"/>
  <c r="W21"/>
  <c r="X21"/>
  <c r="Y21"/>
  <c r="Z21"/>
  <c r="P22"/>
  <c r="Q22"/>
  <c r="R22"/>
  <c r="S22"/>
  <c r="T22"/>
  <c r="U22"/>
  <c r="V22"/>
  <c r="W22"/>
  <c r="X22"/>
  <c r="Y22"/>
  <c r="Z22"/>
  <c r="P23"/>
  <c r="Q23"/>
  <c r="R23"/>
  <c r="S23"/>
  <c r="T23"/>
  <c r="U23"/>
  <c r="V23"/>
  <c r="W23"/>
  <c r="X23"/>
  <c r="Y23"/>
  <c r="Z23"/>
  <c r="P24"/>
  <c r="Q24"/>
  <c r="R24"/>
  <c r="S24"/>
  <c r="T24"/>
  <c r="U24"/>
  <c r="V24"/>
  <c r="W24"/>
  <c r="X24"/>
  <c r="Y24"/>
  <c r="Z24"/>
  <c r="P25"/>
  <c r="Q25"/>
  <c r="R25"/>
  <c r="S25"/>
  <c r="T25"/>
  <c r="U25"/>
  <c r="V25"/>
  <c r="W25"/>
  <c r="X25"/>
  <c r="Y25"/>
  <c r="Z25"/>
  <c r="O17"/>
  <c r="AA17" s="1"/>
  <c r="O18"/>
  <c r="AA18" s="1"/>
  <c r="O19"/>
  <c r="AA19" s="1"/>
  <c r="O20"/>
  <c r="AA20" s="1"/>
  <c r="O21"/>
  <c r="AA21" s="1"/>
  <c r="O22"/>
  <c r="AA22" s="1"/>
  <c r="O23"/>
  <c r="AA23" s="1"/>
  <c r="O24"/>
  <c r="AA24" s="1"/>
  <c r="O25"/>
  <c r="AA25" s="1"/>
  <c r="C16"/>
  <c r="D16"/>
  <c r="E16"/>
  <c r="F16"/>
  <c r="G16"/>
  <c r="H16"/>
  <c r="I16"/>
  <c r="J16"/>
  <c r="K16"/>
  <c r="L16"/>
  <c r="M16"/>
  <c r="C17"/>
  <c r="D17"/>
  <c r="E17"/>
  <c r="F17"/>
  <c r="G17"/>
  <c r="H17"/>
  <c r="I17"/>
  <c r="J17"/>
  <c r="K17"/>
  <c r="L17"/>
  <c r="M17"/>
  <c r="C18"/>
  <c r="D18"/>
  <c r="E18"/>
  <c r="F18"/>
  <c r="G18"/>
  <c r="H18"/>
  <c r="I18"/>
  <c r="J18"/>
  <c r="K18"/>
  <c r="L18"/>
  <c r="M18"/>
  <c r="C19"/>
  <c r="D19"/>
  <c r="E19"/>
  <c r="F19"/>
  <c r="G19"/>
  <c r="H19"/>
  <c r="I19"/>
  <c r="J19"/>
  <c r="K19"/>
  <c r="L19"/>
  <c r="M19"/>
  <c r="C20"/>
  <c r="D20"/>
  <c r="E20"/>
  <c r="F20"/>
  <c r="G20"/>
  <c r="H20"/>
  <c r="I20"/>
  <c r="J20"/>
  <c r="K20"/>
  <c r="L20"/>
  <c r="M20"/>
  <c r="C21"/>
  <c r="D21"/>
  <c r="E21"/>
  <c r="F21"/>
  <c r="G21"/>
  <c r="H21"/>
  <c r="I21"/>
  <c r="J21"/>
  <c r="K21"/>
  <c r="L21"/>
  <c r="M21"/>
  <c r="C22"/>
  <c r="D22"/>
  <c r="E22"/>
  <c r="F22"/>
  <c r="G22"/>
  <c r="H22"/>
  <c r="I22"/>
  <c r="J22"/>
  <c r="K22"/>
  <c r="L22"/>
  <c r="M22"/>
  <c r="C23"/>
  <c r="D23"/>
  <c r="E23"/>
  <c r="F23"/>
  <c r="G23"/>
  <c r="H23"/>
  <c r="I23"/>
  <c r="J23"/>
  <c r="K23"/>
  <c r="L23"/>
  <c r="M23"/>
  <c r="C24"/>
  <c r="D24"/>
  <c r="E24"/>
  <c r="F24"/>
  <c r="G24"/>
  <c r="H24"/>
  <c r="I24"/>
  <c r="J24"/>
  <c r="K24"/>
  <c r="L24"/>
  <c r="M24"/>
  <c r="C25"/>
  <c r="D25"/>
  <c r="E25"/>
  <c r="F25"/>
  <c r="G25"/>
  <c r="H25"/>
  <c r="I25"/>
  <c r="J25"/>
  <c r="K25"/>
  <c r="L25"/>
  <c r="M25"/>
  <c r="B17"/>
  <c r="N17" s="1"/>
  <c r="B18"/>
  <c r="N18" s="1"/>
  <c r="B19"/>
  <c r="N19" s="1"/>
  <c r="B20"/>
  <c r="N20" s="1"/>
  <c r="B21"/>
  <c r="N21" s="1"/>
  <c r="B22"/>
  <c r="N22" s="1"/>
  <c r="B23"/>
  <c r="N23" s="1"/>
  <c r="B24"/>
  <c r="N24" s="1"/>
  <c r="B25"/>
  <c r="N25" s="1"/>
  <c r="A17"/>
  <c r="A18"/>
  <c r="A19"/>
  <c r="A20"/>
  <c r="A21"/>
  <c r="A22"/>
  <c r="A23"/>
  <c r="A24"/>
  <c r="A25"/>
  <c r="A26"/>
  <c r="A27"/>
  <c r="A28"/>
  <c r="A29"/>
  <c r="A30"/>
  <c r="A31"/>
  <c r="A16"/>
  <c r="A75" i="1"/>
  <c r="A76"/>
  <c r="A77"/>
  <c r="A78"/>
  <c r="A79"/>
  <c r="A80"/>
  <c r="A74"/>
  <c r="D40" i="2"/>
  <c r="D41"/>
  <c r="D42"/>
  <c r="D43"/>
  <c r="D44"/>
  <c r="D45"/>
  <c r="D46"/>
  <c r="D47"/>
  <c r="D48"/>
  <c r="D49"/>
  <c r="D50"/>
  <c r="D51"/>
  <c r="A57"/>
  <c r="A58"/>
  <c r="A40"/>
  <c r="A41"/>
  <c r="A42"/>
  <c r="A43"/>
  <c r="A44"/>
  <c r="A45"/>
  <c r="A46"/>
  <c r="A47"/>
  <c r="A48"/>
  <c r="A49"/>
  <c r="A50"/>
  <c r="A51"/>
  <c r="A52"/>
  <c r="A53"/>
  <c r="A54"/>
  <c r="A55"/>
  <c r="A56"/>
  <c r="A39"/>
  <c r="AB23"/>
  <c r="D54" s="1"/>
  <c r="AB24"/>
  <c r="D55" s="1"/>
  <c r="AB25"/>
  <c r="D56" s="1"/>
  <c r="P23"/>
  <c r="P28" i="3" s="1"/>
  <c r="Q23" i="2"/>
  <c r="Q28" i="3" s="1"/>
  <c r="R23" i="2"/>
  <c r="R28" i="3" s="1"/>
  <c r="S23" i="2"/>
  <c r="S28" i="3" s="1"/>
  <c r="T23" i="2"/>
  <c r="T28" i="3" s="1"/>
  <c r="U23" i="2"/>
  <c r="U28" i="3" s="1"/>
  <c r="V23" i="2"/>
  <c r="V28" i="3" s="1"/>
  <c r="W23" i="2"/>
  <c r="W28" i="3" s="1"/>
  <c r="X23" i="2"/>
  <c r="X28" i="3" s="1"/>
  <c r="Y23" i="2"/>
  <c r="Y28" i="3" s="1"/>
  <c r="Z23" i="2"/>
  <c r="Z28" i="3" s="1"/>
  <c r="O23" i="2"/>
  <c r="P24"/>
  <c r="P29" i="3" s="1"/>
  <c r="Q24" i="2"/>
  <c r="Q29" i="3" s="1"/>
  <c r="R24" i="2"/>
  <c r="R29" i="3" s="1"/>
  <c r="S24" i="2"/>
  <c r="S29" i="3" s="1"/>
  <c r="T24" i="2"/>
  <c r="T29" i="3" s="1"/>
  <c r="U24" i="2"/>
  <c r="U29" i="3" s="1"/>
  <c r="V24" i="2"/>
  <c r="V29" i="3" s="1"/>
  <c r="W24" i="2"/>
  <c r="W29" i="3" s="1"/>
  <c r="X24" i="2"/>
  <c r="X29" i="3" s="1"/>
  <c r="Y24" i="2"/>
  <c r="Y29" i="3" s="1"/>
  <c r="Z24" i="2"/>
  <c r="Z29" i="3" s="1"/>
  <c r="O24" i="2"/>
  <c r="P25"/>
  <c r="P30" i="3" s="1"/>
  <c r="Q25" i="2"/>
  <c r="Q30" i="3" s="1"/>
  <c r="R25" i="2"/>
  <c r="R30" i="3" s="1"/>
  <c r="S25" i="2"/>
  <c r="S30" i="3" s="1"/>
  <c r="T25" i="2"/>
  <c r="T30" i="3" s="1"/>
  <c r="U25" i="2"/>
  <c r="U30" i="3" s="1"/>
  <c r="V25" i="2"/>
  <c r="V30" i="3" s="1"/>
  <c r="W25" i="2"/>
  <c r="W30" i="3" s="1"/>
  <c r="X25" i="2"/>
  <c r="X30" i="3" s="1"/>
  <c r="Y25" i="2"/>
  <c r="Y30" i="3" s="1"/>
  <c r="Z25" i="2"/>
  <c r="Z30" i="3" s="1"/>
  <c r="O25" i="2"/>
  <c r="O30" i="3" s="1"/>
  <c r="C21" i="2"/>
  <c r="C26" i="3" s="1"/>
  <c r="D21" i="2"/>
  <c r="D26" i="3" s="1"/>
  <c r="E21" i="2"/>
  <c r="E26" i="3" s="1"/>
  <c r="F21" i="2"/>
  <c r="F26" i="3" s="1"/>
  <c r="G21" i="2"/>
  <c r="G26" i="3" s="1"/>
  <c r="H21" i="2"/>
  <c r="H26" i="3" s="1"/>
  <c r="I21" i="2"/>
  <c r="I26" i="3" s="1"/>
  <c r="J21" i="2"/>
  <c r="J26" i="3" s="1"/>
  <c r="K21" i="2"/>
  <c r="K26" i="3" s="1"/>
  <c r="L21" i="2"/>
  <c r="L26" i="3" s="1"/>
  <c r="M21" i="2"/>
  <c r="M26" i="3" s="1"/>
  <c r="C22" i="2"/>
  <c r="C27" i="3" s="1"/>
  <c r="D22" i="2"/>
  <c r="D27" i="3" s="1"/>
  <c r="E22" i="2"/>
  <c r="E27" i="3" s="1"/>
  <c r="F22" i="2"/>
  <c r="F27" i="3" s="1"/>
  <c r="G22" i="2"/>
  <c r="G27" i="3" s="1"/>
  <c r="H22" i="2"/>
  <c r="H27" i="3" s="1"/>
  <c r="I22" i="2"/>
  <c r="I27" i="3" s="1"/>
  <c r="J22" i="2"/>
  <c r="J27" i="3" s="1"/>
  <c r="K22" i="2"/>
  <c r="K27" i="3" s="1"/>
  <c r="L22" i="2"/>
  <c r="L27" i="3" s="1"/>
  <c r="M22" i="2"/>
  <c r="M27" i="3" s="1"/>
  <c r="B21" i="2"/>
  <c r="B26" i="3" s="1"/>
  <c r="B27"/>
  <c r="C23" i="2"/>
  <c r="C28" i="3" s="1"/>
  <c r="D23" i="2"/>
  <c r="D28" i="3" s="1"/>
  <c r="E23" i="2"/>
  <c r="E28" i="3" s="1"/>
  <c r="F23" i="2"/>
  <c r="F28" i="3" s="1"/>
  <c r="G23" i="2"/>
  <c r="G28" i="3" s="1"/>
  <c r="H23" i="2"/>
  <c r="H28" i="3" s="1"/>
  <c r="I23" i="2"/>
  <c r="I28" i="3" s="1"/>
  <c r="J23" i="2"/>
  <c r="J28" i="3" s="1"/>
  <c r="K23" i="2"/>
  <c r="K28" i="3" s="1"/>
  <c r="L23" i="2"/>
  <c r="L28" i="3" s="1"/>
  <c r="M23" i="2"/>
  <c r="M28" i="3" s="1"/>
  <c r="B23" i="2"/>
  <c r="N22"/>
  <c r="C24"/>
  <c r="C29" i="3" s="1"/>
  <c r="D24" i="2"/>
  <c r="D29" i="3" s="1"/>
  <c r="E24" i="2"/>
  <c r="E29" i="3" s="1"/>
  <c r="F24" i="2"/>
  <c r="F29" i="3" s="1"/>
  <c r="G24" i="2"/>
  <c r="G29" i="3" s="1"/>
  <c r="H24" i="2"/>
  <c r="H29" i="3" s="1"/>
  <c r="I24" i="2"/>
  <c r="I29" i="3" s="1"/>
  <c r="J24" i="2"/>
  <c r="J29" i="3" s="1"/>
  <c r="K24" i="2"/>
  <c r="K29" i="3" s="1"/>
  <c r="L24" i="2"/>
  <c r="L29" i="3" s="1"/>
  <c r="M24" i="2"/>
  <c r="M29" i="3" s="1"/>
  <c r="C25" i="2"/>
  <c r="C30" i="3" s="1"/>
  <c r="D25" i="2"/>
  <c r="D30" i="3" s="1"/>
  <c r="E25" i="2"/>
  <c r="E30" i="3" s="1"/>
  <c r="F25" i="2"/>
  <c r="F30" i="3" s="1"/>
  <c r="G25" i="2"/>
  <c r="G30" i="3" s="1"/>
  <c r="H25" i="2"/>
  <c r="H30" i="3" s="1"/>
  <c r="I25" i="2"/>
  <c r="I30" i="3" s="1"/>
  <c r="J25" i="2"/>
  <c r="J30" i="3" s="1"/>
  <c r="K25" i="2"/>
  <c r="K30" i="3" s="1"/>
  <c r="L25" i="2"/>
  <c r="L30" i="3" s="1"/>
  <c r="M25" i="2"/>
  <c r="M30" i="3" s="1"/>
  <c r="B25" i="2"/>
  <c r="B30" i="3" s="1"/>
  <c r="B24" i="2"/>
  <c r="N24" s="1"/>
  <c r="B55" s="1"/>
  <c r="AA22" i="4"/>
  <c r="AA23"/>
  <c r="AA24"/>
  <c r="AA26"/>
  <c r="Z27"/>
  <c r="Y27"/>
  <c r="X27"/>
  <c r="W27"/>
  <c r="V27"/>
  <c r="U27"/>
  <c r="T27"/>
  <c r="S27"/>
  <c r="R27"/>
  <c r="Q27"/>
  <c r="P27"/>
  <c r="O27"/>
  <c r="AA27" s="1"/>
  <c r="N23"/>
  <c r="Q22" i="2" s="1"/>
  <c r="Q27" i="3" s="1"/>
  <c r="M27" i="4"/>
  <c r="L27"/>
  <c r="K27"/>
  <c r="J27"/>
  <c r="I27"/>
  <c r="H27"/>
  <c r="G27"/>
  <c r="F27"/>
  <c r="E27"/>
  <c r="D27"/>
  <c r="C27"/>
  <c r="B20" i="5"/>
  <c r="N30" i="3" l="1"/>
  <c r="N21" i="2"/>
  <c r="B52" s="1"/>
  <c r="N26" i="3"/>
  <c r="N23" i="2"/>
  <c r="B54" s="1"/>
  <c r="N27" i="3"/>
  <c r="AA30"/>
  <c r="AA24" i="2"/>
  <c r="C55" s="1"/>
  <c r="E55" s="1"/>
  <c r="AA23"/>
  <c r="C54" s="1"/>
  <c r="O28" i="3"/>
  <c r="AA28" s="1"/>
  <c r="B28"/>
  <c r="N28" s="1"/>
  <c r="AB28"/>
  <c r="B29"/>
  <c r="N29" s="1"/>
  <c r="AB30"/>
  <c r="AB29"/>
  <c r="O29"/>
  <c r="AA29" s="1"/>
  <c r="B53" i="2"/>
  <c r="Z22"/>
  <c r="Z27" i="3" s="1"/>
  <c r="X22" i="2"/>
  <c r="X27" i="3" s="1"/>
  <c r="V22" i="2"/>
  <c r="V27" i="3" s="1"/>
  <c r="T22" i="2"/>
  <c r="T27" i="3" s="1"/>
  <c r="R22" i="2"/>
  <c r="R27" i="3" s="1"/>
  <c r="P22" i="2"/>
  <c r="P27" i="3" s="1"/>
  <c r="AB22" i="2"/>
  <c r="C15" i="5"/>
  <c r="O22" i="2"/>
  <c r="Y22"/>
  <c r="Y27" i="3" s="1"/>
  <c r="W22" i="2"/>
  <c r="W27" i="3" s="1"/>
  <c r="U22" i="2"/>
  <c r="U27" i="3" s="1"/>
  <c r="S22" i="2"/>
  <c r="S27" i="3" s="1"/>
  <c r="A30" i="1"/>
  <c r="A31"/>
  <c r="A33"/>
  <c r="A28"/>
  <c r="A29"/>
  <c r="A27"/>
  <c r="B6" i="12"/>
  <c r="G6"/>
  <c r="E54" i="2" l="1"/>
  <c r="D15" i="5"/>
  <c r="D53" i="2"/>
  <c r="AB27" i="3"/>
  <c r="AA22" i="2"/>
  <c r="C53" s="1"/>
  <c r="E53" s="1"/>
  <c r="O27" i="3"/>
  <c r="AA27" s="1"/>
  <c r="C38" i="5"/>
  <c r="D6" i="8"/>
  <c r="AB11" i="4"/>
  <c r="N11"/>
  <c r="AA11"/>
  <c r="N22"/>
  <c r="N21"/>
  <c r="C10" i="12"/>
  <c r="E10" s="1"/>
  <c r="B27" i="2" s="1"/>
  <c r="B44" i="4" s="1"/>
  <c r="E15" i="5" l="1"/>
  <c r="Q21" i="2"/>
  <c r="Q26" i="3" s="1"/>
  <c r="S21" i="2"/>
  <c r="S26" i="3" s="1"/>
  <c r="U21" i="2"/>
  <c r="U26" i="3" s="1"/>
  <c r="W21" i="2"/>
  <c r="W26" i="3" s="1"/>
  <c r="Y21" i="2"/>
  <c r="Y26" i="3" s="1"/>
  <c r="O21" i="2"/>
  <c r="O26" i="3" s="1"/>
  <c r="AB21" i="2"/>
  <c r="P21"/>
  <c r="P26" i="3" s="1"/>
  <c r="R21" i="2"/>
  <c r="R26" i="3" s="1"/>
  <c r="T21" i="2"/>
  <c r="T26" i="3" s="1"/>
  <c r="V21" i="2"/>
  <c r="V26" i="3" s="1"/>
  <c r="X21" i="2"/>
  <c r="X26" i="3" s="1"/>
  <c r="Z21" i="2"/>
  <c r="Z26" i="3" s="1"/>
  <c r="D10" i="12"/>
  <c r="B26" i="2" s="1"/>
  <c r="F10" i="12"/>
  <c r="N37" i="4"/>
  <c r="G10" i="12"/>
  <c r="C11" s="1"/>
  <c r="AA26" i="3" l="1"/>
  <c r="D52" i="2"/>
  <c r="AB26" i="3"/>
  <c r="B43" i="4"/>
  <c r="B31" i="3"/>
  <c r="AA21" i="2"/>
  <c r="C52" s="1"/>
  <c r="E52" s="1"/>
  <c r="D11" i="12"/>
  <c r="C26" i="2" s="1"/>
  <c r="E11" i="12"/>
  <c r="C27" i="2" s="1"/>
  <c r="C31" i="3" l="1"/>
  <c r="C35" s="1"/>
  <c r="C43" i="4"/>
  <c r="C44"/>
  <c r="G11" i="12"/>
  <c r="C12" s="1"/>
  <c r="E12" s="1"/>
  <c r="D27" i="2" s="1"/>
  <c r="D44" i="4" s="1"/>
  <c r="F11" i="12"/>
  <c r="D12" l="1"/>
  <c r="D26" i="2" s="1"/>
  <c r="G12" i="12"/>
  <c r="C13" s="1"/>
  <c r="E13" s="1"/>
  <c r="E27" i="2" s="1"/>
  <c r="E44" i="4" s="1"/>
  <c r="F12" i="12"/>
  <c r="D43" i="4" l="1"/>
  <c r="D31" i="3"/>
  <c r="D35" s="1"/>
  <c r="D13" i="12"/>
  <c r="E26" i="2" s="1"/>
  <c r="G13" i="12"/>
  <c r="C14" s="1"/>
  <c r="D14" s="1"/>
  <c r="F26" i="2" s="1"/>
  <c r="F13" i="12"/>
  <c r="F43" i="4" l="1"/>
  <c r="F31" i="3"/>
  <c r="F35" s="1"/>
  <c r="E31"/>
  <c r="E35" s="1"/>
  <c r="E43" i="4"/>
  <c r="E14" i="12"/>
  <c r="G14" l="1"/>
  <c r="C15" s="1"/>
  <c r="E15" s="1"/>
  <c r="G27" i="2" s="1"/>
  <c r="G44" i="4" s="1"/>
  <c r="F27" i="2"/>
  <c r="F14" i="12"/>
  <c r="D15" l="1"/>
  <c r="G26" i="2" s="1"/>
  <c r="G43" i="4" s="1"/>
  <c r="F44"/>
  <c r="G31" i="3"/>
  <c r="G35" s="1"/>
  <c r="G15" i="12"/>
  <c r="C16" s="1"/>
  <c r="E16" s="1"/>
  <c r="H27" i="2" s="1"/>
  <c r="H44" i="4" s="1"/>
  <c r="F15" i="12"/>
  <c r="G16" l="1"/>
  <c r="D16"/>
  <c r="C17"/>
  <c r="E17" s="1"/>
  <c r="I27" i="2" s="1"/>
  <c r="I44" i="4" s="1"/>
  <c r="F16" i="12" l="1"/>
  <c r="H26" i="2"/>
  <c r="D17" i="12"/>
  <c r="I26" i="2" s="1"/>
  <c r="I31" i="3" l="1"/>
  <c r="I35" s="1"/>
  <c r="I43" i="4"/>
  <c r="H43"/>
  <c r="H31" i="3"/>
  <c r="H35" s="1"/>
  <c r="F17" i="12"/>
  <c r="G17"/>
  <c r="C18" s="1"/>
  <c r="E18" s="1"/>
  <c r="J27" i="2" s="1"/>
  <c r="J44" i="4" s="1"/>
  <c r="D18" i="12" l="1"/>
  <c r="J26" i="2" s="1"/>
  <c r="G18" i="12"/>
  <c r="C19" s="1"/>
  <c r="E19" s="1"/>
  <c r="K27" i="2" s="1"/>
  <c r="K44" i="4" s="1"/>
  <c r="J43" l="1"/>
  <c r="J31" i="3"/>
  <c r="J35" s="1"/>
  <c r="F18" i="12"/>
  <c r="D19"/>
  <c r="K26" i="2" s="1"/>
  <c r="G19" i="12"/>
  <c r="C20" s="1"/>
  <c r="E20" s="1"/>
  <c r="L27" i="2" s="1"/>
  <c r="L44" i="4" s="1"/>
  <c r="K31" i="3" l="1"/>
  <c r="K35" s="1"/>
  <c r="K43" i="4"/>
  <c r="F19" i="12"/>
  <c r="D20"/>
  <c r="L26" i="2" s="1"/>
  <c r="G20" i="12"/>
  <c r="L43" i="4" l="1"/>
  <c r="L31" i="3"/>
  <c r="L35" s="1"/>
  <c r="F20" i="12"/>
  <c r="C21"/>
  <c r="E21" s="1"/>
  <c r="M27" i="2" s="1"/>
  <c r="M44" i="4" l="1"/>
  <c r="N44" s="1"/>
  <c r="N27" i="2"/>
  <c r="B57" s="1"/>
  <c r="K10" i="12"/>
  <c r="L10" s="1"/>
  <c r="D21"/>
  <c r="M26" i="2" s="1"/>
  <c r="M31" i="3" l="1"/>
  <c r="M43" i="4"/>
  <c r="N26" i="2"/>
  <c r="B58" s="1"/>
  <c r="F21" i="12"/>
  <c r="G21"/>
  <c r="C22" s="1"/>
  <c r="E22" s="1"/>
  <c r="O27" i="2" s="1"/>
  <c r="O44" i="4" s="1"/>
  <c r="J10" i="12"/>
  <c r="N31" i="3" l="1"/>
  <c r="M35"/>
  <c r="D22" i="12"/>
  <c r="G22"/>
  <c r="F22" l="1"/>
  <c r="O26" i="2"/>
  <c r="C23" i="12"/>
  <c r="E23" s="1"/>
  <c r="P27" i="2" s="1"/>
  <c r="P44" i="4" l="1"/>
  <c r="O43"/>
  <c r="O31" i="3"/>
  <c r="D23" i="12"/>
  <c r="G23"/>
  <c r="F23" l="1"/>
  <c r="P26" i="2"/>
  <c r="C24" i="12"/>
  <c r="E24" s="1"/>
  <c r="Q27" i="2" s="1"/>
  <c r="Q44" i="4" l="1"/>
  <c r="P43"/>
  <c r="P31" i="3"/>
  <c r="D24" i="12"/>
  <c r="G24"/>
  <c r="F24" l="1"/>
  <c r="Q26" i="2"/>
  <c r="C25" i="12"/>
  <c r="E25" s="1"/>
  <c r="R27" i="2" s="1"/>
  <c r="R44" i="4" l="1"/>
  <c r="Q43"/>
  <c r="Q31" i="3"/>
  <c r="D25" i="12"/>
  <c r="G25"/>
  <c r="F25" l="1"/>
  <c r="R26" i="2"/>
  <c r="C26" i="12"/>
  <c r="E26" s="1"/>
  <c r="S27" i="2" s="1"/>
  <c r="S44" i="4" l="1"/>
  <c r="R43"/>
  <c r="R31" i="3"/>
  <c r="D26" i="12"/>
  <c r="G26"/>
  <c r="F26" l="1"/>
  <c r="S26" i="2"/>
  <c r="C27" i="12"/>
  <c r="E27" s="1"/>
  <c r="T27" i="2" s="1"/>
  <c r="T44" i="4" s="1"/>
  <c r="S43" l="1"/>
  <c r="S31" i="3"/>
  <c r="D27" i="12"/>
  <c r="G27"/>
  <c r="F27" l="1"/>
  <c r="T26" i="2"/>
  <c r="C28" i="12"/>
  <c r="E28" s="1"/>
  <c r="U27" i="2" s="1"/>
  <c r="U44" i="4" s="1"/>
  <c r="T43" l="1"/>
  <c r="T31" i="3"/>
  <c r="D28" i="12"/>
  <c r="G28"/>
  <c r="F28" l="1"/>
  <c r="U26" i="2"/>
  <c r="C29" i="12"/>
  <c r="E29" s="1"/>
  <c r="V27" i="2" s="1"/>
  <c r="V44" i="4" s="1"/>
  <c r="U43" l="1"/>
  <c r="U31" i="3"/>
  <c r="D29" i="12"/>
  <c r="G29"/>
  <c r="F29" l="1"/>
  <c r="V26" i="2"/>
  <c r="C30" i="12"/>
  <c r="E30" s="1"/>
  <c r="W27" i="2" s="1"/>
  <c r="W44" i="4" s="1"/>
  <c r="V43" l="1"/>
  <c r="V31" i="3"/>
  <c r="V35" s="1"/>
  <c r="D30" i="12"/>
  <c r="G30"/>
  <c r="F30" l="1"/>
  <c r="W26" i="2"/>
  <c r="C31" i="12"/>
  <c r="E31" s="1"/>
  <c r="X27" i="2" s="1"/>
  <c r="X44" i="4" s="1"/>
  <c r="W43" l="1"/>
  <c r="W31" i="3"/>
  <c r="D31" i="12"/>
  <c r="G31"/>
  <c r="F31" l="1"/>
  <c r="X26" i="2"/>
  <c r="C32" i="12"/>
  <c r="E32" s="1"/>
  <c r="Y27" i="2" s="1"/>
  <c r="Y44" i="4" s="1"/>
  <c r="X43" l="1"/>
  <c r="X31" i="3"/>
  <c r="D32" i="12"/>
  <c r="G32"/>
  <c r="F32" l="1"/>
  <c r="Y26" i="2"/>
  <c r="C33" i="12"/>
  <c r="E33" s="1"/>
  <c r="K11" l="1"/>
  <c r="Z27" i="2"/>
  <c r="Y43" i="4"/>
  <c r="Y31" i="3"/>
  <c r="D33" i="12"/>
  <c r="L11" l="1"/>
  <c r="C27" i="5"/>
  <c r="F33" i="12"/>
  <c r="Z26" i="2"/>
  <c r="Z44" i="4"/>
  <c r="AA27" i="2"/>
  <c r="C57" s="1"/>
  <c r="J11" i="12"/>
  <c r="G33"/>
  <c r="C34" s="1"/>
  <c r="E34" s="1"/>
  <c r="Z43" i="4" l="1"/>
  <c r="Z31" i="3"/>
  <c r="AA31" s="1"/>
  <c r="AA26" i="2"/>
  <c r="C58" s="1"/>
  <c r="D34" i="12"/>
  <c r="F34" s="1"/>
  <c r="N20" i="2"/>
  <c r="B51" s="1"/>
  <c r="N19"/>
  <c r="B50" s="1"/>
  <c r="N18"/>
  <c r="B49" s="1"/>
  <c r="N17"/>
  <c r="B48" s="1"/>
  <c r="N16"/>
  <c r="B47" s="1"/>
  <c r="N15"/>
  <c r="B46" s="1"/>
  <c r="Q28" i="1"/>
  <c r="R28"/>
  <c r="S28"/>
  <c r="T28"/>
  <c r="U28"/>
  <c r="V28"/>
  <c r="W28"/>
  <c r="X28"/>
  <c r="Y28"/>
  <c r="Z28"/>
  <c r="AA28"/>
  <c r="AB28"/>
  <c r="Q29"/>
  <c r="R29"/>
  <c r="S29"/>
  <c r="T29"/>
  <c r="U29"/>
  <c r="V29"/>
  <c r="W29"/>
  <c r="X29"/>
  <c r="Y29"/>
  <c r="Z29"/>
  <c r="AA29"/>
  <c r="AB29"/>
  <c r="Q30"/>
  <c r="R30"/>
  <c r="S30"/>
  <c r="T30"/>
  <c r="U30"/>
  <c r="V30"/>
  <c r="W30"/>
  <c r="X30"/>
  <c r="Y30"/>
  <c r="Z30"/>
  <c r="AA30"/>
  <c r="AB30"/>
  <c r="Q31"/>
  <c r="R31"/>
  <c r="S31"/>
  <c r="T31"/>
  <c r="U31"/>
  <c r="V31"/>
  <c r="W31"/>
  <c r="X31"/>
  <c r="Y31"/>
  <c r="Z31"/>
  <c r="AA31"/>
  <c r="AB31"/>
  <c r="Q32"/>
  <c r="R32"/>
  <c r="S32"/>
  <c r="T32"/>
  <c r="U32"/>
  <c r="V32"/>
  <c r="W32"/>
  <c r="X32"/>
  <c r="Y32"/>
  <c r="Z32"/>
  <c r="AA32"/>
  <c r="AB32"/>
  <c r="Q33"/>
  <c r="AC33" s="1"/>
  <c r="R33"/>
  <c r="S33"/>
  <c r="T33"/>
  <c r="U33"/>
  <c r="V33"/>
  <c r="W33"/>
  <c r="X33"/>
  <c r="Y33"/>
  <c r="Z33"/>
  <c r="AA33"/>
  <c r="AB33"/>
  <c r="R27"/>
  <c r="S27"/>
  <c r="T27"/>
  <c r="U27"/>
  <c r="V27"/>
  <c r="W27"/>
  <c r="X27"/>
  <c r="Y27"/>
  <c r="Z27"/>
  <c r="AA27"/>
  <c r="AB27"/>
  <c r="Q27"/>
  <c r="N28"/>
  <c r="N29"/>
  <c r="N30"/>
  <c r="N31"/>
  <c r="N32"/>
  <c r="N33"/>
  <c r="M28"/>
  <c r="M29"/>
  <c r="M30"/>
  <c r="M31"/>
  <c r="M32"/>
  <c r="M33"/>
  <c r="L28"/>
  <c r="L29"/>
  <c r="L30"/>
  <c r="L31"/>
  <c r="L32"/>
  <c r="L33"/>
  <c r="K28"/>
  <c r="K29"/>
  <c r="K30"/>
  <c r="K31"/>
  <c r="K32"/>
  <c r="K33"/>
  <c r="J28"/>
  <c r="J29"/>
  <c r="J30"/>
  <c r="J31"/>
  <c r="J32"/>
  <c r="J33"/>
  <c r="I28"/>
  <c r="I29"/>
  <c r="I30"/>
  <c r="I31"/>
  <c r="I32"/>
  <c r="I33"/>
  <c r="H28"/>
  <c r="H29"/>
  <c r="H30"/>
  <c r="H31"/>
  <c r="H32"/>
  <c r="H33"/>
  <c r="G28"/>
  <c r="G29"/>
  <c r="G30"/>
  <c r="G31"/>
  <c r="G32"/>
  <c r="G33"/>
  <c r="F28"/>
  <c r="F29"/>
  <c r="F30"/>
  <c r="F31"/>
  <c r="F32"/>
  <c r="F33"/>
  <c r="E28"/>
  <c r="E29"/>
  <c r="E30"/>
  <c r="E31"/>
  <c r="E32"/>
  <c r="E33"/>
  <c r="D33"/>
  <c r="D28"/>
  <c r="D29"/>
  <c r="D30"/>
  <c r="D31"/>
  <c r="D32"/>
  <c r="D27"/>
  <c r="E27"/>
  <c r="F27"/>
  <c r="G27"/>
  <c r="H27"/>
  <c r="I27"/>
  <c r="J27"/>
  <c r="K27"/>
  <c r="L27"/>
  <c r="M27"/>
  <c r="N27"/>
  <c r="C28"/>
  <c r="C29"/>
  <c r="C30"/>
  <c r="C31"/>
  <c r="C32"/>
  <c r="C33"/>
  <c r="O33" s="1"/>
  <c r="C27"/>
  <c r="O9"/>
  <c r="B57" s="1"/>
  <c r="B18" i="11"/>
  <c r="B21"/>
  <c r="B24" s="1"/>
  <c r="D18"/>
  <c r="F18"/>
  <c r="D21"/>
  <c r="E13" i="10"/>
  <c r="B18"/>
  <c r="D18"/>
  <c r="D21" s="1"/>
  <c r="F18"/>
  <c r="B21"/>
  <c r="B24"/>
  <c r="O11" i="3"/>
  <c r="O12"/>
  <c r="O16"/>
  <c r="P11"/>
  <c r="P12"/>
  <c r="Q11"/>
  <c r="Q12"/>
  <c r="R11"/>
  <c r="R12"/>
  <c r="S11"/>
  <c r="S12"/>
  <c r="T11"/>
  <c r="T12"/>
  <c r="U11"/>
  <c r="U12"/>
  <c r="V11"/>
  <c r="V12"/>
  <c r="W11"/>
  <c r="W12"/>
  <c r="X11"/>
  <c r="X12"/>
  <c r="Y11"/>
  <c r="Y12"/>
  <c r="Z11"/>
  <c r="Z12"/>
  <c r="AB11"/>
  <c r="AB12"/>
  <c r="AB16"/>
  <c r="B11"/>
  <c r="B13" s="1"/>
  <c r="B12"/>
  <c r="B16"/>
  <c r="B35" s="1"/>
  <c r="N35" s="1"/>
  <c r="C11"/>
  <c r="C12"/>
  <c r="D11"/>
  <c r="D12"/>
  <c r="E11"/>
  <c r="E12"/>
  <c r="F11"/>
  <c r="F12"/>
  <c r="G11"/>
  <c r="G12"/>
  <c r="H11"/>
  <c r="H12"/>
  <c r="I11"/>
  <c r="I12"/>
  <c r="J11"/>
  <c r="J12"/>
  <c r="K11"/>
  <c r="K12"/>
  <c r="L11"/>
  <c r="L12"/>
  <c r="M11"/>
  <c r="M12"/>
  <c r="AA42" i="4"/>
  <c r="AA21"/>
  <c r="AA32"/>
  <c r="AA34"/>
  <c r="AA36"/>
  <c r="AA38"/>
  <c r="AA40"/>
  <c r="AA44"/>
  <c r="AA20" i="2"/>
  <c r="C51" s="1"/>
  <c r="AA19"/>
  <c r="C50" s="1"/>
  <c r="AE27" i="1"/>
  <c r="D74" s="1"/>
  <c r="AE28"/>
  <c r="D75" s="1"/>
  <c r="AE29"/>
  <c r="D76" s="1"/>
  <c r="AE30"/>
  <c r="D77" s="1"/>
  <c r="AE31"/>
  <c r="D78" s="1"/>
  <c r="AE33"/>
  <c r="D80" s="1"/>
  <c r="D85"/>
  <c r="D87"/>
  <c r="AC40"/>
  <c r="C85" s="1"/>
  <c r="AC42"/>
  <c r="C87" s="1"/>
  <c r="O40"/>
  <c r="B85" s="1"/>
  <c r="O42"/>
  <c r="B87" s="1"/>
  <c r="E87" s="1"/>
  <c r="N9" i="2"/>
  <c r="B40" s="1"/>
  <c r="N10"/>
  <c r="B41" s="1"/>
  <c r="AA18"/>
  <c r="C49" s="1"/>
  <c r="AA17"/>
  <c r="C48" s="1"/>
  <c r="AA16"/>
  <c r="C47" s="1"/>
  <c r="AA15"/>
  <c r="C46" s="1"/>
  <c r="N14"/>
  <c r="B45" s="1"/>
  <c r="E45" s="1"/>
  <c r="AA14"/>
  <c r="C45" s="1"/>
  <c r="N25"/>
  <c r="AA25"/>
  <c r="N13"/>
  <c r="B44" s="1"/>
  <c r="E44" s="1"/>
  <c r="AA13"/>
  <c r="C44" s="1"/>
  <c r="N12"/>
  <c r="B43" s="1"/>
  <c r="AA12"/>
  <c r="C43" s="1"/>
  <c r="N11"/>
  <c r="B42" s="1"/>
  <c r="AA11"/>
  <c r="C42" s="1"/>
  <c r="AA10"/>
  <c r="C41" s="1"/>
  <c r="AA9"/>
  <c r="C40" s="1"/>
  <c r="C57" i="1"/>
  <c r="AC10"/>
  <c r="AC11"/>
  <c r="C59" s="1"/>
  <c r="AC12"/>
  <c r="C60" s="1"/>
  <c r="AC13"/>
  <c r="C61" s="1"/>
  <c r="AC15"/>
  <c r="O10"/>
  <c r="B58" s="1"/>
  <c r="O11"/>
  <c r="B59" s="1"/>
  <c r="O12"/>
  <c r="B60" s="1"/>
  <c r="O13"/>
  <c r="B61" s="1"/>
  <c r="O14"/>
  <c r="O15"/>
  <c r="B63" s="1"/>
  <c r="C58"/>
  <c r="C63"/>
  <c r="D57"/>
  <c r="D58"/>
  <c r="D59"/>
  <c r="D60"/>
  <c r="D61"/>
  <c r="D63"/>
  <c r="A58"/>
  <c r="A59"/>
  <c r="A60"/>
  <c r="A61"/>
  <c r="A62"/>
  <c r="A63"/>
  <c r="A57"/>
  <c r="Q19"/>
  <c r="R19"/>
  <c r="S19"/>
  <c r="T19"/>
  <c r="U19"/>
  <c r="V19"/>
  <c r="W19"/>
  <c r="X19"/>
  <c r="Y19"/>
  <c r="Z19"/>
  <c r="AA19"/>
  <c r="AB19"/>
  <c r="C19"/>
  <c r="D19"/>
  <c r="E19"/>
  <c r="F19"/>
  <c r="G19"/>
  <c r="H19"/>
  <c r="I19"/>
  <c r="J19"/>
  <c r="K19"/>
  <c r="L19"/>
  <c r="M19"/>
  <c r="N19"/>
  <c r="B56" i="2" l="1"/>
  <c r="C19" i="5"/>
  <c r="C20" s="1"/>
  <c r="C56" i="2"/>
  <c r="E56" s="1"/>
  <c r="D19" i="5"/>
  <c r="B62" i="1"/>
  <c r="AC14"/>
  <c r="E42" i="2"/>
  <c r="AC32" i="1"/>
  <c r="C79" s="1"/>
  <c r="O32"/>
  <c r="B79" s="1"/>
  <c r="AC31"/>
  <c r="AC30"/>
  <c r="AC29"/>
  <c r="AC27"/>
  <c r="O31"/>
  <c r="B78" s="1"/>
  <c r="O30"/>
  <c r="O29"/>
  <c r="B76" s="1"/>
  <c r="O27"/>
  <c r="B37" i="3"/>
  <c r="M13"/>
  <c r="L13"/>
  <c r="K13"/>
  <c r="J13"/>
  <c r="I13"/>
  <c r="H13"/>
  <c r="G13"/>
  <c r="F13"/>
  <c r="E13"/>
  <c r="D13"/>
  <c r="C13"/>
  <c r="E43" i="2"/>
  <c r="E40"/>
  <c r="O28" i="1"/>
  <c r="AC28"/>
  <c r="E41" i="2"/>
  <c r="E46"/>
  <c r="E48"/>
  <c r="E50"/>
  <c r="E47"/>
  <c r="E49"/>
  <c r="E51"/>
  <c r="AA41" i="4"/>
  <c r="AA39"/>
  <c r="AA37"/>
  <c r="AA35"/>
  <c r="AA33"/>
  <c r="AA31"/>
  <c r="N16" i="3"/>
  <c r="Z35"/>
  <c r="X35"/>
  <c r="T35"/>
  <c r="R35"/>
  <c r="P35"/>
  <c r="AA12"/>
  <c r="AA16"/>
  <c r="AA11"/>
  <c r="AA13" s="1"/>
  <c r="Y35"/>
  <c r="W35"/>
  <c r="U35"/>
  <c r="S35"/>
  <c r="Q35"/>
  <c r="O35"/>
  <c r="N42" i="4"/>
  <c r="N40"/>
  <c r="N38"/>
  <c r="N35"/>
  <c r="N33"/>
  <c r="N31"/>
  <c r="N43"/>
  <c r="N41"/>
  <c r="N39"/>
  <c r="N36"/>
  <c r="N34"/>
  <c r="N32"/>
  <c r="Y13" i="3"/>
  <c r="W13"/>
  <c r="U13"/>
  <c r="S13"/>
  <c r="Q13"/>
  <c r="O13"/>
  <c r="AA43" i="4"/>
  <c r="G34" i="12"/>
  <c r="C35" s="1"/>
  <c r="E35" s="1"/>
  <c r="Z13" i="3"/>
  <c r="X13"/>
  <c r="V13"/>
  <c r="T13"/>
  <c r="R13"/>
  <c r="P13"/>
  <c r="N12"/>
  <c r="N11"/>
  <c r="AB13"/>
  <c r="E85" i="1"/>
  <c r="C37"/>
  <c r="AC19"/>
  <c r="Q37"/>
  <c r="Q45" s="1"/>
  <c r="R37"/>
  <c r="R45" s="1"/>
  <c r="P12" i="4" s="1"/>
  <c r="P13" s="1"/>
  <c r="E63" i="1"/>
  <c r="E61"/>
  <c r="E59"/>
  <c r="E60"/>
  <c r="E58"/>
  <c r="O19"/>
  <c r="E37"/>
  <c r="E45" s="1"/>
  <c r="B67"/>
  <c r="E57"/>
  <c r="S37"/>
  <c r="S45" s="1"/>
  <c r="E15" i="10"/>
  <c r="G15"/>
  <c r="I15"/>
  <c r="I37" i="3"/>
  <c r="D37" i="1"/>
  <c r="B80"/>
  <c r="B77"/>
  <c r="B75"/>
  <c r="C80"/>
  <c r="C78"/>
  <c r="C77"/>
  <c r="C76"/>
  <c r="E19" i="5" l="1"/>
  <c r="E20" s="1"/>
  <c r="D20"/>
  <c r="C62" i="1"/>
  <c r="N13" i="3"/>
  <c r="P32" i="2"/>
  <c r="O6" i="3"/>
  <c r="P6"/>
  <c r="O12" i="4"/>
  <c r="O13" s="1"/>
  <c r="H37" i="3"/>
  <c r="O32" i="2"/>
  <c r="O30" i="4"/>
  <c r="AA35" i="3"/>
  <c r="E37"/>
  <c r="F37"/>
  <c r="G37"/>
  <c r="K37"/>
  <c r="J37"/>
  <c r="C37"/>
  <c r="L37"/>
  <c r="M37"/>
  <c r="D37"/>
  <c r="Q37"/>
  <c r="U37"/>
  <c r="Y37"/>
  <c r="R37"/>
  <c r="V37"/>
  <c r="Z37"/>
  <c r="S37"/>
  <c r="W37"/>
  <c r="P37"/>
  <c r="T37"/>
  <c r="X37"/>
  <c r="C45" i="1"/>
  <c r="O37" i="3"/>
  <c r="D35" i="12"/>
  <c r="F35" s="1"/>
  <c r="G35"/>
  <c r="E76" i="1"/>
  <c r="E78"/>
  <c r="C75"/>
  <c r="E75" s="1"/>
  <c r="Q6" i="3"/>
  <c r="Q12" i="4"/>
  <c r="Q13" s="1"/>
  <c r="D12"/>
  <c r="D13" s="1"/>
  <c r="D6" i="3"/>
  <c r="O7"/>
  <c r="O8" s="1"/>
  <c r="E80" i="1"/>
  <c r="D45"/>
  <c r="T37"/>
  <c r="F37"/>
  <c r="F45" s="1"/>
  <c r="E77"/>
  <c r="AE32" l="1"/>
  <c r="D62"/>
  <c r="D67" s="1"/>
  <c r="AE19"/>
  <c r="C67"/>
  <c r="P7" i="3"/>
  <c r="P8" s="1"/>
  <c r="P39" s="1"/>
  <c r="P30" i="4"/>
  <c r="P48" s="1"/>
  <c r="P50" s="1"/>
  <c r="P52" s="1"/>
  <c r="Q32" i="2"/>
  <c r="Q30" i="4"/>
  <c r="Q48" s="1"/>
  <c r="Q50" s="1"/>
  <c r="Q52" s="1"/>
  <c r="D32" i="2"/>
  <c r="D30" i="4"/>
  <c r="D48" s="1"/>
  <c r="D50" s="1"/>
  <c r="D52" s="1"/>
  <c r="B32" i="2"/>
  <c r="B30" i="4"/>
  <c r="B48" s="1"/>
  <c r="B50" s="1"/>
  <c r="O39" i="3"/>
  <c r="N37"/>
  <c r="AA37"/>
  <c r="B7"/>
  <c r="B12" i="4"/>
  <c r="B13" s="1"/>
  <c r="B6" i="3"/>
  <c r="B8" s="1"/>
  <c r="B39" s="1"/>
  <c r="C36" i="12"/>
  <c r="E36" s="1"/>
  <c r="G37" i="1"/>
  <c r="G45" s="1"/>
  <c r="U37"/>
  <c r="U45" s="1"/>
  <c r="E6" i="3"/>
  <c r="E12" i="4"/>
  <c r="E13" s="1"/>
  <c r="T45" i="1"/>
  <c r="D7" i="3"/>
  <c r="Q7"/>
  <c r="Q8" s="1"/>
  <c r="Q39" s="1"/>
  <c r="C6"/>
  <c r="C12" i="4"/>
  <c r="O48"/>
  <c r="E67" i="1" l="1"/>
  <c r="E62"/>
  <c r="D79"/>
  <c r="AE37"/>
  <c r="AE45" s="1"/>
  <c r="AB30" i="4"/>
  <c r="AB7" i="3"/>
  <c r="D39" i="2"/>
  <c r="D8" i="3"/>
  <c r="D39" s="1"/>
  <c r="B52" i="4"/>
  <c r="C32" i="2"/>
  <c r="C30" i="4"/>
  <c r="C48" s="1"/>
  <c r="E32" i="2"/>
  <c r="E30" i="4"/>
  <c r="D36" i="12"/>
  <c r="F36" s="1"/>
  <c r="G36"/>
  <c r="C37" s="1"/>
  <c r="E37" s="1"/>
  <c r="E7" i="3"/>
  <c r="E8" s="1"/>
  <c r="S6"/>
  <c r="S12" i="4"/>
  <c r="S13" s="1"/>
  <c r="F12"/>
  <c r="F13" s="1"/>
  <c r="F6" i="3"/>
  <c r="O50" i="4"/>
  <c r="O52" s="1"/>
  <c r="C13"/>
  <c r="C7" i="3"/>
  <c r="C8" s="1"/>
  <c r="R12" i="4"/>
  <c r="R6" i="3"/>
  <c r="V37" i="1"/>
  <c r="H37"/>
  <c r="D83" l="1"/>
  <c r="D90" s="1"/>
  <c r="E79"/>
  <c r="AB12" i="4"/>
  <c r="AB13" s="1"/>
  <c r="AB6" i="3"/>
  <c r="AB8" s="1"/>
  <c r="E48" i="4"/>
  <c r="E50" s="1"/>
  <c r="E52" s="1"/>
  <c r="E39" i="3"/>
  <c r="R32" i="2"/>
  <c r="R30" i="4"/>
  <c r="S32" i="2"/>
  <c r="S30" i="4"/>
  <c r="F32" i="2"/>
  <c r="F30" i="4"/>
  <c r="D37" i="12"/>
  <c r="F37" s="1"/>
  <c r="G37"/>
  <c r="C38" s="1"/>
  <c r="E38" s="1"/>
  <c r="H45" i="1"/>
  <c r="V45"/>
  <c r="R13" i="4"/>
  <c r="S48"/>
  <c r="S50" s="1"/>
  <c r="S52" s="1"/>
  <c r="S7" i="3"/>
  <c r="S8" s="1"/>
  <c r="S39" s="1"/>
  <c r="I37" i="1"/>
  <c r="I45" s="1"/>
  <c r="W37"/>
  <c r="W45" s="1"/>
  <c r="R7" i="3"/>
  <c r="F7"/>
  <c r="F8" l="1"/>
  <c r="F39" s="1"/>
  <c r="F48" i="4"/>
  <c r="F50" s="1"/>
  <c r="F52" s="1"/>
  <c r="D38" i="12"/>
  <c r="F38" s="1"/>
  <c r="G38"/>
  <c r="C50" i="4"/>
  <c r="C52" s="1"/>
  <c r="C39" i="3"/>
  <c r="U6"/>
  <c r="U12" i="4"/>
  <c r="U13" s="1"/>
  <c r="J37" i="1"/>
  <c r="J45" s="1"/>
  <c r="T12" i="4"/>
  <c r="T6" i="3"/>
  <c r="G6"/>
  <c r="G12" i="4"/>
  <c r="R8" i="3"/>
  <c r="R48" i="4"/>
  <c r="X37" i="1"/>
  <c r="X45" s="1"/>
  <c r="H12" i="4"/>
  <c r="H13" s="1"/>
  <c r="H6" i="3"/>
  <c r="T32" i="2" l="1"/>
  <c r="T30" i="4"/>
  <c r="U32" i="2"/>
  <c r="U30" i="4"/>
  <c r="H32" i="2"/>
  <c r="H30" i="4"/>
  <c r="G32" i="2"/>
  <c r="G30" i="4"/>
  <c r="G48" s="1"/>
  <c r="C39" i="12"/>
  <c r="E39" s="1"/>
  <c r="V12" i="4"/>
  <c r="V13" s="1"/>
  <c r="V6" i="3"/>
  <c r="T13" i="4"/>
  <c r="H7" i="3"/>
  <c r="Y37" i="1"/>
  <c r="Y45" s="1"/>
  <c r="R50" i="4"/>
  <c r="R52" s="1"/>
  <c r="R39" i="3"/>
  <c r="G13" i="4"/>
  <c r="G7" i="3"/>
  <c r="G8" s="1"/>
  <c r="T7"/>
  <c r="I6"/>
  <c r="I12" i="4"/>
  <c r="I13" s="1"/>
  <c r="U48"/>
  <c r="U50" s="1"/>
  <c r="U52" s="1"/>
  <c r="U7" i="3"/>
  <c r="U8" s="1"/>
  <c r="U39" s="1"/>
  <c r="K37" i="1"/>
  <c r="H48" i="4" l="1"/>
  <c r="H50" s="1"/>
  <c r="H52" s="1"/>
  <c r="H8" i="3"/>
  <c r="H39" s="1"/>
  <c r="V32" i="2"/>
  <c r="V30" i="4"/>
  <c r="V48" s="1"/>
  <c r="V50" s="1"/>
  <c r="V52" s="1"/>
  <c r="I32" i="2"/>
  <c r="I30" i="4"/>
  <c r="D39" i="12"/>
  <c r="F39" s="1"/>
  <c r="I7" i="3"/>
  <c r="L37" i="1"/>
  <c r="L45" s="1"/>
  <c r="T48" i="4"/>
  <c r="Z37" i="1"/>
  <c r="Z45" s="1"/>
  <c r="V7" i="3"/>
  <c r="V8" s="1"/>
  <c r="V39" s="1"/>
  <c r="T8"/>
  <c r="K45" i="1"/>
  <c r="W6" i="3"/>
  <c r="W12" i="4"/>
  <c r="W13" s="1"/>
  <c r="I48" l="1"/>
  <c r="I50" s="1"/>
  <c r="I52" s="1"/>
  <c r="I8" i="3"/>
  <c r="I39" s="1"/>
  <c r="W32" i="2"/>
  <c r="W30" i="4"/>
  <c r="W48" s="1"/>
  <c r="W50" s="1"/>
  <c r="W52" s="1"/>
  <c r="G39" i="12"/>
  <c r="C40" s="1"/>
  <c r="E40" s="1"/>
  <c r="G50" i="4"/>
  <c r="G52" s="1"/>
  <c r="T39" i="3"/>
  <c r="X12" i="4"/>
  <c r="X13" s="1"/>
  <c r="X6" i="3"/>
  <c r="K6"/>
  <c r="K12" i="4"/>
  <c r="K13" s="1"/>
  <c r="G39" i="3"/>
  <c r="W7"/>
  <c r="W8" s="1"/>
  <c r="J12" i="4"/>
  <c r="J6" i="3"/>
  <c r="AB37" i="1"/>
  <c r="AA37"/>
  <c r="AA45" s="1"/>
  <c r="C74"/>
  <c r="C83" s="1"/>
  <c r="C90" s="1"/>
  <c r="T50" i="4"/>
  <c r="T52" s="1"/>
  <c r="M37" i="1"/>
  <c r="M45" s="1"/>
  <c r="X32" i="2" l="1"/>
  <c r="X30" i="4"/>
  <c r="X48" s="1"/>
  <c r="J32" i="2"/>
  <c r="J30" i="4"/>
  <c r="J48" s="1"/>
  <c r="K32" i="2"/>
  <c r="K30" i="4"/>
  <c r="K48" s="1"/>
  <c r="K50" s="1"/>
  <c r="K52" s="1"/>
  <c r="D40" i="12"/>
  <c r="F40" s="1"/>
  <c r="G40"/>
  <c r="C41" s="1"/>
  <c r="E41" s="1"/>
  <c r="W39" i="3"/>
  <c r="AB45" i="1"/>
  <c r="AC37"/>
  <c r="J7" i="3"/>
  <c r="J8" s="1"/>
  <c r="L12" i="4"/>
  <c r="L13" s="1"/>
  <c r="L6" i="3"/>
  <c r="Y6"/>
  <c r="Y12" i="4"/>
  <c r="Y13" s="1"/>
  <c r="J13"/>
  <c r="X7" i="3"/>
  <c r="X8" s="1"/>
  <c r="X39" s="1"/>
  <c r="N37" i="1"/>
  <c r="B74"/>
  <c r="K7" i="3"/>
  <c r="K8" l="1"/>
  <c r="K39" s="1"/>
  <c r="Y32" i="2"/>
  <c r="Y30" i="4"/>
  <c r="Y48" s="1"/>
  <c r="Y50" s="1"/>
  <c r="Y52" s="1"/>
  <c r="L32" i="2"/>
  <c r="L30" i="4"/>
  <c r="L48" s="1"/>
  <c r="L50" s="1"/>
  <c r="L52" s="1"/>
  <c r="D41" i="12"/>
  <c r="F41" s="1"/>
  <c r="B83" i="1"/>
  <c r="E74"/>
  <c r="X50" i="4"/>
  <c r="X52" s="1"/>
  <c r="Y7" i="3"/>
  <c r="Y8" s="1"/>
  <c r="Y39" s="1"/>
  <c r="J39"/>
  <c r="N45" i="1"/>
  <c r="O37"/>
  <c r="L7" i="3"/>
  <c r="Z12" i="4"/>
  <c r="Z6" i="3"/>
  <c r="AC45" i="1"/>
  <c r="L8" i="3" l="1"/>
  <c r="L39" s="1"/>
  <c r="Z32" i="2"/>
  <c r="AA32" s="1"/>
  <c r="Z30" i="4"/>
  <c r="G41" i="12"/>
  <c r="C42" s="1"/>
  <c r="E42" s="1"/>
  <c r="J50" i="4"/>
  <c r="J52" s="1"/>
  <c r="Z7" i="3"/>
  <c r="AA7" s="1"/>
  <c r="Z13" i="4"/>
  <c r="AA12"/>
  <c r="M6" i="3"/>
  <c r="M12" i="4"/>
  <c r="O45" i="1"/>
  <c r="E83"/>
  <c r="B90"/>
  <c r="E90" s="1"/>
  <c r="AA6" i="3"/>
  <c r="AA8" i="2"/>
  <c r="C39" s="1"/>
  <c r="C63" s="1"/>
  <c r="M32" l="1"/>
  <c r="N32" s="1"/>
  <c r="M30" i="4"/>
  <c r="M48" s="1"/>
  <c r="AA13"/>
  <c r="D42" i="12"/>
  <c r="F42" s="1"/>
  <c r="G42"/>
  <c r="C43" s="1"/>
  <c r="E43" s="1"/>
  <c r="Z8" i="3"/>
  <c r="Z39" s="1"/>
  <c r="AA39" s="1"/>
  <c r="M13" i="4"/>
  <c r="N12"/>
  <c r="M7" i="3"/>
  <c r="N7" s="1"/>
  <c r="N8" i="2"/>
  <c r="B39" s="1"/>
  <c r="B63" s="1"/>
  <c r="N6" i="3"/>
  <c r="Z48" i="4"/>
  <c r="AA30"/>
  <c r="N30" l="1"/>
  <c r="M8" i="3"/>
  <c r="AA8"/>
  <c r="N13" i="4"/>
  <c r="D43" i="12"/>
  <c r="F43" s="1"/>
  <c r="N48" i="4"/>
  <c r="Z50"/>
  <c r="AA48"/>
  <c r="D37" i="5"/>
  <c r="D12" i="7"/>
  <c r="E39" i="2"/>
  <c r="AA50" i="4" l="1"/>
  <c r="AA52" s="1"/>
  <c r="Z52"/>
  <c r="G43" i="12"/>
  <c r="C44" s="1"/>
  <c r="E44" s="1"/>
  <c r="M50" i="4"/>
  <c r="M39" i="3"/>
  <c r="N39" s="1"/>
  <c r="N8"/>
  <c r="E10" i="11" l="1"/>
  <c r="E10" i="10"/>
  <c r="N50" i="4"/>
  <c r="N52" s="1"/>
  <c r="M52"/>
  <c r="D44" i="12"/>
  <c r="F44" s="1"/>
  <c r="G44"/>
  <c r="C45" s="1"/>
  <c r="E45" s="1"/>
  <c r="K12" s="1"/>
  <c r="C12" i="7"/>
  <c r="C37" i="5"/>
  <c r="AB27" i="2" l="1"/>
  <c r="D57" s="1"/>
  <c r="D27" i="5"/>
  <c r="D32" s="1"/>
  <c r="C30"/>
  <c r="C32" s="1"/>
  <c r="C10" i="11"/>
  <c r="C10" i="10"/>
  <c r="E14" s="1"/>
  <c r="E18" s="1"/>
  <c r="D45" i="12"/>
  <c r="J12" s="1"/>
  <c r="D38" i="5"/>
  <c r="AB44" i="4" l="1"/>
  <c r="J13" i="12"/>
  <c r="AB26" i="2"/>
  <c r="E57"/>
  <c r="E14" i="11"/>
  <c r="E38" i="5"/>
  <c r="F45" i="12"/>
  <c r="G45"/>
  <c r="K13"/>
  <c r="M12" s="1"/>
  <c r="L12"/>
  <c r="E27" i="5" s="1"/>
  <c r="E32" s="1"/>
  <c r="D58" i="2" l="1"/>
  <c r="AB43" i="4"/>
  <c r="AB48" s="1"/>
  <c r="AB50" s="1"/>
  <c r="AB52" s="1"/>
  <c r="AB31" i="3"/>
  <c r="AB35" s="1"/>
  <c r="AB37" s="1"/>
  <c r="AB32" i="2"/>
  <c r="M10" i="12"/>
  <c r="M11"/>
  <c r="AB39" i="3" l="1"/>
  <c r="D8" i="8"/>
  <c r="D4" s="1"/>
  <c r="E58" i="2"/>
  <c r="D63"/>
  <c r="E63" s="1"/>
  <c r="G10" i="10"/>
  <c r="G10" i="11"/>
  <c r="M13" i="12"/>
  <c r="E37" i="5" l="1"/>
  <c r="E12" i="7"/>
  <c r="G11" i="8"/>
  <c r="E11"/>
  <c r="F11"/>
  <c r="F12" s="1"/>
  <c r="G14" i="10"/>
  <c r="G18" s="1"/>
  <c r="D11" i="8" l="1"/>
  <c r="E12"/>
  <c r="G12"/>
  <c r="H11"/>
  <c r="G14" i="11"/>
  <c r="I14"/>
  <c r="I14" i="10"/>
  <c r="I18" s="1"/>
  <c r="E21" s="1"/>
  <c r="B36" i="5"/>
  <c r="C14" i="7" s="1"/>
  <c r="B9" i="4"/>
  <c r="B15" s="1"/>
  <c r="B53" s="1"/>
  <c r="B8" i="5"/>
  <c r="B10" s="1"/>
  <c r="N8" i="4"/>
  <c r="A10" i="10" l="1"/>
  <c r="C14" s="1"/>
  <c r="C18" s="1"/>
  <c r="C21" s="1"/>
  <c r="N33"/>
  <c r="B22" i="5"/>
  <c r="A10" i="11"/>
  <c r="C14" s="1"/>
  <c r="C18" s="1"/>
  <c r="C21" s="1"/>
  <c r="C36" i="5"/>
  <c r="G24" i="11"/>
  <c r="C4" s="1"/>
  <c r="E13" s="1"/>
  <c r="G15" s="1"/>
  <c r="G18" s="1"/>
  <c r="C24" i="10"/>
  <c r="D12" i="8"/>
  <c r="C11"/>
  <c r="H12"/>
  <c r="I11"/>
  <c r="C9" i="4"/>
  <c r="C15" s="1"/>
  <c r="C53" s="1"/>
  <c r="D8" s="1"/>
  <c r="D9" s="1"/>
  <c r="D15" s="1"/>
  <c r="D53" s="1"/>
  <c r="E8" s="1"/>
  <c r="E9" s="1"/>
  <c r="E15" s="1"/>
  <c r="E53" s="1"/>
  <c r="F8" s="1"/>
  <c r="F9" s="1"/>
  <c r="F15" s="1"/>
  <c r="F53" s="1"/>
  <c r="G8" s="1"/>
  <c r="G9" s="1"/>
  <c r="G15" s="1"/>
  <c r="G53" s="1"/>
  <c r="H8" s="1"/>
  <c r="H9" s="1"/>
  <c r="H15" s="1"/>
  <c r="H53" s="1"/>
  <c r="I8" s="1"/>
  <c r="I9" s="1"/>
  <c r="I15" s="1"/>
  <c r="I53" s="1"/>
  <c r="J8" s="1"/>
  <c r="J9" s="1"/>
  <c r="J15" s="1"/>
  <c r="J53" s="1"/>
  <c r="K8" s="1"/>
  <c r="K9" s="1"/>
  <c r="K15" s="1"/>
  <c r="K53" s="1"/>
  <c r="L8" s="1"/>
  <c r="L9" s="1"/>
  <c r="L15" s="1"/>
  <c r="L53" s="1"/>
  <c r="M8" s="1"/>
  <c r="M9" s="1"/>
  <c r="M15" s="1"/>
  <c r="M53" s="1"/>
  <c r="C8"/>
  <c r="N9"/>
  <c r="N15" s="1"/>
  <c r="N53" s="1"/>
  <c r="D36" i="5"/>
  <c r="B40"/>
  <c r="B42" s="1"/>
  <c r="C40" l="1"/>
  <c r="C42" s="1"/>
  <c r="B44"/>
  <c r="N35" i="10"/>
  <c r="N38" s="1"/>
  <c r="I15" i="11"/>
  <c r="I18" s="1"/>
  <c r="E15"/>
  <c r="E18" s="1"/>
  <c r="I12" i="8"/>
  <c r="J11"/>
  <c r="J12" s="1"/>
  <c r="C12"/>
  <c r="B11"/>
  <c r="B12" s="1"/>
  <c r="C8" i="5"/>
  <c r="C10" s="1"/>
  <c r="C22" s="1"/>
  <c r="O8" i="4"/>
  <c r="D40" i="5"/>
  <c r="D42" s="1"/>
  <c r="E36"/>
  <c r="D14" i="7"/>
  <c r="C44" i="5" l="1"/>
  <c r="E21" i="11"/>
  <c r="C24" s="1"/>
  <c r="C6" i="7"/>
  <c r="E14"/>
  <c r="E40" i="5"/>
  <c r="E42" s="1"/>
  <c r="AA8" i="4"/>
  <c r="AA9" s="1"/>
  <c r="AA15" s="1"/>
  <c r="AA53" s="1"/>
  <c r="D8" i="5" s="1"/>
  <c r="D10" s="1"/>
  <c r="O9" i="4"/>
  <c r="O15" s="1"/>
  <c r="O53" s="1"/>
  <c r="P8" s="1"/>
  <c r="P9" s="1"/>
  <c r="P15" s="1"/>
  <c r="P53" s="1"/>
  <c r="Q8" s="1"/>
  <c r="Q9" s="1"/>
  <c r="Q15" s="1"/>
  <c r="Q53" s="1"/>
  <c r="R8" s="1"/>
  <c r="R9" s="1"/>
  <c r="R15" s="1"/>
  <c r="R53" s="1"/>
  <c r="S8" s="1"/>
  <c r="S9" s="1"/>
  <c r="S15" s="1"/>
  <c r="S53" s="1"/>
  <c r="T8" s="1"/>
  <c r="T9" s="1"/>
  <c r="T15" s="1"/>
  <c r="T53" s="1"/>
  <c r="U8" s="1"/>
  <c r="U9" s="1"/>
  <c r="U15" s="1"/>
  <c r="U53" s="1"/>
  <c r="V8" s="1"/>
  <c r="V9" s="1"/>
  <c r="V15" s="1"/>
  <c r="V53" s="1"/>
  <c r="W8" s="1"/>
  <c r="W9" s="1"/>
  <c r="W15" s="1"/>
  <c r="W53" s="1"/>
  <c r="X8" s="1"/>
  <c r="X9" s="1"/>
  <c r="X15" s="1"/>
  <c r="X53" s="1"/>
  <c r="Y8" s="1"/>
  <c r="Y9" s="1"/>
  <c r="Y15" s="1"/>
  <c r="Y53" s="1"/>
  <c r="Z8" s="1"/>
  <c r="Z9" s="1"/>
  <c r="Z15" s="1"/>
  <c r="Z53" s="1"/>
  <c r="AB8" s="1"/>
  <c r="AB9" s="1"/>
  <c r="AB15" s="1"/>
  <c r="AB53" s="1"/>
  <c r="E8" i="5" s="1"/>
  <c r="E10" s="1"/>
  <c r="D22" l="1"/>
  <c r="D44" s="1"/>
  <c r="D6" i="7"/>
  <c r="E6"/>
  <c r="E22" i="5"/>
  <c r="E44" s="1"/>
  <c r="C9" i="7"/>
  <c r="C13"/>
  <c r="D13" l="1"/>
  <c r="D9"/>
  <c r="E9"/>
  <c r="E13"/>
</calcChain>
</file>

<file path=xl/sharedStrings.xml><?xml version="1.0" encoding="utf-8"?>
<sst xmlns="http://schemas.openxmlformats.org/spreadsheetml/2006/main" count="283" uniqueCount="205">
  <si>
    <t>Producto H</t>
  </si>
  <si>
    <t>Total</t>
  </si>
  <si>
    <t>Precio</t>
  </si>
  <si>
    <t>Totales</t>
  </si>
  <si>
    <t>Año 1</t>
  </si>
  <si>
    <t>Año 2</t>
  </si>
  <si>
    <t>Meses del año Año 2</t>
  </si>
  <si>
    <t>Meses del año Año 1</t>
  </si>
  <si>
    <t>Año 3</t>
  </si>
  <si>
    <t>UNIDADES</t>
  </si>
  <si>
    <t>MONEDA</t>
  </si>
  <si>
    <t>PROYECCIÓN DE VENTAS</t>
  </si>
  <si>
    <t>Unidades</t>
  </si>
  <si>
    <t>Seguros</t>
  </si>
  <si>
    <t>Ventas netas</t>
  </si>
  <si>
    <t>Costo de lo vendido</t>
  </si>
  <si>
    <t>Gastos de Personal:</t>
  </si>
  <si>
    <t>Utilidad Neta antes de Impuestos:</t>
  </si>
  <si>
    <t>Transporte - entregas</t>
  </si>
  <si>
    <t>PROYECCIÓN DE EGRESOS</t>
  </si>
  <si>
    <t>- DESCUENTOS</t>
  </si>
  <si>
    <t>- DEVOLUCIONES</t>
  </si>
  <si>
    <t>= VENTAS NETAS</t>
  </si>
  <si>
    <t>TOTAL</t>
  </si>
  <si>
    <t>Sueldo dueño y directivos</t>
  </si>
  <si>
    <t>Salarios personal de tienda, oficina, …</t>
  </si>
  <si>
    <t>Material de oficina</t>
  </si>
  <si>
    <t>Teléfono, Internet</t>
  </si>
  <si>
    <t>Renta</t>
  </si>
  <si>
    <t xml:space="preserve">Reparaciones y mantenimiento </t>
  </si>
  <si>
    <t>Agua</t>
  </si>
  <si>
    <t>Energía eléctrica</t>
  </si>
  <si>
    <t>Licencias</t>
  </si>
  <si>
    <t>Varios</t>
  </si>
  <si>
    <t xml:space="preserve">     Total Gastos de Personal:</t>
  </si>
  <si>
    <t xml:space="preserve">      Utilidad bruta (margen bruto)</t>
  </si>
  <si>
    <t xml:space="preserve">      Total Efectivo Disponible al inicio</t>
  </si>
  <si>
    <t>Otros Ingresos en Efectivo estimados</t>
  </si>
  <si>
    <t xml:space="preserve">      Total a recibir en Efectivo en el mes</t>
  </si>
  <si>
    <t>Gastos en Efectivo durante el mes:</t>
  </si>
  <si>
    <t xml:space="preserve">     Total Gastos en Efectivo en el mes:</t>
  </si>
  <si>
    <t xml:space="preserve">      Total Efectivo Disponible</t>
  </si>
  <si>
    <t>Pago de capital sobre créditos</t>
  </si>
  <si>
    <t>Pago de Intereses sobre créditos</t>
  </si>
  <si>
    <t>Circulante</t>
  </si>
  <si>
    <t>Efectivo</t>
  </si>
  <si>
    <t>Fijo</t>
  </si>
  <si>
    <t>- Depreciación</t>
  </si>
  <si>
    <t>Total Activo</t>
  </si>
  <si>
    <t>Total Circulante</t>
  </si>
  <si>
    <t>A Corto Plazo</t>
  </si>
  <si>
    <t>A Largo Plazo</t>
  </si>
  <si>
    <t>Documentos por Pagar</t>
  </si>
  <si>
    <t>Capital Social</t>
  </si>
  <si>
    <t>Utilidad del Ejercicio</t>
  </si>
  <si>
    <t>Utilidad Acumulada</t>
  </si>
  <si>
    <t>Equipo de Transporte</t>
  </si>
  <si>
    <t xml:space="preserve">Año 1 </t>
  </si>
  <si>
    <t>Ventas estimadas</t>
  </si>
  <si>
    <t>Efectivo al inicio</t>
  </si>
  <si>
    <t xml:space="preserve">      Total Inversión Inicial Activos Fijos</t>
  </si>
  <si>
    <t>ACTIVO</t>
  </si>
  <si>
    <t>PASIVO</t>
  </si>
  <si>
    <t>CAPITAL</t>
  </si>
  <si>
    <t xml:space="preserve">     Total Inversiones en Activos y Gastos</t>
  </si>
  <si>
    <t>EGRESOS</t>
  </si>
  <si>
    <t>INGRESOS</t>
  </si>
  <si>
    <t>Total Pasivo</t>
  </si>
  <si>
    <t>Total Capital</t>
  </si>
  <si>
    <t>PASIVO y CAPITAL</t>
  </si>
  <si>
    <t>RAZONES FINANCIERAS</t>
  </si>
  <si>
    <t>RAZONES DE RENTABILIDAD</t>
  </si>
  <si>
    <t>DE APALANCAMIENTO</t>
  </si>
  <si>
    <t xml:space="preserve">Rentabilidad sobre ingresos = </t>
  </si>
  <si>
    <t xml:space="preserve">Rentabilidad sobre los activos = </t>
  </si>
  <si>
    <t xml:space="preserve">Rentabilidad sobre la inversión = </t>
  </si>
  <si>
    <t xml:space="preserve">Razón de deuda = </t>
  </si>
  <si>
    <t>DE LIQUIDEZ</t>
  </si>
  <si>
    <t>Razón de liquidez =</t>
  </si>
  <si>
    <t>Activo circulante ÷ Pasivo a corto plazo</t>
  </si>
  <si>
    <t>Interpretación</t>
  </si>
  <si>
    <t>Porcentaje de fondos aportados por los acreedores</t>
  </si>
  <si>
    <t xml:space="preserve">Utilidad neta por cada peso de ventas </t>
  </si>
  <si>
    <t>Mide el rendimiento de los activos totales despues de intereses y de impuestos</t>
  </si>
  <si>
    <t>Mide la tasa de rendimiento sobre la inversion de los accionistas</t>
  </si>
  <si>
    <t>(Utilidad del Ejercicio ÷ Ventas Totales) x 100</t>
  </si>
  <si>
    <t>(Utilidad del Ejercicio ÷ Activo Total) x 100</t>
  </si>
  <si>
    <t>(Pasivo total ÷ activo total) x 100</t>
  </si>
  <si>
    <t>Ventas mensuales:</t>
  </si>
  <si>
    <t>Costos fijos mensuales estimados:</t>
  </si>
  <si>
    <t>Ventas mensuales</t>
  </si>
  <si>
    <t>Punto de equilibrio</t>
  </si>
  <si>
    <t>PUNTO DE EQUILIBRIO</t>
  </si>
  <si>
    <t>F1</t>
  </si>
  <si>
    <t>F2</t>
  </si>
  <si>
    <t>F3</t>
  </si>
  <si>
    <t xml:space="preserve">VPN= </t>
  </si>
  <si>
    <t xml:space="preserve"> +</t>
  </si>
  <si>
    <t>+</t>
  </si>
  <si>
    <t>VALOR PRESENTE NETO</t>
  </si>
  <si>
    <t>Tasa de descuento:</t>
  </si>
  <si>
    <t>TIR =</t>
  </si>
  <si>
    <t xml:space="preserve">VPN = </t>
  </si>
  <si>
    <t>Nombre</t>
  </si>
  <si>
    <t>Fecha</t>
  </si>
  <si>
    <t>Monto</t>
  </si>
  <si>
    <t>Pesos</t>
  </si>
  <si>
    <t>Plazo</t>
  </si>
  <si>
    <t>Meses</t>
  </si>
  <si>
    <t>Tasa de interes</t>
  </si>
  <si>
    <t>Periodo de Gracia</t>
  </si>
  <si>
    <t>Mes</t>
  </si>
  <si>
    <t>Importe</t>
  </si>
  <si>
    <t>Interes</t>
  </si>
  <si>
    <t>Capital</t>
  </si>
  <si>
    <t>Pago Total</t>
  </si>
  <si>
    <t>Saldo</t>
  </si>
  <si>
    <t>Año</t>
  </si>
  <si>
    <t>Interés</t>
  </si>
  <si>
    <t>%</t>
  </si>
  <si>
    <t>(Utilidad del Ejercicio ÷ Capital Social) x 100</t>
  </si>
  <si>
    <t>% de Recursos Ajenos</t>
  </si>
  <si>
    <t>% de Recursos Propios</t>
  </si>
  <si>
    <t>Coste del Capital</t>
  </si>
  <si>
    <t>PROYECCIÓN DE VENTAS EN UNIDADES (VOLUMEN) Y MONEDA ($)</t>
  </si>
  <si>
    <t>% de variables (Costo de Ventas):</t>
  </si>
  <si>
    <t>la tasa de interés pactada y el número de meses de gracia concedidos para pagar.</t>
  </si>
  <si>
    <t>No toques para nada la hoja de "Estado de Resultados"</t>
  </si>
  <si>
    <t>recibirás en el mes que esto sucederá.</t>
  </si>
  <si>
    <t>el mes que considerés.</t>
  </si>
  <si>
    <t>INSTRUCCIONES</t>
  </si>
  <si>
    <t>1.</t>
  </si>
  <si>
    <t>2.</t>
  </si>
  <si>
    <t>3.</t>
  </si>
  <si>
    <t>4.</t>
  </si>
  <si>
    <t xml:space="preserve">HAS TERMINADO ¡BUEN TRABAJO! </t>
  </si>
  <si>
    <t>Saldo Inicial</t>
  </si>
  <si>
    <t>- Completa mes por mes las unidades o el volumen que de cada producto o servicio estimas vender.</t>
  </si>
  <si>
    <t>- Después en la siguiente parte, pon a cada producto su "precio de venta", el precio al cual lo vendes a tus clientes.</t>
  </si>
  <si>
    <t>- Agrega el porcentaje % de costo de ventas que hayas determinado.</t>
  </si>
  <si>
    <t>- Luego completa las celdas sombreadas en gris de los distintos conceptos de egresos, no toques las celdas sombreadas en amarillo.</t>
  </si>
  <si>
    <t>- Llenas las celdas sobreadas en gris, con el importe del crédito, el plazo, es decir el número de años/meses concedidos para pagar,</t>
  </si>
  <si>
    <t>- Llena la celda de Efectivo al inicio, en el Mes "1" del Año "1".</t>
  </si>
  <si>
    <t>- Luego completa el renglón de "Otros Ingresos en efectivo estimados", aquí deberás ingresar el importe del crédito que</t>
  </si>
  <si>
    <t>- Después en la sección de "Egresos" llena las celdas con los importes que estimes invertiras en equipo, instalaciones, etc, en</t>
  </si>
  <si>
    <t>5.</t>
  </si>
  <si>
    <t>contienen fórmulas.</t>
  </si>
  <si>
    <t>fórmulas</t>
  </si>
  <si>
    <t xml:space="preserve">- Completa las celdas sombreadas en gris con los saldos iniciales del último balance general de tu negocio. Recuerda el importe </t>
  </si>
  <si>
    <t>total de Activo debe ser igual a la suma de Pasivo más Capital en la columna de "Saldo Inicial".</t>
  </si>
  <si>
    <t>Flujo de Efectivo</t>
  </si>
  <si>
    <t>Flujo de Efectivo Acumulado</t>
  </si>
  <si>
    <r>
      <t xml:space="preserve">Iniciar con la hoja </t>
    </r>
    <r>
      <rPr>
        <b/>
        <sz val="10"/>
        <rFont val="Calibri"/>
        <family val="2"/>
        <scheme val="minor"/>
      </rPr>
      <t xml:space="preserve">"Ventas" </t>
    </r>
    <r>
      <rPr>
        <sz val="10"/>
        <rFont val="Calibri"/>
        <family val="2"/>
        <scheme val="minor"/>
      </rPr>
      <t xml:space="preserve">llena las celdas sombreadas en </t>
    </r>
    <r>
      <rPr>
        <u/>
        <sz val="10"/>
        <rFont val="Calibri"/>
        <family val="2"/>
        <scheme val="minor"/>
      </rPr>
      <t>gris</t>
    </r>
    <r>
      <rPr>
        <sz val="10"/>
        <rFont val="Calibri"/>
        <family val="2"/>
        <scheme val="minor"/>
      </rPr>
      <t xml:space="preserve"> </t>
    </r>
    <r>
      <rPr>
        <b/>
        <sz val="10"/>
        <rFont val="Calibri"/>
        <family val="2"/>
        <scheme val="minor"/>
      </rPr>
      <t>no toques</t>
    </r>
    <r>
      <rPr>
        <sz val="10"/>
        <rFont val="Calibri"/>
        <family val="2"/>
        <scheme val="minor"/>
      </rPr>
      <t xml:space="preserve"> las sombreadas en </t>
    </r>
    <r>
      <rPr>
        <u/>
        <sz val="10"/>
        <rFont val="Calibri"/>
        <family val="2"/>
        <scheme val="minor"/>
      </rPr>
      <t>amarillo</t>
    </r>
    <r>
      <rPr>
        <sz val="10"/>
        <rFont val="Calibri"/>
        <family val="2"/>
        <scheme val="minor"/>
      </rPr>
      <t xml:space="preserve"> ya que contienen fórmulas</t>
    </r>
  </si>
  <si>
    <r>
      <t xml:space="preserve">- Posteriormente teclea los importes (en moneda) mes por mes de </t>
    </r>
    <r>
      <rPr>
        <u/>
        <sz val="10"/>
        <rFont val="Calibri"/>
        <family val="2"/>
        <scheme val="minor"/>
      </rPr>
      <t>descuentos</t>
    </r>
    <r>
      <rPr>
        <sz val="10"/>
        <rFont val="Calibri"/>
        <family val="2"/>
        <scheme val="minor"/>
      </rPr>
      <t xml:space="preserve"> y </t>
    </r>
    <r>
      <rPr>
        <u/>
        <sz val="10"/>
        <rFont val="Calibri"/>
        <family val="2"/>
        <scheme val="minor"/>
      </rPr>
      <t>devoluciones</t>
    </r>
    <r>
      <rPr>
        <sz val="10"/>
        <rFont val="Calibri"/>
        <family val="2"/>
        <scheme val="minor"/>
      </rPr>
      <t xml:space="preserve"> que prevés.</t>
    </r>
  </si>
  <si>
    <r>
      <t xml:space="preserve">Pasa ahora a la hoja de </t>
    </r>
    <r>
      <rPr>
        <b/>
        <sz val="10"/>
        <rFont val="Calibri"/>
        <family val="2"/>
        <scheme val="minor"/>
      </rPr>
      <t>"Egresos"</t>
    </r>
    <r>
      <rPr>
        <sz val="10"/>
        <rFont val="Calibri"/>
        <family val="2"/>
        <scheme val="minor"/>
      </rPr>
      <t xml:space="preserve"> llena las celdas sombreadas en </t>
    </r>
    <r>
      <rPr>
        <u/>
        <sz val="10"/>
        <rFont val="Calibri"/>
        <family val="2"/>
        <scheme val="minor"/>
      </rPr>
      <t xml:space="preserve">gris </t>
    </r>
    <r>
      <rPr>
        <b/>
        <sz val="10"/>
        <rFont val="Calibri"/>
        <family val="2"/>
        <scheme val="minor"/>
      </rPr>
      <t>no toques</t>
    </r>
    <r>
      <rPr>
        <sz val="10"/>
        <rFont val="Calibri"/>
        <family val="2"/>
        <scheme val="minor"/>
      </rPr>
      <t xml:space="preserve"> las sombreadas en </t>
    </r>
    <r>
      <rPr>
        <u/>
        <sz val="10"/>
        <rFont val="Calibri"/>
        <family val="2"/>
        <scheme val="minor"/>
      </rPr>
      <t>amarillo</t>
    </r>
    <r>
      <rPr>
        <sz val="10"/>
        <rFont val="Calibri"/>
        <family val="2"/>
        <scheme val="minor"/>
      </rPr>
      <t xml:space="preserve"> ya que contienen fórmulas</t>
    </r>
  </si>
  <si>
    <r>
      <t>Ve ahora a la hoja de</t>
    </r>
    <r>
      <rPr>
        <b/>
        <sz val="10"/>
        <rFont val="Calibri"/>
        <family val="2"/>
        <scheme val="minor"/>
      </rPr>
      <t xml:space="preserve"> "Crédito" </t>
    </r>
    <r>
      <rPr>
        <sz val="10"/>
        <rFont val="Calibri"/>
        <family val="2"/>
        <scheme val="minor"/>
      </rPr>
      <t xml:space="preserve">llena las celdas sombreadas en </t>
    </r>
    <r>
      <rPr>
        <u/>
        <sz val="10"/>
        <rFont val="Calibri"/>
        <family val="2"/>
        <scheme val="minor"/>
      </rPr>
      <t>gris</t>
    </r>
    <r>
      <rPr>
        <sz val="10"/>
        <rFont val="Calibri"/>
        <family val="2"/>
        <scheme val="minor"/>
      </rPr>
      <t xml:space="preserve"> </t>
    </r>
    <r>
      <rPr>
        <b/>
        <sz val="10"/>
        <rFont val="Calibri"/>
        <family val="2"/>
        <scheme val="minor"/>
      </rPr>
      <t>no toques</t>
    </r>
    <r>
      <rPr>
        <sz val="10"/>
        <rFont val="Calibri"/>
        <family val="2"/>
        <scheme val="minor"/>
      </rPr>
      <t xml:space="preserve"> las sombreadas en </t>
    </r>
    <r>
      <rPr>
        <u/>
        <sz val="10"/>
        <rFont val="Calibri"/>
        <family val="2"/>
        <scheme val="minor"/>
      </rPr>
      <t>amarillo</t>
    </r>
    <r>
      <rPr>
        <sz val="10"/>
        <rFont val="Calibri"/>
        <family val="2"/>
        <scheme val="minor"/>
      </rPr>
      <t xml:space="preserve"> ya que contienen fórmulas</t>
    </r>
  </si>
  <si>
    <r>
      <t xml:space="preserve">Continua y ve a la hoja de </t>
    </r>
    <r>
      <rPr>
        <b/>
        <sz val="10"/>
        <rFont val="Calibri"/>
        <family val="2"/>
        <scheme val="minor"/>
      </rPr>
      <t xml:space="preserve">"Flujo de Efectivo" </t>
    </r>
    <r>
      <rPr>
        <sz val="10"/>
        <rFont val="Calibri"/>
        <family val="2"/>
        <scheme val="minor"/>
      </rPr>
      <t xml:space="preserve">llena las celdas sombreadas en </t>
    </r>
    <r>
      <rPr>
        <u/>
        <sz val="10"/>
        <rFont val="Calibri"/>
        <family val="2"/>
        <scheme val="minor"/>
      </rPr>
      <t>gris</t>
    </r>
    <r>
      <rPr>
        <sz val="10"/>
        <rFont val="Calibri"/>
        <family val="2"/>
        <scheme val="minor"/>
      </rPr>
      <t xml:space="preserve"> </t>
    </r>
    <r>
      <rPr>
        <b/>
        <sz val="10"/>
        <rFont val="Calibri"/>
        <family val="2"/>
        <scheme val="minor"/>
      </rPr>
      <t>no toques</t>
    </r>
    <r>
      <rPr>
        <sz val="10"/>
        <rFont val="Calibri"/>
        <family val="2"/>
        <scheme val="minor"/>
      </rPr>
      <t xml:space="preserve"> las sombreadas en </t>
    </r>
    <r>
      <rPr>
        <u/>
        <sz val="10"/>
        <rFont val="Calibri"/>
        <family val="2"/>
        <scheme val="minor"/>
      </rPr>
      <t>amarillo</t>
    </r>
    <r>
      <rPr>
        <sz val="10"/>
        <rFont val="Calibri"/>
        <family val="2"/>
        <scheme val="minor"/>
      </rPr>
      <t xml:space="preserve"> ya que</t>
    </r>
  </si>
  <si>
    <r>
      <t>Por último ve a la hoja de</t>
    </r>
    <r>
      <rPr>
        <b/>
        <sz val="10"/>
        <rFont val="Calibri"/>
        <family val="2"/>
        <scheme val="minor"/>
      </rPr>
      <t xml:space="preserve"> "Balance General" </t>
    </r>
    <r>
      <rPr>
        <sz val="10"/>
        <rFont val="Calibri"/>
        <family val="2"/>
        <scheme val="minor"/>
      </rPr>
      <t xml:space="preserve">llena las celdas sombreadas en </t>
    </r>
    <r>
      <rPr>
        <u/>
        <sz val="10"/>
        <rFont val="Calibri"/>
        <family val="2"/>
        <scheme val="minor"/>
      </rPr>
      <t>gris</t>
    </r>
    <r>
      <rPr>
        <sz val="10"/>
        <rFont val="Calibri"/>
        <family val="2"/>
        <scheme val="minor"/>
      </rPr>
      <t xml:space="preserve"> </t>
    </r>
    <r>
      <rPr>
        <b/>
        <sz val="10"/>
        <rFont val="Calibri"/>
        <family val="2"/>
        <scheme val="minor"/>
      </rPr>
      <t>no toques</t>
    </r>
    <r>
      <rPr>
        <sz val="10"/>
        <rFont val="Calibri"/>
        <family val="2"/>
        <scheme val="minor"/>
      </rPr>
      <t xml:space="preserve"> las sombreadas en </t>
    </r>
    <r>
      <rPr>
        <u/>
        <sz val="10"/>
        <rFont val="Calibri"/>
        <family val="2"/>
        <scheme val="minor"/>
      </rPr>
      <t>amarillo</t>
    </r>
    <r>
      <rPr>
        <sz val="10"/>
        <rFont val="Calibri"/>
        <family val="2"/>
        <scheme val="minor"/>
      </rPr>
      <t xml:space="preserve"> ya que contienen</t>
    </r>
  </si>
  <si>
    <r>
      <t xml:space="preserve">Coste de los Recursos Ajenos </t>
    </r>
    <r>
      <rPr>
        <sz val="8"/>
        <rFont val="Calibri"/>
        <family val="2"/>
        <scheme val="minor"/>
      </rPr>
      <t>(en %)</t>
    </r>
  </si>
  <si>
    <r>
      <t xml:space="preserve">Tasa Impositiva </t>
    </r>
    <r>
      <rPr>
        <sz val="8"/>
        <rFont val="Calibri"/>
        <family val="2"/>
        <scheme val="minor"/>
      </rPr>
      <t>(en %)</t>
    </r>
  </si>
  <si>
    <r>
      <t xml:space="preserve">Coste de los Recursos Propios </t>
    </r>
    <r>
      <rPr>
        <sz val="8"/>
        <rFont val="Calibri"/>
        <family val="2"/>
        <scheme val="minor"/>
      </rPr>
      <t>(en %)</t>
    </r>
  </si>
  <si>
    <t>Mes 1 - año 1</t>
  </si>
  <si>
    <t>5   =</t>
  </si>
  <si>
    <t>CPP        +</t>
  </si>
  <si>
    <t>Terreno</t>
  </si>
  <si>
    <t>Edificio</t>
  </si>
  <si>
    <t>Maquinaria, Eq y Herram</t>
  </si>
  <si>
    <t>Mobiliario y Equipo</t>
  </si>
  <si>
    <t>Equipo de Cómputo</t>
  </si>
  <si>
    <t>Cuentas por pagar</t>
  </si>
  <si>
    <t>Depreciación de Edificio</t>
  </si>
  <si>
    <t>Depreciación de Maquinaria, Eq y Herram</t>
  </si>
  <si>
    <t>Depreciación de Mobiliario y Equipo</t>
  </si>
  <si>
    <t>Depreciación de Equipo de Transporte</t>
  </si>
  <si>
    <t>Depreciación de Equipo de Cómputo</t>
  </si>
  <si>
    <t xml:space="preserve">       Terreno</t>
  </si>
  <si>
    <t xml:space="preserve">       Edificio</t>
  </si>
  <si>
    <t xml:space="preserve">       Maquinaria, Eq y Herram</t>
  </si>
  <si>
    <t xml:space="preserve">       Mobiliario y Equipo</t>
  </si>
  <si>
    <t xml:space="preserve">       Equipo de Transporte</t>
  </si>
  <si>
    <t xml:space="preserve">       Equipo de Cómputo</t>
  </si>
  <si>
    <t>Costo de lo Vendido (% sobre las Ventas)</t>
  </si>
  <si>
    <t>Otros Gastos de Operación:</t>
  </si>
  <si>
    <t xml:space="preserve">     Total de Otros Gastos de Operación:</t>
  </si>
  <si>
    <t xml:space="preserve">     Total de Gastos (Personal + Otros):</t>
  </si>
  <si>
    <t>Inversión en Activos Fijos:</t>
  </si>
  <si>
    <t>Total Activo Fijo</t>
  </si>
  <si>
    <t>Por cada peso que se debe cuántos se tienen</t>
  </si>
  <si>
    <t>ESTADO DE RESULTADOS A 3 AÑOS</t>
  </si>
  <si>
    <t>FLUJO DE EFECTIVO A 3 AÑOS</t>
  </si>
  <si>
    <t>BALANCE GENERAL A 3 AÑOS</t>
  </si>
  <si>
    <t>cursa.me</t>
  </si>
  <si>
    <t>cursa.me pro</t>
  </si>
  <si>
    <t>capacitaciones</t>
  </si>
  <si>
    <t>certificación ECCR</t>
  </si>
  <si>
    <t>modelo ECCR</t>
  </si>
  <si>
    <t>renta por usuario</t>
  </si>
  <si>
    <t>liquidez</t>
  </si>
  <si>
    <t>rentabilidad</t>
  </si>
  <si>
    <t>que tanto capital genera utilidad real en el ejercicio</t>
  </si>
  <si>
    <t>el esdo de resultados es: el estado que te permite visualizar la rentabilidad de la empresa en o los periodos determinados</t>
  </si>
  <si>
    <t>el flujo de efectivo: es la medida de liquidez de la empresa en el periodo determinado</t>
  </si>
  <si>
    <t>blance:</t>
  </si>
  <si>
    <t>TC</t>
  </si>
  <si>
    <t xml:space="preserve"> </t>
  </si>
</sst>
</file>

<file path=xl/styles.xml><?xml version="1.0" encoding="utf-8"?>
<styleSheet xmlns="http://schemas.openxmlformats.org/spreadsheetml/2006/main">
  <numFmts count="10">
    <numFmt numFmtId="6" formatCode="&quot;$&quot;#,##0;[Red]\-&quot;$&quot;#,##0"/>
    <numFmt numFmtId="44" formatCode="_-&quot;$&quot;* #,##0.00_-;\-&quot;$&quot;* #,##0.00_-;_-&quot;$&quot;* &quot;-&quot;??_-;_-@_-"/>
    <numFmt numFmtId="43" formatCode="_-* #,##0.00_-;\-* #,##0.00_-;_-* &quot;-&quot;??_-;_-@_-"/>
    <numFmt numFmtId="164" formatCode="_-&quot;$&quot;* #,##0_-;\-&quot;$&quot;* #,##0_-;_-&quot;$&quot;* &quot;-&quot;??_-;_-@_-"/>
    <numFmt numFmtId="165" formatCode="&quot;$&quot;#,##0"/>
    <numFmt numFmtId="166" formatCode="0.0000"/>
    <numFmt numFmtId="167" formatCode="_-[$€-2]* #,##0.00_-;\-[$€-2]* #,##0.00_-;_-[$€-2]* &quot;-&quot;??_-"/>
    <numFmt numFmtId="168" formatCode="_-&quot;$&quot;* #,##0_-;[Red]\-&quot;$&quot;* #,##0_-;_-&quot;$&quot;* &quot;-&quot;_-;_-@_-"/>
    <numFmt numFmtId="169" formatCode="0%;[Red]\-0%"/>
    <numFmt numFmtId="170" formatCode="_-* #,##0_-;\-* #,##0_-;_-* &quot;-&quot;??_-;_-@_-"/>
  </numFmts>
  <fonts count="47">
    <font>
      <sz val="10"/>
      <name val="Arial"/>
    </font>
    <font>
      <sz val="10"/>
      <name val="Arial"/>
    </font>
    <font>
      <sz val="8"/>
      <name val="Arial"/>
    </font>
    <font>
      <sz val="10"/>
      <name val="Arial"/>
      <family val="2"/>
    </font>
    <font>
      <sz val="11"/>
      <color indexed="8"/>
      <name val="Calibri"/>
      <family val="2"/>
    </font>
    <font>
      <b/>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sz val="8"/>
      <name val="Calibri"/>
      <family val="2"/>
    </font>
    <font>
      <b/>
      <sz val="10"/>
      <color indexed="8"/>
      <name val="Calibri"/>
      <family val="2"/>
    </font>
    <font>
      <sz val="10"/>
      <color indexed="8"/>
      <name val="Calibri"/>
      <family val="2"/>
    </font>
    <font>
      <b/>
      <sz val="10"/>
      <color theme="0"/>
      <name val="Calibri"/>
      <family val="2"/>
    </font>
    <font>
      <sz val="10"/>
      <name val="Calibri"/>
      <family val="2"/>
    </font>
    <font>
      <sz val="10"/>
      <name val="Calibri"/>
      <family val="2"/>
      <scheme val="minor"/>
    </font>
    <font>
      <b/>
      <sz val="12"/>
      <name val="Calibri"/>
      <family val="2"/>
      <scheme val="minor"/>
    </font>
    <font>
      <b/>
      <sz val="10"/>
      <name val="Calibri"/>
      <family val="2"/>
      <scheme val="minor"/>
    </font>
    <font>
      <u/>
      <sz val="10"/>
      <name val="Calibri"/>
      <family val="2"/>
      <scheme val="minor"/>
    </font>
    <font>
      <b/>
      <u/>
      <sz val="10"/>
      <name val="Calibri"/>
      <family val="2"/>
      <scheme val="minor"/>
    </font>
    <font>
      <b/>
      <sz val="10"/>
      <color theme="0"/>
      <name val="Calibri"/>
      <family val="2"/>
      <scheme val="minor"/>
    </font>
    <font>
      <i/>
      <sz val="10"/>
      <name val="Calibri"/>
      <family val="2"/>
      <scheme val="minor"/>
    </font>
    <font>
      <b/>
      <i/>
      <sz val="10"/>
      <color theme="0"/>
      <name val="Calibri"/>
      <family val="2"/>
      <scheme val="minor"/>
    </font>
    <font>
      <sz val="10"/>
      <color theme="0"/>
      <name val="Calibri"/>
      <family val="2"/>
      <scheme val="minor"/>
    </font>
    <font>
      <sz val="10"/>
      <color rgb="FF0070C0"/>
      <name val="Calibri"/>
      <family val="2"/>
      <scheme val="minor"/>
    </font>
    <font>
      <i/>
      <sz val="10"/>
      <color rgb="FF0070C0"/>
      <name val="Calibri"/>
      <family val="2"/>
      <scheme val="minor"/>
    </font>
    <font>
      <b/>
      <sz val="10"/>
      <color rgb="FF0070C0"/>
      <name val="Calibri"/>
      <family val="2"/>
      <scheme val="minor"/>
    </font>
    <font>
      <b/>
      <i/>
      <sz val="10"/>
      <name val="Calibri"/>
      <family val="2"/>
      <scheme val="minor"/>
    </font>
    <font>
      <b/>
      <i/>
      <sz val="10"/>
      <color rgb="FF0070C0"/>
      <name val="Calibri"/>
      <family val="2"/>
      <scheme val="minor"/>
    </font>
    <font>
      <sz val="10"/>
      <color indexed="8"/>
      <name val="Calibri"/>
      <family val="2"/>
      <scheme val="minor"/>
    </font>
    <font>
      <sz val="10"/>
      <color indexed="10"/>
      <name val="Calibri"/>
      <family val="2"/>
      <scheme val="minor"/>
    </font>
    <font>
      <sz val="10"/>
      <color indexed="9"/>
      <name val="Calibri"/>
      <family val="2"/>
      <scheme val="minor"/>
    </font>
    <font>
      <b/>
      <sz val="10"/>
      <color indexed="8"/>
      <name val="Calibri"/>
      <family val="2"/>
      <scheme val="minor"/>
    </font>
    <font>
      <b/>
      <sz val="8"/>
      <name val="Calibri"/>
      <family val="2"/>
      <scheme val="minor"/>
    </font>
    <font>
      <sz val="8"/>
      <name val="Calibri"/>
      <family val="2"/>
      <scheme val="minor"/>
    </font>
    <font>
      <sz val="10"/>
      <color rgb="FFFF0000"/>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rgb="FFFFFF00"/>
        <bgColor indexed="64"/>
      </patternFill>
    </fill>
    <fill>
      <patternFill patternType="solid">
        <fgColor theme="5" tint="-0.249977111117893"/>
        <bgColor indexed="64"/>
      </patternFill>
    </fill>
    <fill>
      <patternFill patternType="solid">
        <fgColor theme="5"/>
        <bgColor indexed="64"/>
      </patternFill>
    </fill>
    <fill>
      <patternFill patternType="solid">
        <fgColor theme="6"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hair">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top/>
      <bottom style="thin">
        <color indexed="22"/>
      </bottom>
      <diagonal/>
    </border>
    <border>
      <left/>
      <right style="thin">
        <color indexed="22"/>
      </right>
      <top/>
      <bottom style="thin">
        <color indexed="22"/>
      </bottom>
      <diagonal/>
    </border>
    <border>
      <left/>
      <right/>
      <top style="thin">
        <color indexed="22"/>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s>
  <cellStyleXfs count="90">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20" borderId="1" applyNumberFormat="0" applyAlignment="0" applyProtection="0"/>
    <xf numFmtId="0" fontId="9" fillId="20" borderId="1" applyNumberFormat="0" applyAlignment="0" applyProtection="0"/>
    <xf numFmtId="0" fontId="10" fillId="21" borderId="2" applyNumberFormat="0" applyAlignment="0" applyProtection="0"/>
    <xf numFmtId="0" fontId="11" fillId="0" borderId="3" applyNumberFormat="0" applyFill="0" applyAlignment="0" applyProtection="0"/>
    <xf numFmtId="0" fontId="10" fillId="21" borderId="2" applyNumberFormat="0" applyAlignment="0" applyProtection="0"/>
    <xf numFmtId="0" fontId="12" fillId="0" borderId="0" applyNumberFormat="0" applyFill="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13" fillId="7" borderId="1" applyNumberFormat="0" applyAlignment="0" applyProtection="0"/>
    <xf numFmtId="167" fontId="1" fillId="0" borderId="0" applyFont="0" applyFill="0" applyBorder="0" applyAlignment="0" applyProtection="0"/>
    <xf numFmtId="0" fontId="14" fillId="0" borderId="0" applyNumberFormat="0" applyFill="0" applyBorder="0" applyAlignment="0" applyProtection="0"/>
    <xf numFmtId="0" fontId="8" fillId="4"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2" fillId="0" borderId="6" applyNumberFormat="0" applyFill="0" applyAlignment="0" applyProtection="0"/>
    <xf numFmtId="0" fontId="12" fillId="0" borderId="0" applyNumberFormat="0" applyFill="0" applyBorder="0" applyAlignment="0" applyProtection="0"/>
    <xf numFmtId="0" fontId="7" fillId="3" borderId="0" applyNumberFormat="0" applyBorder="0" applyAlignment="0" applyProtection="0"/>
    <xf numFmtId="0" fontId="13" fillId="7" borderId="1" applyNumberFormat="0" applyAlignment="0" applyProtection="0"/>
    <xf numFmtId="0" fontId="11" fillId="0" borderId="3" applyNumberFormat="0" applyFill="0" applyAlignment="0" applyProtection="0"/>
    <xf numFmtId="43" fontId="1" fillId="0" borderId="0" applyFont="0" applyFill="0" applyBorder="0" applyAlignment="0" applyProtection="0"/>
    <xf numFmtId="44" fontId="1" fillId="0" borderId="0" applyFont="0" applyFill="0" applyBorder="0" applyAlignment="0" applyProtection="0"/>
    <xf numFmtId="0" fontId="17" fillId="22" borderId="0" applyNumberFormat="0" applyBorder="0" applyAlignment="0" applyProtection="0"/>
    <xf numFmtId="0" fontId="4" fillId="0" borderId="0"/>
    <xf numFmtId="0" fontId="4" fillId="23" borderId="7" applyNumberFormat="0" applyFont="0" applyAlignment="0" applyProtection="0"/>
    <xf numFmtId="0" fontId="4" fillId="23" borderId="7" applyNumberFormat="0" applyFont="0" applyAlignment="0" applyProtection="0"/>
    <xf numFmtId="0" fontId="18" fillId="20" borderId="8" applyNumberFormat="0" applyAlignment="0" applyProtection="0"/>
    <xf numFmtId="9" fontId="1" fillId="0" borderId="0" applyFont="0" applyFill="0" applyBorder="0" applyAlignment="0" applyProtection="0"/>
    <xf numFmtId="0" fontId="18" fillId="20" borderId="8" applyNumberFormat="0" applyAlignment="0" applyProtection="0"/>
    <xf numFmtId="0" fontId="19" fillId="0" borderId="0" applyNumberFormat="0" applyFill="0" applyBorder="0" applyAlignment="0" applyProtection="0"/>
    <xf numFmtId="0" fontId="1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5" fillId="0" borderId="4" applyNumberFormat="0" applyFill="0" applyAlignment="0" applyProtection="0"/>
    <xf numFmtId="0" fontId="16" fillId="0" borderId="5" applyNumberFormat="0" applyFill="0" applyAlignment="0" applyProtection="0"/>
    <xf numFmtId="0" fontId="12" fillId="0" borderId="6" applyNumberFormat="0" applyFill="0" applyAlignment="0" applyProtection="0"/>
    <xf numFmtId="0" fontId="5" fillId="0" borderId="9" applyNumberFormat="0" applyFill="0" applyAlignment="0" applyProtection="0"/>
    <xf numFmtId="0" fontId="19" fillId="0" borderId="0" applyNumberFormat="0" applyFill="0" applyBorder="0" applyAlignment="0" applyProtection="0"/>
    <xf numFmtId="0" fontId="4" fillId="0" borderId="0"/>
    <xf numFmtId="0" fontId="3" fillId="0" borderId="0"/>
    <xf numFmtId="43" fontId="3" fillId="0" borderId="0" applyFont="0" applyFill="0" applyBorder="0" applyAlignment="0" applyProtection="0"/>
    <xf numFmtId="9" fontId="3" fillId="0" borderId="0" applyFont="0" applyFill="0" applyBorder="0" applyAlignment="0" applyProtection="0"/>
  </cellStyleXfs>
  <cellXfs count="166">
    <xf numFmtId="0" fontId="0" fillId="0" borderId="0" xfId="0"/>
    <xf numFmtId="0" fontId="23" fillId="0" borderId="0" xfId="86" applyFont="1"/>
    <xf numFmtId="43" fontId="4" fillId="0" borderId="0" xfId="88" applyFont="1" applyBorder="1"/>
    <xf numFmtId="3" fontId="23" fillId="0" borderId="0" xfId="86" applyNumberFormat="1" applyFont="1" applyBorder="1"/>
    <xf numFmtId="9" fontId="4" fillId="0" borderId="0" xfId="89" applyFont="1"/>
    <xf numFmtId="0" fontId="4" fillId="0" borderId="0" xfId="86" applyNumberFormat="1" applyFont="1" applyFill="1" applyBorder="1" applyAlignment="1">
      <alignment horizontal="center"/>
    </xf>
    <xf numFmtId="9" fontId="4" fillId="0" borderId="0" xfId="89" applyFont="1" applyBorder="1"/>
    <xf numFmtId="0" fontId="22" fillId="0" borderId="0" xfId="86" applyFont="1" applyAlignment="1">
      <alignment horizontal="left"/>
    </xf>
    <xf numFmtId="3" fontId="23" fillId="24" borderId="0" xfId="86" applyNumberFormat="1" applyFont="1" applyFill="1"/>
    <xf numFmtId="0" fontId="23" fillId="24" borderId="0" xfId="86" applyFont="1" applyFill="1"/>
    <xf numFmtId="9" fontId="23" fillId="24" borderId="0" xfId="86" applyNumberFormat="1" applyFont="1" applyFill="1"/>
    <xf numFmtId="0" fontId="23" fillId="25" borderId="0" xfId="86" applyFont="1" applyFill="1" applyBorder="1" applyAlignment="1">
      <alignment horizontal="center"/>
    </xf>
    <xf numFmtId="3" fontId="23" fillId="25" borderId="0" xfId="86" applyNumberFormat="1" applyFont="1" applyFill="1" applyBorder="1"/>
    <xf numFmtId="0" fontId="23" fillId="25" borderId="10" xfId="86" applyFont="1" applyFill="1" applyBorder="1" applyAlignment="1">
      <alignment horizontal="center"/>
    </xf>
    <xf numFmtId="3" fontId="23" fillId="25" borderId="10" xfId="86" applyNumberFormat="1" applyFont="1" applyFill="1" applyBorder="1"/>
    <xf numFmtId="0" fontId="24" fillId="26" borderId="10" xfId="86" applyFont="1" applyFill="1" applyBorder="1" applyAlignment="1">
      <alignment horizontal="center"/>
    </xf>
    <xf numFmtId="0" fontId="26" fillId="0" borderId="0" xfId="0" applyFont="1"/>
    <xf numFmtId="0" fontId="28" fillId="0" borderId="0" xfId="0" applyFont="1"/>
    <xf numFmtId="0" fontId="30" fillId="0" borderId="0" xfId="0" applyFont="1"/>
    <xf numFmtId="0" fontId="31" fillId="26" borderId="0" xfId="0" applyFont="1" applyFill="1" applyAlignment="1">
      <alignment horizontal="center"/>
    </xf>
    <xf numFmtId="0" fontId="28" fillId="0" borderId="0" xfId="0" applyFont="1" applyAlignment="1">
      <alignment horizontal="center"/>
    </xf>
    <xf numFmtId="0" fontId="26" fillId="24" borderId="0" xfId="0" applyFont="1" applyFill="1"/>
    <xf numFmtId="0" fontId="26" fillId="25" borderId="0" xfId="0" applyFont="1" applyFill="1"/>
    <xf numFmtId="9" fontId="26" fillId="0" borderId="0" xfId="0" applyNumberFormat="1" applyFont="1"/>
    <xf numFmtId="1" fontId="26" fillId="25" borderId="0" xfId="0" applyNumberFormat="1" applyFont="1" applyFill="1"/>
    <xf numFmtId="0" fontId="26" fillId="0" borderId="0" xfId="0" applyFont="1" applyFill="1"/>
    <xf numFmtId="1" fontId="26" fillId="0" borderId="0" xfId="0" applyNumberFormat="1" applyFont="1" applyFill="1"/>
    <xf numFmtId="1" fontId="26" fillId="0" borderId="0" xfId="0" applyNumberFormat="1" applyFont="1"/>
    <xf numFmtId="0" fontId="32" fillId="0" borderId="0" xfId="0" applyFont="1"/>
    <xf numFmtId="0" fontId="32" fillId="25" borderId="0" xfId="0" applyFont="1" applyFill="1"/>
    <xf numFmtId="1" fontId="32" fillId="25" borderId="0" xfId="0" applyNumberFormat="1" applyFont="1" applyFill="1"/>
    <xf numFmtId="0" fontId="28" fillId="0" borderId="0" xfId="0" applyFont="1" applyFill="1" applyAlignment="1">
      <alignment horizontal="center"/>
    </xf>
    <xf numFmtId="0" fontId="28" fillId="24" borderId="0" xfId="0" applyFont="1" applyFill="1" applyAlignment="1">
      <alignment horizontal="center"/>
    </xf>
    <xf numFmtId="164" fontId="26" fillId="24" borderId="0" xfId="69" applyNumberFormat="1" applyFont="1" applyFill="1"/>
    <xf numFmtId="164" fontId="26" fillId="25" borderId="0" xfId="0" applyNumberFormat="1" applyFont="1" applyFill="1"/>
    <xf numFmtId="164" fontId="26" fillId="25" borderId="0" xfId="69" applyNumberFormat="1" applyFont="1" applyFill="1"/>
    <xf numFmtId="164" fontId="32" fillId="25" borderId="0" xfId="0" applyNumberFormat="1" applyFont="1" applyFill="1"/>
    <xf numFmtId="164" fontId="32" fillId="0" borderId="0" xfId="0" applyNumberFormat="1" applyFont="1"/>
    <xf numFmtId="0" fontId="28" fillId="0" borderId="0" xfId="0" quotePrefix="1" applyFont="1"/>
    <xf numFmtId="164" fontId="26" fillId="0" borderId="0" xfId="0" applyNumberFormat="1" applyFont="1"/>
    <xf numFmtId="164" fontId="26" fillId="0" borderId="0" xfId="69" applyNumberFormat="1" applyFont="1"/>
    <xf numFmtId="0" fontId="33" fillId="26" borderId="0" xfId="0" applyFont="1" applyFill="1" applyAlignment="1">
      <alignment horizontal="center"/>
    </xf>
    <xf numFmtId="0" fontId="26" fillId="0" borderId="0" xfId="0" quotePrefix="1" applyFont="1"/>
    <xf numFmtId="9" fontId="26" fillId="24" borderId="0" xfId="0" applyNumberFormat="1" applyFont="1" applyFill="1"/>
    <xf numFmtId="0" fontId="34" fillId="26" borderId="0" xfId="0" applyFont="1" applyFill="1"/>
    <xf numFmtId="164" fontId="26" fillId="25" borderId="0" xfId="69" applyNumberFormat="1" applyFont="1" applyFill="1" applyAlignment="1">
      <alignment wrapText="1"/>
    </xf>
    <xf numFmtId="0" fontId="4" fillId="0" borderId="0" xfId="86" applyFont="1"/>
    <xf numFmtId="0" fontId="25" fillId="0" borderId="0" xfId="87" applyFont="1"/>
    <xf numFmtId="0" fontId="4" fillId="0" borderId="0" xfId="86" applyFont="1" applyBorder="1"/>
    <xf numFmtId="9" fontId="4" fillId="0" borderId="0" xfId="86" applyNumberFormat="1" applyFont="1"/>
    <xf numFmtId="166" fontId="21" fillId="0" borderId="0" xfId="87" applyNumberFormat="1" applyFont="1" applyBorder="1" applyAlignment="1">
      <alignment wrapText="1"/>
    </xf>
    <xf numFmtId="0" fontId="21" fillId="0" borderId="0" xfId="87" applyFont="1" applyBorder="1" applyAlignment="1">
      <alignment wrapText="1"/>
    </xf>
    <xf numFmtId="0" fontId="25" fillId="0" borderId="0" xfId="87" applyFont="1" applyBorder="1"/>
    <xf numFmtId="166" fontId="4" fillId="0" borderId="0" xfId="86" applyNumberFormat="1" applyFont="1"/>
    <xf numFmtId="0" fontId="35" fillId="0" borderId="0" xfId="0" applyFont="1" applyFill="1"/>
    <xf numFmtId="0" fontId="35" fillId="0" borderId="0" xfId="0" applyFont="1"/>
    <xf numFmtId="164" fontId="26" fillId="0" borderId="0" xfId="69" applyNumberFormat="1" applyFont="1" applyFill="1"/>
    <xf numFmtId="164" fontId="35" fillId="0" borderId="0" xfId="69" applyNumberFormat="1" applyFont="1" applyFill="1"/>
    <xf numFmtId="164" fontId="32" fillId="0" borderId="0" xfId="69" applyNumberFormat="1" applyFont="1"/>
    <xf numFmtId="164" fontId="36" fillId="0" borderId="0" xfId="69" applyNumberFormat="1" applyFont="1" applyFill="1"/>
    <xf numFmtId="164" fontId="28" fillId="0" borderId="0" xfId="0" applyNumberFormat="1" applyFont="1"/>
    <xf numFmtId="164" fontId="37" fillId="0" borderId="0" xfId="0" applyNumberFormat="1" applyFont="1" applyFill="1"/>
    <xf numFmtId="0" fontId="37" fillId="0" borderId="0" xfId="0" applyFont="1" applyFill="1" applyAlignment="1">
      <alignment horizontal="center"/>
    </xf>
    <xf numFmtId="0" fontId="38" fillId="0" borderId="0" xfId="0" applyFont="1"/>
    <xf numFmtId="164" fontId="38" fillId="0" borderId="0" xfId="0" applyNumberFormat="1" applyFont="1"/>
    <xf numFmtId="164" fontId="39" fillId="0" borderId="0" xfId="0" applyNumberFormat="1" applyFont="1" applyFill="1"/>
    <xf numFmtId="168" fontId="38" fillId="0" borderId="0" xfId="0" applyNumberFormat="1" applyFont="1"/>
    <xf numFmtId="164" fontId="35" fillId="0" borderId="0" xfId="0" applyNumberFormat="1" applyFont="1" applyFill="1"/>
    <xf numFmtId="0" fontId="31" fillId="27" borderId="0" xfId="0" applyFont="1" applyFill="1" applyAlignment="1">
      <alignment horizontal="center"/>
    </xf>
    <xf numFmtId="164" fontId="28" fillId="0" borderId="0" xfId="69" applyNumberFormat="1" applyFont="1"/>
    <xf numFmtId="0" fontId="28" fillId="0" borderId="0" xfId="0" applyFont="1" applyAlignment="1">
      <alignment horizontal="left"/>
    </xf>
    <xf numFmtId="0" fontId="26" fillId="0" borderId="0" xfId="0" applyFont="1" applyAlignment="1">
      <alignment horizontal="right"/>
    </xf>
    <xf numFmtId="9" fontId="26" fillId="0" borderId="0" xfId="68" applyNumberFormat="1" applyFont="1"/>
    <xf numFmtId="0" fontId="26" fillId="0" borderId="0" xfId="0" applyFont="1" applyAlignment="1">
      <alignment horizontal="right" wrapText="1"/>
    </xf>
    <xf numFmtId="0" fontId="26" fillId="0" borderId="0" xfId="0" applyFont="1" applyAlignment="1">
      <alignment wrapText="1"/>
    </xf>
    <xf numFmtId="0" fontId="28" fillId="0" borderId="11" xfId="0" applyFont="1" applyBorder="1"/>
    <xf numFmtId="0" fontId="26" fillId="0" borderId="11" xfId="0" applyFont="1" applyBorder="1"/>
    <xf numFmtId="9" fontId="26" fillId="0" borderId="0" xfId="75" applyFont="1"/>
    <xf numFmtId="0" fontId="26" fillId="0" borderId="11" xfId="0" applyFont="1" applyBorder="1" applyAlignment="1">
      <alignment wrapText="1"/>
    </xf>
    <xf numFmtId="165" fontId="26" fillId="0" borderId="11" xfId="0" applyNumberFormat="1" applyFont="1" applyBorder="1"/>
    <xf numFmtId="0" fontId="26" fillId="0" borderId="10" xfId="0" applyFont="1" applyBorder="1" applyAlignment="1">
      <alignment wrapText="1"/>
    </xf>
    <xf numFmtId="6" fontId="26" fillId="0" borderId="10" xfId="0" applyNumberFormat="1" applyFont="1" applyBorder="1"/>
    <xf numFmtId="0" fontId="28" fillId="0" borderId="0" xfId="71" applyFont="1" applyFill="1" applyBorder="1" applyAlignment="1"/>
    <xf numFmtId="0" fontId="40" fillId="0" borderId="0" xfId="71" applyFont="1"/>
    <xf numFmtId="0" fontId="26" fillId="0" borderId="0" xfId="71" applyFont="1" applyFill="1" applyBorder="1" applyAlignment="1">
      <alignment horizontal="right"/>
    </xf>
    <xf numFmtId="9" fontId="26" fillId="0" borderId="0" xfId="71" applyNumberFormat="1" applyFont="1" applyFill="1" applyBorder="1" applyAlignment="1"/>
    <xf numFmtId="0" fontId="40" fillId="0" borderId="0" xfId="71" applyFont="1" applyBorder="1"/>
    <xf numFmtId="0" fontId="40" fillId="0" borderId="12" xfId="71" applyFont="1" applyBorder="1"/>
    <xf numFmtId="0" fontId="40" fillId="0" borderId="11" xfId="71" applyFont="1" applyBorder="1"/>
    <xf numFmtId="0" fontId="40" fillId="0" borderId="13" xfId="71" applyFont="1" applyBorder="1"/>
    <xf numFmtId="2" fontId="41" fillId="0" borderId="0" xfId="71" applyNumberFormat="1" applyFont="1" applyBorder="1"/>
    <xf numFmtId="0" fontId="41" fillId="0" borderId="0" xfId="71" applyFont="1" applyBorder="1"/>
    <xf numFmtId="9" fontId="42" fillId="0" borderId="0" xfId="71" applyNumberFormat="1" applyFont="1" applyBorder="1"/>
    <xf numFmtId="9" fontId="40" fillId="0" borderId="0" xfId="71" applyNumberFormat="1" applyFont="1" applyBorder="1"/>
    <xf numFmtId="0" fontId="43" fillId="0" borderId="0" xfId="71" applyFont="1" applyBorder="1"/>
    <xf numFmtId="165" fontId="40" fillId="0" borderId="0" xfId="71" applyNumberFormat="1" applyFont="1" applyBorder="1"/>
    <xf numFmtId="0" fontId="40" fillId="0" borderId="0" xfId="71" applyFont="1" applyBorder="1" applyAlignment="1">
      <alignment horizontal="center"/>
    </xf>
    <xf numFmtId="3" fontId="40" fillId="0" borderId="11" xfId="71" applyNumberFormat="1" applyFont="1" applyBorder="1" applyAlignment="1">
      <alignment horizontal="center"/>
    </xf>
    <xf numFmtId="3" fontId="40" fillId="0" borderId="0" xfId="71" quotePrefix="1" applyNumberFormat="1" applyFont="1" applyBorder="1" applyAlignment="1">
      <alignment horizontal="center"/>
    </xf>
    <xf numFmtId="3" fontId="40" fillId="0" borderId="0" xfId="71" applyNumberFormat="1" applyFont="1" applyBorder="1" applyAlignment="1">
      <alignment horizontal="center"/>
    </xf>
    <xf numFmtId="2" fontId="40" fillId="0" borderId="0" xfId="71" applyNumberFormat="1" applyFont="1" applyBorder="1" applyAlignment="1">
      <alignment horizontal="center"/>
    </xf>
    <xf numFmtId="3" fontId="43" fillId="0" borderId="0" xfId="71" applyNumberFormat="1" applyFont="1" applyBorder="1" applyAlignment="1">
      <alignment horizontal="center"/>
    </xf>
    <xf numFmtId="9" fontId="40" fillId="0" borderId="0" xfId="71" applyNumberFormat="1" applyFont="1" applyBorder="1" applyAlignment="1">
      <alignment horizontal="center"/>
    </xf>
    <xf numFmtId="4" fontId="43" fillId="0" borderId="0" xfId="71" applyNumberFormat="1" applyFont="1" applyBorder="1" applyAlignment="1">
      <alignment horizontal="center"/>
    </xf>
    <xf numFmtId="10" fontId="43" fillId="0" borderId="0" xfId="75" applyNumberFormat="1" applyFont="1"/>
    <xf numFmtId="4" fontId="40" fillId="0" borderId="0" xfId="71" applyNumberFormat="1" applyFont="1" applyBorder="1" applyAlignment="1">
      <alignment horizontal="center"/>
    </xf>
    <xf numFmtId="0" fontId="40" fillId="0" borderId="0" xfId="71" applyFont="1" applyBorder="1" applyAlignment="1"/>
    <xf numFmtId="10" fontId="44" fillId="0" borderId="7" xfId="71" applyNumberFormat="1" applyFont="1" applyFill="1" applyBorder="1" applyAlignment="1" applyProtection="1">
      <protection locked="0"/>
    </xf>
    <xf numFmtId="0" fontId="45" fillId="0" borderId="0" xfId="71" applyFont="1" applyFill="1" applyBorder="1" applyAlignment="1">
      <alignment horizontal="left"/>
    </xf>
    <xf numFmtId="0" fontId="45" fillId="0" borderId="0" xfId="71" applyFont="1" applyFill="1" applyBorder="1" applyAlignment="1" applyProtection="1">
      <protection locked="0"/>
    </xf>
    <xf numFmtId="0" fontId="45" fillId="0" borderId="0" xfId="71" applyFont="1" applyFill="1" applyBorder="1" applyAlignment="1" applyProtection="1">
      <alignment horizontal="center"/>
      <protection locked="0"/>
    </xf>
    <xf numFmtId="10" fontId="44" fillId="0" borderId="7" xfId="71" applyNumberFormat="1" applyFont="1" applyFill="1" applyBorder="1" applyAlignment="1" applyProtection="1"/>
    <xf numFmtId="0" fontId="45" fillId="0" borderId="0" xfId="71" applyFont="1" applyFill="1" applyBorder="1" applyAlignment="1">
      <alignment horizontal="center"/>
    </xf>
    <xf numFmtId="10" fontId="44" fillId="0" borderId="7" xfId="71" applyNumberFormat="1" applyFont="1" applyFill="1" applyBorder="1" applyAlignment="1">
      <alignment horizontal="right"/>
    </xf>
    <xf numFmtId="165" fontId="43" fillId="0" borderId="0" xfId="71" applyNumberFormat="1" applyFont="1" applyBorder="1"/>
    <xf numFmtId="0" fontId="43" fillId="0" borderId="0" xfId="71" applyFont="1" applyBorder="1" applyAlignment="1">
      <alignment horizontal="center"/>
    </xf>
    <xf numFmtId="169" fontId="43" fillId="0" borderId="0" xfId="71" applyNumberFormat="1" applyFont="1"/>
    <xf numFmtId="0" fontId="22" fillId="25" borderId="0" xfId="86" applyFont="1" applyFill="1" applyAlignment="1">
      <alignment horizontal="center"/>
    </xf>
    <xf numFmtId="0" fontId="22" fillId="25" borderId="0" xfId="86" quotePrefix="1" applyFont="1" applyFill="1" applyAlignment="1">
      <alignment horizontal="center"/>
    </xf>
    <xf numFmtId="0" fontId="24" fillId="26" borderId="0" xfId="86" quotePrefix="1" applyFont="1" applyFill="1" applyAlignment="1">
      <alignment horizontal="center"/>
    </xf>
    <xf numFmtId="3" fontId="24" fillId="26" borderId="0" xfId="86" applyNumberFormat="1" applyFont="1" applyFill="1" applyAlignment="1">
      <alignment horizontal="center"/>
    </xf>
    <xf numFmtId="1" fontId="26" fillId="24" borderId="0" xfId="0" applyNumberFormat="1" applyFont="1" applyFill="1"/>
    <xf numFmtId="164" fontId="32" fillId="0" borderId="0" xfId="69" applyNumberFormat="1" applyFont="1" applyFill="1"/>
    <xf numFmtId="168" fontId="38" fillId="0" borderId="0" xfId="0" applyNumberFormat="1" applyFont="1" applyFill="1"/>
    <xf numFmtId="164" fontId="38" fillId="0" borderId="0" xfId="0" applyNumberFormat="1" applyFont="1" applyFill="1"/>
    <xf numFmtId="170" fontId="26" fillId="24" borderId="0" xfId="68" applyNumberFormat="1" applyFont="1" applyFill="1"/>
    <xf numFmtId="0" fontId="24" fillId="26" borderId="10" xfId="86" applyNumberFormat="1" applyFont="1" applyFill="1" applyBorder="1" applyAlignment="1">
      <alignment horizontal="center"/>
    </xf>
    <xf numFmtId="0" fontId="23" fillId="25" borderId="0" xfId="86" applyFont="1" applyFill="1" applyAlignment="1">
      <alignment horizontal="center"/>
    </xf>
    <xf numFmtId="3" fontId="23" fillId="25" borderId="0" xfId="86" applyNumberFormat="1" applyFont="1" applyFill="1"/>
    <xf numFmtId="9" fontId="23" fillId="25" borderId="0" xfId="89" applyFont="1" applyFill="1"/>
    <xf numFmtId="0" fontId="23" fillId="25" borderId="10" xfId="86" applyNumberFormat="1" applyFont="1" applyFill="1" applyBorder="1" applyAlignment="1">
      <alignment horizontal="center"/>
    </xf>
    <xf numFmtId="9" fontId="23" fillId="25" borderId="10" xfId="89" applyFont="1" applyFill="1" applyBorder="1"/>
    <xf numFmtId="0" fontId="23" fillId="25" borderId="0" xfId="86" applyFont="1" applyFill="1"/>
    <xf numFmtId="9" fontId="23" fillId="25" borderId="0" xfId="86" applyNumberFormat="1" applyFont="1" applyFill="1"/>
    <xf numFmtId="170" fontId="46" fillId="24" borderId="0" xfId="68" quotePrefix="1" applyNumberFormat="1" applyFont="1" applyFill="1"/>
    <xf numFmtId="43" fontId="26" fillId="0" borderId="0" xfId="68" applyFont="1"/>
    <xf numFmtId="6" fontId="40" fillId="0" borderId="0" xfId="71" applyNumberFormat="1" applyFont="1" applyBorder="1"/>
    <xf numFmtId="0" fontId="26" fillId="28" borderId="17" xfId="0" applyFont="1" applyFill="1" applyBorder="1"/>
    <xf numFmtId="0" fontId="26" fillId="28" borderId="18" xfId="0" applyFont="1" applyFill="1" applyBorder="1"/>
    <xf numFmtId="0" fontId="26" fillId="28" borderId="19" xfId="0" applyFont="1" applyFill="1" applyBorder="1"/>
    <xf numFmtId="0" fontId="26" fillId="28" borderId="20" xfId="0" applyFont="1" applyFill="1" applyBorder="1"/>
    <xf numFmtId="0" fontId="27" fillId="28" borderId="0" xfId="0" applyFont="1" applyFill="1" applyBorder="1"/>
    <xf numFmtId="0" fontId="26" fillId="28" borderId="0" xfId="0" applyFont="1" applyFill="1" applyBorder="1"/>
    <xf numFmtId="0" fontId="26" fillId="28" borderId="21" xfId="0" applyFont="1" applyFill="1" applyBorder="1"/>
    <xf numFmtId="0" fontId="28" fillId="28" borderId="0" xfId="0" quotePrefix="1" applyFont="1" applyFill="1" applyBorder="1"/>
    <xf numFmtId="0" fontId="28" fillId="28" borderId="0" xfId="0" applyFont="1" applyFill="1" applyBorder="1"/>
    <xf numFmtId="0" fontId="26" fillId="28" borderId="0" xfId="0" quotePrefix="1" applyFont="1" applyFill="1" applyBorder="1"/>
    <xf numFmtId="0" fontId="28" fillId="28" borderId="20" xfId="0" applyFont="1" applyFill="1" applyBorder="1"/>
    <xf numFmtId="0" fontId="26" fillId="28" borderId="22" xfId="0" applyFont="1" applyFill="1" applyBorder="1"/>
    <xf numFmtId="0" fontId="26" fillId="28" borderId="23" xfId="0" applyFont="1" applyFill="1" applyBorder="1"/>
    <xf numFmtId="0" fontId="26" fillId="28" borderId="24" xfId="0" applyFont="1" applyFill="1" applyBorder="1"/>
    <xf numFmtId="9" fontId="26" fillId="0" borderId="0" xfId="0" applyNumberFormat="1" applyFont="1" applyFill="1"/>
    <xf numFmtId="0" fontId="31" fillId="26" borderId="0" xfId="0" applyFont="1" applyFill="1" applyAlignment="1">
      <alignment horizontal="center"/>
    </xf>
    <xf numFmtId="0" fontId="22" fillId="0" borderId="0" xfId="86" applyFont="1" applyAlignment="1">
      <alignment horizontal="left"/>
    </xf>
    <xf numFmtId="14" fontId="22" fillId="0" borderId="0" xfId="86" applyNumberFormat="1" applyFont="1" applyAlignment="1">
      <alignment horizontal="left"/>
    </xf>
    <xf numFmtId="0" fontId="44" fillId="0" borderId="14" xfId="71" applyFont="1" applyFill="1" applyBorder="1" applyAlignment="1">
      <alignment horizontal="left"/>
    </xf>
    <xf numFmtId="0" fontId="44" fillId="0" borderId="15" xfId="71" applyFont="1" applyFill="1" applyBorder="1" applyAlignment="1">
      <alignment horizontal="left"/>
    </xf>
    <xf numFmtId="0" fontId="45" fillId="0" borderId="16" xfId="71" applyFont="1" applyFill="1" applyBorder="1" applyAlignment="1">
      <alignment horizontal="right"/>
    </xf>
    <xf numFmtId="0" fontId="44" fillId="0" borderId="14" xfId="71" applyFont="1" applyFill="1" applyBorder="1" applyAlignment="1">
      <alignment horizontal="center"/>
    </xf>
    <xf numFmtId="0" fontId="44" fillId="0" borderId="15" xfId="71" applyFont="1" applyFill="1" applyBorder="1" applyAlignment="1">
      <alignment horizontal="center"/>
    </xf>
    <xf numFmtId="0" fontId="40" fillId="0" borderId="0" xfId="71" applyFont="1" applyBorder="1" applyAlignment="1">
      <alignment horizontal="center"/>
    </xf>
    <xf numFmtId="0" fontId="40" fillId="0" borderId="0" xfId="71" applyFont="1" applyAlignment="1">
      <alignment horizontal="center"/>
    </xf>
    <xf numFmtId="165" fontId="40" fillId="0" borderId="0" xfId="71" applyNumberFormat="1" applyFont="1" applyAlignment="1">
      <alignment horizontal="center"/>
    </xf>
    <xf numFmtId="3" fontId="40" fillId="0" borderId="0" xfId="71" applyNumberFormat="1" applyFont="1" applyAlignment="1">
      <alignment horizontal="center"/>
    </xf>
    <xf numFmtId="0" fontId="34" fillId="27" borderId="0" xfId="71" applyFont="1" applyFill="1" applyAlignment="1">
      <alignment horizontal="center"/>
    </xf>
    <xf numFmtId="0" fontId="31" fillId="27" borderId="0" xfId="71" applyFont="1" applyFill="1" applyAlignment="1">
      <alignment horizontal="center"/>
    </xf>
  </cellXfs>
  <cellStyles count="90">
    <cellStyle name="20% - Accent1" xfId="1"/>
    <cellStyle name="20% - Accent2" xfId="2"/>
    <cellStyle name="20% - Accent3" xfId="3"/>
    <cellStyle name="20% - Accent4" xfId="4"/>
    <cellStyle name="20% - Accent5" xfId="5"/>
    <cellStyle name="20% - Accent6" xfId="6"/>
    <cellStyle name="20% - Énfasis1" xfId="7" builtinId="30" customBuiltin="1"/>
    <cellStyle name="20% - Énfasis2" xfId="8" builtinId="34" customBuiltin="1"/>
    <cellStyle name="20% - Énfasis3" xfId="9" builtinId="38" customBuiltin="1"/>
    <cellStyle name="20% - Énfasis4" xfId="10" builtinId="42" customBuiltin="1"/>
    <cellStyle name="20% - Énfasis5" xfId="11" builtinId="46" customBuiltin="1"/>
    <cellStyle name="20% - Énfasis6" xfId="12" builtinId="50" customBuiltin="1"/>
    <cellStyle name="40% - Accent1" xfId="13"/>
    <cellStyle name="40% - Accent2" xfId="14"/>
    <cellStyle name="40% - Accent3" xfId="15"/>
    <cellStyle name="40% - Accent4" xfId="16"/>
    <cellStyle name="40% - Accent5" xfId="17"/>
    <cellStyle name="40% - Accent6" xfId="18"/>
    <cellStyle name="40% - Énfasis1" xfId="19" builtinId="31" customBuiltin="1"/>
    <cellStyle name="40% - Énfasis2" xfId="20" builtinId="35" customBuiltin="1"/>
    <cellStyle name="40% - Énfasis3" xfId="21" builtinId="39" customBuiltin="1"/>
    <cellStyle name="40% - Énfasis4" xfId="22" builtinId="43" customBuiltin="1"/>
    <cellStyle name="40% - Énfasis5" xfId="23" builtinId="47" customBuiltin="1"/>
    <cellStyle name="40% - Énfasis6" xfId="24" builtinId="51" customBuiltin="1"/>
    <cellStyle name="60% - Accent1" xfId="25"/>
    <cellStyle name="60% - Accent2" xfId="26"/>
    <cellStyle name="60% - Accent3" xfId="27"/>
    <cellStyle name="60% - Accent4" xfId="28"/>
    <cellStyle name="60% - Accent5" xfId="29"/>
    <cellStyle name="60% - Accent6" xfId="30"/>
    <cellStyle name="60% - Énfasis1" xfId="31" builtinId="32" customBuiltin="1"/>
    <cellStyle name="60% - Énfasis2" xfId="32" builtinId="36" customBuiltin="1"/>
    <cellStyle name="60% - Énfasis3" xfId="33" builtinId="40" customBuiltin="1"/>
    <cellStyle name="60% - Énfasis4" xfId="34" builtinId="44" customBuiltin="1"/>
    <cellStyle name="60% - Énfasis5" xfId="35" builtinId="48" customBuiltin="1"/>
    <cellStyle name="60% - Énfasis6" xfId="36" builtinId="52" customBuiltin="1"/>
    <cellStyle name="Accent1" xfId="37"/>
    <cellStyle name="Accent2" xfId="38"/>
    <cellStyle name="Accent3" xfId="39"/>
    <cellStyle name="Accent4" xfId="40"/>
    <cellStyle name="Accent5" xfId="41"/>
    <cellStyle name="Accent6" xfId="42"/>
    <cellStyle name="Bad" xfId="43"/>
    <cellStyle name="Buena" xfId="44" builtinId="26" customBuiltin="1"/>
    <cellStyle name="Calculation" xfId="45"/>
    <cellStyle name="Cálculo" xfId="46" builtinId="22" customBuiltin="1"/>
    <cellStyle name="Celda de comprobación" xfId="47" builtinId="23" customBuiltin="1"/>
    <cellStyle name="Celda vinculada" xfId="48" builtinId="24" customBuiltin="1"/>
    <cellStyle name="Check Cell" xfId="49"/>
    <cellStyle name="Encabezado 4" xfId="50" builtinId="19" customBuiltin="1"/>
    <cellStyle name="Énfasis1" xfId="51" builtinId="29" customBuiltin="1"/>
    <cellStyle name="Énfasis2" xfId="52" builtinId="33" customBuiltin="1"/>
    <cellStyle name="Énfasis3" xfId="53" builtinId="37" customBuiltin="1"/>
    <cellStyle name="Énfasis4" xfId="54" builtinId="41" customBuiltin="1"/>
    <cellStyle name="Énfasis5" xfId="55" builtinId="45" customBuiltin="1"/>
    <cellStyle name="Énfasis6" xfId="56" builtinId="49" customBuiltin="1"/>
    <cellStyle name="Entrada" xfId="57" builtinId="20" customBuiltin="1"/>
    <cellStyle name="Euro" xfId="58"/>
    <cellStyle name="Explanatory Text" xfId="59"/>
    <cellStyle name="Good" xfId="60"/>
    <cellStyle name="Heading 1" xfId="61"/>
    <cellStyle name="Heading 2" xfId="62"/>
    <cellStyle name="Heading 3" xfId="63"/>
    <cellStyle name="Heading 4" xfId="64"/>
    <cellStyle name="Incorrecto" xfId="65" builtinId="27" customBuiltin="1"/>
    <cellStyle name="Input" xfId="66"/>
    <cellStyle name="Linked Cell" xfId="67"/>
    <cellStyle name="Millares" xfId="68" builtinId="3"/>
    <cellStyle name="Millares 2" xfId="88"/>
    <cellStyle name="Moneda" xfId="69" builtinId="4"/>
    <cellStyle name="Neutral" xfId="70" builtinId="28" customBuiltin="1"/>
    <cellStyle name="Normal" xfId="0" builtinId="0"/>
    <cellStyle name="Normal 2" xfId="87"/>
    <cellStyle name="Normal_MuseoFinanzas 140 mil visitantes2" xfId="71"/>
    <cellStyle name="Normal_TelsumFinanzas" xfId="86"/>
    <cellStyle name="Notas" xfId="72" builtinId="10" customBuiltin="1"/>
    <cellStyle name="Note" xfId="73"/>
    <cellStyle name="Output" xfId="74"/>
    <cellStyle name="Porcentual" xfId="75" builtinId="5"/>
    <cellStyle name="Porcentual 2" xfId="89"/>
    <cellStyle name="Salida" xfId="76" builtinId="21" customBuiltin="1"/>
    <cellStyle name="Texto de advertencia" xfId="77" builtinId="11" customBuiltin="1"/>
    <cellStyle name="Texto explicativo" xfId="78" builtinId="53" customBuiltin="1"/>
    <cellStyle name="Title" xfId="79"/>
    <cellStyle name="Título" xfId="80" builtinId="15" customBuiltin="1"/>
    <cellStyle name="Título 1" xfId="81" builtinId="16" customBuiltin="1"/>
    <cellStyle name="Título 2" xfId="82" builtinId="17" customBuiltin="1"/>
    <cellStyle name="Título 3" xfId="83" builtinId="18" customBuiltin="1"/>
    <cellStyle name="Total" xfId="84" builtinId="25" customBuiltin="1"/>
    <cellStyle name="Warning Text" xfId="85"/>
  </cellStyles>
  <dxfs count="0"/>
  <tableStyles count="0" defaultTableStyle="TableStyleMedium9" defaultPivotStyle="PivotStyleLight16"/>
  <colors>
    <mruColors>
      <color rgb="FFFFFF00"/>
      <color rgb="FF33CCCC"/>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s-MX"/>
  <c:chart>
    <c:title>
      <c:tx>
        <c:rich>
          <a:bodyPr/>
          <a:lstStyle/>
          <a:p>
            <a:pPr>
              <a:defRPr sz="1400" b="1" i="0" u="none" strike="noStrike" baseline="0">
                <a:solidFill>
                  <a:srgbClr val="000000"/>
                </a:solidFill>
                <a:latin typeface="Arial"/>
                <a:ea typeface="Arial"/>
                <a:cs typeface="Arial"/>
              </a:defRPr>
            </a:pPr>
            <a:r>
              <a:rPr lang="en-US"/>
              <a:t>Punto de Equilibrio</a:t>
            </a:r>
          </a:p>
        </c:rich>
      </c:tx>
      <c:layout>
        <c:manualLayout>
          <c:xMode val="edge"/>
          <c:yMode val="edge"/>
          <c:x val="0.38120128738047238"/>
          <c:y val="3.3078962604769606E-2"/>
        </c:manualLayout>
      </c:layout>
      <c:spPr>
        <a:noFill/>
        <a:ln w="25400">
          <a:noFill/>
        </a:ln>
      </c:spPr>
    </c:title>
    <c:plotArea>
      <c:layout>
        <c:manualLayout>
          <c:layoutTarget val="inner"/>
          <c:xMode val="edge"/>
          <c:yMode val="edge"/>
          <c:x val="0.10574419273225423"/>
          <c:y val="0.18575109770370574"/>
          <c:w val="0.87597967065855209"/>
          <c:h val="0.75063799756977134"/>
        </c:manualLayout>
      </c:layout>
      <c:lineChart>
        <c:grouping val="standard"/>
        <c:ser>
          <c:idx val="0"/>
          <c:order val="0"/>
          <c:spPr>
            <a:ln w="38100">
              <a:solidFill>
                <a:srgbClr val="993300"/>
              </a:solidFill>
              <a:prstDash val="solid"/>
            </a:ln>
          </c:spPr>
          <c:marker>
            <c:symbol val="none"/>
          </c:marker>
          <c:cat>
            <c:numRef>
              <c:f>'Punto Equilibrio'!$B$11:$J$11</c:f>
              <c:numCache>
                <c:formatCode>"$"#,##0</c:formatCode>
                <c:ptCount val="9"/>
                <c:pt idx="0">
                  <c:v>88473.346031249981</c:v>
                </c:pt>
                <c:pt idx="1">
                  <c:v>98303.717812499977</c:v>
                </c:pt>
                <c:pt idx="2">
                  <c:v>109226.35312499998</c:v>
                </c:pt>
                <c:pt idx="3">
                  <c:v>121362.61458333331</c:v>
                </c:pt>
                <c:pt idx="4">
                  <c:v>134847.34953703702</c:v>
                </c:pt>
                <c:pt idx="5">
                  <c:v>148332.08449074073</c:v>
                </c:pt>
                <c:pt idx="6">
                  <c:v>163165.29293981483</c:v>
                </c:pt>
                <c:pt idx="7">
                  <c:v>179481.82223379632</c:v>
                </c:pt>
                <c:pt idx="8">
                  <c:v>197430.00445717596</c:v>
                </c:pt>
              </c:numCache>
            </c:numRef>
          </c:cat>
          <c:val>
            <c:numRef>
              <c:f>'Punto Equilibrio'!$B$12:$J$12</c:f>
              <c:numCache>
                <c:formatCode>"$"#,##0;[Red]\-"$"#,##0</c:formatCode>
                <c:ptCount val="9"/>
                <c:pt idx="0">
                  <c:v>-46374.003505787041</c:v>
                </c:pt>
                <c:pt idx="1">
                  <c:v>-36543.631724537045</c:v>
                </c:pt>
                <c:pt idx="2">
                  <c:v>-25620.996412037042</c:v>
                </c:pt>
                <c:pt idx="3">
                  <c:v>-13484.734953703708</c:v>
                </c:pt>
                <c:pt idx="4">
                  <c:v>0</c:v>
                </c:pt>
                <c:pt idx="5">
                  <c:v>13484.734953703708</c:v>
                </c:pt>
                <c:pt idx="6">
                  <c:v>28317.943402777804</c:v>
                </c:pt>
                <c:pt idx="7">
                  <c:v>44634.472696759301</c:v>
                </c:pt>
                <c:pt idx="8">
                  <c:v>62582.654920138943</c:v>
                </c:pt>
              </c:numCache>
            </c:numRef>
          </c:val>
        </c:ser>
        <c:marker val="1"/>
        <c:axId val="84608128"/>
        <c:axId val="93393280"/>
      </c:lineChart>
      <c:catAx>
        <c:axId val="84608128"/>
        <c:scaling>
          <c:orientation val="minMax"/>
        </c:scaling>
        <c:axPos val="b"/>
        <c:numFmt formatCode="&quot;$&quot;#,##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93393280"/>
        <c:crosses val="autoZero"/>
        <c:auto val="1"/>
        <c:lblAlgn val="ctr"/>
        <c:lblOffset val="100"/>
        <c:tickLblSkip val="1"/>
        <c:tickMarkSkip val="1"/>
      </c:catAx>
      <c:valAx>
        <c:axId val="93393280"/>
        <c:scaling>
          <c:orientation val="minMax"/>
        </c:scaling>
        <c:axPos val="l"/>
        <c:majorGridlines>
          <c:spPr>
            <a:ln w="3175">
              <a:solidFill>
                <a:srgbClr val="000000"/>
              </a:solidFill>
              <a:prstDash val="solid"/>
            </a:ln>
          </c:spPr>
        </c:majorGridlines>
        <c:numFmt formatCode="&quot;$&quot;#,##0;[Red]\-&quot;$&quot;#,##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s-MX"/>
          </a:p>
        </c:txPr>
        <c:crossAx val="84608128"/>
        <c:crosses val="autoZero"/>
        <c:crossBetween val="between"/>
      </c:valAx>
      <c:spPr>
        <a:noFill/>
        <a:ln w="12700">
          <a:solidFill>
            <a:srgbClr val="808080"/>
          </a:solidFill>
          <a:prstDash val="solid"/>
        </a:ln>
      </c:spPr>
    </c:plotArea>
    <c:plotVisOnly val="1"/>
    <c:dispBlanksAs val="gap"/>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s-MX"/>
    </a:p>
  </c:txPr>
  <c:printSettings>
    <c:headerFooter alignWithMargins="0"/>
    <c:pageMargins b="1" l="0.75000000000000111" r="0.75000000000000111" t="1" header="0" footer="0"/>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0</xdr:colOff>
      <xdr:row>56</xdr:row>
      <xdr:rowOff>0</xdr:rowOff>
    </xdr:from>
    <xdr:to>
      <xdr:col>9</xdr:col>
      <xdr:colOff>752475</xdr:colOff>
      <xdr:row>63</xdr:row>
      <xdr:rowOff>19050</xdr:rowOff>
    </xdr:to>
    <xdr:sp macro="" textlink="">
      <xdr:nvSpPr>
        <xdr:cNvPr id="1025" name="Text Box 1"/>
        <xdr:cNvSpPr txBox="1">
          <a:spLocks noChangeArrowheads="1"/>
        </xdr:cNvSpPr>
      </xdr:nvSpPr>
      <xdr:spPr bwMode="auto">
        <a:xfrm>
          <a:off x="5343525" y="9067800"/>
          <a:ext cx="3038475" cy="11525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mn-lt"/>
              <a:cs typeface="Arial"/>
            </a:rPr>
            <a:t>La principal fuente de ingresos de una empresa son sus VENTAS. Es necesario considerar operaciones que son usuales en las empresas y que de hecho </a:t>
          </a:r>
          <a:r>
            <a:rPr lang="en-US" sz="1000" b="1" i="0" u="none" strike="noStrike" baseline="0">
              <a:solidFill>
                <a:srgbClr val="000000"/>
              </a:solidFill>
              <a:latin typeface="+mn-lt"/>
              <a:cs typeface="Arial"/>
            </a:rPr>
            <a:t>disminuyen el nivel de ingresos</a:t>
          </a:r>
          <a:r>
            <a:rPr lang="en-US" sz="1000" b="0" i="0" u="none" strike="noStrike" baseline="0">
              <a:solidFill>
                <a:srgbClr val="000000"/>
              </a:solidFill>
              <a:latin typeface="+mn-lt"/>
              <a:cs typeface="Arial"/>
            </a:rPr>
            <a:t>:</a:t>
          </a:r>
        </a:p>
        <a:p>
          <a:pPr algn="l" rtl="0">
            <a:defRPr sz="1000"/>
          </a:pPr>
          <a:r>
            <a:rPr lang="en-US" sz="1000" b="0" i="0" u="none" strike="noStrike" baseline="0">
              <a:solidFill>
                <a:srgbClr val="000000"/>
              </a:solidFill>
              <a:latin typeface="+mn-lt"/>
              <a:cs typeface="Arial"/>
            </a:rPr>
            <a:t> - Descuentos</a:t>
          </a:r>
        </a:p>
        <a:p>
          <a:pPr algn="l" rtl="0">
            <a:defRPr sz="1000"/>
          </a:pPr>
          <a:r>
            <a:rPr lang="en-US" sz="1000" b="0" i="0" u="none" strike="noStrike" baseline="0">
              <a:solidFill>
                <a:srgbClr val="000000"/>
              </a:solidFill>
              <a:latin typeface="+mn-lt"/>
              <a:cs typeface="Arial"/>
            </a:rPr>
            <a:t> - Devoluciones</a:t>
          </a:r>
        </a:p>
        <a:p>
          <a:pPr algn="l" rtl="0">
            <a:defRPr sz="1000"/>
          </a:pPr>
          <a:r>
            <a:rPr lang="en-US" sz="1000" b="0" i="0" u="none" strike="noStrike" baseline="0">
              <a:solidFill>
                <a:srgbClr val="000000"/>
              </a:solidFill>
              <a:latin typeface="+mn-lt"/>
              <a:cs typeface="Arial"/>
            </a:rPr>
            <a:t> - Incobrables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323849</xdr:colOff>
      <xdr:row>14</xdr:row>
      <xdr:rowOff>152400</xdr:rowOff>
    </xdr:from>
    <xdr:to>
      <xdr:col>11</xdr:col>
      <xdr:colOff>276224</xdr:colOff>
      <xdr:row>44</xdr:row>
      <xdr:rowOff>9525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742950</xdr:colOff>
      <xdr:row>7</xdr:row>
      <xdr:rowOff>104775</xdr:rowOff>
    </xdr:from>
    <xdr:to>
      <xdr:col>13</xdr:col>
      <xdr:colOff>409575</xdr:colOff>
      <xdr:row>12</xdr:row>
      <xdr:rowOff>152400</xdr:rowOff>
    </xdr:to>
    <xdr:sp macro="" textlink="">
      <xdr:nvSpPr>
        <xdr:cNvPr id="2" name="1 CuadroTexto"/>
        <xdr:cNvSpPr txBox="1"/>
      </xdr:nvSpPr>
      <xdr:spPr>
        <a:xfrm>
          <a:off x="6600825" y="1238250"/>
          <a:ext cx="271462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latin typeface="+mn-lt"/>
            </a:rPr>
            <a:t>En el periodo "0" se debe poner la inversión inicial del </a:t>
          </a:r>
          <a:r>
            <a:rPr lang="en-US" sz="1000" baseline="0">
              <a:latin typeface="+mn-lt"/>
            </a:rPr>
            <a:t> negocio o el monto del crédito solicitado.</a:t>
          </a:r>
        </a:p>
      </xdr:txBody>
    </xdr:sp>
    <xdr:clientData/>
  </xdr:twoCellAnchor>
  <xdr:twoCellAnchor>
    <xdr:from>
      <xdr:col>1</xdr:col>
      <xdr:colOff>9525</xdr:colOff>
      <xdr:row>26</xdr:row>
      <xdr:rowOff>47625</xdr:rowOff>
    </xdr:from>
    <xdr:to>
      <xdr:col>8</xdr:col>
      <xdr:colOff>676275</xdr:colOff>
      <xdr:row>29</xdr:row>
      <xdr:rowOff>66675</xdr:rowOff>
    </xdr:to>
    <xdr:sp macro="" textlink="">
      <xdr:nvSpPr>
        <xdr:cNvPr id="4" name="3 CuadroTexto"/>
        <xdr:cNvSpPr txBox="1"/>
      </xdr:nvSpPr>
      <xdr:spPr>
        <a:xfrm>
          <a:off x="771525" y="4257675"/>
          <a:ext cx="5076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MX" sz="1000">
              <a:solidFill>
                <a:schemeClr val="dk1"/>
              </a:solidFill>
              <a:latin typeface="+mn-lt"/>
              <a:ea typeface="+mn-ea"/>
              <a:cs typeface="+mn-cs"/>
            </a:rPr>
            <a:t>El VA o Valor actual nos muestra la suma de los flujos de efectivo actualizados (traídos a valor presente) descontándoles una tasa de interés igual al costo de capital.</a:t>
          </a:r>
          <a:endParaRPr lang="en-US" sz="1000">
            <a:latin typeface="+mn-l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25</xdr:row>
      <xdr:rowOff>152400</xdr:rowOff>
    </xdr:from>
    <xdr:to>
      <xdr:col>9</xdr:col>
      <xdr:colOff>0</xdr:colOff>
      <xdr:row>34</xdr:row>
      <xdr:rowOff>0</xdr:rowOff>
    </xdr:to>
    <xdr:sp macro="" textlink="">
      <xdr:nvSpPr>
        <xdr:cNvPr id="2" name="1 CuadroTexto"/>
        <xdr:cNvSpPr txBox="1"/>
      </xdr:nvSpPr>
      <xdr:spPr>
        <a:xfrm>
          <a:off x="771525" y="4200525"/>
          <a:ext cx="508635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S" sz="1000">
              <a:solidFill>
                <a:schemeClr val="dk1"/>
              </a:solidFill>
              <a:latin typeface="+mn-lt"/>
              <a:ea typeface="+mn-ea"/>
              <a:cs typeface="+mn-cs"/>
            </a:rPr>
            <a:t>TIR o Tasa Interna de Retorno, representa la tasa que la empresa espera obtener si decide llevar a cabo el proyecto, por lo tanto se define como la tasa de descuento que iguala el valor presente de los flujos de efectivo esperados del proyecto con el desembolso de la inversión. Para que el proyecto sea atractivo la TIR debe superar las tasas de rendimiento que ofrecen los intermediaros financieros, tomando en cuenta el riesgo del proyecto.</a:t>
          </a:r>
          <a:endParaRPr lang="en-US" sz="1000">
            <a:latin typeface="+mn-lt"/>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N36"/>
  <sheetViews>
    <sheetView workbookViewId="0"/>
  </sheetViews>
  <sheetFormatPr baseColWidth="10" defaultRowHeight="12.75"/>
  <cols>
    <col min="1" max="3" width="3.42578125" style="16" customWidth="1"/>
    <col min="4" max="4" width="4" style="16" customWidth="1"/>
    <col min="5" max="16384" width="11.42578125" style="16"/>
  </cols>
  <sheetData>
    <row r="1" spans="2:14" ht="13.5" thickBot="1"/>
    <row r="2" spans="2:14" ht="13.5" thickTop="1">
      <c r="B2" s="137"/>
      <c r="C2" s="138"/>
      <c r="D2" s="138"/>
      <c r="E2" s="138"/>
      <c r="F2" s="138"/>
      <c r="G2" s="138"/>
      <c r="H2" s="138"/>
      <c r="I2" s="138"/>
      <c r="J2" s="138"/>
      <c r="K2" s="138"/>
      <c r="L2" s="138"/>
      <c r="M2" s="138"/>
      <c r="N2" s="139"/>
    </row>
    <row r="3" spans="2:14" ht="15.75">
      <c r="B3" s="140"/>
      <c r="C3" s="141" t="s">
        <v>130</v>
      </c>
      <c r="D3" s="142"/>
      <c r="E3" s="142"/>
      <c r="F3" s="142"/>
      <c r="G3" s="142"/>
      <c r="H3" s="142"/>
      <c r="I3" s="142"/>
      <c r="J3" s="142"/>
      <c r="K3" s="142"/>
      <c r="L3" s="142"/>
      <c r="M3" s="142"/>
      <c r="N3" s="143"/>
    </row>
    <row r="4" spans="2:14">
      <c r="B4" s="140"/>
      <c r="C4" s="142"/>
      <c r="D4" s="142"/>
      <c r="E4" s="142"/>
      <c r="F4" s="142"/>
      <c r="G4" s="142"/>
      <c r="H4" s="142"/>
      <c r="I4" s="142"/>
      <c r="J4" s="142"/>
      <c r="K4" s="142"/>
      <c r="L4" s="142"/>
      <c r="M4" s="142"/>
      <c r="N4" s="143"/>
    </row>
    <row r="5" spans="2:14">
      <c r="B5" s="140"/>
      <c r="C5" s="142"/>
      <c r="D5" s="142"/>
      <c r="E5" s="142"/>
      <c r="F5" s="142"/>
      <c r="G5" s="142"/>
      <c r="H5" s="142"/>
      <c r="I5" s="142"/>
      <c r="J5" s="142"/>
      <c r="K5" s="142"/>
      <c r="L5" s="142"/>
      <c r="M5" s="142"/>
      <c r="N5" s="143"/>
    </row>
    <row r="6" spans="2:14">
      <c r="B6" s="140"/>
      <c r="C6" s="144" t="s">
        <v>131</v>
      </c>
      <c r="D6" s="142" t="s">
        <v>152</v>
      </c>
      <c r="E6" s="142"/>
      <c r="F6" s="142"/>
      <c r="G6" s="142"/>
      <c r="H6" s="142"/>
      <c r="I6" s="142"/>
      <c r="J6" s="142"/>
      <c r="K6" s="142"/>
      <c r="L6" s="142"/>
      <c r="M6" s="142"/>
      <c r="N6" s="143"/>
    </row>
    <row r="7" spans="2:14">
      <c r="B7" s="140"/>
      <c r="C7" s="145"/>
      <c r="D7" s="142"/>
      <c r="E7" s="146" t="s">
        <v>137</v>
      </c>
      <c r="F7" s="142"/>
      <c r="G7" s="142"/>
      <c r="H7" s="142"/>
      <c r="I7" s="142"/>
      <c r="J7" s="142"/>
      <c r="K7" s="142"/>
      <c r="L7" s="142"/>
      <c r="M7" s="142"/>
      <c r="N7" s="143"/>
    </row>
    <row r="8" spans="2:14">
      <c r="B8" s="140"/>
      <c r="C8" s="145"/>
      <c r="D8" s="142"/>
      <c r="E8" s="146" t="s">
        <v>138</v>
      </c>
      <c r="F8" s="142"/>
      <c r="G8" s="142"/>
      <c r="H8" s="142"/>
      <c r="I8" s="142"/>
      <c r="J8" s="142"/>
      <c r="K8" s="142"/>
      <c r="L8" s="142"/>
      <c r="M8" s="142"/>
      <c r="N8" s="143"/>
    </row>
    <row r="9" spans="2:14">
      <c r="B9" s="140"/>
      <c r="C9" s="145"/>
      <c r="D9" s="142"/>
      <c r="E9" s="146" t="s">
        <v>153</v>
      </c>
      <c r="F9" s="142"/>
      <c r="G9" s="142"/>
      <c r="H9" s="142"/>
      <c r="I9" s="142"/>
      <c r="J9" s="142"/>
      <c r="K9" s="142"/>
      <c r="L9" s="142"/>
      <c r="M9" s="142"/>
      <c r="N9" s="143"/>
    </row>
    <row r="10" spans="2:14">
      <c r="B10" s="140"/>
      <c r="C10" s="145"/>
      <c r="D10" s="142"/>
      <c r="E10" s="142"/>
      <c r="F10" s="142"/>
      <c r="G10" s="142"/>
      <c r="H10" s="142"/>
      <c r="I10" s="142"/>
      <c r="J10" s="142"/>
      <c r="K10" s="142"/>
      <c r="L10" s="142"/>
      <c r="M10" s="142"/>
      <c r="N10" s="143"/>
    </row>
    <row r="11" spans="2:14">
      <c r="B11" s="140"/>
      <c r="C11" s="144" t="s">
        <v>132</v>
      </c>
      <c r="D11" s="142" t="s">
        <v>154</v>
      </c>
      <c r="E11" s="142"/>
      <c r="F11" s="142"/>
      <c r="G11" s="142"/>
      <c r="H11" s="142"/>
      <c r="I11" s="142"/>
      <c r="J11" s="142"/>
      <c r="K11" s="142"/>
      <c r="L11" s="142"/>
      <c r="M11" s="142"/>
      <c r="N11" s="143"/>
    </row>
    <row r="12" spans="2:14">
      <c r="B12" s="140"/>
      <c r="C12" s="145"/>
      <c r="D12" s="142"/>
      <c r="E12" s="146" t="s">
        <v>139</v>
      </c>
      <c r="F12" s="142"/>
      <c r="G12" s="142"/>
      <c r="H12" s="142"/>
      <c r="I12" s="142"/>
      <c r="J12" s="142"/>
      <c r="K12" s="142"/>
      <c r="L12" s="142"/>
      <c r="M12" s="142"/>
      <c r="N12" s="143"/>
    </row>
    <row r="13" spans="2:14">
      <c r="B13" s="140"/>
      <c r="C13" s="145"/>
      <c r="D13" s="142"/>
      <c r="E13" s="146" t="s">
        <v>140</v>
      </c>
      <c r="F13" s="142"/>
      <c r="G13" s="142"/>
      <c r="H13" s="142"/>
      <c r="I13" s="142"/>
      <c r="J13" s="142"/>
      <c r="K13" s="142"/>
      <c r="L13" s="142"/>
      <c r="M13" s="142"/>
      <c r="N13" s="143"/>
    </row>
    <row r="14" spans="2:14">
      <c r="B14" s="140"/>
      <c r="C14" s="145"/>
      <c r="D14" s="142"/>
      <c r="E14" s="142"/>
      <c r="F14" s="142"/>
      <c r="G14" s="142"/>
      <c r="H14" s="142"/>
      <c r="I14" s="142"/>
      <c r="J14" s="142"/>
      <c r="K14" s="142"/>
      <c r="L14" s="142"/>
      <c r="M14" s="142"/>
      <c r="N14" s="143"/>
    </row>
    <row r="15" spans="2:14">
      <c r="B15" s="140"/>
      <c r="C15" s="144" t="s">
        <v>133</v>
      </c>
      <c r="D15" s="142" t="s">
        <v>155</v>
      </c>
      <c r="E15" s="142"/>
      <c r="F15" s="142"/>
      <c r="G15" s="142"/>
      <c r="H15" s="142"/>
      <c r="I15" s="142"/>
      <c r="J15" s="142"/>
      <c r="K15" s="142"/>
      <c r="L15" s="142"/>
      <c r="M15" s="142"/>
      <c r="N15" s="143"/>
    </row>
    <row r="16" spans="2:14">
      <c r="B16" s="140"/>
      <c r="C16" s="145"/>
      <c r="D16" s="142"/>
      <c r="E16" s="146" t="s">
        <v>141</v>
      </c>
      <c r="F16" s="142"/>
      <c r="G16" s="142"/>
      <c r="H16" s="142"/>
      <c r="I16" s="142"/>
      <c r="J16" s="142"/>
      <c r="K16" s="142"/>
      <c r="L16" s="142"/>
      <c r="M16" s="142"/>
      <c r="N16" s="143"/>
    </row>
    <row r="17" spans="2:14">
      <c r="B17" s="140"/>
      <c r="C17" s="145"/>
      <c r="D17" s="142"/>
      <c r="E17" s="146" t="s">
        <v>126</v>
      </c>
      <c r="F17" s="142"/>
      <c r="G17" s="142"/>
      <c r="H17" s="142"/>
      <c r="I17" s="142"/>
      <c r="J17" s="142"/>
      <c r="K17" s="142"/>
      <c r="L17" s="142"/>
      <c r="M17" s="142"/>
      <c r="N17" s="143"/>
    </row>
    <row r="18" spans="2:14">
      <c r="B18" s="140"/>
      <c r="C18" s="145"/>
      <c r="D18" s="142"/>
      <c r="E18" s="142"/>
      <c r="F18" s="142"/>
      <c r="G18" s="142"/>
      <c r="H18" s="142"/>
      <c r="I18" s="142"/>
      <c r="J18" s="142"/>
      <c r="K18" s="142"/>
      <c r="L18" s="142"/>
      <c r="M18" s="142"/>
      <c r="N18" s="143"/>
    </row>
    <row r="19" spans="2:14">
      <c r="B19" s="140"/>
      <c r="C19" s="145"/>
      <c r="D19" s="145" t="s">
        <v>127</v>
      </c>
      <c r="E19" s="142"/>
      <c r="F19" s="142"/>
      <c r="G19" s="142"/>
      <c r="H19" s="142"/>
      <c r="I19" s="142"/>
      <c r="J19" s="142"/>
      <c r="K19" s="142"/>
      <c r="L19" s="142"/>
      <c r="M19" s="142"/>
      <c r="N19" s="143"/>
    </row>
    <row r="20" spans="2:14">
      <c r="B20" s="140"/>
      <c r="C20" s="145"/>
      <c r="D20" s="142"/>
      <c r="E20" s="142"/>
      <c r="F20" s="142"/>
      <c r="G20" s="142"/>
      <c r="H20" s="142"/>
      <c r="I20" s="142"/>
      <c r="J20" s="142"/>
      <c r="K20" s="142"/>
      <c r="L20" s="142"/>
      <c r="M20" s="142"/>
      <c r="N20" s="143"/>
    </row>
    <row r="21" spans="2:14">
      <c r="B21" s="140"/>
      <c r="C21" s="144" t="s">
        <v>134</v>
      </c>
      <c r="D21" s="142" t="s">
        <v>156</v>
      </c>
      <c r="E21" s="142"/>
      <c r="F21" s="142"/>
      <c r="G21" s="142"/>
      <c r="H21" s="142"/>
      <c r="I21" s="142"/>
      <c r="J21" s="142"/>
      <c r="K21" s="142"/>
      <c r="L21" s="142"/>
      <c r="M21" s="142"/>
      <c r="N21" s="143"/>
    </row>
    <row r="22" spans="2:14">
      <c r="B22" s="140"/>
      <c r="C22" s="144"/>
      <c r="D22" s="142" t="s">
        <v>146</v>
      </c>
      <c r="E22" s="142"/>
      <c r="F22" s="142"/>
      <c r="G22" s="142"/>
      <c r="H22" s="142"/>
      <c r="I22" s="142"/>
      <c r="J22" s="142"/>
      <c r="K22" s="142"/>
      <c r="L22" s="142"/>
      <c r="M22" s="142"/>
      <c r="N22" s="143"/>
    </row>
    <row r="23" spans="2:14">
      <c r="B23" s="147"/>
      <c r="C23" s="145"/>
      <c r="D23" s="142"/>
      <c r="E23" s="146" t="s">
        <v>142</v>
      </c>
      <c r="F23" s="142"/>
      <c r="G23" s="142"/>
      <c r="H23" s="142"/>
      <c r="I23" s="142"/>
      <c r="J23" s="142"/>
      <c r="K23" s="142"/>
      <c r="L23" s="142"/>
      <c r="M23" s="142"/>
      <c r="N23" s="143"/>
    </row>
    <row r="24" spans="2:14">
      <c r="B24" s="147"/>
      <c r="C24" s="145"/>
      <c r="D24" s="142"/>
      <c r="E24" s="146" t="s">
        <v>143</v>
      </c>
      <c r="F24" s="142"/>
      <c r="G24" s="142"/>
      <c r="H24" s="142"/>
      <c r="I24" s="142"/>
      <c r="J24" s="142"/>
      <c r="K24" s="142"/>
      <c r="L24" s="142"/>
      <c r="M24" s="142"/>
      <c r="N24" s="143"/>
    </row>
    <row r="25" spans="2:14">
      <c r="B25" s="147"/>
      <c r="C25" s="145"/>
      <c r="D25" s="142"/>
      <c r="E25" s="142" t="s">
        <v>128</v>
      </c>
      <c r="F25" s="142"/>
      <c r="G25" s="142"/>
      <c r="H25" s="142"/>
      <c r="I25" s="142"/>
      <c r="J25" s="142"/>
      <c r="K25" s="142"/>
      <c r="L25" s="142"/>
      <c r="M25" s="142"/>
      <c r="N25" s="143"/>
    </row>
    <row r="26" spans="2:14">
      <c r="B26" s="147"/>
      <c r="C26" s="145"/>
      <c r="D26" s="142"/>
      <c r="E26" s="146" t="s">
        <v>144</v>
      </c>
      <c r="F26" s="142"/>
      <c r="G26" s="142"/>
      <c r="H26" s="142"/>
      <c r="I26" s="142"/>
      <c r="J26" s="142"/>
      <c r="K26" s="142"/>
      <c r="L26" s="142"/>
      <c r="M26" s="142"/>
      <c r="N26" s="143"/>
    </row>
    <row r="27" spans="2:14">
      <c r="B27" s="147"/>
      <c r="C27" s="145"/>
      <c r="D27" s="142"/>
      <c r="E27" s="142" t="s">
        <v>129</v>
      </c>
      <c r="F27" s="142"/>
      <c r="G27" s="142"/>
      <c r="H27" s="142"/>
      <c r="I27" s="142"/>
      <c r="J27" s="142"/>
      <c r="K27" s="142"/>
      <c r="L27" s="142"/>
      <c r="M27" s="142"/>
      <c r="N27" s="143"/>
    </row>
    <row r="28" spans="2:14">
      <c r="B28" s="147"/>
      <c r="C28" s="145"/>
      <c r="D28" s="142"/>
      <c r="E28" s="142"/>
      <c r="F28" s="142"/>
      <c r="G28" s="142"/>
      <c r="H28" s="142"/>
      <c r="I28" s="142"/>
      <c r="J28" s="142"/>
      <c r="K28" s="142"/>
      <c r="L28" s="142"/>
      <c r="M28" s="142"/>
      <c r="N28" s="143"/>
    </row>
    <row r="29" spans="2:14">
      <c r="B29" s="147"/>
      <c r="C29" s="144" t="s">
        <v>145</v>
      </c>
      <c r="D29" s="142" t="s">
        <v>157</v>
      </c>
      <c r="E29" s="142"/>
      <c r="F29" s="142"/>
      <c r="G29" s="142"/>
      <c r="H29" s="142"/>
      <c r="I29" s="142"/>
      <c r="J29" s="142"/>
      <c r="K29" s="142"/>
      <c r="L29" s="142"/>
      <c r="M29" s="142"/>
      <c r="N29" s="143"/>
    </row>
    <row r="30" spans="2:14">
      <c r="B30" s="147"/>
      <c r="C30" s="145"/>
      <c r="D30" s="142" t="s">
        <v>147</v>
      </c>
      <c r="E30" s="142"/>
      <c r="F30" s="142"/>
      <c r="G30" s="142"/>
      <c r="H30" s="142"/>
      <c r="I30" s="142"/>
      <c r="J30" s="142"/>
      <c r="K30" s="142"/>
      <c r="L30" s="142"/>
      <c r="M30" s="142"/>
      <c r="N30" s="143"/>
    </row>
    <row r="31" spans="2:14">
      <c r="B31" s="147"/>
      <c r="C31" s="145"/>
      <c r="D31" s="142"/>
      <c r="E31" s="146" t="s">
        <v>148</v>
      </c>
      <c r="F31" s="142"/>
      <c r="G31" s="142"/>
      <c r="H31" s="142"/>
      <c r="I31" s="142"/>
      <c r="J31" s="142"/>
      <c r="K31" s="142"/>
      <c r="L31" s="142"/>
      <c r="M31" s="142"/>
      <c r="N31" s="143"/>
    </row>
    <row r="32" spans="2:14">
      <c r="B32" s="147"/>
      <c r="C32" s="145"/>
      <c r="D32" s="142"/>
      <c r="E32" s="142" t="s">
        <v>149</v>
      </c>
      <c r="F32" s="142"/>
      <c r="G32" s="142"/>
      <c r="H32" s="142"/>
      <c r="I32" s="142"/>
      <c r="J32" s="142"/>
      <c r="K32" s="142"/>
      <c r="L32" s="142"/>
      <c r="M32" s="142"/>
      <c r="N32" s="143"/>
    </row>
    <row r="33" spans="2:14">
      <c r="B33" s="147"/>
      <c r="C33" s="145"/>
      <c r="D33" s="142"/>
      <c r="E33" s="142"/>
      <c r="F33" s="142"/>
      <c r="G33" s="142"/>
      <c r="H33" s="142"/>
      <c r="I33" s="142"/>
      <c r="J33" s="142"/>
      <c r="K33" s="142"/>
      <c r="L33" s="142"/>
      <c r="M33" s="142"/>
      <c r="N33" s="143"/>
    </row>
    <row r="34" spans="2:14">
      <c r="B34" s="147"/>
      <c r="C34" s="145"/>
      <c r="D34" s="145" t="s">
        <v>135</v>
      </c>
      <c r="E34" s="142"/>
      <c r="F34" s="142"/>
      <c r="G34" s="142"/>
      <c r="H34" s="142"/>
      <c r="I34" s="142"/>
      <c r="J34" s="142"/>
      <c r="K34" s="142"/>
      <c r="L34" s="142"/>
      <c r="M34" s="142"/>
      <c r="N34" s="143"/>
    </row>
    <row r="35" spans="2:14" ht="13.5" thickBot="1">
      <c r="B35" s="148"/>
      <c r="C35" s="149"/>
      <c r="D35" s="149"/>
      <c r="E35" s="149"/>
      <c r="F35" s="149"/>
      <c r="G35" s="149"/>
      <c r="H35" s="149"/>
      <c r="I35" s="149"/>
      <c r="J35" s="149"/>
      <c r="K35" s="149"/>
      <c r="L35" s="149"/>
      <c r="M35" s="149"/>
      <c r="N35" s="150"/>
    </row>
    <row r="36" spans="2:14" ht="13.5" thickTop="1"/>
  </sheetData>
  <pageMargins left="0.7" right="0.7" top="0.75" bottom="0.75" header="0.3" footer="0.3"/>
  <pageSetup orientation="portrait" horizontalDpi="1200" verticalDpi="1200" r:id="rId1"/>
  <ignoredErrors>
    <ignoredError sqref="B34 C6:C21 B29:C29 B23:B27" numberStoredAsText="1"/>
  </ignoredErrors>
</worksheet>
</file>

<file path=xl/worksheets/sheet10.xml><?xml version="1.0" encoding="utf-8"?>
<worksheet xmlns="http://schemas.openxmlformats.org/spreadsheetml/2006/main" xmlns:r="http://schemas.openxmlformats.org/officeDocument/2006/relationships">
  <dimension ref="A2:N38"/>
  <sheetViews>
    <sheetView workbookViewId="0">
      <selection activeCell="K35" sqref="K35:M35"/>
    </sheetView>
  </sheetViews>
  <sheetFormatPr baseColWidth="10" defaultRowHeight="12.75"/>
  <cols>
    <col min="1" max="1" width="11.42578125" style="83" customWidth="1"/>
    <col min="2" max="2" width="9.28515625" style="83" customWidth="1"/>
    <col min="3" max="3" width="11.42578125" style="83" customWidth="1"/>
    <col min="4" max="4" width="7.28515625" style="83" customWidth="1"/>
    <col min="5" max="5" width="11.42578125" style="83" customWidth="1"/>
    <col min="6" max="6" width="7.7109375" style="83" customWidth="1"/>
    <col min="7" max="7" width="11.42578125" style="83" customWidth="1"/>
    <col min="8" max="8" width="7.5703125" style="83" customWidth="1"/>
    <col min="9" max="9" width="10.28515625" style="83" customWidth="1"/>
    <col min="10" max="16384" width="11.42578125" style="83"/>
  </cols>
  <sheetData>
    <row r="2" spans="1:9">
      <c r="A2" s="82" t="s">
        <v>99</v>
      </c>
      <c r="B2" s="82"/>
      <c r="C2" s="82"/>
      <c r="D2" s="82"/>
      <c r="E2" s="82"/>
      <c r="F2" s="82"/>
      <c r="G2" s="82"/>
      <c r="H2" s="82"/>
      <c r="I2" s="82"/>
    </row>
    <row r="3" spans="1:9">
      <c r="A3" s="82"/>
      <c r="B3" s="82"/>
      <c r="C3" s="82"/>
      <c r="D3" s="82"/>
      <c r="E3" s="82"/>
      <c r="F3" s="82"/>
      <c r="G3" s="82"/>
      <c r="H3" s="82"/>
      <c r="I3" s="82"/>
    </row>
    <row r="4" spans="1:9">
      <c r="B4" s="84" t="s">
        <v>100</v>
      </c>
      <c r="C4" s="85">
        <v>0.1</v>
      </c>
      <c r="D4" s="82"/>
      <c r="E4" s="82"/>
      <c r="F4" s="82"/>
      <c r="G4" s="82"/>
      <c r="H4" s="82"/>
      <c r="I4" s="82"/>
    </row>
    <row r="5" spans="1:9">
      <c r="A5" s="86"/>
      <c r="B5" s="86"/>
      <c r="C5" s="86"/>
      <c r="D5" s="86"/>
      <c r="E5" s="86"/>
      <c r="F5" s="86"/>
      <c r="G5" s="86"/>
      <c r="H5" s="86"/>
      <c r="I5" s="86"/>
    </row>
    <row r="6" spans="1:9">
      <c r="A6" s="86"/>
      <c r="B6" s="86"/>
      <c r="C6" s="86"/>
      <c r="D6" s="86"/>
      <c r="E6" s="86"/>
      <c r="F6" s="86"/>
      <c r="G6" s="86"/>
      <c r="H6" s="86"/>
      <c r="I6" s="86"/>
    </row>
    <row r="7" spans="1:9">
      <c r="A7" s="160">
        <v>0</v>
      </c>
      <c r="B7" s="160"/>
      <c r="C7" s="161" t="s">
        <v>4</v>
      </c>
      <c r="D7" s="161"/>
      <c r="E7" s="161" t="s">
        <v>5</v>
      </c>
      <c r="F7" s="161"/>
      <c r="G7" s="161" t="s">
        <v>8</v>
      </c>
      <c r="H7" s="161"/>
      <c r="I7" s="16"/>
    </row>
    <row r="8" spans="1:9">
      <c r="A8" s="86"/>
      <c r="B8" s="87"/>
      <c r="C8" s="88"/>
      <c r="D8" s="87"/>
      <c r="E8" s="88"/>
      <c r="F8" s="87"/>
      <c r="G8" s="88"/>
      <c r="H8" s="89"/>
      <c r="I8" s="16"/>
    </row>
    <row r="9" spans="1:9">
      <c r="A9" s="86"/>
      <c r="B9" s="89"/>
      <c r="D9" s="89"/>
      <c r="F9" s="89"/>
      <c r="G9" s="86"/>
      <c r="H9" s="89"/>
      <c r="I9" s="16"/>
    </row>
    <row r="10" spans="1:9">
      <c r="A10" s="162">
        <f>'Flujo Efectivo'!N8+'Flujo Efectivo'!N11+'Flujo Efectivo'!AA11+'Flujo Efectivo'!AB11</f>
        <v>9000000</v>
      </c>
      <c r="B10" s="162"/>
      <c r="C10" s="163">
        <f>'Flujo Efectivo'!N52</f>
        <v>447247.08333333302</v>
      </c>
      <c r="D10" s="163"/>
      <c r="E10" s="163">
        <f>'Flujo Efectivo'!AA52</f>
        <v>4403829.166666667</v>
      </c>
      <c r="F10" s="163"/>
      <c r="G10" s="163">
        <f>'Flujo Efectivo'!AB52</f>
        <v>12048169.166666666</v>
      </c>
      <c r="H10" s="163"/>
      <c r="I10" s="16"/>
    </row>
    <row r="11" spans="1:9">
      <c r="A11" s="86"/>
      <c r="B11" s="86"/>
      <c r="C11" s="164" t="s">
        <v>93</v>
      </c>
      <c r="D11" s="164"/>
      <c r="E11" s="164" t="s">
        <v>94</v>
      </c>
      <c r="F11" s="164"/>
      <c r="G11" s="164" t="s">
        <v>95</v>
      </c>
      <c r="H11" s="164"/>
      <c r="I11" s="16"/>
    </row>
    <row r="12" spans="1:9">
      <c r="A12" s="86"/>
      <c r="B12" s="86"/>
      <c r="C12" s="86"/>
      <c r="D12" s="90"/>
      <c r="E12" s="91"/>
      <c r="F12" s="86"/>
      <c r="G12" s="86"/>
      <c r="H12" s="86"/>
      <c r="I12" s="86"/>
    </row>
    <row r="13" spans="1:9">
      <c r="A13" s="86"/>
      <c r="B13" s="86"/>
      <c r="C13" s="86"/>
      <c r="D13" s="91"/>
      <c r="E13" s="92">
        <f>C4</f>
        <v>0.1</v>
      </c>
      <c r="F13" s="86"/>
      <c r="G13" s="86"/>
      <c r="H13" s="86"/>
      <c r="I13" s="93"/>
    </row>
    <row r="14" spans="1:9">
      <c r="A14" s="86"/>
      <c r="B14" s="94" t="s">
        <v>96</v>
      </c>
      <c r="C14" s="95">
        <f>-A10</f>
        <v>-9000000</v>
      </c>
      <c r="D14" s="96" t="s">
        <v>97</v>
      </c>
      <c r="E14" s="97">
        <f>C10</f>
        <v>447247.08333333302</v>
      </c>
      <c r="F14" s="98" t="s">
        <v>98</v>
      </c>
      <c r="G14" s="97">
        <f>E10</f>
        <v>4403829.166666667</v>
      </c>
      <c r="H14" s="99" t="s">
        <v>97</v>
      </c>
      <c r="I14" s="97">
        <f>G10</f>
        <v>12048169.166666666</v>
      </c>
    </row>
    <row r="15" spans="1:9">
      <c r="A15" s="86"/>
      <c r="B15" s="94"/>
      <c r="C15" s="86"/>
      <c r="D15" s="86"/>
      <c r="E15" s="100">
        <f>(1+E13)^1</f>
        <v>1.1000000000000001</v>
      </c>
      <c r="F15" s="100"/>
      <c r="G15" s="100">
        <f>(1+E13)^2</f>
        <v>1.2100000000000002</v>
      </c>
      <c r="H15" s="100"/>
      <c r="I15" s="100">
        <f>(1+E13)^3</f>
        <v>1.3310000000000004</v>
      </c>
    </row>
    <row r="16" spans="1:9">
      <c r="A16" s="86"/>
      <c r="B16" s="94"/>
      <c r="C16" s="86"/>
      <c r="D16" s="86"/>
      <c r="E16" s="96"/>
      <c r="F16" s="96"/>
      <c r="G16" s="96"/>
      <c r="H16" s="96"/>
      <c r="I16" s="86"/>
    </row>
    <row r="17" spans="1:14">
      <c r="A17" s="86"/>
      <c r="B17" s="94"/>
      <c r="C17" s="86"/>
      <c r="D17" s="86"/>
      <c r="E17" s="96"/>
      <c r="F17" s="96"/>
      <c r="G17" s="96"/>
      <c r="H17" s="96"/>
      <c r="I17" s="86"/>
    </row>
    <row r="18" spans="1:14">
      <c r="A18" s="86"/>
      <c r="B18" s="94" t="str">
        <f>B14</f>
        <v xml:space="preserve">VPN= </v>
      </c>
      <c r="C18" s="95">
        <f>-C14</f>
        <v>9000000</v>
      </c>
      <c r="D18" s="96" t="str">
        <f>D14</f>
        <v xml:space="preserve"> +</v>
      </c>
      <c r="E18" s="99">
        <f>E14/E15</f>
        <v>406588.25757575728</v>
      </c>
      <c r="F18" s="99" t="str">
        <f>F14</f>
        <v>+</v>
      </c>
      <c r="G18" s="99">
        <f>G14/G15</f>
        <v>3639528.2369146002</v>
      </c>
      <c r="H18" s="96" t="s">
        <v>97</v>
      </c>
      <c r="I18" s="99">
        <f>I14/I15</f>
        <v>9051967.8186826911</v>
      </c>
    </row>
    <row r="19" spans="1:14">
      <c r="A19" s="86"/>
      <c r="B19" s="94"/>
      <c r="C19" s="86"/>
      <c r="D19" s="96"/>
      <c r="E19" s="96"/>
      <c r="F19" s="96"/>
      <c r="G19" s="96"/>
      <c r="H19" s="86"/>
      <c r="I19" s="86"/>
    </row>
    <row r="20" spans="1:14">
      <c r="A20" s="86"/>
      <c r="B20" s="94"/>
      <c r="C20" s="86"/>
      <c r="D20" s="96"/>
      <c r="E20" s="96"/>
      <c r="F20" s="96"/>
      <c r="G20" s="96"/>
      <c r="H20" s="86"/>
      <c r="I20" s="86"/>
    </row>
    <row r="21" spans="1:14">
      <c r="A21" s="86"/>
      <c r="B21" s="94" t="str">
        <f>B18</f>
        <v xml:space="preserve">VPN= </v>
      </c>
      <c r="C21" s="95">
        <f>-C18</f>
        <v>-9000000</v>
      </c>
      <c r="D21" s="96" t="str">
        <f>D18</f>
        <v xml:space="preserve"> +</v>
      </c>
      <c r="E21" s="101">
        <f>+E18+G18+I18</f>
        <v>13098084.313173048</v>
      </c>
      <c r="F21" s="96"/>
      <c r="G21" s="96"/>
      <c r="H21" s="86"/>
      <c r="I21" s="86"/>
    </row>
    <row r="22" spans="1:14">
      <c r="A22" s="86"/>
      <c r="B22" s="94"/>
      <c r="C22" s="86"/>
      <c r="D22" s="96"/>
      <c r="E22" s="96"/>
      <c r="F22" s="96"/>
      <c r="G22" s="96"/>
      <c r="H22" s="102"/>
      <c r="I22" s="96"/>
    </row>
    <row r="23" spans="1:14">
      <c r="A23" s="86"/>
      <c r="B23" s="94"/>
      <c r="C23" s="86"/>
      <c r="D23" s="96"/>
      <c r="E23" s="96"/>
      <c r="F23" s="96"/>
      <c r="G23" s="96"/>
      <c r="H23" s="96"/>
      <c r="I23" s="96"/>
    </row>
    <row r="24" spans="1:14">
      <c r="A24" s="86"/>
      <c r="B24" s="94" t="str">
        <f>B21</f>
        <v xml:space="preserve">VPN= </v>
      </c>
      <c r="C24" s="136">
        <f>C21+E21</f>
        <v>4098084.3131730482</v>
      </c>
      <c r="D24" s="96"/>
      <c r="E24" s="99"/>
      <c r="F24" s="96"/>
      <c r="H24" s="103"/>
      <c r="I24" s="104"/>
    </row>
    <row r="25" spans="1:14">
      <c r="A25" s="86"/>
      <c r="B25" s="94"/>
      <c r="C25" s="105"/>
      <c r="D25" s="96"/>
      <c r="E25" s="105"/>
      <c r="F25" s="96"/>
      <c r="G25" s="105"/>
      <c r="H25" s="96"/>
      <c r="I25" s="86"/>
    </row>
    <row r="26" spans="1:14">
      <c r="A26" s="86"/>
      <c r="B26" s="86"/>
      <c r="C26" s="86"/>
      <c r="D26" s="96"/>
      <c r="E26" s="106"/>
      <c r="H26" s="86"/>
    </row>
    <row r="27" spans="1:14">
      <c r="A27" s="86"/>
      <c r="B27" s="86"/>
      <c r="C27" s="86"/>
      <c r="D27" s="86"/>
      <c r="E27" s="106"/>
      <c r="F27" s="86"/>
      <c r="H27" s="86"/>
      <c r="I27" s="86"/>
      <c r="K27" s="155" t="s">
        <v>158</v>
      </c>
      <c r="L27" s="155"/>
      <c r="M27" s="156"/>
      <c r="N27" s="107">
        <v>0.11</v>
      </c>
    </row>
    <row r="28" spans="1:14">
      <c r="K28" s="108"/>
      <c r="L28" s="108"/>
      <c r="M28" s="108"/>
      <c r="N28" s="109"/>
    </row>
    <row r="29" spans="1:14">
      <c r="K29" s="155" t="s">
        <v>159</v>
      </c>
      <c r="L29" s="155"/>
      <c r="M29" s="156"/>
      <c r="N29" s="107">
        <v>0.28999999999999998</v>
      </c>
    </row>
    <row r="30" spans="1:14">
      <c r="K30" s="108"/>
      <c r="L30" s="108"/>
      <c r="M30" s="108"/>
      <c r="N30" s="110"/>
    </row>
    <row r="31" spans="1:14">
      <c r="K31" s="155" t="s">
        <v>160</v>
      </c>
      <c r="L31" s="155"/>
      <c r="M31" s="156"/>
      <c r="N31" s="107">
        <v>0.16</v>
      </c>
    </row>
    <row r="32" spans="1:14">
      <c r="K32" s="108"/>
      <c r="L32" s="108"/>
      <c r="M32" s="108"/>
      <c r="N32" s="110"/>
    </row>
    <row r="33" spans="11:14">
      <c r="K33" s="155" t="s">
        <v>121</v>
      </c>
      <c r="L33" s="155"/>
      <c r="M33" s="156"/>
      <c r="N33" s="107">
        <f>Credito!B4/(Credito!B4+'Flujo Efectivo'!N8)</f>
        <v>5.3191489361702128E-2</v>
      </c>
    </row>
    <row r="34" spans="11:14">
      <c r="K34" s="108"/>
      <c r="L34" s="108"/>
      <c r="M34" s="108"/>
      <c r="N34" s="110"/>
    </row>
    <row r="35" spans="11:14">
      <c r="K35" s="155" t="s">
        <v>122</v>
      </c>
      <c r="L35" s="155"/>
      <c r="M35" s="156"/>
      <c r="N35" s="111">
        <f>100%-N33</f>
        <v>0.94680851063829785</v>
      </c>
    </row>
    <row r="36" spans="11:14">
      <c r="K36" s="157"/>
      <c r="L36" s="157"/>
      <c r="M36" s="157"/>
      <c r="N36" s="157"/>
    </row>
    <row r="37" spans="11:14">
      <c r="K37" s="112"/>
      <c r="L37" s="112"/>
      <c r="M37" s="112"/>
      <c r="N37" s="112"/>
    </row>
    <row r="38" spans="11:14">
      <c r="K38" s="158" t="s">
        <v>123</v>
      </c>
      <c r="L38" s="158"/>
      <c r="M38" s="159"/>
      <c r="N38" s="113">
        <f>(N27*(1-N29)*N33)+(N31*N35)</f>
        <v>0.15564361702127658</v>
      </c>
    </row>
  </sheetData>
  <mergeCells count="18">
    <mergeCell ref="K29:M29"/>
    <mergeCell ref="G10:H10"/>
    <mergeCell ref="E11:F11"/>
    <mergeCell ref="G7:H7"/>
    <mergeCell ref="G11:H11"/>
    <mergeCell ref="E7:F7"/>
    <mergeCell ref="E10:F10"/>
    <mergeCell ref="A7:B7"/>
    <mergeCell ref="C7:D7"/>
    <mergeCell ref="A10:B10"/>
    <mergeCell ref="C10:D10"/>
    <mergeCell ref="K27:M27"/>
    <mergeCell ref="C11:D11"/>
    <mergeCell ref="K31:M31"/>
    <mergeCell ref="K33:M33"/>
    <mergeCell ref="K35:M35"/>
    <mergeCell ref="K36:N36"/>
    <mergeCell ref="K38:M38"/>
  </mergeCells>
  <phoneticPr fontId="21" type="noConversion"/>
  <pageMargins left="0.7" right="0.7" top="0.75" bottom="0.75" header="0.3" footer="0.3"/>
  <pageSetup paperSize="9" orientation="portrait" horizontalDpi="0" verticalDpi="0" r:id="rId1"/>
  <headerFooter alignWithMargins="0"/>
  <ignoredErrors>
    <ignoredError sqref="E18:F18 C18:C21" formula="1"/>
    <ignoredError sqref="N33" unlockedFormula="1"/>
  </ignoredErrors>
  <drawing r:id="rId2"/>
</worksheet>
</file>

<file path=xl/worksheets/sheet11.xml><?xml version="1.0" encoding="utf-8"?>
<worksheet xmlns="http://schemas.openxmlformats.org/spreadsheetml/2006/main" xmlns:r="http://schemas.openxmlformats.org/officeDocument/2006/relationships">
  <dimension ref="A2:I27"/>
  <sheetViews>
    <sheetView workbookViewId="0">
      <selection activeCell="G24" sqref="G24"/>
    </sheetView>
  </sheetViews>
  <sheetFormatPr baseColWidth="10" defaultRowHeight="12.75"/>
  <cols>
    <col min="1" max="1" width="11.42578125" style="83" customWidth="1"/>
    <col min="2" max="2" width="9.28515625" style="83" customWidth="1"/>
    <col min="3" max="3" width="11.42578125" style="83" customWidth="1"/>
    <col min="4" max="4" width="7.28515625" style="83" customWidth="1"/>
    <col min="5" max="5" width="11.42578125" style="83" customWidth="1"/>
    <col min="6" max="6" width="7.7109375" style="83" customWidth="1"/>
    <col min="7" max="7" width="11.42578125" style="83" customWidth="1"/>
    <col min="8" max="8" width="7.5703125" style="83" customWidth="1"/>
    <col min="9" max="9" width="10.28515625" style="83" customWidth="1"/>
    <col min="10" max="16384" width="11.42578125" style="83"/>
  </cols>
  <sheetData>
    <row r="2" spans="1:9">
      <c r="A2" s="82" t="s">
        <v>99</v>
      </c>
      <c r="B2" s="82"/>
      <c r="C2" s="82"/>
      <c r="D2" s="82"/>
      <c r="E2" s="82"/>
      <c r="F2" s="82"/>
      <c r="G2" s="82"/>
      <c r="H2" s="82"/>
      <c r="I2" s="82"/>
    </row>
    <row r="3" spans="1:9">
      <c r="A3" s="82"/>
      <c r="B3" s="82"/>
      <c r="C3" s="82"/>
      <c r="D3" s="82"/>
      <c r="E3" s="82"/>
      <c r="F3" s="82"/>
      <c r="G3" s="82"/>
      <c r="H3" s="82"/>
      <c r="I3" s="82"/>
    </row>
    <row r="4" spans="1:9">
      <c r="B4" s="84" t="s">
        <v>100</v>
      </c>
      <c r="C4" s="85">
        <f>G24</f>
        <v>0.26807476177445072</v>
      </c>
      <c r="D4" s="82"/>
      <c r="E4" s="82"/>
      <c r="F4" s="82"/>
      <c r="G4" s="82"/>
      <c r="H4" s="82"/>
      <c r="I4" s="82"/>
    </row>
    <row r="5" spans="1:9">
      <c r="A5" s="86"/>
      <c r="B5" s="86"/>
      <c r="C5" s="86"/>
      <c r="D5" s="86"/>
      <c r="E5" s="86"/>
      <c r="F5" s="86"/>
      <c r="G5" s="86"/>
      <c r="H5" s="86"/>
      <c r="I5" s="86"/>
    </row>
    <row r="6" spans="1:9">
      <c r="A6" s="86"/>
      <c r="B6" s="86"/>
      <c r="C6" s="86"/>
      <c r="D6" s="86"/>
      <c r="E6" s="86"/>
      <c r="F6" s="86"/>
      <c r="G6" s="86"/>
      <c r="H6" s="86"/>
      <c r="I6" s="86"/>
    </row>
    <row r="7" spans="1:9">
      <c r="A7" s="160">
        <v>0</v>
      </c>
      <c r="B7" s="160"/>
      <c r="C7" s="161" t="s">
        <v>4</v>
      </c>
      <c r="D7" s="161"/>
      <c r="E7" s="161" t="s">
        <v>5</v>
      </c>
      <c r="F7" s="161"/>
      <c r="G7" s="161" t="s">
        <v>8</v>
      </c>
      <c r="H7" s="161"/>
      <c r="I7" s="16"/>
    </row>
    <row r="8" spans="1:9">
      <c r="A8" s="86"/>
      <c r="B8" s="87"/>
      <c r="C8" s="88"/>
      <c r="D8" s="87"/>
      <c r="E8" s="88"/>
      <c r="F8" s="87"/>
      <c r="G8" s="88"/>
      <c r="H8" s="89"/>
      <c r="I8" s="16"/>
    </row>
    <row r="9" spans="1:9">
      <c r="A9" s="86"/>
      <c r="B9" s="89"/>
      <c r="D9" s="89"/>
      <c r="F9" s="89"/>
      <c r="G9" s="86"/>
      <c r="H9" s="89"/>
      <c r="I9" s="16"/>
    </row>
    <row r="10" spans="1:9">
      <c r="A10" s="162">
        <f>-('Flujo Efectivo'!N8+'Flujo Efectivo'!N11+'Flujo Efectivo'!AA11+'Flujo Efectivo'!AB11)</f>
        <v>-9000000</v>
      </c>
      <c r="B10" s="162"/>
      <c r="C10" s="162">
        <f>'Flujo Efectivo'!N52</f>
        <v>447247.08333333302</v>
      </c>
      <c r="D10" s="162"/>
      <c r="E10" s="162">
        <f>'Flujo Efectivo'!AA52</f>
        <v>4403829.166666667</v>
      </c>
      <c r="F10" s="162"/>
      <c r="G10" s="162">
        <f>'Flujo Efectivo'!AB52</f>
        <v>12048169.166666666</v>
      </c>
      <c r="H10" s="162"/>
      <c r="I10" s="16"/>
    </row>
    <row r="11" spans="1:9">
      <c r="A11" s="86"/>
      <c r="B11" s="86"/>
      <c r="C11" s="165" t="s">
        <v>93</v>
      </c>
      <c r="D11" s="165"/>
      <c r="E11" s="165" t="s">
        <v>94</v>
      </c>
      <c r="F11" s="165"/>
      <c r="G11" s="165" t="s">
        <v>95</v>
      </c>
      <c r="H11" s="165"/>
      <c r="I11" s="16"/>
    </row>
    <row r="12" spans="1:9">
      <c r="A12" s="86"/>
      <c r="B12" s="86"/>
      <c r="C12" s="86"/>
      <c r="D12" s="90"/>
      <c r="E12" s="91"/>
      <c r="F12" s="86"/>
      <c r="G12" s="86"/>
      <c r="H12" s="86"/>
      <c r="I12" s="86"/>
    </row>
    <row r="13" spans="1:9">
      <c r="A13" s="86"/>
      <c r="B13" s="86"/>
      <c r="C13" s="86"/>
      <c r="D13" s="91"/>
      <c r="E13" s="92">
        <f>C4</f>
        <v>0.26807476177445072</v>
      </c>
      <c r="F13" s="86"/>
      <c r="G13" s="86"/>
      <c r="H13" s="86"/>
      <c r="I13" s="93"/>
    </row>
    <row r="14" spans="1:9">
      <c r="A14" s="86"/>
      <c r="B14" s="94" t="s">
        <v>102</v>
      </c>
      <c r="C14" s="95">
        <f>A10</f>
        <v>-9000000</v>
      </c>
      <c r="D14" s="96" t="s">
        <v>97</v>
      </c>
      <c r="E14" s="97">
        <f>C10</f>
        <v>447247.08333333302</v>
      </c>
      <c r="F14" s="98" t="s">
        <v>98</v>
      </c>
      <c r="G14" s="97">
        <f>E10</f>
        <v>4403829.166666667</v>
      </c>
      <c r="H14" s="99" t="s">
        <v>97</v>
      </c>
      <c r="I14" s="97">
        <f>G10</f>
        <v>12048169.166666666</v>
      </c>
    </row>
    <row r="15" spans="1:9">
      <c r="A15" s="86"/>
      <c r="B15" s="94"/>
      <c r="C15" s="86"/>
      <c r="D15" s="86"/>
      <c r="E15" s="100">
        <f>(1+E13)^1</f>
        <v>1.2680747617744508</v>
      </c>
      <c r="F15" s="100"/>
      <c r="G15" s="100">
        <f>(1+E13)^2</f>
        <v>1.60801360144933</v>
      </c>
      <c r="H15" s="100"/>
      <c r="I15" s="100">
        <f>(1+E13)^3</f>
        <v>2.0390814645879356</v>
      </c>
    </row>
    <row r="16" spans="1:9">
      <c r="A16" s="86"/>
      <c r="B16" s="94"/>
      <c r="C16" s="86"/>
      <c r="D16" s="86"/>
      <c r="E16" s="96"/>
      <c r="F16" s="96"/>
      <c r="G16" s="96"/>
      <c r="H16" s="96"/>
      <c r="I16" s="86"/>
    </row>
    <row r="17" spans="1:9">
      <c r="A17" s="86"/>
      <c r="B17" s="94"/>
      <c r="C17" s="86"/>
      <c r="D17" s="86"/>
      <c r="E17" s="96"/>
      <c r="F17" s="96"/>
      <c r="G17" s="96"/>
      <c r="H17" s="96"/>
      <c r="I17" s="86"/>
    </row>
    <row r="18" spans="1:9">
      <c r="A18" s="86"/>
      <c r="B18" s="94" t="str">
        <f>B14</f>
        <v xml:space="preserve">VPN = </v>
      </c>
      <c r="C18" s="95">
        <f>C14</f>
        <v>-9000000</v>
      </c>
      <c r="D18" s="96" t="str">
        <f>D14</f>
        <v xml:space="preserve"> +</v>
      </c>
      <c r="E18" s="99">
        <f>E14/E15</f>
        <v>352697.72478358314</v>
      </c>
      <c r="F18" s="99" t="str">
        <f>F14</f>
        <v>+</v>
      </c>
      <c r="G18" s="99">
        <f>G14/G15</f>
        <v>2738676.565109537</v>
      </c>
      <c r="H18" s="96" t="s">
        <v>97</v>
      </c>
      <c r="I18" s="99">
        <f>I14/I15</f>
        <v>5908625.7101068795</v>
      </c>
    </row>
    <row r="19" spans="1:9">
      <c r="A19" s="86"/>
      <c r="B19" s="94"/>
      <c r="C19" s="86"/>
      <c r="D19" s="96"/>
      <c r="E19" s="96"/>
      <c r="F19" s="96"/>
      <c r="G19" s="96"/>
      <c r="H19" s="86"/>
      <c r="I19" s="86"/>
    </row>
    <row r="20" spans="1:9">
      <c r="A20" s="86"/>
      <c r="B20" s="94"/>
      <c r="C20" s="86"/>
      <c r="D20" s="96"/>
      <c r="E20" s="96"/>
      <c r="F20" s="96"/>
      <c r="G20" s="96"/>
      <c r="H20" s="86"/>
      <c r="I20" s="86"/>
    </row>
    <row r="21" spans="1:9">
      <c r="A21" s="86"/>
      <c r="B21" s="94" t="str">
        <f>B18</f>
        <v xml:space="preserve">VPN = </v>
      </c>
      <c r="C21" s="95">
        <f>C18</f>
        <v>-9000000</v>
      </c>
      <c r="D21" s="96" t="str">
        <f>D18</f>
        <v xml:space="preserve"> +</v>
      </c>
      <c r="E21" s="101">
        <f>+E18+G18+I18</f>
        <v>9000000</v>
      </c>
      <c r="F21" s="96"/>
      <c r="G21" s="96"/>
      <c r="H21" s="86"/>
      <c r="I21" s="86"/>
    </row>
    <row r="22" spans="1:9">
      <c r="A22" s="86"/>
      <c r="B22" s="94"/>
      <c r="C22" s="86"/>
      <c r="D22" s="96"/>
      <c r="E22" s="96"/>
      <c r="F22" s="96"/>
      <c r="G22" s="96"/>
      <c r="H22" s="102"/>
      <c r="I22" s="96"/>
    </row>
    <row r="23" spans="1:9">
      <c r="A23" s="86"/>
      <c r="B23" s="94"/>
      <c r="C23" s="86"/>
      <c r="D23" s="96"/>
      <c r="E23" s="96"/>
      <c r="F23" s="96"/>
      <c r="G23" s="96"/>
      <c r="H23" s="96"/>
      <c r="I23" s="96"/>
    </row>
    <row r="24" spans="1:9">
      <c r="A24" s="86"/>
      <c r="B24" s="94" t="str">
        <f>B21</f>
        <v xml:space="preserve">VPN = </v>
      </c>
      <c r="C24" s="114">
        <f>C21+E21</f>
        <v>0</v>
      </c>
      <c r="D24" s="96"/>
      <c r="E24" s="99"/>
      <c r="F24" s="115" t="s">
        <v>101</v>
      </c>
      <c r="G24" s="116">
        <f>IRR(A10:H10)</f>
        <v>0.26807476177445072</v>
      </c>
      <c r="H24" s="103"/>
      <c r="I24" s="104"/>
    </row>
    <row r="25" spans="1:9">
      <c r="A25" s="86"/>
      <c r="B25" s="94"/>
      <c r="C25" s="105"/>
      <c r="D25" s="96"/>
      <c r="E25" s="105"/>
      <c r="F25" s="96"/>
      <c r="G25" s="105"/>
      <c r="H25" s="96"/>
      <c r="I25" s="86"/>
    </row>
    <row r="26" spans="1:9">
      <c r="A26" s="86"/>
      <c r="B26" s="86"/>
      <c r="C26" s="86"/>
      <c r="D26" s="96"/>
      <c r="E26" s="106"/>
      <c r="H26" s="86"/>
    </row>
    <row r="27" spans="1:9">
      <c r="A27" s="86"/>
      <c r="B27" s="86"/>
      <c r="C27" s="86"/>
      <c r="D27" s="86"/>
      <c r="E27" s="106"/>
      <c r="F27" s="86"/>
      <c r="H27" s="86"/>
      <c r="I27" s="86"/>
    </row>
  </sheetData>
  <mergeCells count="11">
    <mergeCell ref="A7:B7"/>
    <mergeCell ref="C7:D7"/>
    <mergeCell ref="A10:B10"/>
    <mergeCell ref="C10:D10"/>
    <mergeCell ref="G10:H10"/>
    <mergeCell ref="E11:F11"/>
    <mergeCell ref="G7:H7"/>
    <mergeCell ref="G11:H11"/>
    <mergeCell ref="C11:D11"/>
    <mergeCell ref="E7:F7"/>
    <mergeCell ref="E10:F10"/>
  </mergeCells>
  <phoneticPr fontId="21" type="noConversion"/>
  <pageMargins left="0.7" right="0.7" top="0.75" bottom="0.75" header="0.3" footer="0.3"/>
  <pageSetup paperSize="9" orientation="portrait" horizontalDpi="0" verticalDpi="0" r:id="rId1"/>
  <headerFooter alignWithMargins="0"/>
  <ignoredErrors>
    <ignoredError sqref="C19:C20 E18:F18" formula="1"/>
  </ignoredErrors>
  <drawing r:id="rId2"/>
</worksheet>
</file>

<file path=xl/worksheets/sheet2.xml><?xml version="1.0" encoding="utf-8"?>
<worksheet xmlns="http://schemas.openxmlformats.org/spreadsheetml/2006/main" xmlns:r="http://schemas.openxmlformats.org/officeDocument/2006/relationships">
  <dimension ref="A2:AG90"/>
  <sheetViews>
    <sheetView tabSelected="1" workbookViewId="0">
      <pane xSplit="1" ySplit="3" topLeftCell="B4" activePane="bottomRight" state="frozen"/>
      <selection pane="topRight" activeCell="B1" sqref="B1"/>
      <selection pane="bottomLeft" activeCell="A4" sqref="A4"/>
      <selection pane="bottomRight" activeCell="AE22" sqref="AE22"/>
    </sheetView>
  </sheetViews>
  <sheetFormatPr baseColWidth="10" defaultRowHeight="12.75"/>
  <cols>
    <col min="1" max="1" width="17.140625" style="16" customWidth="1"/>
    <col min="2" max="3" width="11.42578125" style="16"/>
    <col min="4" max="4" width="14" style="16" customWidth="1"/>
    <col min="5" max="5" width="14.7109375" style="16" customWidth="1"/>
    <col min="6" max="30" width="11.42578125" style="16"/>
    <col min="31" max="31" width="14" style="16" customWidth="1"/>
    <col min="32" max="16384" width="11.42578125" style="16"/>
  </cols>
  <sheetData>
    <row r="2" spans="1:33">
      <c r="A2" s="17" t="s">
        <v>124</v>
      </c>
    </row>
    <row r="6" spans="1:33">
      <c r="A6" s="18" t="s">
        <v>9</v>
      </c>
      <c r="C6" s="152" t="s">
        <v>7</v>
      </c>
      <c r="D6" s="152"/>
      <c r="E6" s="152"/>
      <c r="F6" s="152"/>
      <c r="G6" s="152"/>
      <c r="H6" s="152"/>
      <c r="I6" s="152"/>
      <c r="J6" s="152"/>
      <c r="K6" s="152"/>
      <c r="L6" s="152"/>
      <c r="M6" s="152"/>
      <c r="N6" s="152"/>
      <c r="O6" s="19" t="s">
        <v>4</v>
      </c>
      <c r="P6" s="20" t="s">
        <v>5</v>
      </c>
      <c r="Q6" s="152" t="s">
        <v>6</v>
      </c>
      <c r="R6" s="152"/>
      <c r="S6" s="152"/>
      <c r="T6" s="152"/>
      <c r="U6" s="152"/>
      <c r="V6" s="152"/>
      <c r="W6" s="152"/>
      <c r="X6" s="152"/>
      <c r="Y6" s="152"/>
      <c r="Z6" s="152"/>
      <c r="AA6" s="152"/>
      <c r="AB6" s="152"/>
      <c r="AC6" s="19" t="s">
        <v>5</v>
      </c>
      <c r="AD6" s="20"/>
      <c r="AE6" s="19" t="s">
        <v>8</v>
      </c>
      <c r="AG6" s="20"/>
    </row>
    <row r="7" spans="1:33">
      <c r="C7" s="19">
        <v>1</v>
      </c>
      <c r="D7" s="19">
        <v>2</v>
      </c>
      <c r="E7" s="19">
        <v>3</v>
      </c>
      <c r="F7" s="19">
        <v>4</v>
      </c>
      <c r="G7" s="19">
        <v>5</v>
      </c>
      <c r="H7" s="19">
        <v>6</v>
      </c>
      <c r="I7" s="19">
        <v>7</v>
      </c>
      <c r="J7" s="19">
        <v>8</v>
      </c>
      <c r="K7" s="19">
        <v>9</v>
      </c>
      <c r="L7" s="19">
        <v>10</v>
      </c>
      <c r="M7" s="19">
        <v>11</v>
      </c>
      <c r="N7" s="19">
        <v>12</v>
      </c>
      <c r="O7" s="19" t="s">
        <v>3</v>
      </c>
      <c r="P7" s="20"/>
      <c r="Q7" s="19">
        <v>1</v>
      </c>
      <c r="R7" s="19">
        <v>2</v>
      </c>
      <c r="S7" s="19">
        <v>3</v>
      </c>
      <c r="T7" s="19">
        <v>4</v>
      </c>
      <c r="U7" s="19">
        <v>5</v>
      </c>
      <c r="V7" s="19">
        <v>6</v>
      </c>
      <c r="W7" s="19">
        <v>7</v>
      </c>
      <c r="X7" s="19">
        <v>8</v>
      </c>
      <c r="Y7" s="19">
        <v>9</v>
      </c>
      <c r="Z7" s="19">
        <v>10</v>
      </c>
      <c r="AA7" s="19">
        <v>11</v>
      </c>
      <c r="AB7" s="19">
        <v>12</v>
      </c>
      <c r="AC7" s="19" t="s">
        <v>3</v>
      </c>
      <c r="AD7" s="20"/>
      <c r="AE7" s="19" t="s">
        <v>12</v>
      </c>
    </row>
    <row r="9" spans="1:33">
      <c r="A9" s="16" t="s">
        <v>191</v>
      </c>
      <c r="C9" s="21">
        <v>0</v>
      </c>
      <c r="D9" s="21">
        <v>2</v>
      </c>
      <c r="E9" s="21">
        <v>2</v>
      </c>
      <c r="F9" s="21">
        <v>2</v>
      </c>
      <c r="G9" s="21">
        <v>2</v>
      </c>
      <c r="H9" s="21">
        <v>15</v>
      </c>
      <c r="I9" s="21">
        <v>1</v>
      </c>
      <c r="J9" s="21">
        <v>1</v>
      </c>
      <c r="K9" s="21">
        <v>1</v>
      </c>
      <c r="L9" s="21">
        <v>1</v>
      </c>
      <c r="M9" s="21">
        <v>1</v>
      </c>
      <c r="N9" s="21">
        <v>10</v>
      </c>
      <c r="O9" s="22">
        <f t="shared" ref="O9:O15" si="0">SUM(C9:N9)</f>
        <v>38</v>
      </c>
      <c r="Q9" s="21">
        <v>1</v>
      </c>
      <c r="R9" s="21">
        <v>1</v>
      </c>
      <c r="S9" s="21">
        <v>1</v>
      </c>
      <c r="T9" s="21">
        <v>1</v>
      </c>
      <c r="U9" s="21">
        <v>1</v>
      </c>
      <c r="V9" s="21">
        <v>20</v>
      </c>
      <c r="W9" s="21">
        <v>1</v>
      </c>
      <c r="X9" s="21">
        <v>1</v>
      </c>
      <c r="Y9" s="21">
        <v>1</v>
      </c>
      <c r="Z9" s="21">
        <v>1</v>
      </c>
      <c r="AA9" s="21">
        <v>1</v>
      </c>
      <c r="AB9" s="21">
        <v>20</v>
      </c>
      <c r="AC9" s="22">
        <f>SUM(Q9:AB9)</f>
        <v>50</v>
      </c>
      <c r="AD9" s="23"/>
      <c r="AE9" s="121">
        <v>100</v>
      </c>
    </row>
    <row r="10" spans="1:33">
      <c r="A10" s="16" t="s">
        <v>192</v>
      </c>
      <c r="C10" s="21">
        <v>0</v>
      </c>
      <c r="D10" s="21">
        <v>0</v>
      </c>
      <c r="E10" s="21">
        <v>0</v>
      </c>
      <c r="F10" s="21">
        <v>1</v>
      </c>
      <c r="G10" s="21">
        <v>1</v>
      </c>
      <c r="H10" s="21">
        <v>1</v>
      </c>
      <c r="I10" s="21">
        <v>1</v>
      </c>
      <c r="J10" s="21">
        <v>1</v>
      </c>
      <c r="K10" s="21">
        <v>1</v>
      </c>
      <c r="L10" s="21">
        <v>0</v>
      </c>
      <c r="M10" s="21">
        <v>0</v>
      </c>
      <c r="N10" s="21">
        <v>1</v>
      </c>
      <c r="O10" s="22">
        <f t="shared" si="0"/>
        <v>7</v>
      </c>
      <c r="Q10" s="21">
        <v>1</v>
      </c>
      <c r="R10" s="21">
        <v>1</v>
      </c>
      <c r="S10" s="21">
        <v>1</v>
      </c>
      <c r="T10" s="21">
        <v>2</v>
      </c>
      <c r="U10" s="21">
        <v>2</v>
      </c>
      <c r="V10" s="21">
        <v>2</v>
      </c>
      <c r="W10" s="21">
        <v>2</v>
      </c>
      <c r="X10" s="21">
        <v>2</v>
      </c>
      <c r="Y10" s="21">
        <v>2</v>
      </c>
      <c r="Z10" s="21">
        <v>2</v>
      </c>
      <c r="AA10" s="21">
        <v>2</v>
      </c>
      <c r="AB10" s="21">
        <v>2</v>
      </c>
      <c r="AC10" s="22">
        <f t="shared" ref="AC10:AC15" si="1">SUM(Q10:AB10)</f>
        <v>21</v>
      </c>
      <c r="AD10" s="23"/>
      <c r="AE10" s="121">
        <v>35</v>
      </c>
    </row>
    <row r="11" spans="1:33">
      <c r="A11" s="16" t="s">
        <v>193</v>
      </c>
      <c r="C11" s="21">
        <v>0</v>
      </c>
      <c r="D11" s="21">
        <v>1</v>
      </c>
      <c r="E11" s="21">
        <v>1</v>
      </c>
      <c r="F11" s="21">
        <v>1</v>
      </c>
      <c r="G11" s="21">
        <v>1</v>
      </c>
      <c r="H11" s="21">
        <v>1</v>
      </c>
      <c r="I11" s="21">
        <v>1</v>
      </c>
      <c r="J11" s="21">
        <v>1</v>
      </c>
      <c r="K11" s="21">
        <v>1</v>
      </c>
      <c r="L11" s="21">
        <v>1</v>
      </c>
      <c r="M11" s="21">
        <v>1</v>
      </c>
      <c r="N11" s="21">
        <v>1</v>
      </c>
      <c r="O11" s="22">
        <f t="shared" si="0"/>
        <v>11</v>
      </c>
      <c r="Q11" s="21">
        <v>1</v>
      </c>
      <c r="R11" s="21">
        <v>1</v>
      </c>
      <c r="S11" s="21">
        <v>1</v>
      </c>
      <c r="T11" s="21">
        <v>1</v>
      </c>
      <c r="U11" s="21">
        <v>3</v>
      </c>
      <c r="V11" s="21">
        <v>3</v>
      </c>
      <c r="W11" s="21">
        <v>3</v>
      </c>
      <c r="X11" s="21">
        <v>3</v>
      </c>
      <c r="Y11" s="21">
        <v>3</v>
      </c>
      <c r="Z11" s="21">
        <v>3</v>
      </c>
      <c r="AA11" s="21">
        <v>3</v>
      </c>
      <c r="AB11" s="21">
        <v>3</v>
      </c>
      <c r="AC11" s="22">
        <f t="shared" si="1"/>
        <v>28</v>
      </c>
      <c r="AD11" s="23"/>
      <c r="AE11" s="121">
        <v>40</v>
      </c>
    </row>
    <row r="12" spans="1:33">
      <c r="A12" s="16" t="s">
        <v>194</v>
      </c>
      <c r="C12" s="21">
        <v>0</v>
      </c>
      <c r="D12" s="21">
        <v>0</v>
      </c>
      <c r="E12" s="21">
        <v>0</v>
      </c>
      <c r="F12" s="21">
        <v>0</v>
      </c>
      <c r="G12" s="21">
        <v>0</v>
      </c>
      <c r="H12" s="21">
        <v>0</v>
      </c>
      <c r="I12" s="21">
        <v>0</v>
      </c>
      <c r="J12" s="21">
        <v>0</v>
      </c>
      <c r="K12" s="21">
        <v>0</v>
      </c>
      <c r="L12" s="21">
        <v>1</v>
      </c>
      <c r="M12" s="21">
        <v>1</v>
      </c>
      <c r="N12" s="21">
        <v>1</v>
      </c>
      <c r="O12" s="22">
        <f t="shared" si="0"/>
        <v>3</v>
      </c>
      <c r="Q12" s="21">
        <v>2</v>
      </c>
      <c r="R12" s="21">
        <v>2</v>
      </c>
      <c r="S12" s="21">
        <v>2</v>
      </c>
      <c r="T12" s="21">
        <v>2</v>
      </c>
      <c r="U12" s="21">
        <v>2</v>
      </c>
      <c r="V12" s="21">
        <v>2</v>
      </c>
      <c r="W12" s="21">
        <v>2</v>
      </c>
      <c r="X12" s="21">
        <v>2</v>
      </c>
      <c r="Y12" s="21">
        <v>2</v>
      </c>
      <c r="Z12" s="21">
        <v>2</v>
      </c>
      <c r="AA12" s="21">
        <v>2</v>
      </c>
      <c r="AB12" s="21">
        <v>2</v>
      </c>
      <c r="AC12" s="22">
        <f t="shared" si="1"/>
        <v>24</v>
      </c>
      <c r="AD12" s="23"/>
      <c r="AE12" s="121">
        <v>30</v>
      </c>
    </row>
    <row r="13" spans="1:33">
      <c r="A13" s="16" t="s">
        <v>195</v>
      </c>
      <c r="C13" s="21">
        <v>0</v>
      </c>
      <c r="D13" s="21">
        <v>0</v>
      </c>
      <c r="E13" s="21">
        <v>0</v>
      </c>
      <c r="F13" s="21">
        <v>0</v>
      </c>
      <c r="G13" s="21">
        <v>0</v>
      </c>
      <c r="H13" s="21">
        <v>0</v>
      </c>
      <c r="I13" s="21">
        <v>0</v>
      </c>
      <c r="J13" s="21">
        <v>0</v>
      </c>
      <c r="K13" s="21">
        <v>0</v>
      </c>
      <c r="L13" s="21">
        <v>5</v>
      </c>
      <c r="M13" s="21">
        <v>5</v>
      </c>
      <c r="N13" s="21">
        <v>5</v>
      </c>
      <c r="O13" s="22">
        <f t="shared" si="0"/>
        <v>15</v>
      </c>
      <c r="Q13" s="21">
        <v>5</v>
      </c>
      <c r="R13" s="21">
        <v>5</v>
      </c>
      <c r="S13" s="21">
        <v>5</v>
      </c>
      <c r="T13" s="21">
        <v>5</v>
      </c>
      <c r="U13" s="21">
        <v>5</v>
      </c>
      <c r="V13" s="21">
        <v>5</v>
      </c>
      <c r="W13" s="21">
        <v>5</v>
      </c>
      <c r="X13" s="21">
        <v>5</v>
      </c>
      <c r="Y13" s="21">
        <v>5</v>
      </c>
      <c r="Z13" s="21">
        <v>5</v>
      </c>
      <c r="AA13" s="21">
        <v>5</v>
      </c>
      <c r="AB13" s="21">
        <v>5</v>
      </c>
      <c r="AC13" s="22">
        <f t="shared" si="1"/>
        <v>60</v>
      </c>
      <c r="AD13" s="23"/>
      <c r="AE13" s="121">
        <v>60</v>
      </c>
    </row>
    <row r="14" spans="1:33">
      <c r="A14" s="16" t="s">
        <v>196</v>
      </c>
      <c r="C14" s="21">
        <v>0</v>
      </c>
      <c r="D14" s="121">
        <f>750*D9+750*D10</f>
        <v>1500</v>
      </c>
      <c r="E14" s="121">
        <f t="shared" ref="E14:N14" si="2">750*E9+750*E10</f>
        <v>1500</v>
      </c>
      <c r="F14" s="121">
        <f t="shared" si="2"/>
        <v>2250</v>
      </c>
      <c r="G14" s="121">
        <f t="shared" si="2"/>
        <v>2250</v>
      </c>
      <c r="H14" s="121">
        <f t="shared" si="2"/>
        <v>12000</v>
      </c>
      <c r="I14" s="121">
        <f t="shared" si="2"/>
        <v>1500</v>
      </c>
      <c r="J14" s="121">
        <f t="shared" si="2"/>
        <v>1500</v>
      </c>
      <c r="K14" s="121">
        <f t="shared" si="2"/>
        <v>1500</v>
      </c>
      <c r="L14" s="121">
        <f t="shared" si="2"/>
        <v>750</v>
      </c>
      <c r="M14" s="121">
        <f t="shared" si="2"/>
        <v>750</v>
      </c>
      <c r="N14" s="121">
        <f t="shared" si="2"/>
        <v>8250</v>
      </c>
      <c r="O14" s="22">
        <f t="shared" si="0"/>
        <v>33750</v>
      </c>
      <c r="Q14" s="121">
        <f>1000*Q9+500*Q10</f>
        <v>1500</v>
      </c>
      <c r="R14" s="121">
        <f>750*R9+750*R10</f>
        <v>1500</v>
      </c>
      <c r="S14" s="121">
        <f t="shared" ref="S14:AB14" si="3">750*S9+750*S10</f>
        <v>1500</v>
      </c>
      <c r="T14" s="121">
        <f t="shared" si="3"/>
        <v>2250</v>
      </c>
      <c r="U14" s="121">
        <f t="shared" si="3"/>
        <v>2250</v>
      </c>
      <c r="V14" s="121">
        <f t="shared" si="3"/>
        <v>16500</v>
      </c>
      <c r="W14" s="121">
        <f t="shared" si="3"/>
        <v>2250</v>
      </c>
      <c r="X14" s="121">
        <f t="shared" si="3"/>
        <v>2250</v>
      </c>
      <c r="Y14" s="121">
        <f t="shared" si="3"/>
        <v>2250</v>
      </c>
      <c r="Z14" s="121">
        <f t="shared" si="3"/>
        <v>2250</v>
      </c>
      <c r="AA14" s="121">
        <f t="shared" si="3"/>
        <v>2250</v>
      </c>
      <c r="AB14" s="121">
        <f t="shared" si="3"/>
        <v>16500</v>
      </c>
      <c r="AC14" s="24">
        <f>SUM(Q14:AB14)+O14</f>
        <v>87000</v>
      </c>
      <c r="AD14" s="23"/>
      <c r="AE14" s="121">
        <f>(750*AE9+750*AE10)+AC14</f>
        <v>188250</v>
      </c>
    </row>
    <row r="15" spans="1:33">
      <c r="A15" s="16" t="s">
        <v>0</v>
      </c>
      <c r="C15" s="21"/>
      <c r="D15" s="21"/>
      <c r="E15" s="21"/>
      <c r="F15" s="21"/>
      <c r="G15" s="21"/>
      <c r="H15" s="21"/>
      <c r="I15" s="21"/>
      <c r="J15" s="21"/>
      <c r="K15" s="21"/>
      <c r="L15" s="21"/>
      <c r="M15" s="21"/>
      <c r="N15" s="21"/>
      <c r="O15" s="22">
        <f t="shared" si="0"/>
        <v>0</v>
      </c>
      <c r="Q15" s="21"/>
      <c r="R15" s="21"/>
      <c r="S15" s="21"/>
      <c r="T15" s="21"/>
      <c r="U15" s="21"/>
      <c r="V15" s="21"/>
      <c r="W15" s="21"/>
      <c r="X15" s="21"/>
      <c r="Y15" s="21"/>
      <c r="Z15" s="21"/>
      <c r="AA15" s="21"/>
      <c r="AB15" s="21"/>
      <c r="AC15" s="22">
        <f t="shared" si="1"/>
        <v>0</v>
      </c>
      <c r="AD15" s="23"/>
      <c r="AE15" s="121">
        <v>0</v>
      </c>
    </row>
    <row r="16" spans="1:33">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6"/>
    </row>
    <row r="17" spans="1:31">
      <c r="B17" s="16" t="s">
        <v>204</v>
      </c>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t="s">
        <v>203</v>
      </c>
      <c r="AC17" s="151">
        <v>2.63</v>
      </c>
      <c r="AD17" s="25"/>
      <c r="AE17" s="26">
        <v>216</v>
      </c>
    </row>
    <row r="18" spans="1:31">
      <c r="AE18" s="27"/>
    </row>
    <row r="19" spans="1:31" s="28" customFormat="1">
      <c r="A19" s="28" t="s">
        <v>3</v>
      </c>
      <c r="C19" s="29">
        <f>SUM(C9:C18)</f>
        <v>0</v>
      </c>
      <c r="D19" s="29">
        <f t="shared" ref="D19:N19" si="4">SUM(D9:D18)</f>
        <v>1503</v>
      </c>
      <c r="E19" s="29">
        <f t="shared" si="4"/>
        <v>1503</v>
      </c>
      <c r="F19" s="29">
        <f t="shared" si="4"/>
        <v>2254</v>
      </c>
      <c r="G19" s="29">
        <f t="shared" si="4"/>
        <v>2254</v>
      </c>
      <c r="H19" s="29">
        <f t="shared" si="4"/>
        <v>12017</v>
      </c>
      <c r="I19" s="29">
        <f t="shared" si="4"/>
        <v>1503</v>
      </c>
      <c r="J19" s="29">
        <f t="shared" si="4"/>
        <v>1503</v>
      </c>
      <c r="K19" s="29">
        <f t="shared" si="4"/>
        <v>1503</v>
      </c>
      <c r="L19" s="29">
        <f t="shared" si="4"/>
        <v>758</v>
      </c>
      <c r="M19" s="29">
        <f t="shared" si="4"/>
        <v>758</v>
      </c>
      <c r="N19" s="29">
        <f t="shared" si="4"/>
        <v>8268</v>
      </c>
      <c r="O19" s="29">
        <f>SUM(C19:N19)</f>
        <v>33824</v>
      </c>
      <c r="Q19" s="29">
        <f t="shared" ref="Q19:AB19" si="5">SUM(Q9:Q18)</f>
        <v>1510</v>
      </c>
      <c r="R19" s="29">
        <f t="shared" si="5"/>
        <v>1510</v>
      </c>
      <c r="S19" s="29">
        <f t="shared" si="5"/>
        <v>1510</v>
      </c>
      <c r="T19" s="29">
        <f t="shared" si="5"/>
        <v>2261</v>
      </c>
      <c r="U19" s="29">
        <f t="shared" si="5"/>
        <v>2263</v>
      </c>
      <c r="V19" s="29">
        <f t="shared" si="5"/>
        <v>16532</v>
      </c>
      <c r="W19" s="29">
        <f t="shared" si="5"/>
        <v>2263</v>
      </c>
      <c r="X19" s="29">
        <f t="shared" si="5"/>
        <v>2263</v>
      </c>
      <c r="Y19" s="29">
        <f t="shared" si="5"/>
        <v>2263</v>
      </c>
      <c r="Z19" s="29">
        <f t="shared" si="5"/>
        <v>2263</v>
      </c>
      <c r="AA19" s="29">
        <f t="shared" si="5"/>
        <v>2263</v>
      </c>
      <c r="AB19" s="29">
        <f t="shared" si="5"/>
        <v>16532</v>
      </c>
      <c r="AC19" s="29">
        <f>SUM(Q19:AB19)</f>
        <v>53433</v>
      </c>
      <c r="AE19" s="30">
        <f>SUM(AE9:AE18)</f>
        <v>188731</v>
      </c>
    </row>
    <row r="24" spans="1:31">
      <c r="B24" s="21"/>
      <c r="C24" s="152" t="s">
        <v>7</v>
      </c>
      <c r="D24" s="152"/>
      <c r="E24" s="152"/>
      <c r="F24" s="152"/>
      <c r="G24" s="152"/>
      <c r="H24" s="152"/>
      <c r="I24" s="152"/>
      <c r="J24" s="152"/>
      <c r="K24" s="152"/>
      <c r="L24" s="152"/>
      <c r="M24" s="152"/>
      <c r="N24" s="152"/>
      <c r="O24" s="19" t="s">
        <v>4</v>
      </c>
      <c r="P24" s="31" t="s">
        <v>5</v>
      </c>
      <c r="Q24" s="152" t="s">
        <v>6</v>
      </c>
      <c r="R24" s="152"/>
      <c r="S24" s="152"/>
      <c r="T24" s="152"/>
      <c r="U24" s="152"/>
      <c r="V24" s="152"/>
      <c r="W24" s="152"/>
      <c r="X24" s="152"/>
      <c r="Y24" s="152"/>
      <c r="Z24" s="152"/>
      <c r="AA24" s="152"/>
      <c r="AB24" s="152"/>
      <c r="AC24" s="19" t="s">
        <v>5</v>
      </c>
      <c r="AD24" s="32" t="s">
        <v>8</v>
      </c>
      <c r="AE24" s="19" t="s">
        <v>8</v>
      </c>
    </row>
    <row r="25" spans="1:31">
      <c r="A25" s="18" t="s">
        <v>10</v>
      </c>
      <c r="B25" s="32" t="s">
        <v>2</v>
      </c>
      <c r="C25" s="19">
        <v>1</v>
      </c>
      <c r="D25" s="19">
        <v>2</v>
      </c>
      <c r="E25" s="19">
        <v>3</v>
      </c>
      <c r="F25" s="19">
        <v>4</v>
      </c>
      <c r="G25" s="19">
        <v>5</v>
      </c>
      <c r="H25" s="19">
        <v>6</v>
      </c>
      <c r="I25" s="19">
        <v>7</v>
      </c>
      <c r="J25" s="19">
        <v>8</v>
      </c>
      <c r="K25" s="19">
        <v>9</v>
      </c>
      <c r="L25" s="19">
        <v>10</v>
      </c>
      <c r="M25" s="19">
        <v>11</v>
      </c>
      <c r="N25" s="19">
        <v>12</v>
      </c>
      <c r="O25" s="19" t="s">
        <v>3</v>
      </c>
      <c r="P25" s="31" t="s">
        <v>2</v>
      </c>
      <c r="Q25" s="19">
        <v>1</v>
      </c>
      <c r="R25" s="19">
        <v>2</v>
      </c>
      <c r="S25" s="19">
        <v>3</v>
      </c>
      <c r="T25" s="19">
        <v>4</v>
      </c>
      <c r="U25" s="19">
        <v>5</v>
      </c>
      <c r="V25" s="19">
        <v>6</v>
      </c>
      <c r="W25" s="19">
        <v>7</v>
      </c>
      <c r="X25" s="19">
        <v>8</v>
      </c>
      <c r="Y25" s="19">
        <v>9</v>
      </c>
      <c r="Z25" s="19">
        <v>10</v>
      </c>
      <c r="AA25" s="19">
        <v>11</v>
      </c>
      <c r="AB25" s="19">
        <v>12</v>
      </c>
      <c r="AC25" s="19" t="s">
        <v>3</v>
      </c>
      <c r="AD25" s="32" t="s">
        <v>2</v>
      </c>
      <c r="AE25" s="19" t="s">
        <v>3</v>
      </c>
    </row>
    <row r="26" spans="1:31">
      <c r="B26" s="25"/>
      <c r="P26" s="25"/>
      <c r="AD26" s="25"/>
    </row>
    <row r="27" spans="1:31">
      <c r="A27" s="16" t="str">
        <f>A9</f>
        <v>cursa.me</v>
      </c>
      <c r="B27" s="33">
        <v>25000</v>
      </c>
      <c r="C27" s="34">
        <f>C9*$B27</f>
        <v>0</v>
      </c>
      <c r="D27" s="34">
        <f t="shared" ref="D27:N27" si="6">D9*$B27</f>
        <v>50000</v>
      </c>
      <c r="E27" s="34">
        <f t="shared" si="6"/>
        <v>50000</v>
      </c>
      <c r="F27" s="34">
        <f t="shared" si="6"/>
        <v>50000</v>
      </c>
      <c r="G27" s="34">
        <f t="shared" si="6"/>
        <v>50000</v>
      </c>
      <c r="H27" s="34">
        <f t="shared" si="6"/>
        <v>375000</v>
      </c>
      <c r="I27" s="34">
        <f t="shared" si="6"/>
        <v>25000</v>
      </c>
      <c r="J27" s="34">
        <f t="shared" si="6"/>
        <v>25000</v>
      </c>
      <c r="K27" s="34">
        <f t="shared" si="6"/>
        <v>25000</v>
      </c>
      <c r="L27" s="34">
        <f t="shared" si="6"/>
        <v>25000</v>
      </c>
      <c r="M27" s="34">
        <f t="shared" si="6"/>
        <v>25000</v>
      </c>
      <c r="N27" s="34">
        <f t="shared" si="6"/>
        <v>250000</v>
      </c>
      <c r="O27" s="34">
        <f t="shared" ref="O27:O33" si="7">SUM(C27:N27)</f>
        <v>950000</v>
      </c>
      <c r="P27" s="33">
        <v>26000</v>
      </c>
      <c r="Q27" s="34">
        <f>Q9*$P27</f>
        <v>26000</v>
      </c>
      <c r="R27" s="34">
        <f t="shared" ref="R27:AB27" si="8">R9*$P27</f>
        <v>26000</v>
      </c>
      <c r="S27" s="34">
        <f t="shared" si="8"/>
        <v>26000</v>
      </c>
      <c r="T27" s="34">
        <f t="shared" si="8"/>
        <v>26000</v>
      </c>
      <c r="U27" s="34">
        <f t="shared" si="8"/>
        <v>26000</v>
      </c>
      <c r="V27" s="34">
        <f t="shared" si="8"/>
        <v>520000</v>
      </c>
      <c r="W27" s="34">
        <f t="shared" si="8"/>
        <v>26000</v>
      </c>
      <c r="X27" s="34">
        <f t="shared" si="8"/>
        <v>26000</v>
      </c>
      <c r="Y27" s="34">
        <f t="shared" si="8"/>
        <v>26000</v>
      </c>
      <c r="Z27" s="34">
        <f t="shared" si="8"/>
        <v>26000</v>
      </c>
      <c r="AA27" s="34">
        <f t="shared" si="8"/>
        <v>26000</v>
      </c>
      <c r="AB27" s="34">
        <f t="shared" si="8"/>
        <v>520000</v>
      </c>
      <c r="AC27" s="34">
        <f>SUM(Q27:AB27)</f>
        <v>1300000</v>
      </c>
      <c r="AD27" s="33">
        <v>30000</v>
      </c>
      <c r="AE27" s="35">
        <f t="shared" ref="AE27:AE33" si="9">AE9*AD27</f>
        <v>3000000</v>
      </c>
    </row>
    <row r="28" spans="1:31">
      <c r="A28" s="16" t="str">
        <f t="shared" ref="A28:A33" si="10">A10</f>
        <v>cursa.me pro</v>
      </c>
      <c r="B28" s="33">
        <v>30000</v>
      </c>
      <c r="C28" s="34">
        <f>C10*$B28</f>
        <v>0</v>
      </c>
      <c r="D28" s="34">
        <f t="shared" ref="D28:N28" si="11">D10*$B28</f>
        <v>0</v>
      </c>
      <c r="E28" s="34">
        <f t="shared" si="11"/>
        <v>0</v>
      </c>
      <c r="F28" s="34">
        <f t="shared" si="11"/>
        <v>30000</v>
      </c>
      <c r="G28" s="34">
        <f t="shared" si="11"/>
        <v>30000</v>
      </c>
      <c r="H28" s="34">
        <f t="shared" si="11"/>
        <v>30000</v>
      </c>
      <c r="I28" s="34">
        <f t="shared" si="11"/>
        <v>30000</v>
      </c>
      <c r="J28" s="34">
        <f t="shared" si="11"/>
        <v>30000</v>
      </c>
      <c r="K28" s="34">
        <f t="shared" si="11"/>
        <v>30000</v>
      </c>
      <c r="L28" s="34">
        <f t="shared" si="11"/>
        <v>0</v>
      </c>
      <c r="M28" s="34">
        <f t="shared" si="11"/>
        <v>0</v>
      </c>
      <c r="N28" s="34">
        <f t="shared" si="11"/>
        <v>30000</v>
      </c>
      <c r="O28" s="34">
        <f t="shared" si="7"/>
        <v>210000</v>
      </c>
      <c r="P28" s="33">
        <v>35000</v>
      </c>
      <c r="Q28" s="34">
        <f t="shared" ref="Q28:AB28" si="12">Q10*$P28</f>
        <v>35000</v>
      </c>
      <c r="R28" s="34">
        <f t="shared" si="12"/>
        <v>35000</v>
      </c>
      <c r="S28" s="34">
        <f t="shared" si="12"/>
        <v>35000</v>
      </c>
      <c r="T28" s="34">
        <f t="shared" si="12"/>
        <v>70000</v>
      </c>
      <c r="U28" s="34">
        <f t="shared" si="12"/>
        <v>70000</v>
      </c>
      <c r="V28" s="34">
        <f t="shared" si="12"/>
        <v>70000</v>
      </c>
      <c r="W28" s="34">
        <f t="shared" si="12"/>
        <v>70000</v>
      </c>
      <c r="X28" s="34">
        <f t="shared" si="12"/>
        <v>70000</v>
      </c>
      <c r="Y28" s="34">
        <f t="shared" si="12"/>
        <v>70000</v>
      </c>
      <c r="Z28" s="34">
        <f t="shared" si="12"/>
        <v>70000</v>
      </c>
      <c r="AA28" s="34">
        <f t="shared" si="12"/>
        <v>70000</v>
      </c>
      <c r="AB28" s="34">
        <f t="shared" si="12"/>
        <v>70000</v>
      </c>
      <c r="AC28" s="34">
        <f t="shared" ref="AC28:AC33" si="13">SUM(Q28:AB28)</f>
        <v>735000</v>
      </c>
      <c r="AD28" s="33">
        <v>40000</v>
      </c>
      <c r="AE28" s="35">
        <f t="shared" si="9"/>
        <v>1400000</v>
      </c>
    </row>
    <row r="29" spans="1:31">
      <c r="A29" s="16" t="str">
        <f t="shared" si="10"/>
        <v>capacitaciones</v>
      </c>
      <c r="B29" s="33">
        <v>7000</v>
      </c>
      <c r="C29" s="34">
        <f t="shared" ref="C29:N33" si="14">C11*$B29</f>
        <v>0</v>
      </c>
      <c r="D29" s="34">
        <f t="shared" si="14"/>
        <v>7000</v>
      </c>
      <c r="E29" s="34">
        <f t="shared" si="14"/>
        <v>7000</v>
      </c>
      <c r="F29" s="34">
        <f t="shared" si="14"/>
        <v>7000</v>
      </c>
      <c r="G29" s="34">
        <f t="shared" si="14"/>
        <v>7000</v>
      </c>
      <c r="H29" s="34">
        <f t="shared" si="14"/>
        <v>7000</v>
      </c>
      <c r="I29" s="34">
        <f t="shared" si="14"/>
        <v>7000</v>
      </c>
      <c r="J29" s="34">
        <f t="shared" si="14"/>
        <v>7000</v>
      </c>
      <c r="K29" s="34">
        <f t="shared" si="14"/>
        <v>7000</v>
      </c>
      <c r="L29" s="34">
        <f t="shared" si="14"/>
        <v>7000</v>
      </c>
      <c r="M29" s="34">
        <f t="shared" si="14"/>
        <v>7000</v>
      </c>
      <c r="N29" s="34">
        <f t="shared" si="14"/>
        <v>7000</v>
      </c>
      <c r="O29" s="34">
        <f t="shared" si="7"/>
        <v>77000</v>
      </c>
      <c r="P29" s="33">
        <v>7000</v>
      </c>
      <c r="Q29" s="34">
        <f t="shared" ref="Q29:AB29" si="15">Q11*$P29</f>
        <v>7000</v>
      </c>
      <c r="R29" s="34">
        <f t="shared" si="15"/>
        <v>7000</v>
      </c>
      <c r="S29" s="34">
        <f t="shared" si="15"/>
        <v>7000</v>
      </c>
      <c r="T29" s="34">
        <f t="shared" si="15"/>
        <v>7000</v>
      </c>
      <c r="U29" s="34">
        <f t="shared" si="15"/>
        <v>21000</v>
      </c>
      <c r="V29" s="34">
        <f t="shared" si="15"/>
        <v>21000</v>
      </c>
      <c r="W29" s="34">
        <f t="shared" si="15"/>
        <v>21000</v>
      </c>
      <c r="X29" s="34">
        <f t="shared" si="15"/>
        <v>21000</v>
      </c>
      <c r="Y29" s="34">
        <f t="shared" si="15"/>
        <v>21000</v>
      </c>
      <c r="Z29" s="34">
        <f t="shared" si="15"/>
        <v>21000</v>
      </c>
      <c r="AA29" s="34">
        <f t="shared" si="15"/>
        <v>21000</v>
      </c>
      <c r="AB29" s="34">
        <f t="shared" si="15"/>
        <v>21000</v>
      </c>
      <c r="AC29" s="34">
        <f t="shared" si="13"/>
        <v>196000</v>
      </c>
      <c r="AD29" s="33">
        <v>9000</v>
      </c>
      <c r="AE29" s="35">
        <f t="shared" si="9"/>
        <v>360000</v>
      </c>
    </row>
    <row r="30" spans="1:31">
      <c r="A30" s="16" t="str">
        <f t="shared" si="10"/>
        <v>certificación ECCR</v>
      </c>
      <c r="B30" s="33">
        <v>75000</v>
      </c>
      <c r="C30" s="34">
        <f t="shared" si="14"/>
        <v>0</v>
      </c>
      <c r="D30" s="34">
        <f t="shared" si="14"/>
        <v>0</v>
      </c>
      <c r="E30" s="34">
        <f t="shared" si="14"/>
        <v>0</v>
      </c>
      <c r="F30" s="34">
        <f t="shared" si="14"/>
        <v>0</v>
      </c>
      <c r="G30" s="34">
        <f t="shared" si="14"/>
        <v>0</v>
      </c>
      <c r="H30" s="34">
        <f t="shared" si="14"/>
        <v>0</v>
      </c>
      <c r="I30" s="34">
        <f t="shared" si="14"/>
        <v>0</v>
      </c>
      <c r="J30" s="34">
        <f t="shared" si="14"/>
        <v>0</v>
      </c>
      <c r="K30" s="34">
        <f t="shared" si="14"/>
        <v>0</v>
      </c>
      <c r="L30" s="34">
        <f t="shared" si="14"/>
        <v>75000</v>
      </c>
      <c r="M30" s="34">
        <f t="shared" si="14"/>
        <v>75000</v>
      </c>
      <c r="N30" s="34">
        <f t="shared" si="14"/>
        <v>75000</v>
      </c>
      <c r="O30" s="34">
        <f t="shared" si="7"/>
        <v>225000</v>
      </c>
      <c r="P30" s="33">
        <v>80000</v>
      </c>
      <c r="Q30" s="34">
        <f t="shared" ref="Q30:AB30" si="16">Q12*$P30</f>
        <v>160000</v>
      </c>
      <c r="R30" s="34">
        <f t="shared" si="16"/>
        <v>160000</v>
      </c>
      <c r="S30" s="34">
        <f t="shared" si="16"/>
        <v>160000</v>
      </c>
      <c r="T30" s="34">
        <f t="shared" si="16"/>
        <v>160000</v>
      </c>
      <c r="U30" s="34">
        <f t="shared" si="16"/>
        <v>160000</v>
      </c>
      <c r="V30" s="34">
        <f t="shared" si="16"/>
        <v>160000</v>
      </c>
      <c r="W30" s="34">
        <f t="shared" si="16"/>
        <v>160000</v>
      </c>
      <c r="X30" s="34">
        <f t="shared" si="16"/>
        <v>160000</v>
      </c>
      <c r="Y30" s="34">
        <f t="shared" si="16"/>
        <v>160000</v>
      </c>
      <c r="Z30" s="34">
        <f t="shared" si="16"/>
        <v>160000</v>
      </c>
      <c r="AA30" s="34">
        <f t="shared" si="16"/>
        <v>160000</v>
      </c>
      <c r="AB30" s="34">
        <f t="shared" si="16"/>
        <v>160000</v>
      </c>
      <c r="AC30" s="34">
        <f t="shared" si="13"/>
        <v>1920000</v>
      </c>
      <c r="AD30" s="33">
        <v>75000</v>
      </c>
      <c r="AE30" s="35">
        <f t="shared" si="9"/>
        <v>2250000</v>
      </c>
    </row>
    <row r="31" spans="1:31">
      <c r="A31" s="16" t="str">
        <f t="shared" si="10"/>
        <v>modelo ECCR</v>
      </c>
      <c r="B31" s="33">
        <v>5000</v>
      </c>
      <c r="C31" s="34">
        <f t="shared" si="14"/>
        <v>0</v>
      </c>
      <c r="D31" s="34">
        <f t="shared" si="14"/>
        <v>0</v>
      </c>
      <c r="E31" s="34">
        <f t="shared" si="14"/>
        <v>0</v>
      </c>
      <c r="F31" s="34">
        <f t="shared" si="14"/>
        <v>0</v>
      </c>
      <c r="G31" s="34">
        <f t="shared" si="14"/>
        <v>0</v>
      </c>
      <c r="H31" s="34">
        <f t="shared" si="14"/>
        <v>0</v>
      </c>
      <c r="I31" s="34">
        <f t="shared" si="14"/>
        <v>0</v>
      </c>
      <c r="J31" s="34">
        <f t="shared" si="14"/>
        <v>0</v>
      </c>
      <c r="K31" s="34">
        <f t="shared" si="14"/>
        <v>0</v>
      </c>
      <c r="L31" s="34">
        <f t="shared" si="14"/>
        <v>25000</v>
      </c>
      <c r="M31" s="34">
        <f t="shared" si="14"/>
        <v>25000</v>
      </c>
      <c r="N31" s="34">
        <f t="shared" si="14"/>
        <v>25000</v>
      </c>
      <c r="O31" s="34">
        <f t="shared" si="7"/>
        <v>75000</v>
      </c>
      <c r="P31" s="33">
        <v>7000</v>
      </c>
      <c r="Q31" s="34">
        <f t="shared" ref="Q31:AB31" si="17">Q13*$P31</f>
        <v>35000</v>
      </c>
      <c r="R31" s="34">
        <f t="shared" si="17"/>
        <v>35000</v>
      </c>
      <c r="S31" s="34">
        <f t="shared" si="17"/>
        <v>35000</v>
      </c>
      <c r="T31" s="34">
        <f t="shared" si="17"/>
        <v>35000</v>
      </c>
      <c r="U31" s="34">
        <f t="shared" si="17"/>
        <v>35000</v>
      </c>
      <c r="V31" s="34">
        <f t="shared" si="17"/>
        <v>35000</v>
      </c>
      <c r="W31" s="34">
        <f t="shared" si="17"/>
        <v>35000</v>
      </c>
      <c r="X31" s="34">
        <f t="shared" si="17"/>
        <v>35000</v>
      </c>
      <c r="Y31" s="34">
        <f t="shared" si="17"/>
        <v>35000</v>
      </c>
      <c r="Z31" s="34">
        <f t="shared" si="17"/>
        <v>35000</v>
      </c>
      <c r="AA31" s="34">
        <f t="shared" si="17"/>
        <v>35000</v>
      </c>
      <c r="AB31" s="34">
        <f t="shared" si="17"/>
        <v>35000</v>
      </c>
      <c r="AC31" s="34">
        <f t="shared" si="13"/>
        <v>420000</v>
      </c>
      <c r="AD31" s="33">
        <v>10000</v>
      </c>
      <c r="AE31" s="35">
        <f t="shared" si="9"/>
        <v>600000</v>
      </c>
    </row>
    <row r="32" spans="1:31">
      <c r="A32" s="16" t="s">
        <v>196</v>
      </c>
      <c r="B32" s="33">
        <v>35</v>
      </c>
      <c r="C32" s="34">
        <f t="shared" si="14"/>
        <v>0</v>
      </c>
      <c r="D32" s="34">
        <f t="shared" si="14"/>
        <v>52500</v>
      </c>
      <c r="E32" s="34">
        <f t="shared" si="14"/>
        <v>52500</v>
      </c>
      <c r="F32" s="34">
        <f t="shared" si="14"/>
        <v>78750</v>
      </c>
      <c r="G32" s="34">
        <f t="shared" si="14"/>
        <v>78750</v>
      </c>
      <c r="H32" s="34">
        <f t="shared" si="14"/>
        <v>420000</v>
      </c>
      <c r="I32" s="34">
        <f t="shared" si="14"/>
        <v>52500</v>
      </c>
      <c r="J32" s="34">
        <f t="shared" si="14"/>
        <v>52500</v>
      </c>
      <c r="K32" s="34">
        <f t="shared" si="14"/>
        <v>52500</v>
      </c>
      <c r="L32" s="34">
        <f t="shared" si="14"/>
        <v>26250</v>
      </c>
      <c r="M32" s="34">
        <f t="shared" si="14"/>
        <v>26250</v>
      </c>
      <c r="N32" s="34">
        <f t="shared" si="14"/>
        <v>288750</v>
      </c>
      <c r="O32" s="34">
        <f t="shared" si="7"/>
        <v>1181250</v>
      </c>
      <c r="P32" s="33">
        <v>35</v>
      </c>
      <c r="Q32" s="34">
        <f t="shared" ref="Q32:AB32" si="18">Q14*$P32</f>
        <v>52500</v>
      </c>
      <c r="R32" s="34">
        <f t="shared" si="18"/>
        <v>52500</v>
      </c>
      <c r="S32" s="34">
        <f t="shared" si="18"/>
        <v>52500</v>
      </c>
      <c r="T32" s="34">
        <f t="shared" si="18"/>
        <v>78750</v>
      </c>
      <c r="U32" s="34">
        <f t="shared" si="18"/>
        <v>78750</v>
      </c>
      <c r="V32" s="34">
        <f t="shared" si="18"/>
        <v>577500</v>
      </c>
      <c r="W32" s="34">
        <f t="shared" si="18"/>
        <v>78750</v>
      </c>
      <c r="X32" s="34">
        <f t="shared" si="18"/>
        <v>78750</v>
      </c>
      <c r="Y32" s="34">
        <f t="shared" si="18"/>
        <v>78750</v>
      </c>
      <c r="Z32" s="34">
        <f t="shared" si="18"/>
        <v>78750</v>
      </c>
      <c r="AA32" s="34">
        <f t="shared" si="18"/>
        <v>78750</v>
      </c>
      <c r="AB32" s="34">
        <f t="shared" si="18"/>
        <v>577500</v>
      </c>
      <c r="AC32" s="34">
        <f t="shared" si="13"/>
        <v>1863750</v>
      </c>
      <c r="AD32" s="33">
        <v>35</v>
      </c>
      <c r="AE32" s="35">
        <f t="shared" si="9"/>
        <v>6588750</v>
      </c>
    </row>
    <row r="33" spans="1:31">
      <c r="A33" s="16" t="str">
        <f t="shared" si="10"/>
        <v>Producto H</v>
      </c>
      <c r="B33" s="33">
        <v>0</v>
      </c>
      <c r="C33" s="34">
        <f t="shared" si="14"/>
        <v>0</v>
      </c>
      <c r="D33" s="34">
        <f>D15*$B33</f>
        <v>0</v>
      </c>
      <c r="E33" s="34">
        <f t="shared" ref="E33:N33" si="19">E15*$B33</f>
        <v>0</v>
      </c>
      <c r="F33" s="34">
        <f t="shared" si="19"/>
        <v>0</v>
      </c>
      <c r="G33" s="34">
        <f t="shared" si="19"/>
        <v>0</v>
      </c>
      <c r="H33" s="34">
        <f t="shared" si="19"/>
        <v>0</v>
      </c>
      <c r="I33" s="34">
        <f t="shared" si="19"/>
        <v>0</v>
      </c>
      <c r="J33" s="34">
        <f t="shared" si="19"/>
        <v>0</v>
      </c>
      <c r="K33" s="34">
        <f t="shared" si="19"/>
        <v>0</v>
      </c>
      <c r="L33" s="34">
        <f t="shared" si="19"/>
        <v>0</v>
      </c>
      <c r="M33" s="34">
        <f t="shared" si="19"/>
        <v>0</v>
      </c>
      <c r="N33" s="34">
        <f t="shared" si="19"/>
        <v>0</v>
      </c>
      <c r="O33" s="34">
        <f t="shared" si="7"/>
        <v>0</v>
      </c>
      <c r="P33" s="33">
        <v>0</v>
      </c>
      <c r="Q33" s="34">
        <f t="shared" ref="Q33:AB33" si="20">Q15*$P33</f>
        <v>0</v>
      </c>
      <c r="R33" s="34">
        <f t="shared" si="20"/>
        <v>0</v>
      </c>
      <c r="S33" s="34">
        <f t="shared" si="20"/>
        <v>0</v>
      </c>
      <c r="T33" s="34">
        <f t="shared" si="20"/>
        <v>0</v>
      </c>
      <c r="U33" s="34">
        <f t="shared" si="20"/>
        <v>0</v>
      </c>
      <c r="V33" s="34">
        <f t="shared" si="20"/>
        <v>0</v>
      </c>
      <c r="W33" s="34">
        <f t="shared" si="20"/>
        <v>0</v>
      </c>
      <c r="X33" s="34">
        <f t="shared" si="20"/>
        <v>0</v>
      </c>
      <c r="Y33" s="34">
        <f t="shared" si="20"/>
        <v>0</v>
      </c>
      <c r="Z33" s="34">
        <f t="shared" si="20"/>
        <v>0</v>
      </c>
      <c r="AA33" s="34">
        <f t="shared" si="20"/>
        <v>0</v>
      </c>
      <c r="AB33" s="34">
        <f t="shared" si="20"/>
        <v>0</v>
      </c>
      <c r="AC33" s="34">
        <f t="shared" si="13"/>
        <v>0</v>
      </c>
      <c r="AD33" s="33">
        <v>0</v>
      </c>
      <c r="AE33" s="35">
        <f t="shared" si="9"/>
        <v>0</v>
      </c>
    </row>
    <row r="34" spans="1:31">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row>
    <row r="35" spans="1:31">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row>
    <row r="37" spans="1:31" s="28" customFormat="1">
      <c r="A37" s="28" t="s">
        <v>3</v>
      </c>
      <c r="C37" s="36">
        <f>SUM(C27:C36)</f>
        <v>0</v>
      </c>
      <c r="D37" s="36">
        <f t="shared" ref="D37:N37" si="21">SUM(D27:D36)</f>
        <v>109500</v>
      </c>
      <c r="E37" s="36">
        <f t="shared" si="21"/>
        <v>109500</v>
      </c>
      <c r="F37" s="36">
        <f t="shared" si="21"/>
        <v>165750</v>
      </c>
      <c r="G37" s="36">
        <f t="shared" si="21"/>
        <v>165750</v>
      </c>
      <c r="H37" s="36">
        <f t="shared" si="21"/>
        <v>832000</v>
      </c>
      <c r="I37" s="36">
        <f t="shared" si="21"/>
        <v>114500</v>
      </c>
      <c r="J37" s="36">
        <f t="shared" si="21"/>
        <v>114500</v>
      </c>
      <c r="K37" s="36">
        <f t="shared" si="21"/>
        <v>114500</v>
      </c>
      <c r="L37" s="36">
        <f t="shared" si="21"/>
        <v>158250</v>
      </c>
      <c r="M37" s="36">
        <f t="shared" si="21"/>
        <v>158250</v>
      </c>
      <c r="N37" s="36">
        <f t="shared" si="21"/>
        <v>675750</v>
      </c>
      <c r="O37" s="36">
        <f>SUM(C37:N37)</f>
        <v>2718250</v>
      </c>
      <c r="P37" s="37"/>
      <c r="Q37" s="36">
        <f t="shared" ref="Q37:AB37" si="22">SUM(Q27:Q36)</f>
        <v>315500</v>
      </c>
      <c r="R37" s="36">
        <f t="shared" si="22"/>
        <v>315500</v>
      </c>
      <c r="S37" s="36">
        <f t="shared" si="22"/>
        <v>315500</v>
      </c>
      <c r="T37" s="36">
        <f t="shared" si="22"/>
        <v>376750</v>
      </c>
      <c r="U37" s="36">
        <f t="shared" si="22"/>
        <v>390750</v>
      </c>
      <c r="V37" s="36">
        <f t="shared" si="22"/>
        <v>1383500</v>
      </c>
      <c r="W37" s="36">
        <f t="shared" si="22"/>
        <v>390750</v>
      </c>
      <c r="X37" s="36">
        <f t="shared" si="22"/>
        <v>390750</v>
      </c>
      <c r="Y37" s="36">
        <f t="shared" si="22"/>
        <v>390750</v>
      </c>
      <c r="Z37" s="36">
        <f t="shared" si="22"/>
        <v>390750</v>
      </c>
      <c r="AA37" s="36">
        <f t="shared" si="22"/>
        <v>390750</v>
      </c>
      <c r="AB37" s="36">
        <f t="shared" si="22"/>
        <v>1383500</v>
      </c>
      <c r="AC37" s="36">
        <f>SUM(Q37:AB37)</f>
        <v>6434750</v>
      </c>
      <c r="AE37" s="36">
        <f>SUM(AE27:AE36)</f>
        <v>14198750</v>
      </c>
    </row>
    <row r="40" spans="1:31">
      <c r="A40" s="38" t="s">
        <v>20</v>
      </c>
      <c r="C40" s="33">
        <v>0</v>
      </c>
      <c r="D40" s="33">
        <v>7000</v>
      </c>
      <c r="E40" s="33">
        <v>7000</v>
      </c>
      <c r="F40" s="33">
        <v>7000</v>
      </c>
      <c r="G40" s="33">
        <v>7000</v>
      </c>
      <c r="H40" s="33">
        <v>7000</v>
      </c>
      <c r="I40" s="33">
        <v>7000</v>
      </c>
      <c r="J40" s="33">
        <v>7000</v>
      </c>
      <c r="K40" s="33">
        <v>7000</v>
      </c>
      <c r="L40" s="33">
        <v>7000</v>
      </c>
      <c r="M40" s="33">
        <v>7000</v>
      </c>
      <c r="N40" s="33">
        <v>7000</v>
      </c>
      <c r="O40" s="34">
        <f>SUM(C40:N40)</f>
        <v>77000</v>
      </c>
      <c r="P40" s="39"/>
      <c r="Q40" s="33">
        <v>20000</v>
      </c>
      <c r="R40" s="33">
        <v>20000</v>
      </c>
      <c r="S40" s="33">
        <v>20000</v>
      </c>
      <c r="T40" s="33">
        <v>20000</v>
      </c>
      <c r="U40" s="33">
        <v>20000</v>
      </c>
      <c r="V40" s="33">
        <v>20000</v>
      </c>
      <c r="W40" s="33">
        <v>20000</v>
      </c>
      <c r="X40" s="33">
        <v>20000</v>
      </c>
      <c r="Y40" s="33">
        <v>20000</v>
      </c>
      <c r="Z40" s="33">
        <v>20000</v>
      </c>
      <c r="AA40" s="33">
        <v>20000</v>
      </c>
      <c r="AB40" s="33">
        <v>20000</v>
      </c>
      <c r="AC40" s="34">
        <f>SUM(Q40:AB40)</f>
        <v>240000</v>
      </c>
      <c r="AE40" s="33">
        <v>300000</v>
      </c>
    </row>
    <row r="41" spans="1:31">
      <c r="AE41" s="40"/>
    </row>
    <row r="42" spans="1:31">
      <c r="A42" s="38" t="s">
        <v>21</v>
      </c>
      <c r="C42" s="33"/>
      <c r="D42" s="33"/>
      <c r="E42" s="33"/>
      <c r="F42" s="33"/>
      <c r="G42" s="33"/>
      <c r="H42" s="33"/>
      <c r="I42" s="33"/>
      <c r="J42" s="33"/>
      <c r="K42" s="33"/>
      <c r="L42" s="33"/>
      <c r="M42" s="33"/>
      <c r="N42" s="33"/>
      <c r="O42" s="34">
        <f>SUM(C42:N42)</f>
        <v>0</v>
      </c>
      <c r="P42" s="39"/>
      <c r="Q42" s="33"/>
      <c r="R42" s="33"/>
      <c r="S42" s="33"/>
      <c r="T42" s="33"/>
      <c r="U42" s="33"/>
      <c r="V42" s="33"/>
      <c r="W42" s="33"/>
      <c r="X42" s="33"/>
      <c r="Y42" s="33"/>
      <c r="Z42" s="33"/>
      <c r="AA42" s="33"/>
      <c r="AB42" s="33"/>
      <c r="AC42" s="34">
        <f>SUM(Q42:AB42)</f>
        <v>0</v>
      </c>
      <c r="AE42" s="33"/>
    </row>
    <row r="45" spans="1:31">
      <c r="A45" s="38" t="s">
        <v>22</v>
      </c>
      <c r="C45" s="34">
        <f>C37-(C40+C42)</f>
        <v>0</v>
      </c>
      <c r="D45" s="34">
        <f t="shared" ref="D45:N45" si="23">D37-(D40+D42)</f>
        <v>102500</v>
      </c>
      <c r="E45" s="34">
        <f t="shared" si="23"/>
        <v>102500</v>
      </c>
      <c r="F45" s="34">
        <f t="shared" si="23"/>
        <v>158750</v>
      </c>
      <c r="G45" s="34">
        <f t="shared" si="23"/>
        <v>158750</v>
      </c>
      <c r="H45" s="34">
        <f t="shared" si="23"/>
        <v>825000</v>
      </c>
      <c r="I45" s="34">
        <f t="shared" si="23"/>
        <v>107500</v>
      </c>
      <c r="J45" s="34">
        <f t="shared" si="23"/>
        <v>107500</v>
      </c>
      <c r="K45" s="34">
        <f t="shared" si="23"/>
        <v>107500</v>
      </c>
      <c r="L45" s="34">
        <f t="shared" si="23"/>
        <v>151250</v>
      </c>
      <c r="M45" s="34">
        <f t="shared" si="23"/>
        <v>151250</v>
      </c>
      <c r="N45" s="34">
        <f t="shared" si="23"/>
        <v>668750</v>
      </c>
      <c r="O45" s="34">
        <f>SUM(C45:N45)</f>
        <v>2641250</v>
      </c>
      <c r="Q45" s="34">
        <f t="shared" ref="Q45:AB45" si="24">Q37-(Q40+Q42)</f>
        <v>295500</v>
      </c>
      <c r="R45" s="34">
        <f t="shared" si="24"/>
        <v>295500</v>
      </c>
      <c r="S45" s="34">
        <f t="shared" si="24"/>
        <v>295500</v>
      </c>
      <c r="T45" s="34">
        <f t="shared" si="24"/>
        <v>356750</v>
      </c>
      <c r="U45" s="34">
        <f t="shared" si="24"/>
        <v>370750</v>
      </c>
      <c r="V45" s="34">
        <f t="shared" si="24"/>
        <v>1363500</v>
      </c>
      <c r="W45" s="34">
        <f t="shared" si="24"/>
        <v>370750</v>
      </c>
      <c r="X45" s="34">
        <f t="shared" si="24"/>
        <v>370750</v>
      </c>
      <c r="Y45" s="34">
        <f t="shared" si="24"/>
        <v>370750</v>
      </c>
      <c r="Z45" s="34">
        <f t="shared" si="24"/>
        <v>370750</v>
      </c>
      <c r="AA45" s="34">
        <f t="shared" si="24"/>
        <v>370750</v>
      </c>
      <c r="AB45" s="34">
        <f t="shared" si="24"/>
        <v>1363500</v>
      </c>
      <c r="AC45" s="34">
        <f>SUM(Q45:AB45)</f>
        <v>6194750</v>
      </c>
      <c r="AE45" s="34">
        <f>AE37-(AE40+AE42)</f>
        <v>13898750</v>
      </c>
    </row>
    <row r="52" spans="1:5">
      <c r="A52" s="17" t="s">
        <v>11</v>
      </c>
    </row>
    <row r="54" spans="1:5">
      <c r="A54" s="18" t="s">
        <v>9</v>
      </c>
    </row>
    <row r="55" spans="1:5">
      <c r="B55" s="19" t="s">
        <v>4</v>
      </c>
      <c r="C55" s="19" t="s">
        <v>5</v>
      </c>
      <c r="D55" s="19" t="s">
        <v>8</v>
      </c>
      <c r="E55" s="41" t="s">
        <v>3</v>
      </c>
    </row>
    <row r="56" spans="1:5">
      <c r="E56" s="28"/>
    </row>
    <row r="57" spans="1:5">
      <c r="A57" s="16" t="str">
        <f>A9</f>
        <v>cursa.me</v>
      </c>
      <c r="B57" s="22">
        <f t="shared" ref="B57:B63" si="25">O9</f>
        <v>38</v>
      </c>
      <c r="C57" s="22">
        <f t="shared" ref="C57:C63" si="26">AC9</f>
        <v>50</v>
      </c>
      <c r="D57" s="24">
        <f t="shared" ref="D57:D63" si="27">AE9</f>
        <v>100</v>
      </c>
      <c r="E57" s="30">
        <f>SUM(B57:D57)</f>
        <v>188</v>
      </c>
    </row>
    <row r="58" spans="1:5">
      <c r="A58" s="16" t="str">
        <f t="shared" ref="A58:A63" si="28">A10</f>
        <v>cursa.me pro</v>
      </c>
      <c r="B58" s="22">
        <f t="shared" si="25"/>
        <v>7</v>
      </c>
      <c r="C58" s="22">
        <f t="shared" si="26"/>
        <v>21</v>
      </c>
      <c r="D58" s="24">
        <f t="shared" si="27"/>
        <v>35</v>
      </c>
      <c r="E58" s="30">
        <f t="shared" ref="E58:E63" si="29">SUM(B58:D58)</f>
        <v>63</v>
      </c>
    </row>
    <row r="59" spans="1:5">
      <c r="A59" s="16" t="str">
        <f t="shared" si="28"/>
        <v>capacitaciones</v>
      </c>
      <c r="B59" s="22">
        <f t="shared" si="25"/>
        <v>11</v>
      </c>
      <c r="C59" s="22">
        <f t="shared" si="26"/>
        <v>28</v>
      </c>
      <c r="D59" s="24">
        <f t="shared" si="27"/>
        <v>40</v>
      </c>
      <c r="E59" s="30">
        <f t="shared" si="29"/>
        <v>79</v>
      </c>
    </row>
    <row r="60" spans="1:5">
      <c r="A60" s="16" t="str">
        <f t="shared" si="28"/>
        <v>certificación ECCR</v>
      </c>
      <c r="B60" s="22">
        <f t="shared" si="25"/>
        <v>3</v>
      </c>
      <c r="C60" s="22">
        <f t="shared" si="26"/>
        <v>24</v>
      </c>
      <c r="D60" s="24">
        <f t="shared" si="27"/>
        <v>30</v>
      </c>
      <c r="E60" s="30">
        <f t="shared" si="29"/>
        <v>57</v>
      </c>
    </row>
    <row r="61" spans="1:5">
      <c r="A61" s="16" t="str">
        <f t="shared" si="28"/>
        <v>modelo ECCR</v>
      </c>
      <c r="B61" s="22">
        <f t="shared" si="25"/>
        <v>15</v>
      </c>
      <c r="C61" s="22">
        <f t="shared" si="26"/>
        <v>60</v>
      </c>
      <c r="D61" s="24">
        <f t="shared" si="27"/>
        <v>60</v>
      </c>
      <c r="E61" s="30">
        <f t="shared" si="29"/>
        <v>135</v>
      </c>
    </row>
    <row r="62" spans="1:5">
      <c r="A62" s="16" t="str">
        <f t="shared" si="28"/>
        <v>renta por usuario</v>
      </c>
      <c r="B62" s="22">
        <f t="shared" si="25"/>
        <v>33750</v>
      </c>
      <c r="C62" s="22">
        <f t="shared" si="26"/>
        <v>87000</v>
      </c>
      <c r="D62" s="24">
        <f t="shared" si="27"/>
        <v>188250</v>
      </c>
      <c r="E62" s="30">
        <f t="shared" si="29"/>
        <v>309000</v>
      </c>
    </row>
    <row r="63" spans="1:5">
      <c r="A63" s="16" t="str">
        <f t="shared" si="28"/>
        <v>Producto H</v>
      </c>
      <c r="B63" s="22">
        <f t="shared" si="25"/>
        <v>0</v>
      </c>
      <c r="C63" s="22">
        <f t="shared" si="26"/>
        <v>0</v>
      </c>
      <c r="D63" s="24">
        <f t="shared" si="27"/>
        <v>0</v>
      </c>
      <c r="E63" s="30">
        <f t="shared" si="29"/>
        <v>0</v>
      </c>
    </row>
    <row r="64" spans="1:5">
      <c r="A64" s="25"/>
      <c r="B64" s="25"/>
      <c r="C64" s="25"/>
      <c r="D64" s="25"/>
      <c r="E64" s="28"/>
    </row>
    <row r="65" spans="1:5">
      <c r="A65" s="25"/>
      <c r="B65" s="25"/>
      <c r="C65" s="25"/>
      <c r="D65" s="25"/>
      <c r="E65" s="28"/>
    </row>
    <row r="66" spans="1:5">
      <c r="A66" s="25"/>
      <c r="B66" s="25"/>
      <c r="C66" s="25"/>
      <c r="D66" s="25"/>
      <c r="E66" s="28"/>
    </row>
    <row r="67" spans="1:5" s="28" customFormat="1">
      <c r="A67" s="28" t="s">
        <v>3</v>
      </c>
      <c r="B67" s="29">
        <f>SUM(B57:B66)</f>
        <v>33824</v>
      </c>
      <c r="C67" s="29">
        <f>SUM(C57:C66)</f>
        <v>87183</v>
      </c>
      <c r="D67" s="30">
        <f>SUM(D57:D66)</f>
        <v>188515</v>
      </c>
      <c r="E67" s="30">
        <f>SUM(B67:D67)</f>
        <v>309522</v>
      </c>
    </row>
    <row r="71" spans="1:5">
      <c r="A71" s="18" t="s">
        <v>10</v>
      </c>
    </row>
    <row r="72" spans="1:5">
      <c r="B72" s="19" t="s">
        <v>4</v>
      </c>
      <c r="C72" s="19" t="s">
        <v>5</v>
      </c>
      <c r="D72" s="19" t="s">
        <v>8</v>
      </c>
      <c r="E72" s="41" t="s">
        <v>3</v>
      </c>
    </row>
    <row r="74" spans="1:5">
      <c r="A74" s="16" t="str">
        <f>A9</f>
        <v>cursa.me</v>
      </c>
      <c r="B74" s="34">
        <f>O27</f>
        <v>950000</v>
      </c>
      <c r="C74" s="34">
        <f>AC27</f>
        <v>1300000</v>
      </c>
      <c r="D74" s="34">
        <f>AE27</f>
        <v>3000000</v>
      </c>
      <c r="E74" s="36">
        <f>SUM(B74:D74)</f>
        <v>5250000</v>
      </c>
    </row>
    <row r="75" spans="1:5">
      <c r="A75" s="16" t="str">
        <f t="shared" ref="A75:A80" si="30">A10</f>
        <v>cursa.me pro</v>
      </c>
      <c r="B75" s="34">
        <f t="shared" ref="B75:B80" si="31">O28</f>
        <v>210000</v>
      </c>
      <c r="C75" s="34">
        <f t="shared" ref="C75:C80" si="32">AC28</f>
        <v>735000</v>
      </c>
      <c r="D75" s="34">
        <f t="shared" ref="D75:D80" si="33">AE28</f>
        <v>1400000</v>
      </c>
      <c r="E75" s="36">
        <f t="shared" ref="E75:E80" si="34">SUM(B75:D75)</f>
        <v>2345000</v>
      </c>
    </row>
    <row r="76" spans="1:5">
      <c r="A76" s="16" t="str">
        <f t="shared" si="30"/>
        <v>capacitaciones</v>
      </c>
      <c r="B76" s="34">
        <f t="shared" si="31"/>
        <v>77000</v>
      </c>
      <c r="C76" s="34">
        <f t="shared" si="32"/>
        <v>196000</v>
      </c>
      <c r="D76" s="34">
        <f t="shared" si="33"/>
        <v>360000</v>
      </c>
      <c r="E76" s="36">
        <f t="shared" si="34"/>
        <v>633000</v>
      </c>
    </row>
    <row r="77" spans="1:5">
      <c r="A77" s="16" t="str">
        <f t="shared" si="30"/>
        <v>certificación ECCR</v>
      </c>
      <c r="B77" s="34">
        <f t="shared" si="31"/>
        <v>225000</v>
      </c>
      <c r="C77" s="34">
        <f t="shared" si="32"/>
        <v>1920000</v>
      </c>
      <c r="D77" s="34">
        <f t="shared" si="33"/>
        <v>2250000</v>
      </c>
      <c r="E77" s="36">
        <f t="shared" si="34"/>
        <v>4395000</v>
      </c>
    </row>
    <row r="78" spans="1:5">
      <c r="A78" s="16" t="str">
        <f t="shared" si="30"/>
        <v>modelo ECCR</v>
      </c>
      <c r="B78" s="34">
        <f t="shared" si="31"/>
        <v>75000</v>
      </c>
      <c r="C78" s="34">
        <f t="shared" si="32"/>
        <v>420000</v>
      </c>
      <c r="D78" s="34">
        <f t="shared" si="33"/>
        <v>600000</v>
      </c>
      <c r="E78" s="36">
        <f t="shared" si="34"/>
        <v>1095000</v>
      </c>
    </row>
    <row r="79" spans="1:5">
      <c r="A79" s="16" t="str">
        <f t="shared" si="30"/>
        <v>renta por usuario</v>
      </c>
      <c r="B79" s="34">
        <f t="shared" si="31"/>
        <v>1181250</v>
      </c>
      <c r="C79" s="34">
        <f t="shared" si="32"/>
        <v>1863750</v>
      </c>
      <c r="D79" s="34">
        <f t="shared" si="33"/>
        <v>6588750</v>
      </c>
      <c r="E79" s="36">
        <f t="shared" si="34"/>
        <v>9633750</v>
      </c>
    </row>
    <row r="80" spans="1:5">
      <c r="A80" s="16" t="str">
        <f t="shared" si="30"/>
        <v>Producto H</v>
      </c>
      <c r="B80" s="34">
        <f t="shared" si="31"/>
        <v>0</v>
      </c>
      <c r="C80" s="34">
        <f t="shared" si="32"/>
        <v>0</v>
      </c>
      <c r="D80" s="34">
        <f t="shared" si="33"/>
        <v>0</v>
      </c>
      <c r="E80" s="36">
        <f t="shared" si="34"/>
        <v>0</v>
      </c>
    </row>
    <row r="81" spans="1:5">
      <c r="E81" s="28"/>
    </row>
    <row r="82" spans="1:5">
      <c r="E82" s="28"/>
    </row>
    <row r="83" spans="1:5">
      <c r="A83" s="16" t="s">
        <v>23</v>
      </c>
      <c r="B83" s="34">
        <f>SUM(B74:B82)</f>
        <v>2718250</v>
      </c>
      <c r="C83" s="34">
        <f>SUM(C74:C82)</f>
        <v>6434750</v>
      </c>
      <c r="D83" s="34">
        <f>SUM(D74:D82)</f>
        <v>14198750</v>
      </c>
      <c r="E83" s="36">
        <f>SUM(B83:D83)</f>
        <v>23351750</v>
      </c>
    </row>
    <row r="84" spans="1:5">
      <c r="E84" s="28"/>
    </row>
    <row r="85" spans="1:5">
      <c r="A85" s="42" t="s">
        <v>20</v>
      </c>
      <c r="B85" s="34">
        <f>O40</f>
        <v>77000</v>
      </c>
      <c r="C85" s="34">
        <f>AC40</f>
        <v>240000</v>
      </c>
      <c r="D85" s="34">
        <f>AE40</f>
        <v>300000</v>
      </c>
      <c r="E85" s="36">
        <f>SUM(B85:D85)</f>
        <v>617000</v>
      </c>
    </row>
    <row r="86" spans="1:5">
      <c r="E86" s="28"/>
    </row>
    <row r="87" spans="1:5">
      <c r="A87" s="42" t="s">
        <v>21</v>
      </c>
      <c r="B87" s="34">
        <f>O42</f>
        <v>0</v>
      </c>
      <c r="C87" s="34">
        <f>AC42</f>
        <v>0</v>
      </c>
      <c r="D87" s="34">
        <f>AE42</f>
        <v>0</v>
      </c>
      <c r="E87" s="36">
        <f>SUM(B87:D87)</f>
        <v>0</v>
      </c>
    </row>
    <row r="88" spans="1:5">
      <c r="E88" s="28"/>
    </row>
    <row r="89" spans="1:5">
      <c r="E89" s="28"/>
    </row>
    <row r="90" spans="1:5">
      <c r="A90" s="38" t="s">
        <v>22</v>
      </c>
      <c r="B90" s="36">
        <f>B83-(B85+B87)</f>
        <v>2641250</v>
      </c>
      <c r="C90" s="36">
        <f>C83-(C85+C87)</f>
        <v>6194750</v>
      </c>
      <c r="D90" s="36">
        <f>D83-(D85+D87)</f>
        <v>13898750</v>
      </c>
      <c r="E90" s="36">
        <f>SUM(B90:D90)</f>
        <v>22734750</v>
      </c>
    </row>
  </sheetData>
  <sheetProtection selectLockedCells="1"/>
  <mergeCells count="4">
    <mergeCell ref="C6:N6"/>
    <mergeCell ref="C24:N24"/>
    <mergeCell ref="Q6:AB6"/>
    <mergeCell ref="Q24:AB24"/>
  </mergeCells>
  <phoneticPr fontId="2" type="noConversion"/>
  <pageMargins left="0.75" right="0.75" top="1" bottom="1" header="0" footer="0"/>
  <pageSetup orientation="portrait" horizontalDpi="1200" verticalDpi="1200" r:id="rId1"/>
  <headerFooter alignWithMargins="0"/>
  <ignoredErrors>
    <ignoredError sqref="O19" formula="1"/>
  </ignoredErrors>
  <drawing r:id="rId2"/>
</worksheet>
</file>

<file path=xl/worksheets/sheet3.xml><?xml version="1.0" encoding="utf-8"?>
<worksheet xmlns="http://schemas.openxmlformats.org/spreadsheetml/2006/main" xmlns:r="http://schemas.openxmlformats.org/officeDocument/2006/relationships">
  <dimension ref="A2:AB63"/>
  <sheetViews>
    <sheetView workbookViewId="0">
      <pane xSplit="1" ySplit="6" topLeftCell="H7" activePane="bottomRight" state="frozen"/>
      <selection pane="topRight" activeCell="B1" sqref="B1"/>
      <selection pane="bottomLeft" activeCell="A5" sqref="A5"/>
      <selection pane="bottomRight" activeCell="H67" sqref="H67"/>
    </sheetView>
  </sheetViews>
  <sheetFormatPr baseColWidth="10" defaultRowHeight="12.75"/>
  <cols>
    <col min="1" max="1" width="48.42578125" style="16" customWidth="1"/>
    <col min="2" max="13" width="11.42578125" style="16"/>
    <col min="14" max="14" width="12.7109375" style="16" customWidth="1"/>
    <col min="15" max="26" width="11.42578125" style="16"/>
    <col min="27" max="27" width="12.5703125" style="16" customWidth="1"/>
    <col min="28" max="16384" width="11.42578125" style="16"/>
  </cols>
  <sheetData>
    <row r="2" spans="1:28">
      <c r="A2" s="16" t="s">
        <v>181</v>
      </c>
      <c r="B2" s="43"/>
    </row>
    <row r="4" spans="1:28">
      <c r="A4" s="17" t="s">
        <v>19</v>
      </c>
    </row>
    <row r="5" spans="1:28">
      <c r="B5" s="19"/>
      <c r="C5" s="19"/>
      <c r="D5" s="19"/>
      <c r="E5" s="19"/>
      <c r="F5" s="19"/>
      <c r="G5" s="19"/>
      <c r="H5" s="19"/>
      <c r="I5" s="19"/>
      <c r="J5" s="19"/>
      <c r="K5" s="19"/>
      <c r="L5" s="19"/>
      <c r="M5" s="19"/>
      <c r="N5" s="19" t="s">
        <v>4</v>
      </c>
      <c r="O5" s="44"/>
      <c r="P5" s="44"/>
      <c r="Q5" s="44"/>
      <c r="R5" s="44"/>
      <c r="S5" s="44"/>
      <c r="T5" s="44"/>
      <c r="U5" s="44"/>
      <c r="V5" s="44"/>
      <c r="W5" s="44"/>
      <c r="X5" s="44"/>
      <c r="Y5" s="44"/>
      <c r="Z5" s="44"/>
      <c r="AA5" s="19" t="s">
        <v>5</v>
      </c>
      <c r="AB5" s="19" t="s">
        <v>8</v>
      </c>
    </row>
    <row r="6" spans="1:28">
      <c r="B6" s="19">
        <v>1</v>
      </c>
      <c r="C6" s="19">
        <v>2</v>
      </c>
      <c r="D6" s="19">
        <v>3</v>
      </c>
      <c r="E6" s="19">
        <v>4</v>
      </c>
      <c r="F6" s="19">
        <v>5</v>
      </c>
      <c r="G6" s="19">
        <v>6</v>
      </c>
      <c r="H6" s="19">
        <v>7</v>
      </c>
      <c r="I6" s="19">
        <v>8</v>
      </c>
      <c r="J6" s="19">
        <v>9</v>
      </c>
      <c r="K6" s="19">
        <v>10</v>
      </c>
      <c r="L6" s="19">
        <v>11</v>
      </c>
      <c r="M6" s="19">
        <v>12</v>
      </c>
      <c r="N6" s="19" t="s">
        <v>1</v>
      </c>
      <c r="O6" s="19">
        <v>1</v>
      </c>
      <c r="P6" s="19">
        <v>2</v>
      </c>
      <c r="Q6" s="19">
        <v>3</v>
      </c>
      <c r="R6" s="19">
        <v>4</v>
      </c>
      <c r="S6" s="19">
        <v>5</v>
      </c>
      <c r="T6" s="19">
        <v>6</v>
      </c>
      <c r="U6" s="19">
        <v>7</v>
      </c>
      <c r="V6" s="19">
        <v>8</v>
      </c>
      <c r="W6" s="19">
        <v>9</v>
      </c>
      <c r="X6" s="19">
        <v>10</v>
      </c>
      <c r="Y6" s="19">
        <v>11</v>
      </c>
      <c r="Z6" s="19">
        <v>12</v>
      </c>
      <c r="AA6" s="19" t="s">
        <v>1</v>
      </c>
      <c r="AB6" s="44"/>
    </row>
    <row r="8" spans="1:28">
      <c r="A8" s="16" t="s">
        <v>15</v>
      </c>
      <c r="B8" s="35">
        <v>5000</v>
      </c>
      <c r="C8" s="35">
        <v>5000</v>
      </c>
      <c r="D8" s="35">
        <v>5000</v>
      </c>
      <c r="E8" s="35">
        <v>5000</v>
      </c>
      <c r="F8" s="35">
        <v>5000</v>
      </c>
      <c r="G8" s="35">
        <v>5000</v>
      </c>
      <c r="H8" s="35">
        <v>5000</v>
      </c>
      <c r="I8" s="35">
        <v>5000</v>
      </c>
      <c r="J8" s="35">
        <v>5000</v>
      </c>
      <c r="K8" s="35">
        <v>5000</v>
      </c>
      <c r="L8" s="35">
        <v>5000</v>
      </c>
      <c r="M8" s="35">
        <v>5000</v>
      </c>
      <c r="N8" s="35">
        <f>SUM(B8:M8)</f>
        <v>60000</v>
      </c>
      <c r="O8" s="35">
        <v>8000</v>
      </c>
      <c r="P8" s="35">
        <v>8000</v>
      </c>
      <c r="Q8" s="35">
        <v>8000</v>
      </c>
      <c r="R8" s="35">
        <v>8000</v>
      </c>
      <c r="S8" s="35">
        <v>8000</v>
      </c>
      <c r="T8" s="35">
        <v>8000</v>
      </c>
      <c r="U8" s="35">
        <v>8000</v>
      </c>
      <c r="V8" s="35">
        <v>8000</v>
      </c>
      <c r="W8" s="35">
        <v>8000</v>
      </c>
      <c r="X8" s="35">
        <v>8000</v>
      </c>
      <c r="Y8" s="35">
        <v>8000</v>
      </c>
      <c r="Z8" s="35">
        <v>8000</v>
      </c>
      <c r="AA8" s="35">
        <f>SUM(O8:Z8)</f>
        <v>96000</v>
      </c>
      <c r="AB8" s="35">
        <v>130000</v>
      </c>
    </row>
    <row r="9" spans="1:28">
      <c r="A9" s="16" t="s">
        <v>24</v>
      </c>
      <c r="B9" s="33">
        <v>40000</v>
      </c>
      <c r="C9" s="33">
        <v>40000</v>
      </c>
      <c r="D9" s="33">
        <v>40000</v>
      </c>
      <c r="E9" s="33">
        <v>40000</v>
      </c>
      <c r="F9" s="33">
        <v>40000</v>
      </c>
      <c r="G9" s="33">
        <v>40000</v>
      </c>
      <c r="H9" s="33">
        <v>40000</v>
      </c>
      <c r="I9" s="33">
        <v>40000</v>
      </c>
      <c r="J9" s="33">
        <v>40000</v>
      </c>
      <c r="K9" s="33">
        <v>40000</v>
      </c>
      <c r="L9" s="33">
        <v>40000</v>
      </c>
      <c r="M9" s="33">
        <v>40000</v>
      </c>
      <c r="N9" s="35">
        <f t="shared" ref="N9:N27" si="0">SUM(B9:M9)</f>
        <v>480000</v>
      </c>
      <c r="O9" s="33">
        <v>40000</v>
      </c>
      <c r="P9" s="33">
        <v>40000</v>
      </c>
      <c r="Q9" s="33">
        <v>40000</v>
      </c>
      <c r="R9" s="33">
        <v>40000</v>
      </c>
      <c r="S9" s="33">
        <v>40000</v>
      </c>
      <c r="T9" s="33">
        <v>40000</v>
      </c>
      <c r="U9" s="33">
        <v>40000</v>
      </c>
      <c r="V9" s="33">
        <v>40000</v>
      </c>
      <c r="W9" s="33">
        <v>40000</v>
      </c>
      <c r="X9" s="33">
        <v>40000</v>
      </c>
      <c r="Y9" s="33">
        <v>40000</v>
      </c>
      <c r="Z9" s="33">
        <v>40000</v>
      </c>
      <c r="AA9" s="35">
        <f t="shared" ref="AA9:AA27" si="1">SUM(O9:Z9)</f>
        <v>480000</v>
      </c>
      <c r="AB9" s="35">
        <v>480000</v>
      </c>
    </row>
    <row r="10" spans="1:28">
      <c r="A10" s="16" t="s">
        <v>25</v>
      </c>
      <c r="B10" s="33">
        <v>0</v>
      </c>
      <c r="C10" s="33">
        <v>0</v>
      </c>
      <c r="D10" s="33">
        <v>0</v>
      </c>
      <c r="E10" s="33">
        <v>0</v>
      </c>
      <c r="F10" s="33">
        <v>0</v>
      </c>
      <c r="G10" s="33">
        <v>0</v>
      </c>
      <c r="H10" s="33">
        <v>12000</v>
      </c>
      <c r="I10" s="33">
        <v>12000</v>
      </c>
      <c r="J10" s="33">
        <v>12000</v>
      </c>
      <c r="K10" s="33">
        <v>12000</v>
      </c>
      <c r="L10" s="33">
        <v>12000</v>
      </c>
      <c r="M10" s="33">
        <v>12000</v>
      </c>
      <c r="N10" s="35">
        <f t="shared" si="0"/>
        <v>72000</v>
      </c>
      <c r="O10" s="33">
        <v>16000</v>
      </c>
      <c r="P10" s="33">
        <v>16000</v>
      </c>
      <c r="Q10" s="33">
        <v>16000</v>
      </c>
      <c r="R10" s="33">
        <v>16000</v>
      </c>
      <c r="S10" s="33">
        <v>16000</v>
      </c>
      <c r="T10" s="33">
        <v>16000</v>
      </c>
      <c r="U10" s="33">
        <v>16000</v>
      </c>
      <c r="V10" s="33">
        <v>16000</v>
      </c>
      <c r="W10" s="33">
        <v>16000</v>
      </c>
      <c r="X10" s="33">
        <v>16000</v>
      </c>
      <c r="Y10" s="33">
        <v>16000</v>
      </c>
      <c r="Z10" s="33">
        <v>16000</v>
      </c>
      <c r="AA10" s="35">
        <f t="shared" si="1"/>
        <v>192000</v>
      </c>
      <c r="AB10" s="35">
        <f>20000*12</f>
        <v>240000</v>
      </c>
    </row>
    <row r="11" spans="1:28">
      <c r="A11" s="16" t="s">
        <v>26</v>
      </c>
      <c r="B11" s="33">
        <v>50000</v>
      </c>
      <c r="C11" s="33">
        <v>2000</v>
      </c>
      <c r="D11" s="33">
        <v>2000</v>
      </c>
      <c r="E11" s="33">
        <v>2000</v>
      </c>
      <c r="F11" s="33">
        <v>2000</v>
      </c>
      <c r="G11" s="33">
        <v>2000</v>
      </c>
      <c r="H11" s="33">
        <v>2000</v>
      </c>
      <c r="I11" s="33">
        <v>2000</v>
      </c>
      <c r="J11" s="33">
        <v>2000</v>
      </c>
      <c r="K11" s="33">
        <v>2000</v>
      </c>
      <c r="L11" s="33">
        <v>2000</v>
      </c>
      <c r="M11" s="33">
        <v>2000</v>
      </c>
      <c r="N11" s="35">
        <f t="shared" si="0"/>
        <v>72000</v>
      </c>
      <c r="O11" s="33">
        <v>10000</v>
      </c>
      <c r="P11" s="33">
        <v>2000</v>
      </c>
      <c r="Q11" s="33">
        <v>2000</v>
      </c>
      <c r="R11" s="33">
        <v>2000</v>
      </c>
      <c r="S11" s="33">
        <v>2000</v>
      </c>
      <c r="T11" s="33">
        <v>2000</v>
      </c>
      <c r="U11" s="33">
        <v>2000</v>
      </c>
      <c r="V11" s="33">
        <v>2000</v>
      </c>
      <c r="W11" s="33">
        <v>2000</v>
      </c>
      <c r="X11" s="33">
        <v>2000</v>
      </c>
      <c r="Y11" s="33">
        <v>2000</v>
      </c>
      <c r="Z11" s="33">
        <v>2000</v>
      </c>
      <c r="AA11" s="35">
        <f t="shared" si="1"/>
        <v>32000</v>
      </c>
      <c r="AB11" s="35">
        <v>32000</v>
      </c>
    </row>
    <row r="12" spans="1:28">
      <c r="A12" s="16" t="s">
        <v>27</v>
      </c>
      <c r="B12" s="33">
        <v>4000</v>
      </c>
      <c r="C12" s="33">
        <v>4000</v>
      </c>
      <c r="D12" s="33">
        <v>4000</v>
      </c>
      <c r="E12" s="33">
        <v>4000</v>
      </c>
      <c r="F12" s="33">
        <v>4000</v>
      </c>
      <c r="G12" s="33">
        <v>4000</v>
      </c>
      <c r="H12" s="33">
        <v>4000</v>
      </c>
      <c r="I12" s="33">
        <v>4000</v>
      </c>
      <c r="J12" s="33">
        <v>4000</v>
      </c>
      <c r="K12" s="33">
        <v>4000</v>
      </c>
      <c r="L12" s="33">
        <v>4000</v>
      </c>
      <c r="M12" s="33">
        <v>4000</v>
      </c>
      <c r="N12" s="35">
        <f t="shared" si="0"/>
        <v>48000</v>
      </c>
      <c r="O12" s="33">
        <v>4000</v>
      </c>
      <c r="P12" s="33">
        <v>4000</v>
      </c>
      <c r="Q12" s="33">
        <v>4000</v>
      </c>
      <c r="R12" s="33">
        <v>4000</v>
      </c>
      <c r="S12" s="33">
        <v>4000</v>
      </c>
      <c r="T12" s="33">
        <v>4000</v>
      </c>
      <c r="U12" s="33">
        <v>4000</v>
      </c>
      <c r="V12" s="33">
        <v>4000</v>
      </c>
      <c r="W12" s="33">
        <v>4000</v>
      </c>
      <c r="X12" s="33">
        <v>4000</v>
      </c>
      <c r="Y12" s="33">
        <v>4000</v>
      </c>
      <c r="Z12" s="33">
        <v>4000</v>
      </c>
      <c r="AA12" s="35">
        <f t="shared" si="1"/>
        <v>48000</v>
      </c>
      <c r="AB12" s="35">
        <v>48000</v>
      </c>
    </row>
    <row r="13" spans="1:28">
      <c r="A13" s="16" t="s">
        <v>18</v>
      </c>
      <c r="B13" s="33">
        <v>6000</v>
      </c>
      <c r="C13" s="33">
        <v>6000</v>
      </c>
      <c r="D13" s="33">
        <v>6000</v>
      </c>
      <c r="E13" s="33">
        <v>6000</v>
      </c>
      <c r="F13" s="33">
        <v>6000</v>
      </c>
      <c r="G13" s="33">
        <v>6000</v>
      </c>
      <c r="H13" s="33">
        <v>6000</v>
      </c>
      <c r="I13" s="33">
        <v>6000</v>
      </c>
      <c r="J13" s="33">
        <v>6000</v>
      </c>
      <c r="K13" s="33">
        <v>6000</v>
      </c>
      <c r="L13" s="33">
        <v>6000</v>
      </c>
      <c r="M13" s="33">
        <v>6000</v>
      </c>
      <c r="N13" s="35">
        <f t="shared" si="0"/>
        <v>72000</v>
      </c>
      <c r="O13" s="33">
        <v>6000</v>
      </c>
      <c r="P13" s="33">
        <v>6000</v>
      </c>
      <c r="Q13" s="33">
        <v>6000</v>
      </c>
      <c r="R13" s="33">
        <v>6000</v>
      </c>
      <c r="S13" s="33">
        <v>6000</v>
      </c>
      <c r="T13" s="33">
        <v>6000</v>
      </c>
      <c r="U13" s="33">
        <v>6000</v>
      </c>
      <c r="V13" s="33">
        <v>6000</v>
      </c>
      <c r="W13" s="33">
        <v>6000</v>
      </c>
      <c r="X13" s="33">
        <v>6000</v>
      </c>
      <c r="Y13" s="33">
        <v>6000</v>
      </c>
      <c r="Z13" s="33">
        <v>6000</v>
      </c>
      <c r="AA13" s="35">
        <f t="shared" si="1"/>
        <v>72000</v>
      </c>
      <c r="AB13" s="35">
        <v>72000</v>
      </c>
    </row>
    <row r="14" spans="1:28">
      <c r="A14" s="16" t="s">
        <v>28</v>
      </c>
      <c r="B14" s="33">
        <v>8000</v>
      </c>
      <c r="C14" s="33">
        <v>8000</v>
      </c>
      <c r="D14" s="33">
        <v>8000</v>
      </c>
      <c r="E14" s="33">
        <v>8000</v>
      </c>
      <c r="F14" s="33">
        <v>8000</v>
      </c>
      <c r="G14" s="33">
        <v>8000</v>
      </c>
      <c r="H14" s="33">
        <v>8000</v>
      </c>
      <c r="I14" s="33">
        <v>8000</v>
      </c>
      <c r="J14" s="33">
        <v>8000</v>
      </c>
      <c r="K14" s="33">
        <v>8000</v>
      </c>
      <c r="L14" s="33">
        <v>8000</v>
      </c>
      <c r="M14" s="33">
        <v>8000</v>
      </c>
      <c r="N14" s="35">
        <f t="shared" si="0"/>
        <v>96000</v>
      </c>
      <c r="O14" s="33">
        <v>8000</v>
      </c>
      <c r="P14" s="33">
        <v>8000</v>
      </c>
      <c r="Q14" s="33">
        <v>8000</v>
      </c>
      <c r="R14" s="33">
        <v>8000</v>
      </c>
      <c r="S14" s="33">
        <v>8000</v>
      </c>
      <c r="T14" s="33">
        <v>8000</v>
      </c>
      <c r="U14" s="33">
        <v>8000</v>
      </c>
      <c r="V14" s="33">
        <v>8000</v>
      </c>
      <c r="W14" s="33">
        <v>8000</v>
      </c>
      <c r="X14" s="33">
        <v>8000</v>
      </c>
      <c r="Y14" s="33">
        <v>8000</v>
      </c>
      <c r="Z14" s="33">
        <v>8000</v>
      </c>
      <c r="AA14" s="35">
        <f t="shared" si="1"/>
        <v>96000</v>
      </c>
      <c r="AB14" s="35">
        <v>96000</v>
      </c>
    </row>
    <row r="15" spans="1:28">
      <c r="A15" s="16" t="s">
        <v>29</v>
      </c>
      <c r="B15" s="33">
        <v>8000</v>
      </c>
      <c r="C15" s="33">
        <v>8000</v>
      </c>
      <c r="D15" s="33">
        <v>8000</v>
      </c>
      <c r="E15" s="33">
        <v>8000</v>
      </c>
      <c r="F15" s="33">
        <v>8000</v>
      </c>
      <c r="G15" s="33">
        <v>8000</v>
      </c>
      <c r="H15" s="33">
        <v>8000</v>
      </c>
      <c r="I15" s="33">
        <v>8000</v>
      </c>
      <c r="J15" s="33">
        <v>8000</v>
      </c>
      <c r="K15" s="33">
        <v>8000</v>
      </c>
      <c r="L15" s="33">
        <v>8000</v>
      </c>
      <c r="M15" s="33">
        <v>8000</v>
      </c>
      <c r="N15" s="35">
        <f t="shared" si="0"/>
        <v>96000</v>
      </c>
      <c r="O15" s="33">
        <v>8000</v>
      </c>
      <c r="P15" s="33">
        <v>8000</v>
      </c>
      <c r="Q15" s="33">
        <v>8000</v>
      </c>
      <c r="R15" s="33">
        <v>8000</v>
      </c>
      <c r="S15" s="33">
        <v>8000</v>
      </c>
      <c r="T15" s="33">
        <v>8000</v>
      </c>
      <c r="U15" s="33">
        <v>8000</v>
      </c>
      <c r="V15" s="33">
        <v>8000</v>
      </c>
      <c r="W15" s="33">
        <v>8000</v>
      </c>
      <c r="X15" s="33">
        <v>8000</v>
      </c>
      <c r="Y15" s="33">
        <v>8000</v>
      </c>
      <c r="Z15" s="33">
        <v>8000</v>
      </c>
      <c r="AA15" s="35">
        <f t="shared" si="1"/>
        <v>96000</v>
      </c>
      <c r="AB15" s="35">
        <v>96000</v>
      </c>
    </row>
    <row r="16" spans="1:28">
      <c r="A16" s="16" t="s">
        <v>30</v>
      </c>
      <c r="B16" s="33">
        <v>40</v>
      </c>
      <c r="C16" s="33">
        <v>40</v>
      </c>
      <c r="D16" s="33">
        <v>40</v>
      </c>
      <c r="E16" s="33">
        <v>40</v>
      </c>
      <c r="F16" s="33">
        <v>40</v>
      </c>
      <c r="G16" s="33">
        <v>40</v>
      </c>
      <c r="H16" s="33">
        <v>40</v>
      </c>
      <c r="I16" s="33">
        <v>40</v>
      </c>
      <c r="J16" s="33">
        <v>40</v>
      </c>
      <c r="K16" s="33">
        <v>40</v>
      </c>
      <c r="L16" s="33">
        <v>40</v>
      </c>
      <c r="M16" s="33">
        <v>40</v>
      </c>
      <c r="N16" s="35">
        <f t="shared" si="0"/>
        <v>480</v>
      </c>
      <c r="O16" s="33">
        <v>40</v>
      </c>
      <c r="P16" s="33">
        <v>40</v>
      </c>
      <c r="Q16" s="33">
        <v>40</v>
      </c>
      <c r="R16" s="33">
        <v>40</v>
      </c>
      <c r="S16" s="33">
        <v>40</v>
      </c>
      <c r="T16" s="33">
        <v>40</v>
      </c>
      <c r="U16" s="33">
        <v>40</v>
      </c>
      <c r="V16" s="33">
        <v>40</v>
      </c>
      <c r="W16" s="33">
        <v>40</v>
      </c>
      <c r="X16" s="33">
        <v>40</v>
      </c>
      <c r="Y16" s="33">
        <v>40</v>
      </c>
      <c r="Z16" s="33">
        <v>40</v>
      </c>
      <c r="AA16" s="35">
        <f t="shared" si="1"/>
        <v>480</v>
      </c>
      <c r="AB16" s="35">
        <v>480</v>
      </c>
    </row>
    <row r="17" spans="1:28">
      <c r="A17" s="16" t="s">
        <v>31</v>
      </c>
      <c r="B17" s="33">
        <v>4000</v>
      </c>
      <c r="C17" s="33">
        <v>4000</v>
      </c>
      <c r="D17" s="33">
        <v>4000</v>
      </c>
      <c r="E17" s="33">
        <v>4000</v>
      </c>
      <c r="F17" s="33">
        <v>4000</v>
      </c>
      <c r="G17" s="33">
        <v>4000</v>
      </c>
      <c r="H17" s="33">
        <v>4000</v>
      </c>
      <c r="I17" s="33">
        <v>4000</v>
      </c>
      <c r="J17" s="33">
        <v>4000</v>
      </c>
      <c r="K17" s="33">
        <v>4000</v>
      </c>
      <c r="L17" s="33">
        <v>4000</v>
      </c>
      <c r="M17" s="33">
        <v>4000</v>
      </c>
      <c r="N17" s="35">
        <f t="shared" si="0"/>
        <v>48000</v>
      </c>
      <c r="O17" s="33">
        <v>4000</v>
      </c>
      <c r="P17" s="33">
        <v>4000</v>
      </c>
      <c r="Q17" s="33">
        <v>4000</v>
      </c>
      <c r="R17" s="33">
        <v>4000</v>
      </c>
      <c r="S17" s="33">
        <v>4000</v>
      </c>
      <c r="T17" s="33">
        <v>4000</v>
      </c>
      <c r="U17" s="33">
        <v>4000</v>
      </c>
      <c r="V17" s="33">
        <v>4000</v>
      </c>
      <c r="W17" s="33">
        <v>4000</v>
      </c>
      <c r="X17" s="33">
        <v>4000</v>
      </c>
      <c r="Y17" s="33">
        <v>4000</v>
      </c>
      <c r="Z17" s="33">
        <v>4000</v>
      </c>
      <c r="AA17" s="35">
        <f t="shared" si="1"/>
        <v>48000</v>
      </c>
      <c r="AB17" s="35">
        <v>48000</v>
      </c>
    </row>
    <row r="18" spans="1:28">
      <c r="A18" s="16" t="s">
        <v>13</v>
      </c>
      <c r="B18" s="33">
        <v>3000</v>
      </c>
      <c r="C18" s="33">
        <v>3000</v>
      </c>
      <c r="D18" s="33">
        <v>3000</v>
      </c>
      <c r="E18" s="33">
        <v>3000</v>
      </c>
      <c r="F18" s="33">
        <v>3000</v>
      </c>
      <c r="G18" s="33">
        <v>3000</v>
      </c>
      <c r="H18" s="33">
        <v>3000</v>
      </c>
      <c r="I18" s="33">
        <v>3000</v>
      </c>
      <c r="J18" s="33">
        <v>3000</v>
      </c>
      <c r="K18" s="33">
        <v>3000</v>
      </c>
      <c r="L18" s="33">
        <v>3000</v>
      </c>
      <c r="M18" s="33">
        <v>3000</v>
      </c>
      <c r="N18" s="35">
        <f t="shared" si="0"/>
        <v>36000</v>
      </c>
      <c r="O18" s="33">
        <v>3000</v>
      </c>
      <c r="P18" s="33">
        <v>3000</v>
      </c>
      <c r="Q18" s="33">
        <v>3000</v>
      </c>
      <c r="R18" s="33">
        <v>3000</v>
      </c>
      <c r="S18" s="33">
        <v>3000</v>
      </c>
      <c r="T18" s="33">
        <v>3000</v>
      </c>
      <c r="U18" s="33">
        <v>3000</v>
      </c>
      <c r="V18" s="33">
        <v>3000</v>
      </c>
      <c r="W18" s="33">
        <v>3000</v>
      </c>
      <c r="X18" s="33">
        <v>3000</v>
      </c>
      <c r="Y18" s="33">
        <v>3000</v>
      </c>
      <c r="Z18" s="33">
        <v>3000</v>
      </c>
      <c r="AA18" s="35">
        <f t="shared" si="1"/>
        <v>36000</v>
      </c>
      <c r="AB18" s="35">
        <v>36000</v>
      </c>
    </row>
    <row r="19" spans="1:28">
      <c r="A19" s="16" t="s">
        <v>32</v>
      </c>
      <c r="B19" s="33">
        <v>10000</v>
      </c>
      <c r="C19" s="33">
        <v>10000</v>
      </c>
      <c r="D19" s="33">
        <v>10000</v>
      </c>
      <c r="E19" s="33">
        <v>10000</v>
      </c>
      <c r="F19" s="33">
        <v>10000</v>
      </c>
      <c r="G19" s="33">
        <v>10000</v>
      </c>
      <c r="H19" s="33">
        <v>10000</v>
      </c>
      <c r="I19" s="33">
        <v>10000</v>
      </c>
      <c r="J19" s="33">
        <v>10000</v>
      </c>
      <c r="K19" s="33">
        <v>10000</v>
      </c>
      <c r="L19" s="33">
        <v>10000</v>
      </c>
      <c r="M19" s="33">
        <v>10000</v>
      </c>
      <c r="N19" s="35">
        <f t="shared" si="0"/>
        <v>120000</v>
      </c>
      <c r="O19" s="33">
        <v>10000</v>
      </c>
      <c r="P19" s="33">
        <v>10000</v>
      </c>
      <c r="Q19" s="33">
        <v>10000</v>
      </c>
      <c r="R19" s="33">
        <v>10000</v>
      </c>
      <c r="S19" s="33">
        <v>10000</v>
      </c>
      <c r="T19" s="33">
        <v>10000</v>
      </c>
      <c r="U19" s="33">
        <v>10000</v>
      </c>
      <c r="V19" s="33">
        <v>10000</v>
      </c>
      <c r="W19" s="33">
        <v>10000</v>
      </c>
      <c r="X19" s="33">
        <v>10000</v>
      </c>
      <c r="Y19" s="33">
        <v>10000</v>
      </c>
      <c r="Z19" s="33">
        <v>10000</v>
      </c>
      <c r="AA19" s="35">
        <f t="shared" si="1"/>
        <v>120000</v>
      </c>
      <c r="AB19" s="35">
        <v>120000</v>
      </c>
    </row>
    <row r="20" spans="1:28">
      <c r="A20" s="16" t="s">
        <v>33</v>
      </c>
      <c r="B20" s="33">
        <v>20000</v>
      </c>
      <c r="C20" s="33">
        <v>20000</v>
      </c>
      <c r="D20" s="33">
        <v>20000</v>
      </c>
      <c r="E20" s="33">
        <v>20000</v>
      </c>
      <c r="F20" s="33">
        <v>20000</v>
      </c>
      <c r="G20" s="33">
        <v>20000</v>
      </c>
      <c r="H20" s="33">
        <v>20000</v>
      </c>
      <c r="I20" s="33">
        <v>20000</v>
      </c>
      <c r="J20" s="33">
        <v>20000</v>
      </c>
      <c r="K20" s="33">
        <v>20000</v>
      </c>
      <c r="L20" s="33">
        <v>20000</v>
      </c>
      <c r="M20" s="33">
        <v>20000</v>
      </c>
      <c r="N20" s="35">
        <f>SUM(B20:M20)</f>
        <v>240000</v>
      </c>
      <c r="O20" s="33">
        <v>20000</v>
      </c>
      <c r="P20" s="33">
        <v>20000</v>
      </c>
      <c r="Q20" s="33">
        <v>20000</v>
      </c>
      <c r="R20" s="33">
        <v>20000</v>
      </c>
      <c r="S20" s="33">
        <v>20000</v>
      </c>
      <c r="T20" s="33">
        <v>20000</v>
      </c>
      <c r="U20" s="33">
        <v>20000</v>
      </c>
      <c r="V20" s="33">
        <v>20000</v>
      </c>
      <c r="W20" s="33">
        <v>20000</v>
      </c>
      <c r="X20" s="33">
        <v>20000</v>
      </c>
      <c r="Y20" s="33">
        <v>20000</v>
      </c>
      <c r="Z20" s="33">
        <v>20000</v>
      </c>
      <c r="AA20" s="35">
        <f>SUM(O20:Z20)</f>
        <v>240000</v>
      </c>
      <c r="AB20" s="35">
        <v>240000</v>
      </c>
    </row>
    <row r="21" spans="1:28">
      <c r="A21" s="16" t="s">
        <v>170</v>
      </c>
      <c r="B21" s="35">
        <f>(('Balance General'!$B14+SUM('Flujo Efectivo'!$B22:B22))*10%)/12</f>
        <v>0</v>
      </c>
      <c r="C21" s="35">
        <f>(('Balance General'!$B14+SUM('Flujo Efectivo'!$B22:C22))*10%)/12</f>
        <v>0</v>
      </c>
      <c r="D21" s="35">
        <f>(('Balance General'!$B14+SUM('Flujo Efectivo'!$B22:D22))*10%)/12</f>
        <v>0</v>
      </c>
      <c r="E21" s="35">
        <f>(('Balance General'!$B14+SUM('Flujo Efectivo'!$B22:E22))*10%)/12</f>
        <v>0</v>
      </c>
      <c r="F21" s="35">
        <f>(('Balance General'!$B14+SUM('Flujo Efectivo'!$B22:F22))*10%)/12</f>
        <v>0</v>
      </c>
      <c r="G21" s="35">
        <f>(('Balance General'!$B14+SUM('Flujo Efectivo'!$B22:G22))*10%)/12</f>
        <v>0</v>
      </c>
      <c r="H21" s="35">
        <f>(('Balance General'!$B14+SUM('Flujo Efectivo'!$B22:H22))*10%)/12</f>
        <v>0</v>
      </c>
      <c r="I21" s="35">
        <f>(('Balance General'!$B14+SUM('Flujo Efectivo'!$B22:I22))*10%)/12</f>
        <v>0</v>
      </c>
      <c r="J21" s="35">
        <f>(('Balance General'!$B14+SUM('Flujo Efectivo'!$B22:J22))*10%)/12</f>
        <v>0</v>
      </c>
      <c r="K21" s="35">
        <f>(('Balance General'!$B14+SUM('Flujo Efectivo'!$B22:K22))*10%)/12</f>
        <v>0</v>
      </c>
      <c r="L21" s="35">
        <f>(('Balance General'!$B14+SUM('Flujo Efectivo'!$B22:L22))*10%)/12</f>
        <v>0</v>
      </c>
      <c r="M21" s="35">
        <f>(('Balance General'!$B14+SUM('Flujo Efectivo'!$B22:M22))*10%)/12</f>
        <v>0</v>
      </c>
      <c r="N21" s="35">
        <f t="shared" ref="N21:N24" si="2">SUM(B21:M21)</f>
        <v>0</v>
      </c>
      <c r="O21" s="35">
        <f>(('Balance General'!$B14+'Flujo Efectivo'!$N22+SUM('Flujo Efectivo'!$O22:O22))*10%)/12</f>
        <v>0</v>
      </c>
      <c r="P21" s="35">
        <f>(('Balance General'!$B14+'Flujo Efectivo'!$N22+SUM('Flujo Efectivo'!$O22:P22))*10%)/12</f>
        <v>0</v>
      </c>
      <c r="Q21" s="35">
        <f>(('Balance General'!$B14+'Flujo Efectivo'!$N22+SUM('Flujo Efectivo'!$O22:Q22))*10%)/12</f>
        <v>0</v>
      </c>
      <c r="R21" s="35">
        <f>(('Balance General'!$B14+'Flujo Efectivo'!$N22+SUM('Flujo Efectivo'!$O22:R22))*10%)/12</f>
        <v>0</v>
      </c>
      <c r="S21" s="35">
        <f>(('Balance General'!$B14+'Flujo Efectivo'!$N22+SUM('Flujo Efectivo'!$O22:S22))*10%)/12</f>
        <v>0</v>
      </c>
      <c r="T21" s="35">
        <f>(('Balance General'!$B14+'Flujo Efectivo'!$N22+SUM('Flujo Efectivo'!$O22:T22))*10%)/12</f>
        <v>0</v>
      </c>
      <c r="U21" s="35">
        <f>(('Balance General'!$B14+'Flujo Efectivo'!$N22+SUM('Flujo Efectivo'!$O22:U22))*10%)/12</f>
        <v>0</v>
      </c>
      <c r="V21" s="35">
        <f>(('Balance General'!$B14+'Flujo Efectivo'!$N22+SUM('Flujo Efectivo'!$O22:V22))*10%)/12</f>
        <v>0</v>
      </c>
      <c r="W21" s="35">
        <f>(('Balance General'!$B14+'Flujo Efectivo'!$N22+SUM('Flujo Efectivo'!$O22:W22))*10%)/12</f>
        <v>0</v>
      </c>
      <c r="X21" s="35">
        <f>(('Balance General'!$B14+'Flujo Efectivo'!$N22+SUM('Flujo Efectivo'!$O22:X22))*10%)/12</f>
        <v>0</v>
      </c>
      <c r="Y21" s="35">
        <f>(('Balance General'!$B14+'Flujo Efectivo'!$N22+SUM('Flujo Efectivo'!$O22:Y22))*10%)/12</f>
        <v>0</v>
      </c>
      <c r="Z21" s="35">
        <f>(('Balance General'!$B14+'Flujo Efectivo'!$N22+SUM('Flujo Efectivo'!$O22:Z22))*10%)/12</f>
        <v>0</v>
      </c>
      <c r="AA21" s="35">
        <f t="shared" ref="AA21:AA24" si="3">SUM(O21:Z21)</f>
        <v>0</v>
      </c>
      <c r="AB21" s="35">
        <f>('Balance General'!$B14+'Flujo Efectivo'!$N22+'Flujo Efectivo'!$AA22+'Flujo Efectivo'!$AB22)*10%</f>
        <v>0</v>
      </c>
    </row>
    <row r="22" spans="1:28">
      <c r="A22" s="16" t="s">
        <v>171</v>
      </c>
      <c r="B22" s="35">
        <f>(('Balance General'!$B15+SUM('Flujo Efectivo'!$B23:B23))*10%)/12</f>
        <v>0</v>
      </c>
      <c r="C22" s="35">
        <f>(('Balance General'!$B15+SUM('Flujo Efectivo'!$B23:C23))*10%)/12</f>
        <v>0</v>
      </c>
      <c r="D22" s="35">
        <f>(('Balance General'!$B15+SUM('Flujo Efectivo'!$B23:D23))*10%)/12</f>
        <v>0</v>
      </c>
      <c r="E22" s="35">
        <f>(('Balance General'!$B15+SUM('Flujo Efectivo'!$B23:E23))*10%)/12</f>
        <v>0</v>
      </c>
      <c r="F22" s="35">
        <f>(('Balance General'!$B15+SUM('Flujo Efectivo'!$B23:F23))*10%)/12</f>
        <v>0</v>
      </c>
      <c r="G22" s="35">
        <f>(('Balance General'!$B15+SUM('Flujo Efectivo'!$B23:G23))*10%)/12</f>
        <v>0</v>
      </c>
      <c r="H22" s="35">
        <f>(('Balance General'!$B15+SUM('Flujo Efectivo'!$B23:H23))*10%)/12</f>
        <v>0</v>
      </c>
      <c r="I22" s="35">
        <f>(('Balance General'!$B15+SUM('Flujo Efectivo'!$B23:I23))*10%)/12</f>
        <v>0</v>
      </c>
      <c r="J22" s="35">
        <f>(('Balance General'!$B15+SUM('Flujo Efectivo'!$B23:J23))*10%)/12</f>
        <v>0</v>
      </c>
      <c r="K22" s="35">
        <f>(('Balance General'!$B15+SUM('Flujo Efectivo'!$B23:K23))*10%)/12</f>
        <v>0</v>
      </c>
      <c r="L22" s="35">
        <f>(('Balance General'!$B15+SUM('Flujo Efectivo'!$B23:L23))*10%)/12</f>
        <v>0</v>
      </c>
      <c r="M22" s="35">
        <f>(('Balance General'!$B15+SUM('Flujo Efectivo'!$B23:M23))*10%)/12</f>
        <v>0</v>
      </c>
      <c r="N22" s="35">
        <f t="shared" si="2"/>
        <v>0</v>
      </c>
      <c r="O22" s="35">
        <f>(('Balance General'!$B15+'Flujo Efectivo'!$N23+SUM('Flujo Efectivo'!$O23:O23))*10%)/12</f>
        <v>0</v>
      </c>
      <c r="P22" s="35">
        <f>(('Balance General'!$B15+'Flujo Efectivo'!$N23+SUM('Flujo Efectivo'!$O23:P23))*10%)/12</f>
        <v>0</v>
      </c>
      <c r="Q22" s="35">
        <f>(('Balance General'!$B15+'Flujo Efectivo'!$N23+SUM('Flujo Efectivo'!$O23:Q23))*10%)/12</f>
        <v>0</v>
      </c>
      <c r="R22" s="35">
        <f>(('Balance General'!$B15+'Flujo Efectivo'!$N23+SUM('Flujo Efectivo'!$O23:R23))*10%)/12</f>
        <v>0</v>
      </c>
      <c r="S22" s="35">
        <f>(('Balance General'!$B15+'Flujo Efectivo'!$N23+SUM('Flujo Efectivo'!$O23:S23))*10%)/12</f>
        <v>0</v>
      </c>
      <c r="T22" s="35">
        <f>(('Balance General'!$B15+'Flujo Efectivo'!$N23+SUM('Flujo Efectivo'!$O23:T23))*10%)/12</f>
        <v>0</v>
      </c>
      <c r="U22" s="35">
        <f>(('Balance General'!$B15+'Flujo Efectivo'!$N23+SUM('Flujo Efectivo'!$O23:U23))*10%)/12</f>
        <v>0</v>
      </c>
      <c r="V22" s="35">
        <f>(('Balance General'!$B15+'Flujo Efectivo'!$N23+SUM('Flujo Efectivo'!$O23:V23))*10%)/12</f>
        <v>0</v>
      </c>
      <c r="W22" s="35">
        <f>(('Balance General'!$B15+'Flujo Efectivo'!$N23+SUM('Flujo Efectivo'!$O23:W23))*10%)/12</f>
        <v>0</v>
      </c>
      <c r="X22" s="35">
        <f>(('Balance General'!$B15+'Flujo Efectivo'!$N23+SUM('Flujo Efectivo'!$O23:X23))*10%)/12</f>
        <v>0</v>
      </c>
      <c r="Y22" s="35">
        <f>(('Balance General'!$B15+'Flujo Efectivo'!$N23+SUM('Flujo Efectivo'!$O23:Y23))*10%)/12</f>
        <v>0</v>
      </c>
      <c r="Z22" s="35">
        <f>(('Balance General'!$B15+'Flujo Efectivo'!$N23+SUM('Flujo Efectivo'!$O23:Z23))*10%)/12</f>
        <v>0</v>
      </c>
      <c r="AA22" s="35">
        <f t="shared" si="3"/>
        <v>0</v>
      </c>
      <c r="AB22" s="35">
        <f>('Balance General'!$B15+'Flujo Efectivo'!$N23+'Flujo Efectivo'!$AA23+'Flujo Efectivo'!$AB23)*10%</f>
        <v>0</v>
      </c>
    </row>
    <row r="23" spans="1:28">
      <c r="A23" s="16" t="s">
        <v>172</v>
      </c>
      <c r="B23" s="35">
        <f>(('Balance General'!$B16+SUM('Flujo Efectivo'!$B24:B24))*10%)/12</f>
        <v>2500</v>
      </c>
      <c r="C23" s="35">
        <f>(('Balance General'!$B16+SUM('Flujo Efectivo'!$B24:C24))*10%)/12</f>
        <v>2500</v>
      </c>
      <c r="D23" s="35">
        <f>(('Balance General'!$B16+SUM('Flujo Efectivo'!$B24:D24))*10%)/12</f>
        <v>2500</v>
      </c>
      <c r="E23" s="35">
        <f>(('Balance General'!$B16+SUM('Flujo Efectivo'!$B24:E24))*10%)/12</f>
        <v>2500</v>
      </c>
      <c r="F23" s="35">
        <f>(('Balance General'!$B16+SUM('Flujo Efectivo'!$B24:F24))*10%)/12</f>
        <v>2500</v>
      </c>
      <c r="G23" s="35">
        <f>(('Balance General'!$B16+SUM('Flujo Efectivo'!$B24:G24))*10%)/12</f>
        <v>2500</v>
      </c>
      <c r="H23" s="35">
        <f>(('Balance General'!$B16+SUM('Flujo Efectivo'!$B24:H24))*10%)/12</f>
        <v>2500</v>
      </c>
      <c r="I23" s="35">
        <f>(('Balance General'!$B16+SUM('Flujo Efectivo'!$B24:I24))*10%)/12</f>
        <v>2500</v>
      </c>
      <c r="J23" s="35">
        <f>(('Balance General'!$B16+SUM('Flujo Efectivo'!$B24:J24))*10%)/12</f>
        <v>2500</v>
      </c>
      <c r="K23" s="35">
        <f>(('Balance General'!$B16+SUM('Flujo Efectivo'!$B24:K24))*10%)/12</f>
        <v>2500</v>
      </c>
      <c r="L23" s="35">
        <f>(('Balance General'!$B16+SUM('Flujo Efectivo'!$B24:L24))*10%)/12</f>
        <v>2500</v>
      </c>
      <c r="M23" s="35">
        <f>(('Balance General'!$B16+SUM('Flujo Efectivo'!$B24:M24))*10%)/12</f>
        <v>2500</v>
      </c>
      <c r="N23" s="35">
        <f t="shared" si="2"/>
        <v>30000</v>
      </c>
      <c r="O23" s="35">
        <f>(('Balance General'!$B16+'Flujo Efectivo'!$N24+SUM('Flujo Efectivo'!$O24:O24))*10%)/12</f>
        <v>2500</v>
      </c>
      <c r="P23" s="35">
        <f>(('Balance General'!$B16+'Flujo Efectivo'!$N24+SUM('Flujo Efectivo'!$O24:P24))*10%)/12</f>
        <v>2500</v>
      </c>
      <c r="Q23" s="35">
        <f>(('Balance General'!$B16+'Flujo Efectivo'!$N24+SUM('Flujo Efectivo'!$O24:Q24))*10%)/12</f>
        <v>2500</v>
      </c>
      <c r="R23" s="35">
        <f>(('Balance General'!$B16+'Flujo Efectivo'!$N24+SUM('Flujo Efectivo'!$O24:R24))*10%)/12</f>
        <v>2500</v>
      </c>
      <c r="S23" s="35">
        <f>(('Balance General'!$B16+'Flujo Efectivo'!$N24+SUM('Flujo Efectivo'!$O24:S24))*10%)/12</f>
        <v>2500</v>
      </c>
      <c r="T23" s="35">
        <f>(('Balance General'!$B16+'Flujo Efectivo'!$N24+SUM('Flujo Efectivo'!$O24:T24))*10%)/12</f>
        <v>2500</v>
      </c>
      <c r="U23" s="35">
        <f>(('Balance General'!$B16+'Flujo Efectivo'!$N24+SUM('Flujo Efectivo'!$O24:U24))*10%)/12</f>
        <v>2500</v>
      </c>
      <c r="V23" s="35">
        <f>(('Balance General'!$B16+'Flujo Efectivo'!$N24+SUM('Flujo Efectivo'!$O24:V24))*10%)/12</f>
        <v>2500</v>
      </c>
      <c r="W23" s="35">
        <f>(('Balance General'!$B16+'Flujo Efectivo'!$N24+SUM('Flujo Efectivo'!$O24:W24))*10%)/12</f>
        <v>2500</v>
      </c>
      <c r="X23" s="35">
        <f>(('Balance General'!$B16+'Flujo Efectivo'!$N24+SUM('Flujo Efectivo'!$O24:X24))*10%)/12</f>
        <v>2500</v>
      </c>
      <c r="Y23" s="35">
        <f>(('Balance General'!$B16+'Flujo Efectivo'!$N24+SUM('Flujo Efectivo'!$O24:Y24))*10%)/12</f>
        <v>2500</v>
      </c>
      <c r="Z23" s="35">
        <f>(('Balance General'!$B16+'Flujo Efectivo'!$N24+SUM('Flujo Efectivo'!$O24:Z24))*10%)/12</f>
        <v>2500</v>
      </c>
      <c r="AA23" s="35">
        <f t="shared" si="3"/>
        <v>30000</v>
      </c>
      <c r="AB23" s="35">
        <f>('Balance General'!$B16+'Flujo Efectivo'!$N24+'Flujo Efectivo'!$AA24+'Flujo Efectivo'!$AB24)*10%</f>
        <v>30000</v>
      </c>
    </row>
    <row r="24" spans="1:28">
      <c r="A24" s="16" t="s">
        <v>173</v>
      </c>
      <c r="B24" s="35">
        <f>(('Balance General'!$B17+SUM('Flujo Efectivo'!$B25:B25))*25%)/12</f>
        <v>6250</v>
      </c>
      <c r="C24" s="35">
        <f>(('Balance General'!$B17+SUM('Flujo Efectivo'!$B25:C25))*25%)/12</f>
        <v>6250</v>
      </c>
      <c r="D24" s="35">
        <f>(('Balance General'!$B17+SUM('Flujo Efectivo'!$B25:D25))*25%)/12</f>
        <v>6250</v>
      </c>
      <c r="E24" s="35">
        <f>(('Balance General'!$B17+SUM('Flujo Efectivo'!$B25:E25))*25%)/12</f>
        <v>6250</v>
      </c>
      <c r="F24" s="35">
        <f>(('Balance General'!$B17+SUM('Flujo Efectivo'!$B25:F25))*25%)/12</f>
        <v>6250</v>
      </c>
      <c r="G24" s="35">
        <f>(('Balance General'!$B17+SUM('Flujo Efectivo'!$B25:G25))*25%)/12</f>
        <v>6250</v>
      </c>
      <c r="H24" s="35">
        <f>(('Balance General'!$B17+SUM('Flujo Efectivo'!$B25:H25))*25%)/12</f>
        <v>6250</v>
      </c>
      <c r="I24" s="35">
        <f>(('Balance General'!$B17+SUM('Flujo Efectivo'!$B25:I25))*25%)/12</f>
        <v>6250</v>
      </c>
      <c r="J24" s="35">
        <f>(('Balance General'!$B17+SUM('Flujo Efectivo'!$B25:J25))*25%)/12</f>
        <v>6250</v>
      </c>
      <c r="K24" s="35">
        <f>(('Balance General'!$B17+SUM('Flujo Efectivo'!$B25:K25))*25%)/12</f>
        <v>6250</v>
      </c>
      <c r="L24" s="35">
        <f>(('Balance General'!$B17+SUM('Flujo Efectivo'!$B25:L25))*25%)/12</f>
        <v>6250</v>
      </c>
      <c r="M24" s="35">
        <f>(('Balance General'!$B17+SUM('Flujo Efectivo'!$B25:M25))*25%)/12</f>
        <v>6250</v>
      </c>
      <c r="N24" s="35">
        <f t="shared" si="2"/>
        <v>75000</v>
      </c>
      <c r="O24" s="35">
        <f>(('Balance General'!$B17+'Flujo Efectivo'!$N25+SUM('Flujo Efectivo'!$O25:O25))*25%)/12</f>
        <v>6250</v>
      </c>
      <c r="P24" s="35">
        <f>(('Balance General'!$B17+'Flujo Efectivo'!$N25+SUM('Flujo Efectivo'!$O25:P25))*25%)/12</f>
        <v>6250</v>
      </c>
      <c r="Q24" s="35">
        <f>(('Balance General'!$B17+'Flujo Efectivo'!$N25+SUM('Flujo Efectivo'!$O25:Q25))*25%)/12</f>
        <v>6250</v>
      </c>
      <c r="R24" s="35">
        <f>(('Balance General'!$B17+'Flujo Efectivo'!$N25+SUM('Flujo Efectivo'!$O25:R25))*25%)/12</f>
        <v>6250</v>
      </c>
      <c r="S24" s="35">
        <f>(('Balance General'!$B17+'Flujo Efectivo'!$N25+SUM('Flujo Efectivo'!$O25:S25))*25%)/12</f>
        <v>6250</v>
      </c>
      <c r="T24" s="35">
        <f>(('Balance General'!$B17+'Flujo Efectivo'!$N25+SUM('Flujo Efectivo'!$O25:T25))*25%)/12</f>
        <v>6250</v>
      </c>
      <c r="U24" s="35">
        <f>(('Balance General'!$B17+'Flujo Efectivo'!$N25+SUM('Flujo Efectivo'!$O25:U25))*25%)/12</f>
        <v>6250</v>
      </c>
      <c r="V24" s="35">
        <f>(('Balance General'!$B17+'Flujo Efectivo'!$N25+SUM('Flujo Efectivo'!$O25:V25))*25%)/12</f>
        <v>6250</v>
      </c>
      <c r="W24" s="35">
        <f>(('Balance General'!$B17+'Flujo Efectivo'!$N25+SUM('Flujo Efectivo'!$O25:W25))*25%)/12</f>
        <v>6250</v>
      </c>
      <c r="X24" s="35">
        <f>(('Balance General'!$B17+'Flujo Efectivo'!$N25+SUM('Flujo Efectivo'!$O25:X25))*25%)/12</f>
        <v>6250</v>
      </c>
      <c r="Y24" s="35">
        <f>(('Balance General'!$B17+'Flujo Efectivo'!$N25+SUM('Flujo Efectivo'!$O25:Y25))*25%)/12</f>
        <v>6250</v>
      </c>
      <c r="Z24" s="35">
        <f>(('Balance General'!$B17+'Flujo Efectivo'!$N25+SUM('Flujo Efectivo'!$O25:Z25))*25%)/12</f>
        <v>6250</v>
      </c>
      <c r="AA24" s="35">
        <f t="shared" si="3"/>
        <v>75000</v>
      </c>
      <c r="AB24" s="35">
        <f>('Balance General'!$B17+'Flujo Efectivo'!$N25+'Flujo Efectivo'!$AA25+'Flujo Efectivo'!$AB25)*25%</f>
        <v>75000</v>
      </c>
    </row>
    <row r="25" spans="1:28">
      <c r="A25" s="16" t="s">
        <v>174</v>
      </c>
      <c r="B25" s="35">
        <f>(('Balance General'!$B18+SUM('Flujo Efectivo'!$B26:B26))*30%)/12</f>
        <v>2500</v>
      </c>
      <c r="C25" s="35">
        <f>(('Balance General'!$B18+SUM('Flujo Efectivo'!$B26:C26))*30%)/12</f>
        <v>2500</v>
      </c>
      <c r="D25" s="35">
        <f>(('Balance General'!$B18+SUM('Flujo Efectivo'!$B26:D26))*30%)/12</f>
        <v>2500</v>
      </c>
      <c r="E25" s="35">
        <f>(('Balance General'!$B18+SUM('Flujo Efectivo'!$B26:E26))*30%)/12</f>
        <v>2500</v>
      </c>
      <c r="F25" s="35">
        <f>(('Balance General'!$B18+SUM('Flujo Efectivo'!$B26:F26))*30%)/12</f>
        <v>2500</v>
      </c>
      <c r="G25" s="35">
        <f>(('Balance General'!$B18+SUM('Flujo Efectivo'!$B26:G26))*30%)/12</f>
        <v>2500</v>
      </c>
      <c r="H25" s="35">
        <f>(('Balance General'!$B18+SUM('Flujo Efectivo'!$B26:H26))*30%)/12</f>
        <v>2500</v>
      </c>
      <c r="I25" s="35">
        <f>(('Balance General'!$B18+SUM('Flujo Efectivo'!$B26:I26))*30%)/12</f>
        <v>2500</v>
      </c>
      <c r="J25" s="35">
        <f>(('Balance General'!$B18+SUM('Flujo Efectivo'!$B26:J26))*30%)/12</f>
        <v>2500</v>
      </c>
      <c r="K25" s="35">
        <f>(('Balance General'!$B18+SUM('Flujo Efectivo'!$B26:K26))*30%)/12</f>
        <v>2500</v>
      </c>
      <c r="L25" s="35">
        <f>(('Balance General'!$B18+SUM('Flujo Efectivo'!$B26:L26))*30%)/12</f>
        <v>2500</v>
      </c>
      <c r="M25" s="35">
        <f>(('Balance General'!$B18+SUM('Flujo Efectivo'!$B26:M26))*30%)/12</f>
        <v>2500</v>
      </c>
      <c r="N25" s="35">
        <f>SUM(B25:M25)</f>
        <v>30000</v>
      </c>
      <c r="O25" s="35">
        <f>(('Balance General'!$B18+'Flujo Efectivo'!$N26+SUM('Flujo Efectivo'!$O26:O26))*30%)/12</f>
        <v>2500</v>
      </c>
      <c r="P25" s="35">
        <f>(('Balance General'!$B18+'Flujo Efectivo'!$N26+SUM('Flujo Efectivo'!$O26:P26))*30%)/12</f>
        <v>2500</v>
      </c>
      <c r="Q25" s="35">
        <f>(('Balance General'!$B18+'Flujo Efectivo'!$N26+SUM('Flujo Efectivo'!$O26:Q26))*30%)/12</f>
        <v>2500</v>
      </c>
      <c r="R25" s="35">
        <f>(('Balance General'!$B18+'Flujo Efectivo'!$N26+SUM('Flujo Efectivo'!$O26:R26))*30%)/12</f>
        <v>2500</v>
      </c>
      <c r="S25" s="35">
        <f>(('Balance General'!$B18+'Flujo Efectivo'!$N26+SUM('Flujo Efectivo'!$O26:S26))*30%)/12</f>
        <v>2500</v>
      </c>
      <c r="T25" s="35">
        <f>(('Balance General'!$B18+'Flujo Efectivo'!$N26+SUM('Flujo Efectivo'!$O26:T26))*30%)/12</f>
        <v>2500</v>
      </c>
      <c r="U25" s="35">
        <f>(('Balance General'!$B18+'Flujo Efectivo'!$N26+SUM('Flujo Efectivo'!$O26:U26))*30%)/12</f>
        <v>2500</v>
      </c>
      <c r="V25" s="35">
        <f>(('Balance General'!$B18+'Flujo Efectivo'!$N26+SUM('Flujo Efectivo'!$O26:V26))*30%)/12</f>
        <v>2500</v>
      </c>
      <c r="W25" s="35">
        <f>(('Balance General'!$B18+'Flujo Efectivo'!$N26+SUM('Flujo Efectivo'!$O26:W26))*30%)/12</f>
        <v>2500</v>
      </c>
      <c r="X25" s="35">
        <f>(('Balance General'!$B18+'Flujo Efectivo'!$N26+SUM('Flujo Efectivo'!$O26:X26))*30%)/12</f>
        <v>2500</v>
      </c>
      <c r="Y25" s="35">
        <f>(('Balance General'!$B18+'Flujo Efectivo'!$N26+SUM('Flujo Efectivo'!$O26:Y26))*30%)/12</f>
        <v>2500</v>
      </c>
      <c r="Z25" s="35">
        <f>(('Balance General'!$B18+'Flujo Efectivo'!$N26+SUM('Flujo Efectivo'!$O26:Z26))*30%)/12</f>
        <v>2500</v>
      </c>
      <c r="AA25" s="35">
        <f>SUM(O25:Z25)</f>
        <v>30000</v>
      </c>
      <c r="AB25" s="35">
        <f>('Balance General'!$B18+'Flujo Efectivo'!$N26+'Flujo Efectivo'!$AA26+'Flujo Efectivo'!$AB26)*30%</f>
        <v>30000</v>
      </c>
    </row>
    <row r="26" spans="1:28">
      <c r="A26" s="16" t="s">
        <v>43</v>
      </c>
      <c r="B26" s="35">
        <f>Credito!D10</f>
        <v>4654.166666666667</v>
      </c>
      <c r="C26" s="35">
        <f>Credito!D11</f>
        <v>4654.166666666667</v>
      </c>
      <c r="D26" s="35">
        <f>Credito!D12</f>
        <v>4654.166666666667</v>
      </c>
      <c r="E26" s="35">
        <f>Credito!D13</f>
        <v>4654.166666666667</v>
      </c>
      <c r="F26" s="35">
        <f>Credito!D14</f>
        <v>4654.166666666667</v>
      </c>
      <c r="G26" s="35">
        <f>Credito!D15</f>
        <v>4654.166666666667</v>
      </c>
      <c r="H26" s="35">
        <f>Credito!D16</f>
        <v>4654.166666666667</v>
      </c>
      <c r="I26" s="35">
        <f>Credito!D17</f>
        <v>4499.0277777777774</v>
      </c>
      <c r="J26" s="35">
        <f>Credito!D18</f>
        <v>4343.8888888888887</v>
      </c>
      <c r="K26" s="35">
        <f>Credito!D19</f>
        <v>4188.7499999999991</v>
      </c>
      <c r="L26" s="35">
        <f>Credito!D20</f>
        <v>4033.6111111111104</v>
      </c>
      <c r="M26" s="35">
        <f>Credito!D21</f>
        <v>3878.4722222222213</v>
      </c>
      <c r="N26" s="35">
        <f>SUM(B26:M26)</f>
        <v>53522.916666666672</v>
      </c>
      <c r="O26" s="35">
        <f>Credito!D22</f>
        <v>3723.3333333333321</v>
      </c>
      <c r="P26" s="35">
        <f>Credito!D23</f>
        <v>3568.194444444443</v>
      </c>
      <c r="Q26" s="35">
        <f>Credito!D24</f>
        <v>3413.0555555555543</v>
      </c>
      <c r="R26" s="35">
        <f>Credito!D25</f>
        <v>3257.9166666666652</v>
      </c>
      <c r="S26" s="35">
        <f>Credito!D26</f>
        <v>3102.777777777776</v>
      </c>
      <c r="T26" s="35">
        <f>Credito!D27</f>
        <v>2947.6388888888869</v>
      </c>
      <c r="U26" s="35">
        <f>Credito!D28</f>
        <v>2792.4999999999977</v>
      </c>
      <c r="V26" s="35">
        <f>Credito!D29</f>
        <v>2637.3611111111086</v>
      </c>
      <c r="W26" s="35">
        <f>Credito!D30</f>
        <v>2482.2222222222199</v>
      </c>
      <c r="X26" s="35">
        <f>Credito!D31</f>
        <v>2327.0833333333308</v>
      </c>
      <c r="Y26" s="35">
        <f>Credito!D32</f>
        <v>2171.9444444444421</v>
      </c>
      <c r="Z26" s="35">
        <f>Credito!D33</f>
        <v>2016.8055555555534</v>
      </c>
      <c r="AA26" s="35">
        <f>SUM(O26:Z26)</f>
        <v>34440.833333333314</v>
      </c>
      <c r="AB26" s="35">
        <f>Credito!J12</f>
        <v>12100.83333333331</v>
      </c>
    </row>
    <row r="27" spans="1:28">
      <c r="A27" s="16" t="s">
        <v>42</v>
      </c>
      <c r="B27" s="35">
        <f>Credito!E10</f>
        <v>0</v>
      </c>
      <c r="C27" s="35">
        <f>Credito!E11</f>
        <v>0</v>
      </c>
      <c r="D27" s="35">
        <f>Credito!E12</f>
        <v>0</v>
      </c>
      <c r="E27" s="35">
        <f>Credito!E13</f>
        <v>0</v>
      </c>
      <c r="F27" s="35">
        <f>Credito!E14</f>
        <v>0</v>
      </c>
      <c r="G27" s="35">
        <f>Credito!E15</f>
        <v>0</v>
      </c>
      <c r="H27" s="35">
        <f>Credito!E16</f>
        <v>16666.666666666668</v>
      </c>
      <c r="I27" s="35">
        <f>Credito!E17</f>
        <v>16666.666666666668</v>
      </c>
      <c r="J27" s="35">
        <f>Credito!E18</f>
        <v>16666.666666666668</v>
      </c>
      <c r="K27" s="35">
        <f>Credito!E19</f>
        <v>16666.666666666668</v>
      </c>
      <c r="L27" s="35">
        <f>Credito!E20</f>
        <v>16666.666666666668</v>
      </c>
      <c r="M27" s="35">
        <f>Credito!E21</f>
        <v>16666.666666666668</v>
      </c>
      <c r="N27" s="35">
        <f t="shared" si="0"/>
        <v>100000.00000000001</v>
      </c>
      <c r="O27" s="35">
        <f>Credito!E22</f>
        <v>16666.666666666668</v>
      </c>
      <c r="P27" s="35">
        <f>Credito!E23</f>
        <v>16666.666666666668</v>
      </c>
      <c r="Q27" s="35">
        <f>Credito!E24</f>
        <v>16666.666666666668</v>
      </c>
      <c r="R27" s="35">
        <f>Credito!E25</f>
        <v>16666.666666666668</v>
      </c>
      <c r="S27" s="35">
        <f>Credito!E26</f>
        <v>16666.666666666668</v>
      </c>
      <c r="T27" s="35">
        <f>Credito!E27</f>
        <v>16666.666666666668</v>
      </c>
      <c r="U27" s="35">
        <f>Credito!E28</f>
        <v>16666.666666666668</v>
      </c>
      <c r="V27" s="35">
        <f>Credito!E29</f>
        <v>16666.666666666668</v>
      </c>
      <c r="W27" s="35">
        <f>Credito!E30</f>
        <v>16666.666666666668</v>
      </c>
      <c r="X27" s="35">
        <f>Credito!E31</f>
        <v>16666.666666666668</v>
      </c>
      <c r="Y27" s="35">
        <f>Credito!E32</f>
        <v>16666.666666666668</v>
      </c>
      <c r="Z27" s="35">
        <f>Credito!E33</f>
        <v>16666.666666666668</v>
      </c>
      <c r="AA27" s="35">
        <f t="shared" si="1"/>
        <v>199999.99999999997</v>
      </c>
      <c r="AB27" s="35">
        <f>SUM(Credito!K12)</f>
        <v>199999.99999999997</v>
      </c>
    </row>
    <row r="29" spans="1:28">
      <c r="N29" s="40"/>
      <c r="AA29" s="40"/>
    </row>
    <row r="30" spans="1:28">
      <c r="N30" s="40"/>
      <c r="AA30" s="40"/>
    </row>
    <row r="31" spans="1:28">
      <c r="N31" s="40"/>
      <c r="AA31" s="40"/>
    </row>
    <row r="32" spans="1:28">
      <c r="A32" s="16" t="s">
        <v>3</v>
      </c>
      <c r="B32" s="35">
        <f>SUM(B8:B31)</f>
        <v>173944.16666666666</v>
      </c>
      <c r="C32" s="35">
        <f t="shared" ref="C32:M32" si="4">SUM(C8:C31)</f>
        <v>125944.16666666667</v>
      </c>
      <c r="D32" s="35">
        <f t="shared" si="4"/>
        <v>125944.16666666667</v>
      </c>
      <c r="E32" s="35">
        <f t="shared" si="4"/>
        <v>125944.16666666667</v>
      </c>
      <c r="F32" s="35">
        <f t="shared" si="4"/>
        <v>125944.16666666667</v>
      </c>
      <c r="G32" s="35">
        <f t="shared" si="4"/>
        <v>125944.16666666667</v>
      </c>
      <c r="H32" s="35">
        <f t="shared" si="4"/>
        <v>154610.83333333331</v>
      </c>
      <c r="I32" s="35">
        <f t="shared" si="4"/>
        <v>154455.69444444444</v>
      </c>
      <c r="J32" s="35">
        <f t="shared" si="4"/>
        <v>154300.55555555553</v>
      </c>
      <c r="K32" s="35">
        <f t="shared" si="4"/>
        <v>154145.41666666666</v>
      </c>
      <c r="L32" s="35">
        <f t="shared" si="4"/>
        <v>153990.27777777778</v>
      </c>
      <c r="M32" s="35">
        <f t="shared" si="4"/>
        <v>153835.13888888888</v>
      </c>
      <c r="N32" s="35">
        <f>SUM(B32:M32)</f>
        <v>1729002.9166666665</v>
      </c>
      <c r="O32" s="35">
        <f t="shared" ref="O32" si="5">SUM(O8:O31)</f>
        <v>168680</v>
      </c>
      <c r="P32" s="35">
        <f t="shared" ref="P32" si="6">SUM(P8:P31)</f>
        <v>160524.86111111109</v>
      </c>
      <c r="Q32" s="35">
        <f t="shared" ref="Q32" si="7">SUM(Q8:Q31)</f>
        <v>160369.72222222222</v>
      </c>
      <c r="R32" s="35">
        <f t="shared" ref="R32" si="8">SUM(R8:R31)</f>
        <v>160214.58333333331</v>
      </c>
      <c r="S32" s="35">
        <f t="shared" ref="S32" si="9">SUM(S8:S31)</f>
        <v>160059.44444444444</v>
      </c>
      <c r="T32" s="35">
        <f t="shared" ref="T32" si="10">SUM(T8:T31)</f>
        <v>159904.30555555553</v>
      </c>
      <c r="U32" s="35">
        <f t="shared" ref="U32" si="11">SUM(U8:U31)</f>
        <v>159749.16666666666</v>
      </c>
      <c r="V32" s="35">
        <f t="shared" ref="V32" si="12">SUM(V8:V31)</f>
        <v>159594.02777777775</v>
      </c>
      <c r="W32" s="35">
        <f t="shared" ref="W32" si="13">SUM(W8:W31)</f>
        <v>159438.88888888888</v>
      </c>
      <c r="X32" s="35">
        <f t="shared" ref="X32" si="14">SUM(X8:X31)</f>
        <v>159283.75</v>
      </c>
      <c r="Y32" s="35">
        <f t="shared" ref="Y32" si="15">SUM(Y8:Y31)</f>
        <v>159128.61111111109</v>
      </c>
      <c r="Z32" s="35">
        <f t="shared" ref="Z32" si="16">SUM(Z8:Z31)</f>
        <v>158973.47222222222</v>
      </c>
      <c r="AA32" s="45">
        <f>SUM(O32:Z32)</f>
        <v>1925920.8333333333</v>
      </c>
      <c r="AB32" s="35">
        <f>SUM(AB8:AB31)</f>
        <v>1985580.8333333333</v>
      </c>
    </row>
    <row r="37" spans="1:5">
      <c r="B37" s="19" t="s">
        <v>4</v>
      </c>
      <c r="C37" s="19" t="s">
        <v>5</v>
      </c>
      <c r="D37" s="19" t="s">
        <v>8</v>
      </c>
      <c r="E37" s="19" t="s">
        <v>1</v>
      </c>
    </row>
    <row r="39" spans="1:5">
      <c r="A39" s="16" t="str">
        <f t="shared" ref="A39:A56" si="17">A8</f>
        <v>Costo de lo vendido</v>
      </c>
      <c r="B39" s="34">
        <f t="shared" ref="B39:B56" si="18">N8</f>
        <v>60000</v>
      </c>
      <c r="C39" s="34">
        <f>AA8</f>
        <v>96000</v>
      </c>
      <c r="D39" s="34">
        <f>AB8</f>
        <v>130000</v>
      </c>
      <c r="E39" s="34">
        <f>SUM(B39:D39)</f>
        <v>286000</v>
      </c>
    </row>
    <row r="40" spans="1:5">
      <c r="A40" s="16" t="str">
        <f t="shared" si="17"/>
        <v>Sueldo dueño y directivos</v>
      </c>
      <c r="B40" s="34">
        <f t="shared" si="18"/>
        <v>480000</v>
      </c>
      <c r="C40" s="34">
        <f t="shared" ref="C40:D40" si="19">AA9</f>
        <v>480000</v>
      </c>
      <c r="D40" s="34">
        <f t="shared" si="19"/>
        <v>480000</v>
      </c>
      <c r="E40" s="34">
        <f t="shared" ref="E40:E58" si="20">SUM(B40:D40)</f>
        <v>1440000</v>
      </c>
    </row>
    <row r="41" spans="1:5">
      <c r="A41" s="16" t="str">
        <f t="shared" si="17"/>
        <v>Salarios personal de tienda, oficina, …</v>
      </c>
      <c r="B41" s="34">
        <f t="shared" si="18"/>
        <v>72000</v>
      </c>
      <c r="C41" s="34">
        <f t="shared" ref="C41:D41" si="21">AA10</f>
        <v>192000</v>
      </c>
      <c r="D41" s="34">
        <f t="shared" si="21"/>
        <v>240000</v>
      </c>
      <c r="E41" s="34">
        <f t="shared" si="20"/>
        <v>504000</v>
      </c>
    </row>
    <row r="42" spans="1:5">
      <c r="A42" s="16" t="str">
        <f t="shared" si="17"/>
        <v>Material de oficina</v>
      </c>
      <c r="B42" s="34">
        <f t="shared" si="18"/>
        <v>72000</v>
      </c>
      <c r="C42" s="34">
        <f t="shared" ref="C42:D42" si="22">AA11</f>
        <v>32000</v>
      </c>
      <c r="D42" s="34">
        <f t="shared" si="22"/>
        <v>32000</v>
      </c>
      <c r="E42" s="34">
        <f t="shared" si="20"/>
        <v>136000</v>
      </c>
    </row>
    <row r="43" spans="1:5">
      <c r="A43" s="16" t="str">
        <f t="shared" si="17"/>
        <v>Teléfono, Internet</v>
      </c>
      <c r="B43" s="34">
        <f t="shared" si="18"/>
        <v>48000</v>
      </c>
      <c r="C43" s="34">
        <f t="shared" ref="C43:D43" si="23">AA12</f>
        <v>48000</v>
      </c>
      <c r="D43" s="34">
        <f t="shared" si="23"/>
        <v>48000</v>
      </c>
      <c r="E43" s="34">
        <f t="shared" si="20"/>
        <v>144000</v>
      </c>
    </row>
    <row r="44" spans="1:5">
      <c r="A44" s="16" t="str">
        <f t="shared" si="17"/>
        <v>Transporte - entregas</v>
      </c>
      <c r="B44" s="34">
        <f t="shared" si="18"/>
        <v>72000</v>
      </c>
      <c r="C44" s="34">
        <f t="shared" ref="C44:D44" si="24">AA13</f>
        <v>72000</v>
      </c>
      <c r="D44" s="34">
        <f t="shared" si="24"/>
        <v>72000</v>
      </c>
      <c r="E44" s="34">
        <f t="shared" si="20"/>
        <v>216000</v>
      </c>
    </row>
    <row r="45" spans="1:5">
      <c r="A45" s="16" t="str">
        <f t="shared" si="17"/>
        <v>Renta</v>
      </c>
      <c r="B45" s="34">
        <f t="shared" si="18"/>
        <v>96000</v>
      </c>
      <c r="C45" s="34">
        <f t="shared" ref="C45:D45" si="25">AA14</f>
        <v>96000</v>
      </c>
      <c r="D45" s="34">
        <f t="shared" si="25"/>
        <v>96000</v>
      </c>
      <c r="E45" s="34">
        <f t="shared" si="20"/>
        <v>288000</v>
      </c>
    </row>
    <row r="46" spans="1:5">
      <c r="A46" s="16" t="str">
        <f t="shared" si="17"/>
        <v xml:space="preserve">Reparaciones y mantenimiento </v>
      </c>
      <c r="B46" s="34">
        <f t="shared" si="18"/>
        <v>96000</v>
      </c>
      <c r="C46" s="34">
        <f t="shared" ref="C46:D46" si="26">AA15</f>
        <v>96000</v>
      </c>
      <c r="D46" s="34">
        <f t="shared" si="26"/>
        <v>96000</v>
      </c>
      <c r="E46" s="34">
        <f t="shared" si="20"/>
        <v>288000</v>
      </c>
    </row>
    <row r="47" spans="1:5">
      <c r="A47" s="16" t="str">
        <f t="shared" si="17"/>
        <v>Agua</v>
      </c>
      <c r="B47" s="34">
        <f t="shared" si="18"/>
        <v>480</v>
      </c>
      <c r="C47" s="34">
        <f t="shared" ref="C47:D47" si="27">AA16</f>
        <v>480</v>
      </c>
      <c r="D47" s="34">
        <f t="shared" si="27"/>
        <v>480</v>
      </c>
      <c r="E47" s="34">
        <f t="shared" si="20"/>
        <v>1440</v>
      </c>
    </row>
    <row r="48" spans="1:5">
      <c r="A48" s="16" t="str">
        <f t="shared" si="17"/>
        <v>Energía eléctrica</v>
      </c>
      <c r="B48" s="34">
        <f t="shared" si="18"/>
        <v>48000</v>
      </c>
      <c r="C48" s="34">
        <f t="shared" ref="C48:D48" si="28">AA17</f>
        <v>48000</v>
      </c>
      <c r="D48" s="34">
        <f t="shared" si="28"/>
        <v>48000</v>
      </c>
      <c r="E48" s="34">
        <f t="shared" si="20"/>
        <v>144000</v>
      </c>
    </row>
    <row r="49" spans="1:5">
      <c r="A49" s="16" t="str">
        <f t="shared" si="17"/>
        <v>Seguros</v>
      </c>
      <c r="B49" s="34">
        <f t="shared" si="18"/>
        <v>36000</v>
      </c>
      <c r="C49" s="34">
        <f t="shared" ref="C49:D49" si="29">AA18</f>
        <v>36000</v>
      </c>
      <c r="D49" s="34">
        <f t="shared" si="29"/>
        <v>36000</v>
      </c>
      <c r="E49" s="34">
        <f t="shared" si="20"/>
        <v>108000</v>
      </c>
    </row>
    <row r="50" spans="1:5">
      <c r="A50" s="16" t="str">
        <f t="shared" si="17"/>
        <v>Licencias</v>
      </c>
      <c r="B50" s="34">
        <f t="shared" si="18"/>
        <v>120000</v>
      </c>
      <c r="C50" s="34">
        <f t="shared" ref="C50:D50" si="30">AA19</f>
        <v>120000</v>
      </c>
      <c r="D50" s="34">
        <f t="shared" si="30"/>
        <v>120000</v>
      </c>
      <c r="E50" s="34">
        <f t="shared" si="20"/>
        <v>360000</v>
      </c>
    </row>
    <row r="51" spans="1:5">
      <c r="A51" s="16" t="str">
        <f t="shared" si="17"/>
        <v>Varios</v>
      </c>
      <c r="B51" s="34">
        <f t="shared" si="18"/>
        <v>240000</v>
      </c>
      <c r="C51" s="34">
        <f t="shared" ref="C51:D51" si="31">AA20</f>
        <v>240000</v>
      </c>
      <c r="D51" s="34">
        <f t="shared" si="31"/>
        <v>240000</v>
      </c>
      <c r="E51" s="34">
        <f t="shared" si="20"/>
        <v>720000</v>
      </c>
    </row>
    <row r="52" spans="1:5">
      <c r="A52" s="16" t="str">
        <f t="shared" si="17"/>
        <v>Depreciación de Edificio</v>
      </c>
      <c r="B52" s="34">
        <f t="shared" si="18"/>
        <v>0</v>
      </c>
      <c r="C52" s="34">
        <f t="shared" ref="C52:D52" si="32">AA21</f>
        <v>0</v>
      </c>
      <c r="D52" s="34">
        <f t="shared" si="32"/>
        <v>0</v>
      </c>
      <c r="E52" s="34">
        <f t="shared" si="20"/>
        <v>0</v>
      </c>
    </row>
    <row r="53" spans="1:5">
      <c r="A53" s="16" t="str">
        <f t="shared" si="17"/>
        <v>Depreciación de Maquinaria, Eq y Herram</v>
      </c>
      <c r="B53" s="34">
        <f t="shared" si="18"/>
        <v>0</v>
      </c>
      <c r="C53" s="34">
        <f t="shared" ref="C53:D53" si="33">AA22</f>
        <v>0</v>
      </c>
      <c r="D53" s="34">
        <f t="shared" si="33"/>
        <v>0</v>
      </c>
      <c r="E53" s="34">
        <f t="shared" si="20"/>
        <v>0</v>
      </c>
    </row>
    <row r="54" spans="1:5">
      <c r="A54" s="16" t="str">
        <f t="shared" si="17"/>
        <v>Depreciación de Mobiliario y Equipo</v>
      </c>
      <c r="B54" s="34">
        <f t="shared" si="18"/>
        <v>30000</v>
      </c>
      <c r="C54" s="34">
        <f t="shared" ref="C54:D54" si="34">AA23</f>
        <v>30000</v>
      </c>
      <c r="D54" s="34">
        <f t="shared" si="34"/>
        <v>30000</v>
      </c>
      <c r="E54" s="34">
        <f t="shared" si="20"/>
        <v>90000</v>
      </c>
    </row>
    <row r="55" spans="1:5">
      <c r="A55" s="16" t="str">
        <f t="shared" si="17"/>
        <v>Depreciación de Equipo de Transporte</v>
      </c>
      <c r="B55" s="34">
        <f t="shared" si="18"/>
        <v>75000</v>
      </c>
      <c r="C55" s="34">
        <f t="shared" ref="C55:D55" si="35">AA24</f>
        <v>75000</v>
      </c>
      <c r="D55" s="34">
        <f t="shared" si="35"/>
        <v>75000</v>
      </c>
      <c r="E55" s="34">
        <f t="shared" si="20"/>
        <v>225000</v>
      </c>
    </row>
    <row r="56" spans="1:5">
      <c r="A56" s="16" t="str">
        <f t="shared" si="17"/>
        <v>Depreciación de Equipo de Cómputo</v>
      </c>
      <c r="B56" s="34">
        <f t="shared" si="18"/>
        <v>30000</v>
      </c>
      <c r="C56" s="34">
        <f t="shared" ref="C56:D56" si="36">AA25</f>
        <v>30000</v>
      </c>
      <c r="D56" s="34">
        <f t="shared" si="36"/>
        <v>30000</v>
      </c>
      <c r="E56" s="34">
        <f t="shared" si="20"/>
        <v>90000</v>
      </c>
    </row>
    <row r="57" spans="1:5">
      <c r="A57" s="16" t="str">
        <f>A27</f>
        <v>Pago de capital sobre créditos</v>
      </c>
      <c r="B57" s="34">
        <f t="shared" ref="B57" si="37">N27</f>
        <v>100000.00000000001</v>
      </c>
      <c r="C57" s="34">
        <f t="shared" ref="C57:D57" si="38">AA27</f>
        <v>199999.99999999997</v>
      </c>
      <c r="D57" s="34">
        <f t="shared" si="38"/>
        <v>199999.99999999997</v>
      </c>
      <c r="E57" s="34">
        <f t="shared" si="20"/>
        <v>500000</v>
      </c>
    </row>
    <row r="58" spans="1:5">
      <c r="A58" s="16" t="str">
        <f>A26</f>
        <v>Pago de Intereses sobre créditos</v>
      </c>
      <c r="B58" s="34">
        <f>N26</f>
        <v>53522.916666666672</v>
      </c>
      <c r="C58" s="34">
        <f>AA26</f>
        <v>34440.833333333314</v>
      </c>
      <c r="D58" s="34">
        <f>AB26</f>
        <v>12100.83333333331</v>
      </c>
      <c r="E58" s="34">
        <f t="shared" si="20"/>
        <v>100064.5833333333</v>
      </c>
    </row>
    <row r="63" spans="1:5">
      <c r="A63" s="16" t="s">
        <v>3</v>
      </c>
      <c r="B63" s="34">
        <f>SUM(B39:B62)</f>
        <v>1729002.9166666667</v>
      </c>
      <c r="C63" s="34">
        <f t="shared" ref="C63" si="39">SUM(C39:C62)</f>
        <v>1925920.8333333333</v>
      </c>
      <c r="D63" s="34">
        <f>SUM(D39:D62)</f>
        <v>1985580.8333333333</v>
      </c>
      <c r="E63" s="34">
        <f>SUM(B63:D63)</f>
        <v>5640504.583333333</v>
      </c>
    </row>
  </sheetData>
  <phoneticPr fontId="2" type="noConversion"/>
  <pageMargins left="0.75" right="0.75" top="1" bottom="1" header="0" footer="0"/>
  <headerFooter alignWithMargins="0"/>
  <ignoredErrors>
    <ignoredError sqref="A32" formulaRange="1"/>
    <ignoredError sqref="AA32 N32" formula="1"/>
  </ignoredErrors>
</worksheet>
</file>

<file path=xl/worksheets/sheet4.xml><?xml version="1.0" encoding="utf-8"?>
<worksheet xmlns="http://schemas.openxmlformats.org/spreadsheetml/2006/main" xmlns:r="http://schemas.openxmlformats.org/officeDocument/2006/relationships">
  <dimension ref="A2:N46"/>
  <sheetViews>
    <sheetView workbookViewId="0">
      <selection activeCell="A17" sqref="A17"/>
    </sheetView>
  </sheetViews>
  <sheetFormatPr baseColWidth="10" defaultRowHeight="15"/>
  <cols>
    <col min="1" max="1" width="15" style="46" customWidth="1"/>
    <col min="2" max="16384" width="11.42578125" style="46"/>
  </cols>
  <sheetData>
    <row r="2" spans="1:14">
      <c r="A2" s="7" t="s">
        <v>103</v>
      </c>
      <c r="B2" s="153"/>
      <c r="C2" s="153"/>
      <c r="D2" s="1"/>
      <c r="E2" s="1"/>
      <c r="F2" s="1"/>
      <c r="G2" s="1"/>
      <c r="K2" s="47"/>
      <c r="L2" s="47"/>
      <c r="M2" s="47"/>
      <c r="N2" s="47"/>
    </row>
    <row r="3" spans="1:14">
      <c r="A3" s="7" t="s">
        <v>104</v>
      </c>
      <c r="B3" s="154" t="s">
        <v>161</v>
      </c>
      <c r="C3" s="154"/>
      <c r="D3" s="1"/>
      <c r="E3" s="1"/>
      <c r="F3" s="1"/>
      <c r="G3" s="1"/>
      <c r="K3" s="47"/>
      <c r="L3" s="47"/>
      <c r="M3" s="47"/>
      <c r="N3" s="47"/>
    </row>
    <row r="4" spans="1:14">
      <c r="A4" s="7" t="s">
        <v>105</v>
      </c>
      <c r="B4" s="8">
        <v>500000</v>
      </c>
      <c r="C4" s="1" t="s">
        <v>106</v>
      </c>
      <c r="D4" s="1"/>
      <c r="E4" s="1"/>
      <c r="F4" s="1"/>
      <c r="G4" s="1"/>
      <c r="K4" s="47"/>
      <c r="L4" s="47"/>
      <c r="M4" s="47"/>
      <c r="N4" s="47"/>
    </row>
    <row r="5" spans="1:14">
      <c r="A5" s="7" t="s">
        <v>107</v>
      </c>
      <c r="B5" s="9">
        <v>36</v>
      </c>
      <c r="C5" s="1" t="s">
        <v>108</v>
      </c>
      <c r="D5" s="1"/>
      <c r="E5" s="117" t="s">
        <v>163</v>
      </c>
      <c r="F5" s="118" t="s">
        <v>162</v>
      </c>
      <c r="G5" s="117" t="s">
        <v>1</v>
      </c>
      <c r="K5" s="47"/>
      <c r="L5" s="47"/>
      <c r="M5" s="47"/>
      <c r="N5" s="47"/>
    </row>
    <row r="6" spans="1:14">
      <c r="A6" s="7" t="s">
        <v>109</v>
      </c>
      <c r="B6" s="10">
        <f>G6/100</f>
        <v>0.11169999999999999</v>
      </c>
      <c r="C6" s="1"/>
      <c r="D6" s="1"/>
      <c r="E6" s="119">
        <v>6.17</v>
      </c>
      <c r="F6" s="120">
        <v>5</v>
      </c>
      <c r="G6" s="120">
        <f>E6+F6</f>
        <v>11.17</v>
      </c>
      <c r="L6" s="48"/>
      <c r="M6" s="2"/>
      <c r="N6" s="2"/>
    </row>
    <row r="7" spans="1:14">
      <c r="A7" s="7" t="s">
        <v>110</v>
      </c>
      <c r="B7" s="9">
        <v>6</v>
      </c>
      <c r="C7" s="1" t="s">
        <v>108</v>
      </c>
      <c r="D7" s="1"/>
      <c r="E7" s="1"/>
      <c r="F7" s="1"/>
      <c r="G7" s="1"/>
      <c r="L7" s="48"/>
      <c r="M7" s="2"/>
      <c r="N7" s="2"/>
    </row>
    <row r="8" spans="1:14">
      <c r="A8" s="1"/>
      <c r="B8" s="1"/>
      <c r="C8" s="1"/>
      <c r="D8" s="1"/>
      <c r="E8" s="1"/>
      <c r="F8" s="1"/>
      <c r="G8" s="1"/>
    </row>
    <row r="9" spans="1:14">
      <c r="A9" s="1"/>
      <c r="B9" s="15" t="s">
        <v>111</v>
      </c>
      <c r="C9" s="15" t="s">
        <v>112</v>
      </c>
      <c r="D9" s="15" t="s">
        <v>113</v>
      </c>
      <c r="E9" s="15" t="s">
        <v>114</v>
      </c>
      <c r="F9" s="15" t="s">
        <v>115</v>
      </c>
      <c r="G9" s="15" t="s">
        <v>116</v>
      </c>
      <c r="I9" s="126" t="s">
        <v>117</v>
      </c>
      <c r="J9" s="126" t="s">
        <v>118</v>
      </c>
      <c r="K9" s="126" t="s">
        <v>114</v>
      </c>
      <c r="L9" s="126" t="s">
        <v>116</v>
      </c>
      <c r="M9" s="126" t="s">
        <v>119</v>
      </c>
      <c r="N9" s="5"/>
    </row>
    <row r="10" spans="1:14">
      <c r="A10" s="1"/>
      <c r="B10" s="11">
        <v>1</v>
      </c>
      <c r="C10" s="12">
        <f>B4</f>
        <v>500000</v>
      </c>
      <c r="D10" s="12">
        <f>$C10*(($B$6)/12)</f>
        <v>4654.166666666667</v>
      </c>
      <c r="E10" s="12">
        <f>IF(C10&lt;=0,0,(IF(B10&lt;=$B$7,0,($B$4/($B$5-$B$7)))))</f>
        <v>0</v>
      </c>
      <c r="F10" s="12">
        <f>IF(E10=0,0,D10+E10)</f>
        <v>0</v>
      </c>
      <c r="G10" s="12">
        <f t="shared" ref="G10:G12" si="0">C10-E10</f>
        <v>500000</v>
      </c>
      <c r="I10" s="127">
        <v>1</v>
      </c>
      <c r="J10" s="128">
        <f>SUM(D10:D21)</f>
        <v>53522.916666666672</v>
      </c>
      <c r="K10" s="128">
        <f>SUM(E10:E21)</f>
        <v>100000.00000000001</v>
      </c>
      <c r="L10" s="128">
        <f>G15-K10</f>
        <v>400000</v>
      </c>
      <c r="M10" s="129">
        <f>K10/K13</f>
        <v>0.20000000000000004</v>
      </c>
      <c r="N10" s="4"/>
    </row>
    <row r="11" spans="1:14">
      <c r="A11" s="1"/>
      <c r="B11" s="11">
        <v>2</v>
      </c>
      <c r="C11" s="12">
        <f t="shared" ref="C11:C45" si="1">IF($B$5&lt;B11,0,G10)</f>
        <v>500000</v>
      </c>
      <c r="D11" s="12">
        <f t="shared" ref="D11:D45" si="2">$C11*(($B$6)/12)</f>
        <v>4654.166666666667</v>
      </c>
      <c r="E11" s="12">
        <f t="shared" ref="E11:E45" si="3">IF(C11&lt;=0,0,(IF(B11&lt;=$B$7,0,($B$4/($B$5-$B$7)))))</f>
        <v>0</v>
      </c>
      <c r="F11" s="12">
        <f t="shared" ref="F11:F45" si="4">IF(E11=0,0,D11+E11)</f>
        <v>0</v>
      </c>
      <c r="G11" s="12">
        <f t="shared" si="0"/>
        <v>500000</v>
      </c>
      <c r="I11" s="127">
        <v>2</v>
      </c>
      <c r="J11" s="12">
        <f>SUM(D22:D33)</f>
        <v>34440.833333333314</v>
      </c>
      <c r="K11" s="12">
        <f>SUM(E22:E33)</f>
        <v>199999.99999999997</v>
      </c>
      <c r="L11" s="128">
        <f>L10-K11</f>
        <v>200000.00000000003</v>
      </c>
      <c r="M11" s="129">
        <f>K11/$K$13</f>
        <v>0.39999999999999997</v>
      </c>
      <c r="N11" s="4"/>
    </row>
    <row r="12" spans="1:14">
      <c r="A12" s="1"/>
      <c r="B12" s="11">
        <v>3</v>
      </c>
      <c r="C12" s="12">
        <f t="shared" si="1"/>
        <v>500000</v>
      </c>
      <c r="D12" s="12">
        <f t="shared" si="2"/>
        <v>4654.166666666667</v>
      </c>
      <c r="E12" s="12">
        <f t="shared" si="3"/>
        <v>0</v>
      </c>
      <c r="F12" s="12">
        <f t="shared" si="4"/>
        <v>0</v>
      </c>
      <c r="G12" s="12">
        <f t="shared" si="0"/>
        <v>500000</v>
      </c>
      <c r="I12" s="130">
        <v>3</v>
      </c>
      <c r="J12" s="14">
        <f>SUM(D34:D45)</f>
        <v>12100.83333333331</v>
      </c>
      <c r="K12" s="14">
        <f>SUM(E34:E45)</f>
        <v>199999.99999999997</v>
      </c>
      <c r="L12" s="14">
        <f>L11-K12</f>
        <v>0</v>
      </c>
      <c r="M12" s="131">
        <f>K12/$K$13</f>
        <v>0.39999999999999997</v>
      </c>
      <c r="N12" s="6"/>
    </row>
    <row r="13" spans="1:14">
      <c r="A13" s="1"/>
      <c r="B13" s="11">
        <v>4</v>
      </c>
      <c r="C13" s="12">
        <f t="shared" si="1"/>
        <v>500000</v>
      </c>
      <c r="D13" s="12">
        <f t="shared" si="2"/>
        <v>4654.166666666667</v>
      </c>
      <c r="E13" s="12">
        <f t="shared" si="3"/>
        <v>0</v>
      </c>
      <c r="F13" s="12">
        <f t="shared" si="4"/>
        <v>0</v>
      </c>
      <c r="G13" s="12">
        <f>C13-E13</f>
        <v>500000</v>
      </c>
      <c r="I13" s="11"/>
      <c r="J13" s="12">
        <f>SUM(J10:J12)</f>
        <v>100064.5833333333</v>
      </c>
      <c r="K13" s="12">
        <f>SUM(K10:K12)</f>
        <v>500000</v>
      </c>
      <c r="L13" s="132"/>
      <c r="M13" s="133">
        <f>SUM(M10:M12)</f>
        <v>1</v>
      </c>
      <c r="N13" s="6"/>
    </row>
    <row r="14" spans="1:14">
      <c r="A14" s="1"/>
      <c r="B14" s="11">
        <v>5</v>
      </c>
      <c r="C14" s="12">
        <f t="shared" si="1"/>
        <v>500000</v>
      </c>
      <c r="D14" s="12">
        <f t="shared" si="2"/>
        <v>4654.166666666667</v>
      </c>
      <c r="E14" s="12">
        <f>IF(C14&lt;=0,0,(IF(B14&lt;=$B$7,0,($B$4/($B$5-$B$7)))))</f>
        <v>0</v>
      </c>
      <c r="F14" s="12">
        <f t="shared" si="4"/>
        <v>0</v>
      </c>
      <c r="G14" s="12">
        <f>C14-E14</f>
        <v>500000</v>
      </c>
      <c r="N14" s="49"/>
    </row>
    <row r="15" spans="1:14">
      <c r="A15" s="1"/>
      <c r="B15" s="11">
        <v>6</v>
      </c>
      <c r="C15" s="12">
        <f t="shared" si="1"/>
        <v>500000</v>
      </c>
      <c r="D15" s="12">
        <f>$C15*(($B$6)/12)</f>
        <v>4654.166666666667</v>
      </c>
      <c r="E15" s="12">
        <f>IF(C15&lt;=0,0,(IF(B15&lt;=$B$7,0,($B$4/($B$5-$B$7)))))</f>
        <v>0</v>
      </c>
      <c r="F15" s="12">
        <f t="shared" si="4"/>
        <v>0</v>
      </c>
      <c r="G15" s="12">
        <f>C15-E15</f>
        <v>500000</v>
      </c>
    </row>
    <row r="16" spans="1:14">
      <c r="A16" s="1"/>
      <c r="B16" s="11">
        <v>7</v>
      </c>
      <c r="C16" s="12">
        <f t="shared" si="1"/>
        <v>500000</v>
      </c>
      <c r="D16" s="12">
        <f t="shared" si="2"/>
        <v>4654.166666666667</v>
      </c>
      <c r="E16" s="12">
        <f>IF(C16&lt;=0,0,(IF(B16&lt;=$B$7,0,($B$4/($B$5-$B$7)))))</f>
        <v>16666.666666666668</v>
      </c>
      <c r="F16" s="12">
        <f t="shared" si="4"/>
        <v>21320.833333333336</v>
      </c>
      <c r="G16" s="12">
        <f t="shared" ref="G16:G45" si="5">C16-E16</f>
        <v>483333.33333333331</v>
      </c>
    </row>
    <row r="17" spans="1:14">
      <c r="A17" s="1"/>
      <c r="B17" s="11">
        <v>8</v>
      </c>
      <c r="C17" s="12">
        <f t="shared" si="1"/>
        <v>483333.33333333331</v>
      </c>
      <c r="D17" s="12">
        <f t="shared" si="2"/>
        <v>4499.0277777777774</v>
      </c>
      <c r="E17" s="12">
        <f>IF(C17&lt;=0,0,(IF(B17&lt;=$B$7,0,($B$4/($B$5-$B$7)))))</f>
        <v>16666.666666666668</v>
      </c>
      <c r="F17" s="12">
        <f t="shared" si="4"/>
        <v>21165.694444444445</v>
      </c>
      <c r="G17" s="12">
        <f t="shared" si="5"/>
        <v>466666.66666666663</v>
      </c>
    </row>
    <row r="18" spans="1:14">
      <c r="A18" s="1"/>
      <c r="B18" s="11">
        <v>9</v>
      </c>
      <c r="C18" s="12">
        <f t="shared" si="1"/>
        <v>466666.66666666663</v>
      </c>
      <c r="D18" s="12">
        <f t="shared" si="2"/>
        <v>4343.8888888888887</v>
      </c>
      <c r="E18" s="12">
        <f>IF(C18&lt;=0,0,(IF(B18&lt;=$B$7,0,($B$4/($B$5-$B$7)))))</f>
        <v>16666.666666666668</v>
      </c>
      <c r="F18" s="12">
        <f t="shared" si="4"/>
        <v>21010.555555555555</v>
      </c>
      <c r="G18" s="12">
        <f t="shared" si="5"/>
        <v>449999.99999999994</v>
      </c>
      <c r="I18" s="50"/>
    </row>
    <row r="19" spans="1:14">
      <c r="A19" s="1"/>
      <c r="B19" s="11">
        <v>10</v>
      </c>
      <c r="C19" s="12">
        <f t="shared" si="1"/>
        <v>449999.99999999994</v>
      </c>
      <c r="D19" s="12">
        <f t="shared" si="2"/>
        <v>4188.7499999999991</v>
      </c>
      <c r="E19" s="12">
        <f t="shared" si="3"/>
        <v>16666.666666666668</v>
      </c>
      <c r="F19" s="12">
        <f t="shared" si="4"/>
        <v>20855.416666666668</v>
      </c>
      <c r="G19" s="12">
        <f t="shared" si="5"/>
        <v>433333.33333333326</v>
      </c>
      <c r="I19" s="50"/>
    </row>
    <row r="20" spans="1:14">
      <c r="A20" s="1"/>
      <c r="B20" s="11">
        <v>11</v>
      </c>
      <c r="C20" s="12">
        <f t="shared" si="1"/>
        <v>433333.33333333326</v>
      </c>
      <c r="D20" s="12">
        <f t="shared" si="2"/>
        <v>4033.6111111111104</v>
      </c>
      <c r="E20" s="12">
        <f t="shared" si="3"/>
        <v>16666.666666666668</v>
      </c>
      <c r="F20" s="12">
        <f t="shared" si="4"/>
        <v>20700.277777777777</v>
      </c>
      <c r="G20" s="12">
        <f t="shared" si="5"/>
        <v>416666.66666666657</v>
      </c>
      <c r="I20" s="50"/>
      <c r="L20" s="51"/>
      <c r="M20" s="51"/>
    </row>
    <row r="21" spans="1:14">
      <c r="A21" s="1"/>
      <c r="B21" s="11">
        <v>12</v>
      </c>
      <c r="C21" s="12">
        <f t="shared" si="1"/>
        <v>416666.66666666657</v>
      </c>
      <c r="D21" s="12">
        <f t="shared" si="2"/>
        <v>3878.4722222222213</v>
      </c>
      <c r="E21" s="12">
        <f t="shared" si="3"/>
        <v>16666.666666666668</v>
      </c>
      <c r="F21" s="12">
        <f t="shared" si="4"/>
        <v>20545.138888888891</v>
      </c>
      <c r="G21" s="12">
        <f t="shared" si="5"/>
        <v>399999.99999999988</v>
      </c>
      <c r="I21" s="50"/>
      <c r="N21" s="51"/>
    </row>
    <row r="22" spans="1:14">
      <c r="A22" s="1"/>
      <c r="B22" s="11">
        <v>13</v>
      </c>
      <c r="C22" s="12">
        <f t="shared" si="1"/>
        <v>399999.99999999988</v>
      </c>
      <c r="D22" s="12">
        <f t="shared" si="2"/>
        <v>3723.3333333333321</v>
      </c>
      <c r="E22" s="12">
        <f t="shared" si="3"/>
        <v>16666.666666666668</v>
      </c>
      <c r="F22" s="12">
        <f t="shared" si="4"/>
        <v>20390</v>
      </c>
      <c r="G22" s="12">
        <f t="shared" si="5"/>
        <v>383333.3333333332</v>
      </c>
      <c r="I22" s="50"/>
      <c r="K22" s="52"/>
      <c r="L22" s="52"/>
      <c r="M22" s="52"/>
    </row>
    <row r="23" spans="1:14">
      <c r="A23" s="1"/>
      <c r="B23" s="11">
        <v>14</v>
      </c>
      <c r="C23" s="12">
        <f t="shared" si="1"/>
        <v>383333.3333333332</v>
      </c>
      <c r="D23" s="12">
        <f t="shared" si="2"/>
        <v>3568.194444444443</v>
      </c>
      <c r="E23" s="12">
        <f t="shared" si="3"/>
        <v>16666.666666666668</v>
      </c>
      <c r="F23" s="12">
        <f t="shared" si="4"/>
        <v>20234.861111111109</v>
      </c>
      <c r="G23" s="12">
        <f t="shared" si="5"/>
        <v>366666.66666666651</v>
      </c>
      <c r="I23" s="50"/>
      <c r="N23" s="52"/>
    </row>
    <row r="24" spans="1:14">
      <c r="A24" s="1"/>
      <c r="B24" s="11">
        <v>15</v>
      </c>
      <c r="C24" s="12">
        <f t="shared" si="1"/>
        <v>366666.66666666651</v>
      </c>
      <c r="D24" s="12">
        <f t="shared" si="2"/>
        <v>3413.0555555555543</v>
      </c>
      <c r="E24" s="12">
        <f t="shared" si="3"/>
        <v>16666.666666666668</v>
      </c>
      <c r="F24" s="12">
        <f t="shared" si="4"/>
        <v>20079.722222222223</v>
      </c>
      <c r="G24" s="12">
        <f t="shared" si="5"/>
        <v>349999.99999999983</v>
      </c>
      <c r="I24" s="50"/>
    </row>
    <row r="25" spans="1:14">
      <c r="A25" s="1"/>
      <c r="B25" s="11">
        <v>16</v>
      </c>
      <c r="C25" s="12">
        <f t="shared" si="1"/>
        <v>349999.99999999983</v>
      </c>
      <c r="D25" s="12">
        <f t="shared" si="2"/>
        <v>3257.9166666666652</v>
      </c>
      <c r="E25" s="12">
        <f t="shared" si="3"/>
        <v>16666.666666666668</v>
      </c>
      <c r="F25" s="12">
        <f t="shared" si="4"/>
        <v>19924.583333333332</v>
      </c>
      <c r="G25" s="12">
        <f t="shared" si="5"/>
        <v>333333.33333333314</v>
      </c>
      <c r="I25" s="50"/>
    </row>
    <row r="26" spans="1:14">
      <c r="A26" s="1"/>
      <c r="B26" s="11">
        <v>17</v>
      </c>
      <c r="C26" s="12">
        <f t="shared" si="1"/>
        <v>333333.33333333314</v>
      </c>
      <c r="D26" s="12">
        <f t="shared" si="2"/>
        <v>3102.777777777776</v>
      </c>
      <c r="E26" s="12">
        <f t="shared" si="3"/>
        <v>16666.666666666668</v>
      </c>
      <c r="F26" s="12">
        <f t="shared" si="4"/>
        <v>19769.444444444445</v>
      </c>
      <c r="G26" s="12">
        <f t="shared" si="5"/>
        <v>316666.66666666645</v>
      </c>
      <c r="I26" s="50"/>
    </row>
    <row r="27" spans="1:14">
      <c r="A27" s="1"/>
      <c r="B27" s="11">
        <v>18</v>
      </c>
      <c r="C27" s="12">
        <f t="shared" si="1"/>
        <v>316666.66666666645</v>
      </c>
      <c r="D27" s="12">
        <f t="shared" si="2"/>
        <v>2947.6388888888869</v>
      </c>
      <c r="E27" s="12">
        <f t="shared" si="3"/>
        <v>16666.666666666668</v>
      </c>
      <c r="F27" s="12">
        <f t="shared" si="4"/>
        <v>19614.305555555555</v>
      </c>
      <c r="G27" s="12">
        <f t="shared" si="5"/>
        <v>299999.99999999977</v>
      </c>
      <c r="I27" s="50"/>
    </row>
    <row r="28" spans="1:14">
      <c r="A28" s="1"/>
      <c r="B28" s="11">
        <v>19</v>
      </c>
      <c r="C28" s="12">
        <f t="shared" si="1"/>
        <v>299999.99999999977</v>
      </c>
      <c r="D28" s="12">
        <f t="shared" si="2"/>
        <v>2792.4999999999977</v>
      </c>
      <c r="E28" s="12">
        <f t="shared" si="3"/>
        <v>16666.666666666668</v>
      </c>
      <c r="F28" s="12">
        <f t="shared" si="4"/>
        <v>19459.166666666664</v>
      </c>
      <c r="G28" s="12">
        <f t="shared" si="5"/>
        <v>283333.33333333308</v>
      </c>
      <c r="I28" s="53"/>
    </row>
    <row r="29" spans="1:14">
      <c r="A29" s="1"/>
      <c r="B29" s="11">
        <v>20</v>
      </c>
      <c r="C29" s="12">
        <f t="shared" si="1"/>
        <v>283333.33333333308</v>
      </c>
      <c r="D29" s="12">
        <f t="shared" si="2"/>
        <v>2637.3611111111086</v>
      </c>
      <c r="E29" s="12">
        <f t="shared" si="3"/>
        <v>16666.666666666668</v>
      </c>
      <c r="F29" s="12">
        <f t="shared" si="4"/>
        <v>19304.027777777777</v>
      </c>
      <c r="G29" s="12">
        <f t="shared" si="5"/>
        <v>266666.6666666664</v>
      </c>
    </row>
    <row r="30" spans="1:14">
      <c r="A30" s="1"/>
      <c r="B30" s="11">
        <v>21</v>
      </c>
      <c r="C30" s="12">
        <f t="shared" si="1"/>
        <v>266666.6666666664</v>
      </c>
      <c r="D30" s="12">
        <f t="shared" si="2"/>
        <v>2482.2222222222199</v>
      </c>
      <c r="E30" s="12">
        <f t="shared" si="3"/>
        <v>16666.666666666668</v>
      </c>
      <c r="F30" s="12">
        <f t="shared" si="4"/>
        <v>19148.888888888887</v>
      </c>
      <c r="G30" s="12">
        <f t="shared" si="5"/>
        <v>249999.99999999974</v>
      </c>
    </row>
    <row r="31" spans="1:14">
      <c r="A31" s="1"/>
      <c r="B31" s="11">
        <v>22</v>
      </c>
      <c r="C31" s="12">
        <f t="shared" si="1"/>
        <v>249999.99999999974</v>
      </c>
      <c r="D31" s="12">
        <f t="shared" si="2"/>
        <v>2327.0833333333308</v>
      </c>
      <c r="E31" s="12">
        <f t="shared" si="3"/>
        <v>16666.666666666668</v>
      </c>
      <c r="F31" s="12">
        <f t="shared" si="4"/>
        <v>18993.75</v>
      </c>
      <c r="G31" s="12">
        <f t="shared" si="5"/>
        <v>233333.33333333308</v>
      </c>
    </row>
    <row r="32" spans="1:14">
      <c r="A32" s="1"/>
      <c r="B32" s="11">
        <v>23</v>
      </c>
      <c r="C32" s="12">
        <f t="shared" si="1"/>
        <v>233333.33333333308</v>
      </c>
      <c r="D32" s="12">
        <f t="shared" si="2"/>
        <v>2171.9444444444421</v>
      </c>
      <c r="E32" s="12">
        <f t="shared" si="3"/>
        <v>16666.666666666668</v>
      </c>
      <c r="F32" s="12">
        <f t="shared" si="4"/>
        <v>18838.611111111109</v>
      </c>
      <c r="G32" s="12">
        <f t="shared" si="5"/>
        <v>216666.66666666642</v>
      </c>
    </row>
    <row r="33" spans="1:7">
      <c r="A33" s="1"/>
      <c r="B33" s="11">
        <v>24</v>
      </c>
      <c r="C33" s="12">
        <f t="shared" si="1"/>
        <v>216666.66666666642</v>
      </c>
      <c r="D33" s="12">
        <f t="shared" si="2"/>
        <v>2016.8055555555534</v>
      </c>
      <c r="E33" s="12">
        <f t="shared" si="3"/>
        <v>16666.666666666668</v>
      </c>
      <c r="F33" s="12">
        <f t="shared" si="4"/>
        <v>18683.472222222223</v>
      </c>
      <c r="G33" s="12">
        <f t="shared" si="5"/>
        <v>199999.99999999977</v>
      </c>
    </row>
    <row r="34" spans="1:7">
      <c r="A34" s="1"/>
      <c r="B34" s="11">
        <v>25</v>
      </c>
      <c r="C34" s="12">
        <f t="shared" si="1"/>
        <v>199999.99999999977</v>
      </c>
      <c r="D34" s="12">
        <f t="shared" si="2"/>
        <v>1861.6666666666645</v>
      </c>
      <c r="E34" s="12">
        <f t="shared" si="3"/>
        <v>16666.666666666668</v>
      </c>
      <c r="F34" s="12">
        <f t="shared" si="4"/>
        <v>18528.333333333332</v>
      </c>
      <c r="G34" s="12">
        <f t="shared" si="5"/>
        <v>183333.33333333311</v>
      </c>
    </row>
    <row r="35" spans="1:7">
      <c r="A35" s="1"/>
      <c r="B35" s="11">
        <v>26</v>
      </c>
      <c r="C35" s="12">
        <f t="shared" si="1"/>
        <v>183333.33333333311</v>
      </c>
      <c r="D35" s="12">
        <f t="shared" si="2"/>
        <v>1706.5277777777758</v>
      </c>
      <c r="E35" s="12">
        <f t="shared" si="3"/>
        <v>16666.666666666668</v>
      </c>
      <c r="F35" s="12">
        <f t="shared" si="4"/>
        <v>18373.194444444445</v>
      </c>
      <c r="G35" s="12">
        <f t="shared" si="5"/>
        <v>166666.66666666645</v>
      </c>
    </row>
    <row r="36" spans="1:7">
      <c r="A36" s="1"/>
      <c r="B36" s="11">
        <v>27</v>
      </c>
      <c r="C36" s="12">
        <f t="shared" si="1"/>
        <v>166666.66666666645</v>
      </c>
      <c r="D36" s="12">
        <f t="shared" si="2"/>
        <v>1551.3888888888869</v>
      </c>
      <c r="E36" s="12">
        <f t="shared" si="3"/>
        <v>16666.666666666668</v>
      </c>
      <c r="F36" s="12">
        <f t="shared" si="4"/>
        <v>18218.055555555555</v>
      </c>
      <c r="G36" s="12">
        <f t="shared" si="5"/>
        <v>149999.9999999998</v>
      </c>
    </row>
    <row r="37" spans="1:7">
      <c r="A37" s="1"/>
      <c r="B37" s="11">
        <v>28</v>
      </c>
      <c r="C37" s="12">
        <f t="shared" si="1"/>
        <v>149999.9999999998</v>
      </c>
      <c r="D37" s="12">
        <f t="shared" si="2"/>
        <v>1396.2499999999982</v>
      </c>
      <c r="E37" s="12">
        <f t="shared" si="3"/>
        <v>16666.666666666668</v>
      </c>
      <c r="F37" s="12">
        <f t="shared" si="4"/>
        <v>18062.916666666664</v>
      </c>
      <c r="G37" s="12">
        <f t="shared" si="5"/>
        <v>133333.33333333314</v>
      </c>
    </row>
    <row r="38" spans="1:7">
      <c r="A38" s="1"/>
      <c r="B38" s="11">
        <v>29</v>
      </c>
      <c r="C38" s="12">
        <f t="shared" si="1"/>
        <v>133333.33333333314</v>
      </c>
      <c r="D38" s="12">
        <f t="shared" si="2"/>
        <v>1241.1111111111093</v>
      </c>
      <c r="E38" s="12">
        <f t="shared" si="3"/>
        <v>16666.666666666668</v>
      </c>
      <c r="F38" s="12">
        <f t="shared" si="4"/>
        <v>17907.777777777777</v>
      </c>
      <c r="G38" s="12">
        <f t="shared" si="5"/>
        <v>116666.66666666647</v>
      </c>
    </row>
    <row r="39" spans="1:7">
      <c r="A39" s="1"/>
      <c r="B39" s="11">
        <v>30</v>
      </c>
      <c r="C39" s="12">
        <f t="shared" si="1"/>
        <v>116666.66666666647</v>
      </c>
      <c r="D39" s="12">
        <f t="shared" si="2"/>
        <v>1085.9722222222204</v>
      </c>
      <c r="E39" s="12">
        <f t="shared" si="3"/>
        <v>16666.666666666668</v>
      </c>
      <c r="F39" s="12">
        <f t="shared" si="4"/>
        <v>17752.638888888887</v>
      </c>
      <c r="G39" s="12">
        <f t="shared" si="5"/>
        <v>99999.999999999796</v>
      </c>
    </row>
    <row r="40" spans="1:7">
      <c r="A40" s="1"/>
      <c r="B40" s="11">
        <v>31</v>
      </c>
      <c r="C40" s="12">
        <f t="shared" si="1"/>
        <v>99999.999999999796</v>
      </c>
      <c r="D40" s="12">
        <f t="shared" si="2"/>
        <v>930.83333333333144</v>
      </c>
      <c r="E40" s="12">
        <f t="shared" si="3"/>
        <v>16666.666666666668</v>
      </c>
      <c r="F40" s="12">
        <f t="shared" si="4"/>
        <v>17597.5</v>
      </c>
      <c r="G40" s="12">
        <f t="shared" si="5"/>
        <v>83333.333333333125</v>
      </c>
    </row>
    <row r="41" spans="1:7">
      <c r="A41" s="1"/>
      <c r="B41" s="11">
        <v>32</v>
      </c>
      <c r="C41" s="12">
        <f t="shared" si="1"/>
        <v>83333.333333333125</v>
      </c>
      <c r="D41" s="12">
        <f t="shared" si="2"/>
        <v>775.69444444444252</v>
      </c>
      <c r="E41" s="12">
        <f t="shared" si="3"/>
        <v>16666.666666666668</v>
      </c>
      <c r="F41" s="12">
        <f t="shared" si="4"/>
        <v>17442.361111111109</v>
      </c>
      <c r="G41" s="12">
        <f t="shared" si="5"/>
        <v>66666.666666666453</v>
      </c>
    </row>
    <row r="42" spans="1:7">
      <c r="A42" s="1"/>
      <c r="B42" s="11">
        <v>33</v>
      </c>
      <c r="C42" s="12">
        <f t="shared" si="1"/>
        <v>66666.666666666453</v>
      </c>
      <c r="D42" s="12">
        <f t="shared" si="2"/>
        <v>620.55555555555361</v>
      </c>
      <c r="E42" s="12">
        <f t="shared" si="3"/>
        <v>16666.666666666668</v>
      </c>
      <c r="F42" s="12">
        <f t="shared" si="4"/>
        <v>17287.222222222223</v>
      </c>
      <c r="G42" s="12">
        <f t="shared" si="5"/>
        <v>49999.999999999782</v>
      </c>
    </row>
    <row r="43" spans="1:7">
      <c r="A43" s="1"/>
      <c r="B43" s="11">
        <v>34</v>
      </c>
      <c r="C43" s="12">
        <f t="shared" si="1"/>
        <v>49999.999999999782</v>
      </c>
      <c r="D43" s="12">
        <f t="shared" si="2"/>
        <v>465.41666666666464</v>
      </c>
      <c r="E43" s="12">
        <f t="shared" si="3"/>
        <v>16666.666666666668</v>
      </c>
      <c r="F43" s="12">
        <f t="shared" si="4"/>
        <v>17132.083333333332</v>
      </c>
      <c r="G43" s="12">
        <f t="shared" si="5"/>
        <v>33333.33333333311</v>
      </c>
    </row>
    <row r="44" spans="1:7">
      <c r="A44" s="1"/>
      <c r="B44" s="11">
        <v>35</v>
      </c>
      <c r="C44" s="12">
        <f t="shared" si="1"/>
        <v>33333.33333333311</v>
      </c>
      <c r="D44" s="12">
        <f t="shared" si="2"/>
        <v>310.27777777777573</v>
      </c>
      <c r="E44" s="12">
        <f t="shared" si="3"/>
        <v>16666.666666666668</v>
      </c>
      <c r="F44" s="12">
        <f t="shared" si="4"/>
        <v>16976.944444444445</v>
      </c>
      <c r="G44" s="12">
        <f t="shared" si="5"/>
        <v>16666.666666666442</v>
      </c>
    </row>
    <row r="45" spans="1:7">
      <c r="A45" s="1"/>
      <c r="B45" s="13">
        <v>36</v>
      </c>
      <c r="C45" s="14">
        <f t="shared" si="1"/>
        <v>16666.666666666442</v>
      </c>
      <c r="D45" s="14">
        <f t="shared" si="2"/>
        <v>155.13888888888681</v>
      </c>
      <c r="E45" s="14">
        <f t="shared" si="3"/>
        <v>16666.666666666668</v>
      </c>
      <c r="F45" s="14">
        <f t="shared" si="4"/>
        <v>16821.805555555555</v>
      </c>
      <c r="G45" s="14">
        <f t="shared" si="5"/>
        <v>-2.255546860396862E-10</v>
      </c>
    </row>
    <row r="46" spans="1:7">
      <c r="G46" s="3"/>
    </row>
  </sheetData>
  <mergeCells count="2">
    <mergeCell ref="B2:C2"/>
    <mergeCell ref="B3:C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AJ44"/>
  <sheetViews>
    <sheetView workbookViewId="0">
      <pane xSplit="1" ySplit="4" topLeftCell="N12" activePane="bottomRight" state="frozen"/>
      <selection pane="topRight" activeCell="B1" sqref="B1"/>
      <selection pane="bottomLeft" activeCell="A5" sqref="A5"/>
      <selection pane="bottomRight" activeCell="AA39" sqref="AA39"/>
    </sheetView>
  </sheetViews>
  <sheetFormatPr baseColWidth="10" defaultRowHeight="12.75" outlineLevelCol="1"/>
  <cols>
    <col min="1" max="1" width="37.5703125" style="16" customWidth="1"/>
    <col min="2" max="13" width="0" style="16" hidden="1" customWidth="1" outlineLevel="1"/>
    <col min="14" max="14" width="11.42578125" style="16" collapsed="1"/>
    <col min="15" max="26" width="0" style="16" hidden="1" customWidth="1" outlineLevel="1"/>
    <col min="27" max="27" width="11.42578125" style="16" collapsed="1"/>
    <col min="28" max="28" width="16" style="16" customWidth="1"/>
    <col min="29" max="16384" width="11.42578125" style="16"/>
  </cols>
  <sheetData>
    <row r="2" spans="1:36">
      <c r="A2" s="17" t="s">
        <v>188</v>
      </c>
    </row>
    <row r="3" spans="1:36">
      <c r="B3" s="19"/>
      <c r="C3" s="19"/>
      <c r="D3" s="19"/>
      <c r="E3" s="19"/>
      <c r="F3" s="19"/>
      <c r="G3" s="19"/>
      <c r="H3" s="19"/>
      <c r="I3" s="19"/>
      <c r="J3" s="19"/>
      <c r="K3" s="19"/>
      <c r="L3" s="19"/>
      <c r="M3" s="19"/>
      <c r="N3" s="19" t="s">
        <v>4</v>
      </c>
      <c r="O3" s="44"/>
      <c r="P3" s="44"/>
      <c r="Q3" s="44"/>
      <c r="R3" s="44"/>
      <c r="S3" s="44"/>
      <c r="T3" s="44"/>
      <c r="U3" s="44"/>
      <c r="V3" s="44"/>
      <c r="W3" s="44"/>
      <c r="X3" s="44"/>
      <c r="Y3" s="44"/>
      <c r="Z3" s="44"/>
      <c r="AA3" s="19" t="s">
        <v>5</v>
      </c>
      <c r="AB3" s="19" t="s">
        <v>8</v>
      </c>
    </row>
    <row r="4" spans="1:36">
      <c r="B4" s="19">
        <v>1</v>
      </c>
      <c r="C4" s="19">
        <v>2</v>
      </c>
      <c r="D4" s="19">
        <v>3</v>
      </c>
      <c r="E4" s="19">
        <v>4</v>
      </c>
      <c r="F4" s="19">
        <v>5</v>
      </c>
      <c r="G4" s="19">
        <v>6</v>
      </c>
      <c r="H4" s="19">
        <v>7</v>
      </c>
      <c r="I4" s="19">
        <v>8</v>
      </c>
      <c r="J4" s="19">
        <v>9</v>
      </c>
      <c r="K4" s="19">
        <v>10</v>
      </c>
      <c r="L4" s="19">
        <v>11</v>
      </c>
      <c r="M4" s="19">
        <v>12</v>
      </c>
      <c r="N4" s="19" t="s">
        <v>1</v>
      </c>
      <c r="O4" s="19">
        <v>1</v>
      </c>
      <c r="P4" s="19">
        <v>2</v>
      </c>
      <c r="Q4" s="19">
        <v>3</v>
      </c>
      <c r="R4" s="19">
        <v>4</v>
      </c>
      <c r="S4" s="19">
        <v>5</v>
      </c>
      <c r="T4" s="19">
        <v>6</v>
      </c>
      <c r="U4" s="19">
        <v>7</v>
      </c>
      <c r="V4" s="19">
        <v>8</v>
      </c>
      <c r="W4" s="19">
        <v>9</v>
      </c>
      <c r="X4" s="19">
        <v>10</v>
      </c>
      <c r="Y4" s="19">
        <v>11</v>
      </c>
      <c r="Z4" s="19">
        <v>12</v>
      </c>
      <c r="AA4" s="19" t="s">
        <v>1</v>
      </c>
      <c r="AB4" s="44"/>
    </row>
    <row r="5" spans="1:36">
      <c r="N5" s="54"/>
      <c r="O5" s="55"/>
      <c r="AA5" s="54"/>
      <c r="AB5" s="54"/>
    </row>
    <row r="6" spans="1:36">
      <c r="A6" s="16" t="s">
        <v>14</v>
      </c>
      <c r="B6" s="56">
        <f>Ventas!C45</f>
        <v>0</v>
      </c>
      <c r="C6" s="56">
        <f>Ventas!D45</f>
        <v>102500</v>
      </c>
      <c r="D6" s="56">
        <f>Ventas!E45</f>
        <v>102500</v>
      </c>
      <c r="E6" s="56">
        <f>Ventas!F45</f>
        <v>158750</v>
      </c>
      <c r="F6" s="56">
        <f>Ventas!G45</f>
        <v>158750</v>
      </c>
      <c r="G6" s="56">
        <f>Ventas!H45</f>
        <v>825000</v>
      </c>
      <c r="H6" s="56">
        <f>Ventas!I45</f>
        <v>107500</v>
      </c>
      <c r="I6" s="56">
        <f>Ventas!J45</f>
        <v>107500</v>
      </c>
      <c r="J6" s="56">
        <f>Ventas!K45</f>
        <v>107500</v>
      </c>
      <c r="K6" s="56">
        <f>Ventas!L45</f>
        <v>151250</v>
      </c>
      <c r="L6" s="56">
        <f>Ventas!M45</f>
        <v>151250</v>
      </c>
      <c r="M6" s="56">
        <f>Ventas!N45</f>
        <v>668750</v>
      </c>
      <c r="N6" s="57">
        <f>SUM(B6:M6)</f>
        <v>2641250</v>
      </c>
      <c r="O6" s="56">
        <f>Ventas!Q45</f>
        <v>295500</v>
      </c>
      <c r="P6" s="56">
        <f>Ventas!R45</f>
        <v>295500</v>
      </c>
      <c r="Q6" s="56">
        <f>Ventas!S45</f>
        <v>295500</v>
      </c>
      <c r="R6" s="56">
        <f>Ventas!T45</f>
        <v>356750</v>
      </c>
      <c r="S6" s="56">
        <f>Ventas!U45</f>
        <v>370750</v>
      </c>
      <c r="T6" s="56">
        <f>Ventas!V45</f>
        <v>1363500</v>
      </c>
      <c r="U6" s="56">
        <f>Ventas!W45</f>
        <v>370750</v>
      </c>
      <c r="V6" s="56">
        <f>Ventas!X45</f>
        <v>370750</v>
      </c>
      <c r="W6" s="56">
        <f>Ventas!Y45</f>
        <v>370750</v>
      </c>
      <c r="X6" s="56">
        <f>Ventas!Z45</f>
        <v>370750</v>
      </c>
      <c r="Y6" s="56">
        <f>Ventas!AA45</f>
        <v>370750</v>
      </c>
      <c r="Z6" s="56">
        <f>Ventas!AB45</f>
        <v>1363500</v>
      </c>
      <c r="AA6" s="57">
        <f>SUM(O6:Z6)</f>
        <v>6194750</v>
      </c>
      <c r="AB6" s="57">
        <f>Ventas!AE45</f>
        <v>13898750</v>
      </c>
      <c r="AC6" s="25"/>
      <c r="AD6" s="25"/>
      <c r="AE6" s="25"/>
      <c r="AF6" s="25"/>
      <c r="AG6" s="25"/>
      <c r="AH6" s="25"/>
      <c r="AI6" s="25"/>
      <c r="AJ6" s="25"/>
    </row>
    <row r="7" spans="1:36">
      <c r="A7" s="16" t="s">
        <v>15</v>
      </c>
      <c r="B7" s="56">
        <f>Egresos!B8</f>
        <v>5000</v>
      </c>
      <c r="C7" s="56">
        <f>Egresos!C8</f>
        <v>5000</v>
      </c>
      <c r="D7" s="56">
        <f>Egresos!D8</f>
        <v>5000</v>
      </c>
      <c r="E7" s="56">
        <f>Egresos!E8</f>
        <v>5000</v>
      </c>
      <c r="F7" s="56">
        <f>Egresos!F8</f>
        <v>5000</v>
      </c>
      <c r="G7" s="56">
        <f>Egresos!G8</f>
        <v>5000</v>
      </c>
      <c r="H7" s="56">
        <f>Egresos!H8</f>
        <v>5000</v>
      </c>
      <c r="I7" s="56">
        <f>Egresos!I8</f>
        <v>5000</v>
      </c>
      <c r="J7" s="56">
        <f>Egresos!J8</f>
        <v>5000</v>
      </c>
      <c r="K7" s="56">
        <f>Egresos!K8</f>
        <v>5000</v>
      </c>
      <c r="L7" s="56">
        <f>Egresos!L8</f>
        <v>5000</v>
      </c>
      <c r="M7" s="56">
        <f>Egresos!M8</f>
        <v>5000</v>
      </c>
      <c r="N7" s="57">
        <f>SUM(B7:M7)</f>
        <v>60000</v>
      </c>
      <c r="O7" s="56">
        <f>Egresos!O8</f>
        <v>8000</v>
      </c>
      <c r="P7" s="56">
        <f>Egresos!P8</f>
        <v>8000</v>
      </c>
      <c r="Q7" s="56">
        <f>Egresos!Q8</f>
        <v>8000</v>
      </c>
      <c r="R7" s="56">
        <f>Egresos!R8</f>
        <v>8000</v>
      </c>
      <c r="S7" s="56">
        <f>Egresos!S8</f>
        <v>8000</v>
      </c>
      <c r="T7" s="56">
        <f>Egresos!T8</f>
        <v>8000</v>
      </c>
      <c r="U7" s="56">
        <f>Egresos!U8</f>
        <v>8000</v>
      </c>
      <c r="V7" s="56">
        <f>Egresos!V8</f>
        <v>8000</v>
      </c>
      <c r="W7" s="56">
        <f>Egresos!W8</f>
        <v>8000</v>
      </c>
      <c r="X7" s="56">
        <f>Egresos!X8</f>
        <v>8000</v>
      </c>
      <c r="Y7" s="56">
        <f>Egresos!Y8</f>
        <v>8000</v>
      </c>
      <c r="Z7" s="56">
        <f>Egresos!Z8</f>
        <v>8000</v>
      </c>
      <c r="AA7" s="57">
        <f>SUM(O7:Z7)</f>
        <v>96000</v>
      </c>
      <c r="AB7" s="57">
        <f>Egresos!AB8</f>
        <v>130000</v>
      </c>
      <c r="AC7" s="25"/>
      <c r="AD7" s="25"/>
      <c r="AE7" s="25"/>
      <c r="AF7" s="25"/>
      <c r="AG7" s="25"/>
      <c r="AH7" s="25"/>
      <c r="AI7" s="25"/>
      <c r="AJ7" s="25"/>
    </row>
    <row r="8" spans="1:36" s="28" customFormat="1">
      <c r="A8" s="28" t="s">
        <v>35</v>
      </c>
      <c r="B8" s="58">
        <f>B6-B7</f>
        <v>-5000</v>
      </c>
      <c r="C8" s="58">
        <f t="shared" ref="C8:M8" si="0">C6-C7</f>
        <v>97500</v>
      </c>
      <c r="D8" s="58">
        <f t="shared" si="0"/>
        <v>97500</v>
      </c>
      <c r="E8" s="58">
        <f t="shared" si="0"/>
        <v>153750</v>
      </c>
      <c r="F8" s="58">
        <f t="shared" si="0"/>
        <v>153750</v>
      </c>
      <c r="G8" s="58">
        <f t="shared" si="0"/>
        <v>820000</v>
      </c>
      <c r="H8" s="58">
        <f t="shared" si="0"/>
        <v>102500</v>
      </c>
      <c r="I8" s="58">
        <f t="shared" si="0"/>
        <v>102500</v>
      </c>
      <c r="J8" s="58">
        <f t="shared" si="0"/>
        <v>102500</v>
      </c>
      <c r="K8" s="58">
        <f t="shared" si="0"/>
        <v>146250</v>
      </c>
      <c r="L8" s="58">
        <f t="shared" si="0"/>
        <v>146250</v>
      </c>
      <c r="M8" s="58">
        <f t="shared" si="0"/>
        <v>663750</v>
      </c>
      <c r="N8" s="59">
        <f>SUM(B8:M8)</f>
        <v>2581250</v>
      </c>
      <c r="O8" s="122">
        <f t="shared" ref="O8:Z8" si="1">O6-O7</f>
        <v>287500</v>
      </c>
      <c r="P8" s="58">
        <f t="shared" si="1"/>
        <v>287500</v>
      </c>
      <c r="Q8" s="58">
        <f t="shared" si="1"/>
        <v>287500</v>
      </c>
      <c r="R8" s="58">
        <f t="shared" si="1"/>
        <v>348750</v>
      </c>
      <c r="S8" s="58">
        <f t="shared" si="1"/>
        <v>362750</v>
      </c>
      <c r="T8" s="58">
        <f t="shared" si="1"/>
        <v>1355500</v>
      </c>
      <c r="U8" s="58">
        <f t="shared" si="1"/>
        <v>362750</v>
      </c>
      <c r="V8" s="58">
        <f t="shared" si="1"/>
        <v>362750</v>
      </c>
      <c r="W8" s="58">
        <f t="shared" si="1"/>
        <v>362750</v>
      </c>
      <c r="X8" s="58">
        <f t="shared" si="1"/>
        <v>362750</v>
      </c>
      <c r="Y8" s="58">
        <f t="shared" si="1"/>
        <v>362750</v>
      </c>
      <c r="Z8" s="58">
        <f t="shared" si="1"/>
        <v>1355500</v>
      </c>
      <c r="AA8" s="59">
        <f>SUM(O8:Z8)</f>
        <v>6098750</v>
      </c>
      <c r="AB8" s="59">
        <f>AB6-AB7</f>
        <v>13768750</v>
      </c>
    </row>
    <row r="9" spans="1:36">
      <c r="B9" s="40"/>
      <c r="C9" s="40"/>
      <c r="D9" s="40"/>
      <c r="E9" s="40"/>
      <c r="F9" s="40"/>
      <c r="G9" s="40"/>
      <c r="H9" s="40"/>
      <c r="I9" s="40"/>
      <c r="J9" s="40"/>
      <c r="K9" s="40"/>
      <c r="L9" s="40"/>
      <c r="M9" s="40"/>
      <c r="N9" s="57"/>
      <c r="O9" s="56"/>
      <c r="P9" s="40"/>
      <c r="Q9" s="40"/>
      <c r="R9" s="40"/>
      <c r="S9" s="40"/>
      <c r="T9" s="40"/>
      <c r="U9" s="40"/>
      <c r="V9" s="40"/>
      <c r="W9" s="40"/>
      <c r="X9" s="40"/>
      <c r="Y9" s="40"/>
      <c r="Z9" s="40"/>
      <c r="AA9" s="57"/>
      <c r="AB9" s="57"/>
    </row>
    <row r="10" spans="1:36">
      <c r="A10" s="28" t="s">
        <v>16</v>
      </c>
      <c r="B10" s="40"/>
      <c r="C10" s="40"/>
      <c r="D10" s="40"/>
      <c r="E10" s="40"/>
      <c r="F10" s="40"/>
      <c r="G10" s="40"/>
      <c r="H10" s="40"/>
      <c r="I10" s="40"/>
      <c r="J10" s="40"/>
      <c r="K10" s="40"/>
      <c r="L10" s="40"/>
      <c r="M10" s="40"/>
      <c r="N10" s="57"/>
      <c r="O10" s="56"/>
      <c r="P10" s="40"/>
      <c r="Q10" s="40"/>
      <c r="R10" s="40"/>
      <c r="S10" s="40"/>
      <c r="T10" s="40"/>
      <c r="U10" s="40"/>
      <c r="V10" s="40"/>
      <c r="W10" s="40"/>
      <c r="X10" s="40"/>
      <c r="Y10" s="40"/>
      <c r="Z10" s="40"/>
      <c r="AA10" s="57"/>
      <c r="AB10" s="57"/>
    </row>
    <row r="11" spans="1:36">
      <c r="A11" s="16" t="str">
        <f>Egresos!A9</f>
        <v>Sueldo dueño y directivos</v>
      </c>
      <c r="B11" s="40">
        <f>Egresos!B9</f>
        <v>40000</v>
      </c>
      <c r="C11" s="40">
        <f>Egresos!C9</f>
        <v>40000</v>
      </c>
      <c r="D11" s="40">
        <f>Egresos!D9</f>
        <v>40000</v>
      </c>
      <c r="E11" s="40">
        <f>Egresos!E9</f>
        <v>40000</v>
      </c>
      <c r="F11" s="40">
        <f>Egresos!F9</f>
        <v>40000</v>
      </c>
      <c r="G11" s="40">
        <f>Egresos!G9</f>
        <v>40000</v>
      </c>
      <c r="H11" s="40">
        <f>Egresos!H9</f>
        <v>40000</v>
      </c>
      <c r="I11" s="40">
        <f>Egresos!I9</f>
        <v>40000</v>
      </c>
      <c r="J11" s="40">
        <f>Egresos!J9</f>
        <v>40000</v>
      </c>
      <c r="K11" s="40">
        <f>Egresos!K9</f>
        <v>40000</v>
      </c>
      <c r="L11" s="40">
        <f>Egresos!L9</f>
        <v>40000</v>
      </c>
      <c r="M11" s="40">
        <f>Egresos!M9</f>
        <v>40000</v>
      </c>
      <c r="N11" s="57">
        <f>SUM(B11:M11)</f>
        <v>480000</v>
      </c>
      <c r="O11" s="56">
        <f>Egresos!O9</f>
        <v>40000</v>
      </c>
      <c r="P11" s="40">
        <f>Egresos!P9</f>
        <v>40000</v>
      </c>
      <c r="Q11" s="40">
        <f>Egresos!Q9</f>
        <v>40000</v>
      </c>
      <c r="R11" s="40">
        <f>Egresos!R9</f>
        <v>40000</v>
      </c>
      <c r="S11" s="40">
        <f>Egresos!S9</f>
        <v>40000</v>
      </c>
      <c r="T11" s="40">
        <f>Egresos!T9</f>
        <v>40000</v>
      </c>
      <c r="U11" s="40">
        <f>Egresos!U9</f>
        <v>40000</v>
      </c>
      <c r="V11" s="40">
        <f>Egresos!V9</f>
        <v>40000</v>
      </c>
      <c r="W11" s="40">
        <f>Egresos!W9</f>
        <v>40000</v>
      </c>
      <c r="X11" s="40">
        <f>Egresos!X9</f>
        <v>40000</v>
      </c>
      <c r="Y11" s="40">
        <f>Egresos!Y9</f>
        <v>40000</v>
      </c>
      <c r="Z11" s="40">
        <f>Egresos!Z9</f>
        <v>40000</v>
      </c>
      <c r="AA11" s="57">
        <f>SUM(O11:Z11)</f>
        <v>480000</v>
      </c>
      <c r="AB11" s="57">
        <f>Egresos!AB9</f>
        <v>480000</v>
      </c>
    </row>
    <row r="12" spans="1:36">
      <c r="A12" s="16" t="str">
        <f>Egresos!A10</f>
        <v>Salarios personal de tienda, oficina, …</v>
      </c>
      <c r="B12" s="40">
        <f>Egresos!B10</f>
        <v>0</v>
      </c>
      <c r="C12" s="40">
        <f>Egresos!C10</f>
        <v>0</v>
      </c>
      <c r="D12" s="40">
        <f>Egresos!D10</f>
        <v>0</v>
      </c>
      <c r="E12" s="40">
        <f>Egresos!E10</f>
        <v>0</v>
      </c>
      <c r="F12" s="40">
        <f>Egresos!F10</f>
        <v>0</v>
      </c>
      <c r="G12" s="40">
        <f>Egresos!G10</f>
        <v>0</v>
      </c>
      <c r="H12" s="40">
        <f>Egresos!H10</f>
        <v>12000</v>
      </c>
      <c r="I12" s="40">
        <f>Egresos!I10</f>
        <v>12000</v>
      </c>
      <c r="J12" s="40">
        <f>Egresos!J10</f>
        <v>12000</v>
      </c>
      <c r="K12" s="40">
        <f>Egresos!K10</f>
        <v>12000</v>
      </c>
      <c r="L12" s="40">
        <f>Egresos!L10</f>
        <v>12000</v>
      </c>
      <c r="M12" s="40">
        <f>Egresos!M10</f>
        <v>12000</v>
      </c>
      <c r="N12" s="57">
        <f>SUM(B12:M12)</f>
        <v>72000</v>
      </c>
      <c r="O12" s="56">
        <f>Egresos!O10</f>
        <v>16000</v>
      </c>
      <c r="P12" s="40">
        <f>Egresos!P10</f>
        <v>16000</v>
      </c>
      <c r="Q12" s="40">
        <f>Egresos!Q10</f>
        <v>16000</v>
      </c>
      <c r="R12" s="40">
        <f>Egresos!R10</f>
        <v>16000</v>
      </c>
      <c r="S12" s="40">
        <f>Egresos!S10</f>
        <v>16000</v>
      </c>
      <c r="T12" s="40">
        <f>Egresos!T10</f>
        <v>16000</v>
      </c>
      <c r="U12" s="40">
        <f>Egresos!U10</f>
        <v>16000</v>
      </c>
      <c r="V12" s="40">
        <f>Egresos!V10</f>
        <v>16000</v>
      </c>
      <c r="W12" s="40">
        <f>Egresos!W10</f>
        <v>16000</v>
      </c>
      <c r="X12" s="40">
        <f>Egresos!X10</f>
        <v>16000</v>
      </c>
      <c r="Y12" s="40">
        <f>Egresos!Y10</f>
        <v>16000</v>
      </c>
      <c r="Z12" s="40">
        <f>Egresos!Z10</f>
        <v>16000</v>
      </c>
      <c r="AA12" s="57">
        <f>SUM(O12:Z12)</f>
        <v>192000</v>
      </c>
      <c r="AB12" s="57">
        <f>Egresos!AB10</f>
        <v>240000</v>
      </c>
    </row>
    <row r="13" spans="1:36" s="28" customFormat="1">
      <c r="A13" s="28" t="s">
        <v>34</v>
      </c>
      <c r="B13" s="58">
        <f>SUM(B11:B12)</f>
        <v>40000</v>
      </c>
      <c r="C13" s="58">
        <f t="shared" ref="C13:M13" si="2">SUM(C11:C12)</f>
        <v>40000</v>
      </c>
      <c r="D13" s="58">
        <f t="shared" si="2"/>
        <v>40000</v>
      </c>
      <c r="E13" s="58">
        <f t="shared" si="2"/>
        <v>40000</v>
      </c>
      <c r="F13" s="58">
        <f t="shared" si="2"/>
        <v>40000</v>
      </c>
      <c r="G13" s="58">
        <f t="shared" si="2"/>
        <v>40000</v>
      </c>
      <c r="H13" s="58">
        <f t="shared" si="2"/>
        <v>52000</v>
      </c>
      <c r="I13" s="58">
        <f t="shared" si="2"/>
        <v>52000</v>
      </c>
      <c r="J13" s="58">
        <f t="shared" si="2"/>
        <v>52000</v>
      </c>
      <c r="K13" s="58">
        <f t="shared" si="2"/>
        <v>52000</v>
      </c>
      <c r="L13" s="58">
        <f t="shared" si="2"/>
        <v>52000</v>
      </c>
      <c r="M13" s="58">
        <f t="shared" si="2"/>
        <v>52000</v>
      </c>
      <c r="N13" s="59">
        <f t="shared" ref="N13:AB13" si="3">SUM(N11:N12)</f>
        <v>552000</v>
      </c>
      <c r="O13" s="122">
        <f t="shared" si="3"/>
        <v>56000</v>
      </c>
      <c r="P13" s="58">
        <f t="shared" si="3"/>
        <v>56000</v>
      </c>
      <c r="Q13" s="58">
        <f t="shared" si="3"/>
        <v>56000</v>
      </c>
      <c r="R13" s="58">
        <f t="shared" si="3"/>
        <v>56000</v>
      </c>
      <c r="S13" s="58">
        <f t="shared" si="3"/>
        <v>56000</v>
      </c>
      <c r="T13" s="58">
        <f t="shared" si="3"/>
        <v>56000</v>
      </c>
      <c r="U13" s="58">
        <f t="shared" si="3"/>
        <v>56000</v>
      </c>
      <c r="V13" s="58">
        <f t="shared" si="3"/>
        <v>56000</v>
      </c>
      <c r="W13" s="58">
        <f t="shared" si="3"/>
        <v>56000</v>
      </c>
      <c r="X13" s="58">
        <f t="shared" si="3"/>
        <v>56000</v>
      </c>
      <c r="Y13" s="58">
        <f t="shared" si="3"/>
        <v>56000</v>
      </c>
      <c r="Z13" s="58">
        <f t="shared" si="3"/>
        <v>56000</v>
      </c>
      <c r="AA13" s="59">
        <f>SUM(AA11:AA12)</f>
        <v>672000</v>
      </c>
      <c r="AB13" s="59">
        <f t="shared" si="3"/>
        <v>720000</v>
      </c>
    </row>
    <row r="14" spans="1:36">
      <c r="B14" s="40"/>
      <c r="C14" s="40"/>
      <c r="D14" s="40"/>
      <c r="E14" s="40"/>
      <c r="F14" s="40"/>
      <c r="G14" s="40"/>
      <c r="H14" s="40"/>
      <c r="I14" s="40"/>
      <c r="J14" s="40"/>
      <c r="K14" s="40"/>
      <c r="L14" s="40"/>
      <c r="M14" s="40"/>
      <c r="N14" s="57"/>
      <c r="O14" s="56"/>
      <c r="P14" s="40"/>
      <c r="Q14" s="40"/>
      <c r="R14" s="40"/>
      <c r="S14" s="40"/>
      <c r="T14" s="40"/>
      <c r="U14" s="40"/>
      <c r="V14" s="40"/>
      <c r="W14" s="40"/>
      <c r="X14" s="40"/>
      <c r="Y14" s="40"/>
      <c r="Z14" s="40"/>
      <c r="AA14" s="57"/>
      <c r="AB14" s="57"/>
    </row>
    <row r="15" spans="1:36">
      <c r="A15" s="28" t="s">
        <v>182</v>
      </c>
      <c r="B15" s="40"/>
      <c r="C15" s="40"/>
      <c r="D15" s="40"/>
      <c r="E15" s="40"/>
      <c r="F15" s="40"/>
      <c r="G15" s="40"/>
      <c r="H15" s="40"/>
      <c r="I15" s="40"/>
      <c r="J15" s="40"/>
      <c r="K15" s="40"/>
      <c r="L15" s="40"/>
      <c r="M15" s="40"/>
      <c r="N15" s="57"/>
      <c r="O15" s="56"/>
      <c r="P15" s="40"/>
      <c r="Q15" s="40"/>
      <c r="R15" s="40"/>
      <c r="S15" s="40"/>
      <c r="T15" s="40"/>
      <c r="U15" s="40"/>
      <c r="V15" s="40"/>
      <c r="W15" s="40"/>
      <c r="X15" s="40"/>
      <c r="Y15" s="40"/>
      <c r="Z15" s="40"/>
      <c r="AA15" s="57"/>
      <c r="AB15" s="57"/>
    </row>
    <row r="16" spans="1:36">
      <c r="A16" s="16" t="str">
        <f>Egresos!A11</f>
        <v>Material de oficina</v>
      </c>
      <c r="B16" s="40">
        <f>Egresos!B11</f>
        <v>50000</v>
      </c>
      <c r="C16" s="40">
        <f>Egresos!C11</f>
        <v>2000</v>
      </c>
      <c r="D16" s="40">
        <f>Egresos!D11</f>
        <v>2000</v>
      </c>
      <c r="E16" s="40">
        <f>Egresos!E11</f>
        <v>2000</v>
      </c>
      <c r="F16" s="40">
        <f>Egresos!F11</f>
        <v>2000</v>
      </c>
      <c r="G16" s="40">
        <f>Egresos!G11</f>
        <v>2000</v>
      </c>
      <c r="H16" s="40">
        <f>Egresos!H11</f>
        <v>2000</v>
      </c>
      <c r="I16" s="40">
        <f>Egresos!I11</f>
        <v>2000</v>
      </c>
      <c r="J16" s="40">
        <f>Egresos!J11</f>
        <v>2000</v>
      </c>
      <c r="K16" s="40">
        <f>Egresos!K11</f>
        <v>2000</v>
      </c>
      <c r="L16" s="40">
        <f>Egresos!L11</f>
        <v>2000</v>
      </c>
      <c r="M16" s="40">
        <f>Egresos!M11</f>
        <v>2000</v>
      </c>
      <c r="N16" s="57">
        <f t="shared" ref="N16:N31" si="4">SUM(B16:M16)</f>
        <v>72000</v>
      </c>
      <c r="O16" s="56">
        <f>Egresos!O11</f>
        <v>10000</v>
      </c>
      <c r="P16" s="56">
        <f>Egresos!P11</f>
        <v>2000</v>
      </c>
      <c r="Q16" s="56">
        <f>Egresos!Q11</f>
        <v>2000</v>
      </c>
      <c r="R16" s="56">
        <f>Egresos!R11</f>
        <v>2000</v>
      </c>
      <c r="S16" s="56">
        <f>Egresos!S11</f>
        <v>2000</v>
      </c>
      <c r="T16" s="56">
        <f>Egresos!T11</f>
        <v>2000</v>
      </c>
      <c r="U16" s="56">
        <f>Egresos!U11</f>
        <v>2000</v>
      </c>
      <c r="V16" s="56">
        <f>Egresos!V11</f>
        <v>2000</v>
      </c>
      <c r="W16" s="56">
        <f>Egresos!W11</f>
        <v>2000</v>
      </c>
      <c r="X16" s="56">
        <f>Egresos!X11</f>
        <v>2000</v>
      </c>
      <c r="Y16" s="56">
        <f>Egresos!Y11</f>
        <v>2000</v>
      </c>
      <c r="Z16" s="56">
        <f>Egresos!Z11</f>
        <v>2000</v>
      </c>
      <c r="AA16" s="57">
        <f>SUM(O16:Z16)</f>
        <v>32000</v>
      </c>
      <c r="AB16" s="57">
        <f>Egresos!AB11</f>
        <v>32000</v>
      </c>
    </row>
    <row r="17" spans="1:28">
      <c r="A17" s="16" t="str">
        <f>Egresos!A12</f>
        <v>Teléfono, Internet</v>
      </c>
      <c r="B17" s="40">
        <f>Egresos!B12</f>
        <v>4000</v>
      </c>
      <c r="C17" s="40">
        <f>Egresos!C12</f>
        <v>4000</v>
      </c>
      <c r="D17" s="40">
        <f>Egresos!D12</f>
        <v>4000</v>
      </c>
      <c r="E17" s="40">
        <f>Egresos!E12</f>
        <v>4000</v>
      </c>
      <c r="F17" s="40">
        <f>Egresos!F12</f>
        <v>4000</v>
      </c>
      <c r="G17" s="40">
        <f>Egresos!G12</f>
        <v>4000</v>
      </c>
      <c r="H17" s="40">
        <f>Egresos!H12</f>
        <v>4000</v>
      </c>
      <c r="I17" s="40">
        <f>Egresos!I12</f>
        <v>4000</v>
      </c>
      <c r="J17" s="40">
        <f>Egresos!J12</f>
        <v>4000</v>
      </c>
      <c r="K17" s="40">
        <f>Egresos!K12</f>
        <v>4000</v>
      </c>
      <c r="L17" s="40">
        <f>Egresos!L12</f>
        <v>4000</v>
      </c>
      <c r="M17" s="40">
        <f>Egresos!M12</f>
        <v>4000</v>
      </c>
      <c r="N17" s="57">
        <f t="shared" si="4"/>
        <v>48000</v>
      </c>
      <c r="O17" s="56">
        <f>Egresos!O12</f>
        <v>4000</v>
      </c>
      <c r="P17" s="56">
        <f>Egresos!P12</f>
        <v>4000</v>
      </c>
      <c r="Q17" s="56">
        <f>Egresos!Q12</f>
        <v>4000</v>
      </c>
      <c r="R17" s="56">
        <f>Egresos!R12</f>
        <v>4000</v>
      </c>
      <c r="S17" s="56">
        <f>Egresos!S12</f>
        <v>4000</v>
      </c>
      <c r="T17" s="56">
        <f>Egresos!T12</f>
        <v>4000</v>
      </c>
      <c r="U17" s="56">
        <f>Egresos!U12</f>
        <v>4000</v>
      </c>
      <c r="V17" s="56">
        <f>Egresos!V12</f>
        <v>4000</v>
      </c>
      <c r="W17" s="56">
        <f>Egresos!W12</f>
        <v>4000</v>
      </c>
      <c r="X17" s="56">
        <f>Egresos!X12</f>
        <v>4000</v>
      </c>
      <c r="Y17" s="56">
        <f>Egresos!Y12</f>
        <v>4000</v>
      </c>
      <c r="Z17" s="56">
        <f>Egresos!Z12</f>
        <v>4000</v>
      </c>
      <c r="AA17" s="57">
        <f t="shared" ref="AA17:AA31" si="5">SUM(O17:Z17)</f>
        <v>48000</v>
      </c>
      <c r="AB17" s="57">
        <f>Egresos!AB12</f>
        <v>48000</v>
      </c>
    </row>
    <row r="18" spans="1:28">
      <c r="A18" s="16" t="str">
        <f>Egresos!A13</f>
        <v>Transporte - entregas</v>
      </c>
      <c r="B18" s="40">
        <f>Egresos!B13</f>
        <v>6000</v>
      </c>
      <c r="C18" s="40">
        <f>Egresos!C13</f>
        <v>6000</v>
      </c>
      <c r="D18" s="40">
        <f>Egresos!D13</f>
        <v>6000</v>
      </c>
      <c r="E18" s="40">
        <f>Egresos!E13</f>
        <v>6000</v>
      </c>
      <c r="F18" s="40">
        <f>Egresos!F13</f>
        <v>6000</v>
      </c>
      <c r="G18" s="40">
        <f>Egresos!G13</f>
        <v>6000</v>
      </c>
      <c r="H18" s="40">
        <f>Egresos!H13</f>
        <v>6000</v>
      </c>
      <c r="I18" s="40">
        <f>Egresos!I13</f>
        <v>6000</v>
      </c>
      <c r="J18" s="40">
        <f>Egresos!J13</f>
        <v>6000</v>
      </c>
      <c r="K18" s="40">
        <f>Egresos!K13</f>
        <v>6000</v>
      </c>
      <c r="L18" s="40">
        <f>Egresos!L13</f>
        <v>6000</v>
      </c>
      <c r="M18" s="40">
        <f>Egresos!M13</f>
        <v>6000</v>
      </c>
      <c r="N18" s="57">
        <f t="shared" si="4"/>
        <v>72000</v>
      </c>
      <c r="O18" s="56">
        <f>Egresos!O13</f>
        <v>6000</v>
      </c>
      <c r="P18" s="56">
        <f>Egresos!P13</f>
        <v>6000</v>
      </c>
      <c r="Q18" s="56">
        <f>Egresos!Q13</f>
        <v>6000</v>
      </c>
      <c r="R18" s="56">
        <f>Egresos!R13</f>
        <v>6000</v>
      </c>
      <c r="S18" s="56">
        <f>Egresos!S13</f>
        <v>6000</v>
      </c>
      <c r="T18" s="56">
        <f>Egresos!T13</f>
        <v>6000</v>
      </c>
      <c r="U18" s="56">
        <f>Egresos!U13</f>
        <v>6000</v>
      </c>
      <c r="V18" s="56">
        <f>Egresos!V13</f>
        <v>6000</v>
      </c>
      <c r="W18" s="56">
        <f>Egresos!W13</f>
        <v>6000</v>
      </c>
      <c r="X18" s="56">
        <f>Egresos!X13</f>
        <v>6000</v>
      </c>
      <c r="Y18" s="56">
        <f>Egresos!Y13</f>
        <v>6000</v>
      </c>
      <c r="Z18" s="56">
        <f>Egresos!Z13</f>
        <v>6000</v>
      </c>
      <c r="AA18" s="57">
        <f t="shared" si="5"/>
        <v>72000</v>
      </c>
      <c r="AB18" s="57">
        <f>Egresos!AB13</f>
        <v>72000</v>
      </c>
    </row>
    <row r="19" spans="1:28">
      <c r="A19" s="16" t="str">
        <f>Egresos!A14</f>
        <v>Renta</v>
      </c>
      <c r="B19" s="40">
        <f>Egresos!B14</f>
        <v>8000</v>
      </c>
      <c r="C19" s="40">
        <f>Egresos!C14</f>
        <v>8000</v>
      </c>
      <c r="D19" s="40">
        <f>Egresos!D14</f>
        <v>8000</v>
      </c>
      <c r="E19" s="40">
        <f>Egresos!E14</f>
        <v>8000</v>
      </c>
      <c r="F19" s="40">
        <f>Egresos!F14</f>
        <v>8000</v>
      </c>
      <c r="G19" s="40">
        <f>Egresos!G14</f>
        <v>8000</v>
      </c>
      <c r="H19" s="40">
        <f>Egresos!H14</f>
        <v>8000</v>
      </c>
      <c r="I19" s="40">
        <f>Egresos!I14</f>
        <v>8000</v>
      </c>
      <c r="J19" s="40">
        <f>Egresos!J14</f>
        <v>8000</v>
      </c>
      <c r="K19" s="40">
        <f>Egresos!K14</f>
        <v>8000</v>
      </c>
      <c r="L19" s="40">
        <f>Egresos!L14</f>
        <v>8000</v>
      </c>
      <c r="M19" s="40">
        <f>Egresos!M14</f>
        <v>8000</v>
      </c>
      <c r="N19" s="57">
        <f t="shared" si="4"/>
        <v>96000</v>
      </c>
      <c r="O19" s="56">
        <f>Egresos!O14</f>
        <v>8000</v>
      </c>
      <c r="P19" s="56">
        <f>Egresos!P14</f>
        <v>8000</v>
      </c>
      <c r="Q19" s="56">
        <f>Egresos!Q14</f>
        <v>8000</v>
      </c>
      <c r="R19" s="56">
        <f>Egresos!R14</f>
        <v>8000</v>
      </c>
      <c r="S19" s="56">
        <f>Egresos!S14</f>
        <v>8000</v>
      </c>
      <c r="T19" s="56">
        <f>Egresos!T14</f>
        <v>8000</v>
      </c>
      <c r="U19" s="56">
        <f>Egresos!U14</f>
        <v>8000</v>
      </c>
      <c r="V19" s="56">
        <f>Egresos!V14</f>
        <v>8000</v>
      </c>
      <c r="W19" s="56">
        <f>Egresos!W14</f>
        <v>8000</v>
      </c>
      <c r="X19" s="56">
        <f>Egresos!X14</f>
        <v>8000</v>
      </c>
      <c r="Y19" s="56">
        <f>Egresos!Y14</f>
        <v>8000</v>
      </c>
      <c r="Z19" s="56">
        <f>Egresos!Z14</f>
        <v>8000</v>
      </c>
      <c r="AA19" s="57">
        <f t="shared" si="5"/>
        <v>96000</v>
      </c>
      <c r="AB19" s="57">
        <f>Egresos!AB14</f>
        <v>96000</v>
      </c>
    </row>
    <row r="20" spans="1:28">
      <c r="A20" s="16" t="str">
        <f>Egresos!A15</f>
        <v xml:space="preserve">Reparaciones y mantenimiento </v>
      </c>
      <c r="B20" s="40">
        <f>Egresos!B15</f>
        <v>8000</v>
      </c>
      <c r="C20" s="40">
        <f>Egresos!C15</f>
        <v>8000</v>
      </c>
      <c r="D20" s="40">
        <f>Egresos!D15</f>
        <v>8000</v>
      </c>
      <c r="E20" s="40">
        <f>Egresos!E15</f>
        <v>8000</v>
      </c>
      <c r="F20" s="40">
        <f>Egresos!F15</f>
        <v>8000</v>
      </c>
      <c r="G20" s="40">
        <f>Egresos!G15</f>
        <v>8000</v>
      </c>
      <c r="H20" s="40">
        <f>Egresos!H15</f>
        <v>8000</v>
      </c>
      <c r="I20" s="40">
        <f>Egresos!I15</f>
        <v>8000</v>
      </c>
      <c r="J20" s="40">
        <f>Egresos!J15</f>
        <v>8000</v>
      </c>
      <c r="K20" s="40">
        <f>Egresos!K15</f>
        <v>8000</v>
      </c>
      <c r="L20" s="40">
        <f>Egresos!L15</f>
        <v>8000</v>
      </c>
      <c r="M20" s="40">
        <f>Egresos!M15</f>
        <v>8000</v>
      </c>
      <c r="N20" s="57">
        <f t="shared" si="4"/>
        <v>96000</v>
      </c>
      <c r="O20" s="56">
        <f>Egresos!O15</f>
        <v>8000</v>
      </c>
      <c r="P20" s="56">
        <f>Egresos!P15</f>
        <v>8000</v>
      </c>
      <c r="Q20" s="56">
        <f>Egresos!Q15</f>
        <v>8000</v>
      </c>
      <c r="R20" s="56">
        <f>Egresos!R15</f>
        <v>8000</v>
      </c>
      <c r="S20" s="56">
        <f>Egresos!S15</f>
        <v>8000</v>
      </c>
      <c r="T20" s="56">
        <f>Egresos!T15</f>
        <v>8000</v>
      </c>
      <c r="U20" s="56">
        <f>Egresos!U15</f>
        <v>8000</v>
      </c>
      <c r="V20" s="56">
        <f>Egresos!V15</f>
        <v>8000</v>
      </c>
      <c r="W20" s="56">
        <f>Egresos!W15</f>
        <v>8000</v>
      </c>
      <c r="X20" s="56">
        <f>Egresos!X15</f>
        <v>8000</v>
      </c>
      <c r="Y20" s="56">
        <f>Egresos!Y15</f>
        <v>8000</v>
      </c>
      <c r="Z20" s="56">
        <f>Egresos!Z15</f>
        <v>8000</v>
      </c>
      <c r="AA20" s="57">
        <f t="shared" si="5"/>
        <v>96000</v>
      </c>
      <c r="AB20" s="57">
        <f>Egresos!AB15</f>
        <v>96000</v>
      </c>
    </row>
    <row r="21" spans="1:28">
      <c r="A21" s="16" t="str">
        <f>Egresos!A16</f>
        <v>Agua</v>
      </c>
      <c r="B21" s="40">
        <f>Egresos!B16</f>
        <v>40</v>
      </c>
      <c r="C21" s="40">
        <f>Egresos!C16</f>
        <v>40</v>
      </c>
      <c r="D21" s="40">
        <f>Egresos!D16</f>
        <v>40</v>
      </c>
      <c r="E21" s="40">
        <f>Egresos!E16</f>
        <v>40</v>
      </c>
      <c r="F21" s="40">
        <f>Egresos!F16</f>
        <v>40</v>
      </c>
      <c r="G21" s="40">
        <f>Egresos!G16</f>
        <v>40</v>
      </c>
      <c r="H21" s="40">
        <f>Egresos!H16</f>
        <v>40</v>
      </c>
      <c r="I21" s="40">
        <f>Egresos!I16</f>
        <v>40</v>
      </c>
      <c r="J21" s="40">
        <f>Egresos!J16</f>
        <v>40</v>
      </c>
      <c r="K21" s="40">
        <f>Egresos!K16</f>
        <v>40</v>
      </c>
      <c r="L21" s="40">
        <f>Egresos!L16</f>
        <v>40</v>
      </c>
      <c r="M21" s="40">
        <f>Egresos!M16</f>
        <v>40</v>
      </c>
      <c r="N21" s="57">
        <f t="shared" si="4"/>
        <v>480</v>
      </c>
      <c r="O21" s="56">
        <f>Egresos!O16</f>
        <v>40</v>
      </c>
      <c r="P21" s="56">
        <f>Egresos!P16</f>
        <v>40</v>
      </c>
      <c r="Q21" s="56">
        <f>Egresos!Q16</f>
        <v>40</v>
      </c>
      <c r="R21" s="56">
        <f>Egresos!R16</f>
        <v>40</v>
      </c>
      <c r="S21" s="56">
        <f>Egresos!S16</f>
        <v>40</v>
      </c>
      <c r="T21" s="56">
        <f>Egresos!T16</f>
        <v>40</v>
      </c>
      <c r="U21" s="56">
        <f>Egresos!U16</f>
        <v>40</v>
      </c>
      <c r="V21" s="56">
        <f>Egresos!V16</f>
        <v>40</v>
      </c>
      <c r="W21" s="56">
        <f>Egresos!W16</f>
        <v>40</v>
      </c>
      <c r="X21" s="56">
        <f>Egresos!X16</f>
        <v>40</v>
      </c>
      <c r="Y21" s="56">
        <f>Egresos!Y16</f>
        <v>40</v>
      </c>
      <c r="Z21" s="56">
        <f>Egresos!Z16</f>
        <v>40</v>
      </c>
      <c r="AA21" s="57">
        <f t="shared" si="5"/>
        <v>480</v>
      </c>
      <c r="AB21" s="57">
        <f>Egresos!AB16</f>
        <v>480</v>
      </c>
    </row>
    <row r="22" spans="1:28">
      <c r="A22" s="16" t="str">
        <f>Egresos!A17</f>
        <v>Energía eléctrica</v>
      </c>
      <c r="B22" s="40">
        <f>Egresos!B17</f>
        <v>4000</v>
      </c>
      <c r="C22" s="40">
        <f>Egresos!C17</f>
        <v>4000</v>
      </c>
      <c r="D22" s="40">
        <f>Egresos!D17</f>
        <v>4000</v>
      </c>
      <c r="E22" s="40">
        <f>Egresos!E17</f>
        <v>4000</v>
      </c>
      <c r="F22" s="40">
        <f>Egresos!F17</f>
        <v>4000</v>
      </c>
      <c r="G22" s="40">
        <f>Egresos!G17</f>
        <v>4000</v>
      </c>
      <c r="H22" s="40">
        <f>Egresos!H17</f>
        <v>4000</v>
      </c>
      <c r="I22" s="40">
        <f>Egresos!I17</f>
        <v>4000</v>
      </c>
      <c r="J22" s="40">
        <f>Egresos!J17</f>
        <v>4000</v>
      </c>
      <c r="K22" s="40">
        <f>Egresos!K17</f>
        <v>4000</v>
      </c>
      <c r="L22" s="40">
        <f>Egresos!L17</f>
        <v>4000</v>
      </c>
      <c r="M22" s="40">
        <f>Egresos!M17</f>
        <v>4000</v>
      </c>
      <c r="N22" s="57">
        <f t="shared" si="4"/>
        <v>48000</v>
      </c>
      <c r="O22" s="56">
        <f>Egresos!O17</f>
        <v>4000</v>
      </c>
      <c r="P22" s="56">
        <f>Egresos!P17</f>
        <v>4000</v>
      </c>
      <c r="Q22" s="56">
        <f>Egresos!Q17</f>
        <v>4000</v>
      </c>
      <c r="R22" s="56">
        <f>Egresos!R17</f>
        <v>4000</v>
      </c>
      <c r="S22" s="56">
        <f>Egresos!S17</f>
        <v>4000</v>
      </c>
      <c r="T22" s="56">
        <f>Egresos!T17</f>
        <v>4000</v>
      </c>
      <c r="U22" s="56">
        <f>Egresos!U17</f>
        <v>4000</v>
      </c>
      <c r="V22" s="56">
        <f>Egresos!V17</f>
        <v>4000</v>
      </c>
      <c r="W22" s="56">
        <f>Egresos!W17</f>
        <v>4000</v>
      </c>
      <c r="X22" s="56">
        <f>Egresos!X17</f>
        <v>4000</v>
      </c>
      <c r="Y22" s="56">
        <f>Egresos!Y17</f>
        <v>4000</v>
      </c>
      <c r="Z22" s="56">
        <f>Egresos!Z17</f>
        <v>4000</v>
      </c>
      <c r="AA22" s="57">
        <f t="shared" si="5"/>
        <v>48000</v>
      </c>
      <c r="AB22" s="57">
        <f>Egresos!AB17</f>
        <v>48000</v>
      </c>
    </row>
    <row r="23" spans="1:28">
      <c r="A23" s="16" t="str">
        <f>Egresos!A18</f>
        <v>Seguros</v>
      </c>
      <c r="B23" s="40">
        <f>Egresos!B18</f>
        <v>3000</v>
      </c>
      <c r="C23" s="40">
        <f>Egresos!C18</f>
        <v>3000</v>
      </c>
      <c r="D23" s="40">
        <f>Egresos!D18</f>
        <v>3000</v>
      </c>
      <c r="E23" s="40">
        <f>Egresos!E18</f>
        <v>3000</v>
      </c>
      <c r="F23" s="40">
        <f>Egresos!F18</f>
        <v>3000</v>
      </c>
      <c r="G23" s="40">
        <f>Egresos!G18</f>
        <v>3000</v>
      </c>
      <c r="H23" s="40">
        <f>Egresos!H18</f>
        <v>3000</v>
      </c>
      <c r="I23" s="40">
        <f>Egresos!I18</f>
        <v>3000</v>
      </c>
      <c r="J23" s="40">
        <f>Egresos!J18</f>
        <v>3000</v>
      </c>
      <c r="K23" s="40">
        <f>Egresos!K18</f>
        <v>3000</v>
      </c>
      <c r="L23" s="40">
        <f>Egresos!L18</f>
        <v>3000</v>
      </c>
      <c r="M23" s="40">
        <f>Egresos!M18</f>
        <v>3000</v>
      </c>
      <c r="N23" s="57">
        <f t="shared" si="4"/>
        <v>36000</v>
      </c>
      <c r="O23" s="56">
        <f>Egresos!O18</f>
        <v>3000</v>
      </c>
      <c r="P23" s="56">
        <f>Egresos!P18</f>
        <v>3000</v>
      </c>
      <c r="Q23" s="56">
        <f>Egresos!Q18</f>
        <v>3000</v>
      </c>
      <c r="R23" s="56">
        <f>Egresos!R18</f>
        <v>3000</v>
      </c>
      <c r="S23" s="56">
        <f>Egresos!S18</f>
        <v>3000</v>
      </c>
      <c r="T23" s="56">
        <f>Egresos!T18</f>
        <v>3000</v>
      </c>
      <c r="U23" s="56">
        <f>Egresos!U18</f>
        <v>3000</v>
      </c>
      <c r="V23" s="56">
        <f>Egresos!V18</f>
        <v>3000</v>
      </c>
      <c r="W23" s="56">
        <f>Egresos!W18</f>
        <v>3000</v>
      </c>
      <c r="X23" s="56">
        <f>Egresos!X18</f>
        <v>3000</v>
      </c>
      <c r="Y23" s="56">
        <f>Egresos!Y18</f>
        <v>3000</v>
      </c>
      <c r="Z23" s="56">
        <f>Egresos!Z18</f>
        <v>3000</v>
      </c>
      <c r="AA23" s="57">
        <f t="shared" si="5"/>
        <v>36000</v>
      </c>
      <c r="AB23" s="57">
        <f>Egresos!AB18</f>
        <v>36000</v>
      </c>
    </row>
    <row r="24" spans="1:28">
      <c r="A24" s="16" t="str">
        <f>Egresos!A19</f>
        <v>Licencias</v>
      </c>
      <c r="B24" s="40">
        <f>Egresos!B19</f>
        <v>10000</v>
      </c>
      <c r="C24" s="40">
        <f>Egresos!C19</f>
        <v>10000</v>
      </c>
      <c r="D24" s="40">
        <f>Egresos!D19</f>
        <v>10000</v>
      </c>
      <c r="E24" s="40">
        <f>Egresos!E19</f>
        <v>10000</v>
      </c>
      <c r="F24" s="40">
        <f>Egresos!F19</f>
        <v>10000</v>
      </c>
      <c r="G24" s="40">
        <f>Egresos!G19</f>
        <v>10000</v>
      </c>
      <c r="H24" s="40">
        <f>Egresos!H19</f>
        <v>10000</v>
      </c>
      <c r="I24" s="40">
        <f>Egresos!I19</f>
        <v>10000</v>
      </c>
      <c r="J24" s="40">
        <f>Egresos!J19</f>
        <v>10000</v>
      </c>
      <c r="K24" s="40">
        <f>Egresos!K19</f>
        <v>10000</v>
      </c>
      <c r="L24" s="40">
        <f>Egresos!L19</f>
        <v>10000</v>
      </c>
      <c r="M24" s="40">
        <f>Egresos!M19</f>
        <v>10000</v>
      </c>
      <c r="N24" s="57">
        <f t="shared" si="4"/>
        <v>120000</v>
      </c>
      <c r="O24" s="56">
        <f>Egresos!O19</f>
        <v>10000</v>
      </c>
      <c r="P24" s="56">
        <f>Egresos!P19</f>
        <v>10000</v>
      </c>
      <c r="Q24" s="56">
        <f>Egresos!Q19</f>
        <v>10000</v>
      </c>
      <c r="R24" s="56">
        <f>Egresos!R19</f>
        <v>10000</v>
      </c>
      <c r="S24" s="56">
        <f>Egresos!S19</f>
        <v>10000</v>
      </c>
      <c r="T24" s="56">
        <f>Egresos!T19</f>
        <v>10000</v>
      </c>
      <c r="U24" s="56">
        <f>Egresos!U19</f>
        <v>10000</v>
      </c>
      <c r="V24" s="56">
        <f>Egresos!V19</f>
        <v>10000</v>
      </c>
      <c r="W24" s="56">
        <f>Egresos!W19</f>
        <v>10000</v>
      </c>
      <c r="X24" s="56">
        <f>Egresos!X19</f>
        <v>10000</v>
      </c>
      <c r="Y24" s="56">
        <f>Egresos!Y19</f>
        <v>10000</v>
      </c>
      <c r="Z24" s="56">
        <f>Egresos!Z19</f>
        <v>10000</v>
      </c>
      <c r="AA24" s="57">
        <f t="shared" si="5"/>
        <v>120000</v>
      </c>
      <c r="AB24" s="57">
        <f>Egresos!AB19</f>
        <v>120000</v>
      </c>
    </row>
    <row r="25" spans="1:28">
      <c r="A25" s="16" t="str">
        <f>Egresos!A20</f>
        <v>Varios</v>
      </c>
      <c r="B25" s="40">
        <f>Egresos!B20</f>
        <v>20000</v>
      </c>
      <c r="C25" s="40">
        <f>Egresos!C20</f>
        <v>20000</v>
      </c>
      <c r="D25" s="40">
        <f>Egresos!D20</f>
        <v>20000</v>
      </c>
      <c r="E25" s="40">
        <f>Egresos!E20</f>
        <v>20000</v>
      </c>
      <c r="F25" s="40">
        <f>Egresos!F20</f>
        <v>20000</v>
      </c>
      <c r="G25" s="40">
        <f>Egresos!G20</f>
        <v>20000</v>
      </c>
      <c r="H25" s="40">
        <f>Egresos!H20</f>
        <v>20000</v>
      </c>
      <c r="I25" s="40">
        <f>Egresos!I20</f>
        <v>20000</v>
      </c>
      <c r="J25" s="40">
        <f>Egresos!J20</f>
        <v>20000</v>
      </c>
      <c r="K25" s="40">
        <f>Egresos!K20</f>
        <v>20000</v>
      </c>
      <c r="L25" s="40">
        <f>Egresos!L20</f>
        <v>20000</v>
      </c>
      <c r="M25" s="40">
        <f>Egresos!M20</f>
        <v>20000</v>
      </c>
      <c r="N25" s="57">
        <f t="shared" si="4"/>
        <v>240000</v>
      </c>
      <c r="O25" s="56">
        <f>Egresos!O20</f>
        <v>20000</v>
      </c>
      <c r="P25" s="56">
        <f>Egresos!P20</f>
        <v>20000</v>
      </c>
      <c r="Q25" s="56">
        <f>Egresos!Q20</f>
        <v>20000</v>
      </c>
      <c r="R25" s="56">
        <f>Egresos!R20</f>
        <v>20000</v>
      </c>
      <c r="S25" s="56">
        <f>Egresos!S20</f>
        <v>20000</v>
      </c>
      <c r="T25" s="56">
        <f>Egresos!T20</f>
        <v>20000</v>
      </c>
      <c r="U25" s="56">
        <f>Egresos!U20</f>
        <v>20000</v>
      </c>
      <c r="V25" s="56">
        <f>Egresos!V20</f>
        <v>20000</v>
      </c>
      <c r="W25" s="56">
        <f>Egresos!W20</f>
        <v>20000</v>
      </c>
      <c r="X25" s="56">
        <f>Egresos!X20</f>
        <v>20000</v>
      </c>
      <c r="Y25" s="56">
        <f>Egresos!Y20</f>
        <v>20000</v>
      </c>
      <c r="Z25" s="56">
        <f>Egresos!Z20</f>
        <v>20000</v>
      </c>
      <c r="AA25" s="57">
        <f t="shared" si="5"/>
        <v>240000</v>
      </c>
      <c r="AB25" s="57">
        <f>Egresos!AB20</f>
        <v>240000</v>
      </c>
    </row>
    <row r="26" spans="1:28">
      <c r="A26" s="16" t="str">
        <f>Egresos!A21</f>
        <v>Depreciación de Edificio</v>
      </c>
      <c r="B26" s="40">
        <f>Egresos!B21</f>
        <v>0</v>
      </c>
      <c r="C26" s="40">
        <f>Egresos!C21</f>
        <v>0</v>
      </c>
      <c r="D26" s="40">
        <f>Egresos!D21</f>
        <v>0</v>
      </c>
      <c r="E26" s="40">
        <f>Egresos!E21</f>
        <v>0</v>
      </c>
      <c r="F26" s="40">
        <f>Egresos!F21</f>
        <v>0</v>
      </c>
      <c r="G26" s="40">
        <f>Egresos!G21</f>
        <v>0</v>
      </c>
      <c r="H26" s="40">
        <f>Egresos!H21</f>
        <v>0</v>
      </c>
      <c r="I26" s="40">
        <f>Egresos!I21</f>
        <v>0</v>
      </c>
      <c r="J26" s="40">
        <f>Egresos!J21</f>
        <v>0</v>
      </c>
      <c r="K26" s="40">
        <f>Egresos!K21</f>
        <v>0</v>
      </c>
      <c r="L26" s="40">
        <f>Egresos!L21</f>
        <v>0</v>
      </c>
      <c r="M26" s="40">
        <f>Egresos!M21</f>
        <v>0</v>
      </c>
      <c r="N26" s="57">
        <f t="shared" si="4"/>
        <v>0</v>
      </c>
      <c r="O26" s="56">
        <f>Egresos!O21</f>
        <v>0</v>
      </c>
      <c r="P26" s="56">
        <f>Egresos!P21</f>
        <v>0</v>
      </c>
      <c r="Q26" s="56">
        <f>Egresos!Q21</f>
        <v>0</v>
      </c>
      <c r="R26" s="56">
        <f>Egresos!R21</f>
        <v>0</v>
      </c>
      <c r="S26" s="56">
        <f>Egresos!S21</f>
        <v>0</v>
      </c>
      <c r="T26" s="56">
        <f>Egresos!T21</f>
        <v>0</v>
      </c>
      <c r="U26" s="56">
        <f>Egresos!U21</f>
        <v>0</v>
      </c>
      <c r="V26" s="56">
        <f>Egresos!V21</f>
        <v>0</v>
      </c>
      <c r="W26" s="56">
        <f>Egresos!W21</f>
        <v>0</v>
      </c>
      <c r="X26" s="56">
        <f>Egresos!X21</f>
        <v>0</v>
      </c>
      <c r="Y26" s="56">
        <f>Egresos!Y21</f>
        <v>0</v>
      </c>
      <c r="Z26" s="56">
        <f>Egresos!Z21</f>
        <v>0</v>
      </c>
      <c r="AA26" s="57">
        <f t="shared" si="5"/>
        <v>0</v>
      </c>
      <c r="AB26" s="57">
        <f>Egresos!AB21</f>
        <v>0</v>
      </c>
    </row>
    <row r="27" spans="1:28">
      <c r="A27" s="16" t="str">
        <f>Egresos!A22</f>
        <v>Depreciación de Maquinaria, Eq y Herram</v>
      </c>
      <c r="B27" s="40">
        <f>Egresos!B22</f>
        <v>0</v>
      </c>
      <c r="C27" s="40">
        <f>Egresos!C22</f>
        <v>0</v>
      </c>
      <c r="D27" s="40">
        <f>Egresos!D22</f>
        <v>0</v>
      </c>
      <c r="E27" s="40">
        <f>Egresos!E22</f>
        <v>0</v>
      </c>
      <c r="F27" s="40">
        <f>Egresos!F22</f>
        <v>0</v>
      </c>
      <c r="G27" s="40">
        <f>Egresos!G22</f>
        <v>0</v>
      </c>
      <c r="H27" s="40">
        <f>Egresos!H22</f>
        <v>0</v>
      </c>
      <c r="I27" s="40">
        <f>Egresos!I22</f>
        <v>0</v>
      </c>
      <c r="J27" s="40">
        <f>Egresos!J22</f>
        <v>0</v>
      </c>
      <c r="K27" s="40">
        <f>Egresos!K22</f>
        <v>0</v>
      </c>
      <c r="L27" s="40">
        <f>Egresos!L22</f>
        <v>0</v>
      </c>
      <c r="M27" s="40">
        <f>Egresos!M22</f>
        <v>0</v>
      </c>
      <c r="N27" s="57">
        <f t="shared" si="4"/>
        <v>0</v>
      </c>
      <c r="O27" s="56">
        <f>Egresos!O22</f>
        <v>0</v>
      </c>
      <c r="P27" s="56">
        <f>Egresos!P22</f>
        <v>0</v>
      </c>
      <c r="Q27" s="56">
        <f>Egresos!Q22</f>
        <v>0</v>
      </c>
      <c r="R27" s="56">
        <f>Egresos!R22</f>
        <v>0</v>
      </c>
      <c r="S27" s="56">
        <f>Egresos!S22</f>
        <v>0</v>
      </c>
      <c r="T27" s="56">
        <f>Egresos!T22</f>
        <v>0</v>
      </c>
      <c r="U27" s="56">
        <f>Egresos!U22</f>
        <v>0</v>
      </c>
      <c r="V27" s="56">
        <f>Egresos!V22</f>
        <v>0</v>
      </c>
      <c r="W27" s="56">
        <f>Egresos!W22</f>
        <v>0</v>
      </c>
      <c r="X27" s="56">
        <f>Egresos!X22</f>
        <v>0</v>
      </c>
      <c r="Y27" s="56">
        <f>Egresos!Y22</f>
        <v>0</v>
      </c>
      <c r="Z27" s="56">
        <f>Egresos!Z22</f>
        <v>0</v>
      </c>
      <c r="AA27" s="57">
        <f t="shared" si="5"/>
        <v>0</v>
      </c>
      <c r="AB27" s="57">
        <f>Egresos!AB22</f>
        <v>0</v>
      </c>
    </row>
    <row r="28" spans="1:28">
      <c r="A28" s="16" t="str">
        <f>Egresos!A23</f>
        <v>Depreciación de Mobiliario y Equipo</v>
      </c>
      <c r="B28" s="40">
        <f>Egresos!B23</f>
        <v>2500</v>
      </c>
      <c r="C28" s="40">
        <f>Egresos!C23</f>
        <v>2500</v>
      </c>
      <c r="D28" s="40">
        <f>Egresos!D23</f>
        <v>2500</v>
      </c>
      <c r="E28" s="40">
        <f>Egresos!E23</f>
        <v>2500</v>
      </c>
      <c r="F28" s="40">
        <f>Egresos!F23</f>
        <v>2500</v>
      </c>
      <c r="G28" s="40">
        <f>Egresos!G23</f>
        <v>2500</v>
      </c>
      <c r="H28" s="40">
        <f>Egresos!H23</f>
        <v>2500</v>
      </c>
      <c r="I28" s="40">
        <f>Egresos!I23</f>
        <v>2500</v>
      </c>
      <c r="J28" s="40">
        <f>Egresos!J23</f>
        <v>2500</v>
      </c>
      <c r="K28" s="40">
        <f>Egresos!K23</f>
        <v>2500</v>
      </c>
      <c r="L28" s="40">
        <f>Egresos!L23</f>
        <v>2500</v>
      </c>
      <c r="M28" s="40">
        <f>Egresos!M23</f>
        <v>2500</v>
      </c>
      <c r="N28" s="57">
        <f t="shared" si="4"/>
        <v>30000</v>
      </c>
      <c r="O28" s="56">
        <f>Egresos!O23</f>
        <v>2500</v>
      </c>
      <c r="P28" s="56">
        <f>Egresos!P23</f>
        <v>2500</v>
      </c>
      <c r="Q28" s="56">
        <f>Egresos!Q23</f>
        <v>2500</v>
      </c>
      <c r="R28" s="56">
        <f>Egresos!R23</f>
        <v>2500</v>
      </c>
      <c r="S28" s="56">
        <f>Egresos!S23</f>
        <v>2500</v>
      </c>
      <c r="T28" s="56">
        <f>Egresos!T23</f>
        <v>2500</v>
      </c>
      <c r="U28" s="56">
        <f>Egresos!U23</f>
        <v>2500</v>
      </c>
      <c r="V28" s="56">
        <f>Egresos!V23</f>
        <v>2500</v>
      </c>
      <c r="W28" s="56">
        <f>Egresos!W23</f>
        <v>2500</v>
      </c>
      <c r="X28" s="56">
        <f>Egresos!X23</f>
        <v>2500</v>
      </c>
      <c r="Y28" s="56">
        <f>Egresos!Y23</f>
        <v>2500</v>
      </c>
      <c r="Z28" s="56">
        <f>Egresos!Z23</f>
        <v>2500</v>
      </c>
      <c r="AA28" s="57">
        <f t="shared" si="5"/>
        <v>30000</v>
      </c>
      <c r="AB28" s="57">
        <f>Egresos!AB23</f>
        <v>30000</v>
      </c>
    </row>
    <row r="29" spans="1:28">
      <c r="A29" s="16" t="str">
        <f>Egresos!A24</f>
        <v>Depreciación de Equipo de Transporte</v>
      </c>
      <c r="B29" s="40">
        <f>Egresos!B24</f>
        <v>6250</v>
      </c>
      <c r="C29" s="40">
        <f>Egresos!C24</f>
        <v>6250</v>
      </c>
      <c r="D29" s="40">
        <f>Egresos!D24</f>
        <v>6250</v>
      </c>
      <c r="E29" s="40">
        <f>Egresos!E24</f>
        <v>6250</v>
      </c>
      <c r="F29" s="40">
        <f>Egresos!F24</f>
        <v>6250</v>
      </c>
      <c r="G29" s="40">
        <f>Egresos!G24</f>
        <v>6250</v>
      </c>
      <c r="H29" s="40">
        <f>Egresos!H24</f>
        <v>6250</v>
      </c>
      <c r="I29" s="40">
        <f>Egresos!I24</f>
        <v>6250</v>
      </c>
      <c r="J29" s="40">
        <f>Egresos!J24</f>
        <v>6250</v>
      </c>
      <c r="K29" s="40">
        <f>Egresos!K24</f>
        <v>6250</v>
      </c>
      <c r="L29" s="40">
        <f>Egresos!L24</f>
        <v>6250</v>
      </c>
      <c r="M29" s="40">
        <f>Egresos!M24</f>
        <v>6250</v>
      </c>
      <c r="N29" s="57">
        <f t="shared" si="4"/>
        <v>75000</v>
      </c>
      <c r="O29" s="56">
        <f>Egresos!O24</f>
        <v>6250</v>
      </c>
      <c r="P29" s="56">
        <f>Egresos!P24</f>
        <v>6250</v>
      </c>
      <c r="Q29" s="56">
        <f>Egresos!Q24</f>
        <v>6250</v>
      </c>
      <c r="R29" s="56">
        <f>Egresos!R24</f>
        <v>6250</v>
      </c>
      <c r="S29" s="56">
        <f>Egresos!S24</f>
        <v>6250</v>
      </c>
      <c r="T29" s="56">
        <f>Egresos!T24</f>
        <v>6250</v>
      </c>
      <c r="U29" s="56">
        <f>Egresos!U24</f>
        <v>6250</v>
      </c>
      <c r="V29" s="56">
        <f>Egresos!V24</f>
        <v>6250</v>
      </c>
      <c r="W29" s="56">
        <f>Egresos!W24</f>
        <v>6250</v>
      </c>
      <c r="X29" s="56">
        <f>Egresos!X24</f>
        <v>6250</v>
      </c>
      <c r="Y29" s="56">
        <f>Egresos!Y24</f>
        <v>6250</v>
      </c>
      <c r="Z29" s="56">
        <f>Egresos!Z24</f>
        <v>6250</v>
      </c>
      <c r="AA29" s="57">
        <f t="shared" si="5"/>
        <v>75000</v>
      </c>
      <c r="AB29" s="57">
        <f>Egresos!AB24</f>
        <v>75000</v>
      </c>
    </row>
    <row r="30" spans="1:28">
      <c r="A30" s="16" t="str">
        <f>Egresos!A25</f>
        <v>Depreciación de Equipo de Cómputo</v>
      </c>
      <c r="B30" s="40">
        <f>Egresos!B25</f>
        <v>2500</v>
      </c>
      <c r="C30" s="40">
        <f>Egresos!C25</f>
        <v>2500</v>
      </c>
      <c r="D30" s="40">
        <f>Egresos!D25</f>
        <v>2500</v>
      </c>
      <c r="E30" s="40">
        <f>Egresos!E25</f>
        <v>2500</v>
      </c>
      <c r="F30" s="40">
        <f>Egresos!F25</f>
        <v>2500</v>
      </c>
      <c r="G30" s="40">
        <f>Egresos!G25</f>
        <v>2500</v>
      </c>
      <c r="H30" s="40">
        <f>Egresos!H25</f>
        <v>2500</v>
      </c>
      <c r="I30" s="40">
        <f>Egresos!I25</f>
        <v>2500</v>
      </c>
      <c r="J30" s="40">
        <f>Egresos!J25</f>
        <v>2500</v>
      </c>
      <c r="K30" s="40">
        <f>Egresos!K25</f>
        <v>2500</v>
      </c>
      <c r="L30" s="40">
        <f>Egresos!L25</f>
        <v>2500</v>
      </c>
      <c r="M30" s="40">
        <f>Egresos!M25</f>
        <v>2500</v>
      </c>
      <c r="N30" s="57">
        <f t="shared" si="4"/>
        <v>30000</v>
      </c>
      <c r="O30" s="56">
        <f>Egresos!O25</f>
        <v>2500</v>
      </c>
      <c r="P30" s="56">
        <f>Egresos!P25</f>
        <v>2500</v>
      </c>
      <c r="Q30" s="56">
        <f>Egresos!Q25</f>
        <v>2500</v>
      </c>
      <c r="R30" s="56">
        <f>Egresos!R25</f>
        <v>2500</v>
      </c>
      <c r="S30" s="56">
        <f>Egresos!S25</f>
        <v>2500</v>
      </c>
      <c r="T30" s="56">
        <f>Egresos!T25</f>
        <v>2500</v>
      </c>
      <c r="U30" s="56">
        <f>Egresos!U25</f>
        <v>2500</v>
      </c>
      <c r="V30" s="56">
        <f>Egresos!V25</f>
        <v>2500</v>
      </c>
      <c r="W30" s="56">
        <f>Egresos!W25</f>
        <v>2500</v>
      </c>
      <c r="X30" s="56">
        <f>Egresos!X25</f>
        <v>2500</v>
      </c>
      <c r="Y30" s="56">
        <f>Egresos!Y25</f>
        <v>2500</v>
      </c>
      <c r="Z30" s="56">
        <f>Egresos!Z25</f>
        <v>2500</v>
      </c>
      <c r="AA30" s="57">
        <f t="shared" si="5"/>
        <v>30000</v>
      </c>
      <c r="AB30" s="57">
        <f>Egresos!AB25</f>
        <v>30000</v>
      </c>
    </row>
    <row r="31" spans="1:28">
      <c r="A31" s="16" t="str">
        <f>Egresos!A26</f>
        <v>Pago de Intereses sobre créditos</v>
      </c>
      <c r="B31" s="40">
        <f>Egresos!B26</f>
        <v>4654.166666666667</v>
      </c>
      <c r="C31" s="40">
        <f>Egresos!C26</f>
        <v>4654.166666666667</v>
      </c>
      <c r="D31" s="40">
        <f>Egresos!D26</f>
        <v>4654.166666666667</v>
      </c>
      <c r="E31" s="40">
        <f>Egresos!E26</f>
        <v>4654.166666666667</v>
      </c>
      <c r="F31" s="40">
        <f>Egresos!F26</f>
        <v>4654.166666666667</v>
      </c>
      <c r="G31" s="40">
        <f>Egresos!G26</f>
        <v>4654.166666666667</v>
      </c>
      <c r="H31" s="40">
        <f>Egresos!H26</f>
        <v>4654.166666666667</v>
      </c>
      <c r="I31" s="40">
        <f>Egresos!I26</f>
        <v>4499.0277777777774</v>
      </c>
      <c r="J31" s="40">
        <f>Egresos!J26</f>
        <v>4343.8888888888887</v>
      </c>
      <c r="K31" s="40">
        <f>Egresos!K26</f>
        <v>4188.7499999999991</v>
      </c>
      <c r="L31" s="40">
        <f>Egresos!L26</f>
        <v>4033.6111111111104</v>
      </c>
      <c r="M31" s="40">
        <f>Egresos!M26</f>
        <v>3878.4722222222213</v>
      </c>
      <c r="N31" s="57">
        <f t="shared" si="4"/>
        <v>53522.916666666672</v>
      </c>
      <c r="O31" s="56">
        <f>Egresos!O26</f>
        <v>3723.3333333333321</v>
      </c>
      <c r="P31" s="56">
        <f>Egresos!P26</f>
        <v>3568.194444444443</v>
      </c>
      <c r="Q31" s="56">
        <f>Egresos!Q26</f>
        <v>3413.0555555555543</v>
      </c>
      <c r="R31" s="56">
        <f>Egresos!R26</f>
        <v>3257.9166666666652</v>
      </c>
      <c r="S31" s="56">
        <f>Egresos!S26</f>
        <v>3102.777777777776</v>
      </c>
      <c r="T31" s="56">
        <f>Egresos!T26</f>
        <v>2947.6388888888869</v>
      </c>
      <c r="U31" s="56">
        <f>Egresos!U26</f>
        <v>2792.4999999999977</v>
      </c>
      <c r="V31" s="56">
        <f>Egresos!V26</f>
        <v>2637.3611111111086</v>
      </c>
      <c r="W31" s="56">
        <f>Egresos!W26</f>
        <v>2482.2222222222199</v>
      </c>
      <c r="X31" s="56">
        <f>Egresos!X26</f>
        <v>2327.0833333333308</v>
      </c>
      <c r="Y31" s="56">
        <f>Egresos!Y26</f>
        <v>2171.9444444444421</v>
      </c>
      <c r="Z31" s="56">
        <f>Egresos!Z26</f>
        <v>2016.8055555555534</v>
      </c>
      <c r="AA31" s="57">
        <f t="shared" si="5"/>
        <v>34440.833333333314</v>
      </c>
      <c r="AB31" s="57">
        <f>Egresos!AB26</f>
        <v>12100.83333333331</v>
      </c>
    </row>
    <row r="32" spans="1:28">
      <c r="B32" s="40"/>
      <c r="C32" s="40"/>
      <c r="D32" s="40"/>
      <c r="E32" s="40"/>
      <c r="F32" s="40"/>
      <c r="G32" s="40"/>
      <c r="H32" s="40"/>
      <c r="I32" s="40"/>
      <c r="J32" s="40"/>
      <c r="K32" s="40"/>
      <c r="L32" s="40"/>
      <c r="M32" s="40"/>
      <c r="N32" s="57"/>
      <c r="O32" s="40"/>
      <c r="P32" s="40"/>
      <c r="Q32" s="40"/>
      <c r="R32" s="40"/>
      <c r="S32" s="40"/>
      <c r="T32" s="40"/>
      <c r="U32" s="40"/>
      <c r="V32" s="40"/>
      <c r="W32" s="40"/>
      <c r="X32" s="40"/>
      <c r="Y32" s="40"/>
      <c r="Z32" s="40"/>
      <c r="AA32" s="57"/>
      <c r="AB32" s="57"/>
    </row>
    <row r="33" spans="1:30">
      <c r="B33" s="40"/>
      <c r="C33" s="40"/>
      <c r="D33" s="40"/>
      <c r="E33" s="40"/>
      <c r="F33" s="40"/>
      <c r="G33" s="40"/>
      <c r="H33" s="40"/>
      <c r="I33" s="40"/>
      <c r="J33" s="40"/>
      <c r="K33" s="40"/>
      <c r="L33" s="40"/>
      <c r="M33" s="40"/>
      <c r="N33" s="57"/>
      <c r="O33" s="40"/>
      <c r="P33" s="40"/>
      <c r="Q33" s="40"/>
      <c r="R33" s="40"/>
      <c r="S33" s="40"/>
      <c r="T33" s="40"/>
      <c r="U33" s="40"/>
      <c r="V33" s="40"/>
      <c r="W33" s="40"/>
      <c r="X33" s="40"/>
      <c r="Y33" s="40"/>
      <c r="Z33" s="40"/>
      <c r="AA33" s="57"/>
      <c r="AB33" s="57"/>
    </row>
    <row r="34" spans="1:30">
      <c r="B34" s="40"/>
      <c r="C34" s="40"/>
      <c r="D34" s="40"/>
      <c r="E34" s="40"/>
      <c r="F34" s="40"/>
      <c r="G34" s="40"/>
      <c r="H34" s="40"/>
      <c r="I34" s="40"/>
      <c r="J34" s="40"/>
      <c r="K34" s="40"/>
      <c r="L34" s="40"/>
      <c r="M34" s="40"/>
      <c r="N34" s="57"/>
      <c r="O34" s="40"/>
      <c r="P34" s="40"/>
      <c r="Q34" s="40"/>
      <c r="R34" s="40"/>
      <c r="S34" s="40"/>
      <c r="T34" s="40"/>
      <c r="U34" s="40"/>
      <c r="V34" s="40"/>
      <c r="W34" s="40"/>
      <c r="X34" s="40"/>
      <c r="Y34" s="40"/>
      <c r="Z34" s="40"/>
      <c r="AA34" s="57"/>
      <c r="AB34" s="57"/>
    </row>
    <row r="35" spans="1:30" s="28" customFormat="1">
      <c r="A35" s="28" t="s">
        <v>183</v>
      </c>
      <c r="B35" s="58">
        <f>SUM(B16:B34)</f>
        <v>128944.16666666667</v>
      </c>
      <c r="C35" s="58">
        <f t="shared" ref="C35:M35" si="6">SUM(C16:C34)</f>
        <v>80944.166666666672</v>
      </c>
      <c r="D35" s="58">
        <f t="shared" si="6"/>
        <v>80944.166666666672</v>
      </c>
      <c r="E35" s="58">
        <f t="shared" si="6"/>
        <v>80944.166666666672</v>
      </c>
      <c r="F35" s="58">
        <f t="shared" si="6"/>
        <v>80944.166666666672</v>
      </c>
      <c r="G35" s="58">
        <f t="shared" si="6"/>
        <v>80944.166666666672</v>
      </c>
      <c r="H35" s="58">
        <f t="shared" si="6"/>
        <v>80944.166666666672</v>
      </c>
      <c r="I35" s="58">
        <f t="shared" si="6"/>
        <v>80789.027777777781</v>
      </c>
      <c r="J35" s="58">
        <f t="shared" si="6"/>
        <v>80633.888888888891</v>
      </c>
      <c r="K35" s="58">
        <f t="shared" si="6"/>
        <v>80478.75</v>
      </c>
      <c r="L35" s="58">
        <f t="shared" si="6"/>
        <v>80323.611111111109</v>
      </c>
      <c r="M35" s="58">
        <f t="shared" si="6"/>
        <v>80168.472222222219</v>
      </c>
      <c r="N35" s="59">
        <f>SUM(B35:M35)</f>
        <v>1017002.9166666666</v>
      </c>
      <c r="O35" s="58">
        <f>SUM(O16:O34)</f>
        <v>88013.333333333328</v>
      </c>
      <c r="P35" s="58">
        <f t="shared" ref="P35:Z35" si="7">SUM(P16:P34)</f>
        <v>79858.194444444438</v>
      </c>
      <c r="Q35" s="58">
        <f t="shared" si="7"/>
        <v>79703.055555555547</v>
      </c>
      <c r="R35" s="58">
        <f t="shared" si="7"/>
        <v>79547.916666666672</v>
      </c>
      <c r="S35" s="58">
        <f t="shared" si="7"/>
        <v>79392.777777777781</v>
      </c>
      <c r="T35" s="58">
        <f t="shared" si="7"/>
        <v>79237.638888888891</v>
      </c>
      <c r="U35" s="58">
        <f t="shared" si="7"/>
        <v>79082.5</v>
      </c>
      <c r="V35" s="58">
        <f>SUM(V16:V34)</f>
        <v>78927.361111111109</v>
      </c>
      <c r="W35" s="58">
        <f t="shared" si="7"/>
        <v>78772.222222222219</v>
      </c>
      <c r="X35" s="58">
        <f t="shared" si="7"/>
        <v>78617.083333333328</v>
      </c>
      <c r="Y35" s="58">
        <f t="shared" si="7"/>
        <v>78461.944444444438</v>
      </c>
      <c r="Z35" s="58">
        <f t="shared" si="7"/>
        <v>78306.805555555547</v>
      </c>
      <c r="AA35" s="59">
        <f>SUM(O35:Z35)</f>
        <v>957920.83333333326</v>
      </c>
      <c r="AB35" s="59">
        <f>SUM(AB16:AB34)</f>
        <v>935580.83333333326</v>
      </c>
      <c r="AD35" s="28" t="s">
        <v>198</v>
      </c>
    </row>
    <row r="36" spans="1:30">
      <c r="B36" s="40"/>
      <c r="C36" s="40"/>
      <c r="D36" s="40"/>
      <c r="E36" s="40"/>
      <c r="F36" s="40"/>
      <c r="G36" s="40"/>
      <c r="H36" s="40"/>
      <c r="I36" s="40"/>
      <c r="J36" s="40"/>
      <c r="K36" s="40"/>
      <c r="L36" s="40"/>
      <c r="M36" s="40"/>
      <c r="N36" s="57"/>
      <c r="O36" s="40"/>
      <c r="P36" s="40"/>
      <c r="Q36" s="40"/>
      <c r="R36" s="40"/>
      <c r="S36" s="40"/>
      <c r="T36" s="40"/>
      <c r="U36" s="40"/>
      <c r="V36" s="40"/>
      <c r="W36" s="40"/>
      <c r="X36" s="40"/>
      <c r="Y36" s="40"/>
      <c r="Z36" s="40"/>
      <c r="AA36" s="57"/>
      <c r="AB36" s="57"/>
    </row>
    <row r="37" spans="1:30" s="28" customFormat="1">
      <c r="A37" s="28" t="s">
        <v>184</v>
      </c>
      <c r="B37" s="58">
        <f>SUM(B13,B35)</f>
        <v>168944.16666666669</v>
      </c>
      <c r="C37" s="58">
        <f t="shared" ref="C37:M37" si="8">SUM(C13,C35)</f>
        <v>120944.16666666667</v>
      </c>
      <c r="D37" s="58">
        <f t="shared" si="8"/>
        <v>120944.16666666667</v>
      </c>
      <c r="E37" s="58">
        <f t="shared" si="8"/>
        <v>120944.16666666667</v>
      </c>
      <c r="F37" s="58">
        <f t="shared" si="8"/>
        <v>120944.16666666667</v>
      </c>
      <c r="G37" s="58">
        <f t="shared" si="8"/>
        <v>120944.16666666667</v>
      </c>
      <c r="H37" s="58">
        <f t="shared" si="8"/>
        <v>132944.16666666669</v>
      </c>
      <c r="I37" s="58">
        <f t="shared" si="8"/>
        <v>132789.02777777778</v>
      </c>
      <c r="J37" s="58">
        <f t="shared" si="8"/>
        <v>132633.88888888888</v>
      </c>
      <c r="K37" s="58">
        <f t="shared" si="8"/>
        <v>132478.75</v>
      </c>
      <c r="L37" s="58">
        <f t="shared" si="8"/>
        <v>132323.61111111112</v>
      </c>
      <c r="M37" s="58">
        <f t="shared" si="8"/>
        <v>132168.47222222222</v>
      </c>
      <c r="N37" s="59">
        <f>SUM(B37:M37)</f>
        <v>1569002.9166666667</v>
      </c>
      <c r="O37" s="58">
        <f>SUM(O13,O35)</f>
        <v>144013.33333333331</v>
      </c>
      <c r="P37" s="58">
        <f t="shared" ref="P37:Z37" si="9">SUM(P13,P35)</f>
        <v>135858.19444444444</v>
      </c>
      <c r="Q37" s="58">
        <f t="shared" si="9"/>
        <v>135703.05555555556</v>
      </c>
      <c r="R37" s="58">
        <f t="shared" si="9"/>
        <v>135547.91666666669</v>
      </c>
      <c r="S37" s="58">
        <f t="shared" si="9"/>
        <v>135392.77777777778</v>
      </c>
      <c r="T37" s="58">
        <f t="shared" si="9"/>
        <v>135237.63888888888</v>
      </c>
      <c r="U37" s="58">
        <f t="shared" si="9"/>
        <v>135082.5</v>
      </c>
      <c r="V37" s="58">
        <f t="shared" si="9"/>
        <v>134927.36111111112</v>
      </c>
      <c r="W37" s="58">
        <f t="shared" si="9"/>
        <v>134772.22222222222</v>
      </c>
      <c r="X37" s="58">
        <f t="shared" si="9"/>
        <v>134617.08333333331</v>
      </c>
      <c r="Y37" s="58">
        <f t="shared" si="9"/>
        <v>134461.94444444444</v>
      </c>
      <c r="Z37" s="58">
        <f t="shared" si="9"/>
        <v>134306.80555555556</v>
      </c>
      <c r="AA37" s="59">
        <f>SUM(O37:Z37)</f>
        <v>1629920.8333333333</v>
      </c>
      <c r="AB37" s="59">
        <f>SUM(AB13,AB35)</f>
        <v>1655580.8333333333</v>
      </c>
    </row>
    <row r="38" spans="1:30">
      <c r="N38" s="54"/>
      <c r="AA38" s="54"/>
      <c r="AB38" s="54"/>
    </row>
    <row r="39" spans="1:30" s="17" customFormat="1">
      <c r="A39" s="17" t="s">
        <v>17</v>
      </c>
      <c r="B39" s="60">
        <f>B8-B37</f>
        <v>-173944.16666666669</v>
      </c>
      <c r="C39" s="60">
        <f t="shared" ref="C39:Y39" si="10">C8-C37</f>
        <v>-23444.166666666672</v>
      </c>
      <c r="D39" s="60">
        <f t="shared" si="10"/>
        <v>-23444.166666666672</v>
      </c>
      <c r="E39" s="60">
        <f t="shared" si="10"/>
        <v>32805.833333333328</v>
      </c>
      <c r="F39" s="60">
        <f t="shared" si="10"/>
        <v>32805.833333333328</v>
      </c>
      <c r="G39" s="60">
        <f t="shared" si="10"/>
        <v>699055.83333333337</v>
      </c>
      <c r="H39" s="60">
        <f t="shared" si="10"/>
        <v>-30444.166666666686</v>
      </c>
      <c r="I39" s="60">
        <f t="shared" si="10"/>
        <v>-30289.027777777781</v>
      </c>
      <c r="J39" s="60">
        <f t="shared" si="10"/>
        <v>-30133.888888888876</v>
      </c>
      <c r="K39" s="60">
        <f t="shared" si="10"/>
        <v>13771.25</v>
      </c>
      <c r="L39" s="60">
        <f t="shared" si="10"/>
        <v>13926.388888888876</v>
      </c>
      <c r="M39" s="60">
        <f t="shared" si="10"/>
        <v>531581.52777777775</v>
      </c>
      <c r="N39" s="61">
        <f>SUM(B39:M39)</f>
        <v>1012247.0833333333</v>
      </c>
      <c r="O39" s="60">
        <f>O8-O37</f>
        <v>143486.66666666669</v>
      </c>
      <c r="P39" s="60">
        <f t="shared" si="10"/>
        <v>151641.80555555556</v>
      </c>
      <c r="Q39" s="60">
        <f t="shared" si="10"/>
        <v>151796.94444444444</v>
      </c>
      <c r="R39" s="60">
        <f t="shared" si="10"/>
        <v>213202.08333333331</v>
      </c>
      <c r="S39" s="60">
        <f t="shared" si="10"/>
        <v>227357.22222222222</v>
      </c>
      <c r="T39" s="60">
        <f t="shared" si="10"/>
        <v>1220262.361111111</v>
      </c>
      <c r="U39" s="60">
        <f t="shared" si="10"/>
        <v>227667.5</v>
      </c>
      <c r="V39" s="60">
        <f t="shared" si="10"/>
        <v>227822.63888888888</v>
      </c>
      <c r="W39" s="60">
        <f t="shared" si="10"/>
        <v>227977.77777777778</v>
      </c>
      <c r="X39" s="60">
        <f t="shared" si="10"/>
        <v>228132.91666666669</v>
      </c>
      <c r="Y39" s="60">
        <f t="shared" si="10"/>
        <v>228288.05555555556</v>
      </c>
      <c r="Z39" s="60">
        <f>Z8-Z37</f>
        <v>1221193.1944444445</v>
      </c>
      <c r="AA39" s="61">
        <f>SUM(O39:Z39)</f>
        <v>4468829.166666666</v>
      </c>
      <c r="AB39" s="61">
        <f>AB8-AB37</f>
        <v>12113169.166666666</v>
      </c>
    </row>
    <row r="43" spans="1:30">
      <c r="O43" s="39"/>
    </row>
    <row r="44" spans="1:30">
      <c r="O44" s="39"/>
    </row>
  </sheetData>
  <phoneticPr fontId="2" type="noConversion"/>
  <pageMargins left="0.75" right="0.75" top="1" bottom="1" header="0" footer="0"/>
  <pageSetup orientation="portrait" horizontalDpi="1200" verticalDpi="1200" r:id="rId1"/>
  <headerFooter alignWithMargins="0"/>
  <ignoredErrors>
    <ignoredError sqref="AA8 N8 N37 AA35:AA39 N35 N39" formula="1"/>
  </ignoredErrors>
</worksheet>
</file>

<file path=xl/worksheets/sheet6.xml><?xml version="1.0" encoding="utf-8"?>
<worksheet xmlns="http://schemas.openxmlformats.org/spreadsheetml/2006/main" xmlns:r="http://schemas.openxmlformats.org/officeDocument/2006/relationships">
  <dimension ref="A2:AJ57"/>
  <sheetViews>
    <sheetView workbookViewId="0">
      <pane xSplit="1" ySplit="4" topLeftCell="B24" activePane="bottomRight" state="frozen"/>
      <selection pane="topRight" activeCell="B1" sqref="B1"/>
      <selection pane="bottomLeft" activeCell="A5" sqref="A5"/>
      <selection pane="bottomRight" activeCell="B16" sqref="B16"/>
    </sheetView>
  </sheetViews>
  <sheetFormatPr baseColWidth="10" defaultRowHeight="12.75" outlineLevelCol="1"/>
  <cols>
    <col min="1" max="1" width="37.5703125" style="16" customWidth="1"/>
    <col min="2" max="13" width="11.42578125" style="16" hidden="1" customWidth="1" outlineLevel="1"/>
    <col min="14" max="14" width="12" style="16" customWidth="1" collapsed="1"/>
    <col min="15" max="15" width="11.85546875" style="16" hidden="1" customWidth="1" outlineLevel="1"/>
    <col min="16" max="25" width="11.42578125" style="16" hidden="1" customWidth="1" outlineLevel="1"/>
    <col min="26" max="26" width="0.140625" style="16" customWidth="1" outlineLevel="1"/>
    <col min="27" max="27" width="12.28515625" style="16" customWidth="1"/>
    <col min="28" max="28" width="15.5703125" style="16" customWidth="1"/>
    <col min="29" max="16384" width="11.42578125" style="16"/>
  </cols>
  <sheetData>
    <row r="2" spans="1:36">
      <c r="A2" s="17" t="s">
        <v>189</v>
      </c>
    </row>
    <row r="3" spans="1:36">
      <c r="B3" s="19"/>
      <c r="C3" s="19"/>
      <c r="D3" s="19"/>
      <c r="E3" s="19"/>
      <c r="F3" s="19"/>
      <c r="G3" s="19"/>
      <c r="H3" s="19"/>
      <c r="I3" s="19"/>
      <c r="J3" s="19"/>
      <c r="K3" s="19"/>
      <c r="L3" s="19"/>
      <c r="M3" s="19"/>
      <c r="N3" s="19" t="s">
        <v>4</v>
      </c>
      <c r="O3" s="44"/>
      <c r="P3" s="44"/>
      <c r="Q3" s="44"/>
      <c r="R3" s="44"/>
      <c r="S3" s="44"/>
      <c r="T3" s="44"/>
      <c r="U3" s="44"/>
      <c r="V3" s="44"/>
      <c r="W3" s="44"/>
      <c r="X3" s="44"/>
      <c r="Y3" s="44"/>
      <c r="Z3" s="44"/>
      <c r="AA3" s="19" t="s">
        <v>5</v>
      </c>
      <c r="AB3" s="19" t="s">
        <v>8</v>
      </c>
    </row>
    <row r="4" spans="1:36">
      <c r="B4" s="19">
        <v>1</v>
      </c>
      <c r="C4" s="19">
        <v>2</v>
      </c>
      <c r="D4" s="19">
        <v>3</v>
      </c>
      <c r="E4" s="19">
        <v>4</v>
      </c>
      <c r="F4" s="19">
        <v>5</v>
      </c>
      <c r="G4" s="19">
        <v>6</v>
      </c>
      <c r="H4" s="19">
        <v>7</v>
      </c>
      <c r="I4" s="19">
        <v>8</v>
      </c>
      <c r="J4" s="19">
        <v>9</v>
      </c>
      <c r="K4" s="19">
        <v>10</v>
      </c>
      <c r="L4" s="19">
        <v>11</v>
      </c>
      <c r="M4" s="19">
        <v>12</v>
      </c>
      <c r="N4" s="19" t="s">
        <v>1</v>
      </c>
      <c r="O4" s="19">
        <v>1</v>
      </c>
      <c r="P4" s="19">
        <v>2</v>
      </c>
      <c r="Q4" s="19">
        <v>3</v>
      </c>
      <c r="R4" s="19">
        <v>4</v>
      </c>
      <c r="S4" s="19">
        <v>5</v>
      </c>
      <c r="T4" s="19">
        <v>6</v>
      </c>
      <c r="U4" s="19">
        <v>7</v>
      </c>
      <c r="V4" s="19">
        <v>8</v>
      </c>
      <c r="W4" s="19">
        <v>9</v>
      </c>
      <c r="X4" s="19">
        <v>10</v>
      </c>
      <c r="Y4" s="19">
        <v>11</v>
      </c>
      <c r="Z4" s="19">
        <v>12</v>
      </c>
      <c r="AA4" s="19" t="s">
        <v>1</v>
      </c>
      <c r="AB4" s="44"/>
    </row>
    <row r="5" spans="1:36" s="25" customFormat="1">
      <c r="B5" s="31"/>
      <c r="C5" s="31"/>
      <c r="D5" s="31"/>
      <c r="E5" s="31"/>
      <c r="F5" s="31"/>
      <c r="G5" s="31"/>
      <c r="H5" s="31"/>
      <c r="I5" s="31"/>
      <c r="J5" s="31"/>
      <c r="K5" s="31"/>
      <c r="L5" s="31"/>
      <c r="M5" s="31"/>
      <c r="N5" s="62"/>
      <c r="O5" s="31"/>
      <c r="P5" s="31"/>
      <c r="Q5" s="31"/>
      <c r="R5" s="31"/>
      <c r="S5" s="31"/>
      <c r="T5" s="31"/>
      <c r="U5" s="31"/>
      <c r="V5" s="31"/>
      <c r="W5" s="31"/>
      <c r="X5" s="31"/>
      <c r="Y5" s="31"/>
      <c r="Z5" s="31"/>
      <c r="AA5" s="62"/>
      <c r="AB5" s="54"/>
    </row>
    <row r="6" spans="1:36" s="25" customFormat="1">
      <c r="A6" s="25" t="s">
        <v>66</v>
      </c>
      <c r="B6" s="31"/>
      <c r="C6" s="31"/>
      <c r="D6" s="31"/>
      <c r="E6" s="31"/>
      <c r="F6" s="31"/>
      <c r="G6" s="31"/>
      <c r="H6" s="31"/>
      <c r="I6" s="31"/>
      <c r="J6" s="31"/>
      <c r="K6" s="31"/>
      <c r="L6" s="31"/>
      <c r="M6" s="31"/>
      <c r="N6" s="62"/>
      <c r="O6" s="31"/>
      <c r="P6" s="31"/>
      <c r="Q6" s="31"/>
      <c r="R6" s="31"/>
      <c r="S6" s="31"/>
      <c r="T6" s="31"/>
      <c r="U6" s="31"/>
      <c r="V6" s="31"/>
      <c r="W6" s="31"/>
      <c r="X6" s="31"/>
      <c r="Y6" s="31"/>
      <c r="Z6" s="31"/>
      <c r="AA6" s="62"/>
      <c r="AB6" s="54"/>
    </row>
    <row r="7" spans="1:36">
      <c r="N7" s="54"/>
      <c r="AA7" s="54"/>
      <c r="AB7" s="54"/>
    </row>
    <row r="8" spans="1:36">
      <c r="A8" s="21" t="s">
        <v>59</v>
      </c>
      <c r="B8" s="33">
        <v>8900000</v>
      </c>
      <c r="C8" s="40">
        <f>B53</f>
        <v>8137305.833333333</v>
      </c>
      <c r="D8" s="40">
        <f t="shared" ref="D8:M8" si="0">C53</f>
        <v>8125111.666666666</v>
      </c>
      <c r="E8" s="40">
        <f t="shared" si="0"/>
        <v>8112917.4999999991</v>
      </c>
      <c r="F8" s="40">
        <f t="shared" si="0"/>
        <v>8156973.3333333321</v>
      </c>
      <c r="G8" s="40">
        <f t="shared" si="0"/>
        <v>8201029.1666666651</v>
      </c>
      <c r="H8" s="40">
        <f t="shared" si="0"/>
        <v>8911334.9999999981</v>
      </c>
      <c r="I8" s="40">
        <f t="shared" si="0"/>
        <v>8875474.1666666642</v>
      </c>
      <c r="J8" s="40">
        <f t="shared" si="0"/>
        <v>8839768.4722222202</v>
      </c>
      <c r="K8" s="40">
        <f t="shared" si="0"/>
        <v>8804217.9166666642</v>
      </c>
      <c r="L8" s="40">
        <f t="shared" si="0"/>
        <v>8812572.4999999981</v>
      </c>
      <c r="M8" s="40">
        <f t="shared" si="0"/>
        <v>8821082.2222222202</v>
      </c>
      <c r="N8" s="57">
        <f>B8</f>
        <v>8900000</v>
      </c>
      <c r="O8" s="40">
        <f>M53</f>
        <v>9347247.0833333321</v>
      </c>
      <c r="P8" s="40">
        <f>O53</f>
        <v>9485317.0833333321</v>
      </c>
      <c r="Q8" s="40">
        <f t="shared" ref="Q8:Z8" si="1">P53</f>
        <v>9631542.2222222202</v>
      </c>
      <c r="R8" s="40">
        <f t="shared" si="1"/>
        <v>9777922.4999999981</v>
      </c>
      <c r="S8" s="40">
        <f t="shared" si="1"/>
        <v>9985707.9166666642</v>
      </c>
      <c r="T8" s="40">
        <f t="shared" si="1"/>
        <v>10207648.47222222</v>
      </c>
      <c r="U8" s="40">
        <f t="shared" si="1"/>
        <v>11422494.166666664</v>
      </c>
      <c r="V8" s="40">
        <f t="shared" si="1"/>
        <v>11644744.999999998</v>
      </c>
      <c r="W8" s="40">
        <f t="shared" si="1"/>
        <v>11867150.97222222</v>
      </c>
      <c r="X8" s="40">
        <f t="shared" si="1"/>
        <v>12089712.083333332</v>
      </c>
      <c r="Y8" s="40">
        <f t="shared" si="1"/>
        <v>12312428.333333332</v>
      </c>
      <c r="Z8" s="40">
        <f t="shared" si="1"/>
        <v>12535299.72222222</v>
      </c>
      <c r="AA8" s="57">
        <f>O8</f>
        <v>9347247.0833333321</v>
      </c>
      <c r="AB8" s="56">
        <f>Z53</f>
        <v>13751076.249999998</v>
      </c>
    </row>
    <row r="9" spans="1:36">
      <c r="A9" s="16" t="s">
        <v>36</v>
      </c>
      <c r="B9" s="40">
        <f>SUM(B8:B8)</f>
        <v>8900000</v>
      </c>
      <c r="C9" s="40">
        <f>B53</f>
        <v>8137305.833333333</v>
      </c>
      <c r="D9" s="40">
        <f t="shared" ref="D9:AB9" si="2">SUM(D8:D8)</f>
        <v>8125111.666666666</v>
      </c>
      <c r="E9" s="40">
        <f t="shared" si="2"/>
        <v>8112917.4999999991</v>
      </c>
      <c r="F9" s="40">
        <f t="shared" si="2"/>
        <v>8156973.3333333321</v>
      </c>
      <c r="G9" s="40">
        <f t="shared" si="2"/>
        <v>8201029.1666666651</v>
      </c>
      <c r="H9" s="40">
        <f t="shared" si="2"/>
        <v>8911334.9999999981</v>
      </c>
      <c r="I9" s="40">
        <f t="shared" si="2"/>
        <v>8875474.1666666642</v>
      </c>
      <c r="J9" s="40">
        <f t="shared" si="2"/>
        <v>8839768.4722222202</v>
      </c>
      <c r="K9" s="40">
        <f t="shared" si="2"/>
        <v>8804217.9166666642</v>
      </c>
      <c r="L9" s="40">
        <f t="shared" si="2"/>
        <v>8812572.4999999981</v>
      </c>
      <c r="M9" s="40">
        <f t="shared" si="2"/>
        <v>8821082.2222222202</v>
      </c>
      <c r="N9" s="57">
        <f t="shared" si="2"/>
        <v>8900000</v>
      </c>
      <c r="O9" s="40">
        <f t="shared" si="2"/>
        <v>9347247.0833333321</v>
      </c>
      <c r="P9" s="40">
        <f t="shared" si="2"/>
        <v>9485317.0833333321</v>
      </c>
      <c r="Q9" s="40">
        <f t="shared" si="2"/>
        <v>9631542.2222222202</v>
      </c>
      <c r="R9" s="40">
        <f t="shared" si="2"/>
        <v>9777922.4999999981</v>
      </c>
      <c r="S9" s="40">
        <f t="shared" si="2"/>
        <v>9985707.9166666642</v>
      </c>
      <c r="T9" s="40">
        <f t="shared" si="2"/>
        <v>10207648.47222222</v>
      </c>
      <c r="U9" s="40">
        <f t="shared" si="2"/>
        <v>11422494.166666664</v>
      </c>
      <c r="V9" s="40">
        <f t="shared" si="2"/>
        <v>11644744.999999998</v>
      </c>
      <c r="W9" s="40">
        <f t="shared" si="2"/>
        <v>11867150.97222222</v>
      </c>
      <c r="X9" s="40">
        <f t="shared" si="2"/>
        <v>12089712.083333332</v>
      </c>
      <c r="Y9" s="40">
        <f t="shared" si="2"/>
        <v>12312428.333333332</v>
      </c>
      <c r="Z9" s="40">
        <f t="shared" si="2"/>
        <v>12535299.72222222</v>
      </c>
      <c r="AA9" s="57">
        <f t="shared" si="2"/>
        <v>9347247.0833333321</v>
      </c>
      <c r="AB9" s="56">
        <f t="shared" si="2"/>
        <v>13751076.249999998</v>
      </c>
    </row>
    <row r="10" spans="1:36">
      <c r="N10" s="54"/>
      <c r="AA10" s="54"/>
      <c r="AB10" s="25"/>
    </row>
    <row r="11" spans="1:36">
      <c r="A11" s="21" t="s">
        <v>37</v>
      </c>
      <c r="B11" s="33">
        <v>100000</v>
      </c>
      <c r="C11" s="33">
        <v>0</v>
      </c>
      <c r="D11" s="33">
        <v>0</v>
      </c>
      <c r="E11" s="33">
        <v>0</v>
      </c>
      <c r="F11" s="33">
        <v>0</v>
      </c>
      <c r="G11" s="33">
        <v>0</v>
      </c>
      <c r="H11" s="33">
        <v>0</v>
      </c>
      <c r="I11" s="33">
        <v>0</v>
      </c>
      <c r="J11" s="33">
        <v>0</v>
      </c>
      <c r="K11" s="33">
        <v>0</v>
      </c>
      <c r="L11" s="33">
        <v>0</v>
      </c>
      <c r="M11" s="33">
        <v>0</v>
      </c>
      <c r="N11" s="57">
        <f>SUM(B11:M11)</f>
        <v>100000</v>
      </c>
      <c r="O11" s="33">
        <v>0</v>
      </c>
      <c r="P11" s="33">
        <v>0</v>
      </c>
      <c r="Q11" s="33">
        <v>0</v>
      </c>
      <c r="R11" s="33">
        <v>0</v>
      </c>
      <c r="S11" s="33">
        <v>0</v>
      </c>
      <c r="T11" s="33">
        <v>0</v>
      </c>
      <c r="U11" s="33">
        <v>0</v>
      </c>
      <c r="V11" s="33">
        <v>0</v>
      </c>
      <c r="W11" s="33">
        <v>0</v>
      </c>
      <c r="X11" s="33">
        <v>0</v>
      </c>
      <c r="Y11" s="33">
        <v>0</v>
      </c>
      <c r="Z11" s="33">
        <v>0</v>
      </c>
      <c r="AA11" s="57">
        <f>SUM(O11:Z11)</f>
        <v>0</v>
      </c>
      <c r="AB11" s="33">
        <f>Ventas!AE44</f>
        <v>0</v>
      </c>
      <c r="AC11" s="25"/>
      <c r="AD11" s="25"/>
      <c r="AE11" s="25"/>
      <c r="AF11" s="25"/>
      <c r="AG11" s="25"/>
      <c r="AH11" s="25"/>
      <c r="AI11" s="25"/>
      <c r="AJ11" s="25"/>
    </row>
    <row r="12" spans="1:36">
      <c r="A12" s="16" t="s">
        <v>58</v>
      </c>
      <c r="B12" s="56">
        <f>Ventas!C45</f>
        <v>0</v>
      </c>
      <c r="C12" s="56">
        <f>Ventas!D45</f>
        <v>102500</v>
      </c>
      <c r="D12" s="56">
        <f>Ventas!E45</f>
        <v>102500</v>
      </c>
      <c r="E12" s="56">
        <f>Ventas!F45</f>
        <v>158750</v>
      </c>
      <c r="F12" s="56">
        <f>Ventas!G45</f>
        <v>158750</v>
      </c>
      <c r="G12" s="56">
        <f>Ventas!H45</f>
        <v>825000</v>
      </c>
      <c r="H12" s="56">
        <f>Ventas!I45</f>
        <v>107500</v>
      </c>
      <c r="I12" s="56">
        <f>Ventas!J45</f>
        <v>107500</v>
      </c>
      <c r="J12" s="56">
        <f>Ventas!K45</f>
        <v>107500</v>
      </c>
      <c r="K12" s="56">
        <f>Ventas!L45</f>
        <v>151250</v>
      </c>
      <c r="L12" s="56">
        <f>Ventas!M45</f>
        <v>151250</v>
      </c>
      <c r="M12" s="56">
        <f>Ventas!N45</f>
        <v>668750</v>
      </c>
      <c r="N12" s="57">
        <f>SUM(B12:M12)</f>
        <v>2641250</v>
      </c>
      <c r="O12" s="56">
        <f>Ventas!Q45</f>
        <v>295500</v>
      </c>
      <c r="P12" s="56">
        <f>Ventas!R45</f>
        <v>295500</v>
      </c>
      <c r="Q12" s="56">
        <f>Ventas!S45</f>
        <v>295500</v>
      </c>
      <c r="R12" s="56">
        <f>Ventas!T45</f>
        <v>356750</v>
      </c>
      <c r="S12" s="56">
        <f>Ventas!U45</f>
        <v>370750</v>
      </c>
      <c r="T12" s="56">
        <f>Ventas!V45</f>
        <v>1363500</v>
      </c>
      <c r="U12" s="56">
        <f>Ventas!W45</f>
        <v>370750</v>
      </c>
      <c r="V12" s="56">
        <f>Ventas!X45</f>
        <v>370750</v>
      </c>
      <c r="W12" s="56">
        <f>Ventas!Y45</f>
        <v>370750</v>
      </c>
      <c r="X12" s="56">
        <f>Ventas!Z45</f>
        <v>370750</v>
      </c>
      <c r="Y12" s="56">
        <f>Ventas!AA45</f>
        <v>370750</v>
      </c>
      <c r="Z12" s="56">
        <f>Ventas!AB45</f>
        <v>1363500</v>
      </c>
      <c r="AA12" s="57">
        <f>SUM(O12:Z12)</f>
        <v>6194750</v>
      </c>
      <c r="AB12" s="56">
        <f>Ventas!AE45</f>
        <v>13898750</v>
      </c>
      <c r="AC12" s="25"/>
      <c r="AD12" s="25"/>
      <c r="AE12" s="25"/>
      <c r="AF12" s="25"/>
      <c r="AG12" s="25"/>
      <c r="AH12" s="25"/>
      <c r="AI12" s="25"/>
      <c r="AJ12" s="25"/>
    </row>
    <row r="13" spans="1:36">
      <c r="A13" s="16" t="s">
        <v>38</v>
      </c>
      <c r="B13" s="40">
        <f>SUM(B11:B12)</f>
        <v>100000</v>
      </c>
      <c r="C13" s="40">
        <f t="shared" ref="C13:M13" si="3">SUM(C11:C12)</f>
        <v>102500</v>
      </c>
      <c r="D13" s="40">
        <f t="shared" si="3"/>
        <v>102500</v>
      </c>
      <c r="E13" s="40">
        <f t="shared" si="3"/>
        <v>158750</v>
      </c>
      <c r="F13" s="40">
        <f t="shared" si="3"/>
        <v>158750</v>
      </c>
      <c r="G13" s="40">
        <f t="shared" si="3"/>
        <v>825000</v>
      </c>
      <c r="H13" s="40">
        <f t="shared" si="3"/>
        <v>107500</v>
      </c>
      <c r="I13" s="40">
        <f t="shared" si="3"/>
        <v>107500</v>
      </c>
      <c r="J13" s="40">
        <f t="shared" si="3"/>
        <v>107500</v>
      </c>
      <c r="K13" s="40">
        <f t="shared" si="3"/>
        <v>151250</v>
      </c>
      <c r="L13" s="40">
        <f t="shared" si="3"/>
        <v>151250</v>
      </c>
      <c r="M13" s="40">
        <f t="shared" si="3"/>
        <v>668750</v>
      </c>
      <c r="N13" s="57">
        <f>SUM(B13:M13)</f>
        <v>2741250</v>
      </c>
      <c r="O13" s="40">
        <f>SUM(O11:O12)</f>
        <v>295500</v>
      </c>
      <c r="P13" s="40">
        <f t="shared" ref="P13:Z13" si="4">SUM(P11:P12)</f>
        <v>295500</v>
      </c>
      <c r="Q13" s="40">
        <f t="shared" si="4"/>
        <v>295500</v>
      </c>
      <c r="R13" s="40">
        <f t="shared" si="4"/>
        <v>356750</v>
      </c>
      <c r="S13" s="40">
        <f t="shared" si="4"/>
        <v>370750</v>
      </c>
      <c r="T13" s="40">
        <f t="shared" si="4"/>
        <v>1363500</v>
      </c>
      <c r="U13" s="40">
        <f t="shared" si="4"/>
        <v>370750</v>
      </c>
      <c r="V13" s="40">
        <f t="shared" si="4"/>
        <v>370750</v>
      </c>
      <c r="W13" s="40">
        <f t="shared" si="4"/>
        <v>370750</v>
      </c>
      <c r="X13" s="40">
        <f t="shared" si="4"/>
        <v>370750</v>
      </c>
      <c r="Y13" s="40">
        <f t="shared" si="4"/>
        <v>370750</v>
      </c>
      <c r="Z13" s="40">
        <f t="shared" si="4"/>
        <v>1363500</v>
      </c>
      <c r="AA13" s="57">
        <f>SUM(O13:Z13)</f>
        <v>6194750</v>
      </c>
      <c r="AB13" s="56">
        <f>SUM(AB11:AB12)</f>
        <v>13898750</v>
      </c>
    </row>
    <row r="14" spans="1:36">
      <c r="B14" s="40"/>
      <c r="C14" s="40"/>
      <c r="D14" s="40"/>
      <c r="E14" s="40"/>
      <c r="F14" s="40"/>
      <c r="G14" s="40"/>
      <c r="H14" s="40"/>
      <c r="I14" s="40"/>
      <c r="J14" s="40"/>
      <c r="K14" s="40"/>
      <c r="L14" s="40"/>
      <c r="M14" s="40"/>
      <c r="N14" s="57"/>
      <c r="O14" s="40"/>
      <c r="P14" s="40"/>
      <c r="Q14" s="40"/>
      <c r="R14" s="40"/>
      <c r="S14" s="40"/>
      <c r="T14" s="40"/>
      <c r="U14" s="40"/>
      <c r="V14" s="40"/>
      <c r="W14" s="40"/>
      <c r="X14" s="40"/>
      <c r="Y14" s="40"/>
      <c r="Z14" s="40"/>
      <c r="AA14" s="57"/>
      <c r="AB14" s="56"/>
    </row>
    <row r="15" spans="1:36" s="28" customFormat="1">
      <c r="A15" s="28" t="s">
        <v>41</v>
      </c>
      <c r="B15" s="58">
        <f t="shared" ref="B15:L15" si="5">SUM(B9,B13)</f>
        <v>9000000</v>
      </c>
      <c r="C15" s="58">
        <f>SUM(C9,C13)</f>
        <v>8239805.833333333</v>
      </c>
      <c r="D15" s="58">
        <f t="shared" si="5"/>
        <v>8227611.666666666</v>
      </c>
      <c r="E15" s="58">
        <f t="shared" si="5"/>
        <v>8271667.4999999991</v>
      </c>
      <c r="F15" s="58">
        <f t="shared" si="5"/>
        <v>8315723.3333333321</v>
      </c>
      <c r="G15" s="58">
        <f t="shared" si="5"/>
        <v>9026029.1666666642</v>
      </c>
      <c r="H15" s="58">
        <f t="shared" si="5"/>
        <v>9018834.9999999981</v>
      </c>
      <c r="I15" s="58">
        <f t="shared" si="5"/>
        <v>8982974.1666666642</v>
      </c>
      <c r="J15" s="58">
        <f t="shared" si="5"/>
        <v>8947268.4722222202</v>
      </c>
      <c r="K15" s="58">
        <f t="shared" si="5"/>
        <v>8955467.9166666642</v>
      </c>
      <c r="L15" s="58">
        <f t="shared" si="5"/>
        <v>8963822.4999999981</v>
      </c>
      <c r="M15" s="58">
        <f>SUM(M9,M13)</f>
        <v>9489832.2222222202</v>
      </c>
      <c r="N15" s="59">
        <f>SUM(N9,N13)</f>
        <v>11641250</v>
      </c>
      <c r="O15" s="58">
        <f>SUM(O9,O13)</f>
        <v>9642747.0833333321</v>
      </c>
      <c r="P15" s="58">
        <f t="shared" ref="P15:AA15" si="6">SUM(P9,P13)</f>
        <v>9780817.0833333321</v>
      </c>
      <c r="Q15" s="58">
        <f t="shared" si="6"/>
        <v>9927042.2222222202</v>
      </c>
      <c r="R15" s="58">
        <f t="shared" si="6"/>
        <v>10134672.499999998</v>
      </c>
      <c r="S15" s="58">
        <f t="shared" si="6"/>
        <v>10356457.916666664</v>
      </c>
      <c r="T15" s="58">
        <f t="shared" si="6"/>
        <v>11571148.47222222</v>
      </c>
      <c r="U15" s="58">
        <f t="shared" si="6"/>
        <v>11793244.166666664</v>
      </c>
      <c r="V15" s="58">
        <f t="shared" si="6"/>
        <v>12015494.999999998</v>
      </c>
      <c r="W15" s="58">
        <f t="shared" si="6"/>
        <v>12237900.97222222</v>
      </c>
      <c r="X15" s="58">
        <f t="shared" si="6"/>
        <v>12460462.083333332</v>
      </c>
      <c r="Y15" s="58">
        <f t="shared" si="6"/>
        <v>12683178.333333332</v>
      </c>
      <c r="Z15" s="58">
        <f t="shared" si="6"/>
        <v>13898799.72222222</v>
      </c>
      <c r="AA15" s="59">
        <f t="shared" si="6"/>
        <v>15541997.083333332</v>
      </c>
      <c r="AB15" s="122">
        <f>SUM(AB9,AB13)</f>
        <v>27649826.25</v>
      </c>
    </row>
    <row r="16" spans="1:36">
      <c r="B16" s="40"/>
      <c r="C16" s="40"/>
      <c r="D16" s="40"/>
      <c r="E16" s="40"/>
      <c r="F16" s="40"/>
      <c r="G16" s="40"/>
      <c r="H16" s="40"/>
      <c r="I16" s="40"/>
      <c r="J16" s="40"/>
      <c r="K16" s="40"/>
      <c r="L16" s="40"/>
      <c r="M16" s="40"/>
      <c r="N16" s="57"/>
      <c r="O16" s="40"/>
      <c r="P16" s="40"/>
      <c r="Q16" s="40"/>
      <c r="R16" s="40"/>
      <c r="S16" s="40"/>
      <c r="T16" s="40"/>
      <c r="U16" s="40"/>
      <c r="V16" s="40"/>
      <c r="W16" s="40"/>
      <c r="X16" s="40"/>
      <c r="Y16" s="40"/>
      <c r="Z16" s="40"/>
      <c r="AA16" s="57"/>
      <c r="AB16" s="56"/>
    </row>
    <row r="17" spans="1:28">
      <c r="B17" s="40"/>
      <c r="C17" s="40"/>
      <c r="D17" s="40"/>
      <c r="E17" s="40"/>
      <c r="F17" s="40"/>
      <c r="G17" s="40"/>
      <c r="H17" s="40"/>
      <c r="I17" s="40"/>
      <c r="J17" s="40"/>
      <c r="K17" s="40"/>
      <c r="L17" s="40"/>
      <c r="M17" s="40"/>
      <c r="N17" s="57"/>
      <c r="O17" s="40"/>
      <c r="P17" s="40"/>
      <c r="Q17" s="40"/>
      <c r="R17" s="40"/>
      <c r="S17" s="40"/>
      <c r="T17" s="40"/>
      <c r="U17" s="40"/>
      <c r="V17" s="40"/>
      <c r="W17" s="40"/>
      <c r="X17" s="40"/>
      <c r="Y17" s="40"/>
      <c r="Z17" s="40"/>
      <c r="AA17" s="57"/>
      <c r="AB17" s="56"/>
    </row>
    <row r="18" spans="1:28">
      <c r="A18" s="16" t="s">
        <v>65</v>
      </c>
      <c r="B18" s="40"/>
      <c r="C18" s="40"/>
      <c r="D18" s="40"/>
      <c r="E18" s="40"/>
      <c r="F18" s="40"/>
      <c r="G18" s="40"/>
      <c r="H18" s="40"/>
      <c r="I18" s="40"/>
      <c r="J18" s="40"/>
      <c r="K18" s="40"/>
      <c r="L18" s="40"/>
      <c r="M18" s="40"/>
      <c r="N18" s="57"/>
      <c r="O18" s="40"/>
      <c r="P18" s="40"/>
      <c r="Q18" s="40"/>
      <c r="R18" s="40"/>
      <c r="S18" s="40"/>
      <c r="T18" s="40"/>
      <c r="U18" s="40"/>
      <c r="V18" s="40"/>
      <c r="W18" s="40"/>
      <c r="X18" s="40"/>
      <c r="Y18" s="40"/>
      <c r="Z18" s="40"/>
      <c r="AA18" s="57"/>
      <c r="AB18" s="56"/>
    </row>
    <row r="19" spans="1:28">
      <c r="B19" s="40"/>
      <c r="C19" s="40"/>
      <c r="D19" s="40"/>
      <c r="E19" s="40"/>
      <c r="F19" s="40"/>
      <c r="G19" s="40"/>
      <c r="H19" s="40"/>
      <c r="I19" s="40"/>
      <c r="J19" s="40"/>
      <c r="K19" s="40"/>
      <c r="L19" s="40"/>
      <c r="M19" s="40"/>
      <c r="N19" s="57"/>
      <c r="O19" s="40"/>
      <c r="P19" s="40"/>
      <c r="Q19" s="40"/>
      <c r="R19" s="40"/>
      <c r="S19" s="40"/>
      <c r="T19" s="40"/>
      <c r="U19" s="40"/>
      <c r="V19" s="40"/>
      <c r="W19" s="40"/>
      <c r="X19" s="40"/>
      <c r="Y19" s="40"/>
      <c r="Z19" s="40"/>
      <c r="AA19" s="57"/>
      <c r="AB19" s="56"/>
    </row>
    <row r="20" spans="1:28">
      <c r="A20" s="28" t="s">
        <v>185</v>
      </c>
      <c r="B20" s="40"/>
      <c r="C20" s="40"/>
      <c r="D20" s="40"/>
      <c r="E20" s="40"/>
      <c r="F20" s="40"/>
      <c r="G20" s="40"/>
      <c r="H20" s="40"/>
      <c r="I20" s="40"/>
      <c r="J20" s="40"/>
      <c r="K20" s="40"/>
      <c r="L20" s="40"/>
      <c r="M20" s="40"/>
      <c r="N20" s="57"/>
      <c r="O20" s="40"/>
      <c r="P20" s="40"/>
      <c r="Q20" s="40"/>
      <c r="R20" s="40"/>
      <c r="S20" s="40"/>
      <c r="T20" s="40"/>
      <c r="U20" s="40"/>
      <c r="V20" s="40"/>
      <c r="W20" s="40"/>
      <c r="X20" s="40"/>
      <c r="Y20" s="40"/>
      <c r="Z20" s="40"/>
      <c r="AA20" s="57"/>
      <c r="AB20" s="56"/>
    </row>
    <row r="21" spans="1:28">
      <c r="A21" s="16" t="s">
        <v>175</v>
      </c>
      <c r="B21" s="33"/>
      <c r="C21" s="33"/>
      <c r="D21" s="33"/>
      <c r="E21" s="33"/>
      <c r="F21" s="33"/>
      <c r="G21" s="33"/>
      <c r="H21" s="33"/>
      <c r="I21" s="33"/>
      <c r="J21" s="33"/>
      <c r="K21" s="33"/>
      <c r="L21" s="33"/>
      <c r="M21" s="33"/>
      <c r="N21" s="57">
        <f>SUM(B21:M21)</f>
        <v>0</v>
      </c>
      <c r="O21" s="33"/>
      <c r="P21" s="33"/>
      <c r="Q21" s="33"/>
      <c r="R21" s="33"/>
      <c r="S21" s="33"/>
      <c r="T21" s="33"/>
      <c r="U21" s="33"/>
      <c r="V21" s="33"/>
      <c r="W21" s="33"/>
      <c r="X21" s="33"/>
      <c r="Y21" s="33"/>
      <c r="Z21" s="33"/>
      <c r="AA21" s="57">
        <f>SUM(O21:Z21)</f>
        <v>0</v>
      </c>
      <c r="AB21" s="56"/>
    </row>
    <row r="22" spans="1:28">
      <c r="A22" s="16" t="s">
        <v>176</v>
      </c>
      <c r="B22" s="33"/>
      <c r="C22" s="33"/>
      <c r="D22" s="33"/>
      <c r="E22" s="33"/>
      <c r="F22" s="33"/>
      <c r="G22" s="33"/>
      <c r="H22" s="33"/>
      <c r="I22" s="33"/>
      <c r="J22" s="33"/>
      <c r="K22" s="33"/>
      <c r="L22" s="33"/>
      <c r="M22" s="33"/>
      <c r="N22" s="57">
        <f t="shared" ref="N22:N44" si="7">SUM(B22:M22)</f>
        <v>0</v>
      </c>
      <c r="O22" s="33"/>
      <c r="P22" s="33"/>
      <c r="Q22" s="33"/>
      <c r="R22" s="33"/>
      <c r="S22" s="33"/>
      <c r="T22" s="33"/>
      <c r="U22" s="33"/>
      <c r="V22" s="33"/>
      <c r="W22" s="33"/>
      <c r="X22" s="33"/>
      <c r="Y22" s="33"/>
      <c r="Z22" s="33"/>
      <c r="AA22" s="57">
        <f t="shared" ref="AA22:AA26" si="8">SUM(O22:Z22)</f>
        <v>0</v>
      </c>
      <c r="AB22" s="56"/>
    </row>
    <row r="23" spans="1:28">
      <c r="A23" s="16" t="s">
        <v>177</v>
      </c>
      <c r="B23" s="33"/>
      <c r="C23" s="33"/>
      <c r="D23" s="33"/>
      <c r="E23" s="33"/>
      <c r="F23" s="33"/>
      <c r="G23" s="33"/>
      <c r="H23" s="33"/>
      <c r="I23" s="33"/>
      <c r="J23" s="33"/>
      <c r="K23" s="33"/>
      <c r="L23" s="33"/>
      <c r="M23" s="33"/>
      <c r="N23" s="57">
        <f t="shared" si="7"/>
        <v>0</v>
      </c>
      <c r="O23" s="33"/>
      <c r="P23" s="33"/>
      <c r="Q23" s="33"/>
      <c r="R23" s="33"/>
      <c r="S23" s="33"/>
      <c r="T23" s="33"/>
      <c r="U23" s="33"/>
      <c r="V23" s="33"/>
      <c r="W23" s="33"/>
      <c r="X23" s="33"/>
      <c r="Y23" s="33"/>
      <c r="Z23" s="33"/>
      <c r="AA23" s="57">
        <f t="shared" si="8"/>
        <v>0</v>
      </c>
      <c r="AB23" s="56"/>
    </row>
    <row r="24" spans="1:28">
      <c r="A24" s="16" t="s">
        <v>178</v>
      </c>
      <c r="B24" s="33">
        <v>300000</v>
      </c>
      <c r="C24" s="33"/>
      <c r="D24" s="33"/>
      <c r="E24" s="33"/>
      <c r="F24" s="33"/>
      <c r="G24" s="33"/>
      <c r="H24" s="33"/>
      <c r="I24" s="33"/>
      <c r="J24" s="33"/>
      <c r="K24" s="33"/>
      <c r="L24" s="33"/>
      <c r="M24" s="33"/>
      <c r="N24" s="57">
        <f>SUM(B24:M24)</f>
        <v>300000</v>
      </c>
      <c r="O24" s="33"/>
      <c r="P24" s="33"/>
      <c r="Q24" s="33"/>
      <c r="R24" s="33"/>
      <c r="S24" s="33"/>
      <c r="T24" s="33"/>
      <c r="U24" s="33"/>
      <c r="V24" s="33"/>
      <c r="W24" s="33"/>
      <c r="X24" s="33"/>
      <c r="Y24" s="33"/>
      <c r="Z24" s="33"/>
      <c r="AA24" s="57">
        <f t="shared" si="8"/>
        <v>0</v>
      </c>
      <c r="AB24" s="56"/>
    </row>
    <row r="25" spans="1:28">
      <c r="A25" s="16" t="s">
        <v>179</v>
      </c>
      <c r="B25" s="33">
        <v>300000</v>
      </c>
      <c r="C25" s="33"/>
      <c r="D25" s="33"/>
      <c r="E25" s="33"/>
      <c r="F25" s="33"/>
      <c r="G25" s="33"/>
      <c r="H25" s="33"/>
      <c r="I25" s="33"/>
      <c r="J25" s="33"/>
      <c r="K25" s="33"/>
      <c r="L25" s="33"/>
      <c r="M25" s="33"/>
      <c r="N25" s="57">
        <f>SUM(B25:M25)</f>
        <v>300000</v>
      </c>
      <c r="O25" s="33"/>
      <c r="P25" s="33"/>
      <c r="Q25" s="33"/>
      <c r="R25" s="33"/>
      <c r="S25" s="33"/>
      <c r="T25" s="33"/>
      <c r="U25" s="33"/>
      <c r="V25" s="33"/>
      <c r="W25" s="33"/>
      <c r="X25" s="33"/>
      <c r="Y25" s="33"/>
      <c r="Z25" s="33"/>
      <c r="AA25" s="57">
        <f>SUM(O25:Z25)</f>
        <v>0</v>
      </c>
      <c r="AB25" s="56"/>
    </row>
    <row r="26" spans="1:28">
      <c r="A26" s="16" t="s">
        <v>180</v>
      </c>
      <c r="B26" s="33">
        <v>100000</v>
      </c>
      <c r="C26" s="33"/>
      <c r="D26" s="33"/>
      <c r="E26" s="33"/>
      <c r="F26" s="33"/>
      <c r="G26" s="33"/>
      <c r="H26" s="33"/>
      <c r="I26" s="33"/>
      <c r="J26" s="33"/>
      <c r="K26" s="33"/>
      <c r="L26" s="33"/>
      <c r="M26" s="33"/>
      <c r="N26" s="57">
        <f>SUM(B26:M26)</f>
        <v>100000</v>
      </c>
      <c r="O26" s="33"/>
      <c r="P26" s="33"/>
      <c r="Q26" s="33"/>
      <c r="R26" s="33"/>
      <c r="S26" s="33"/>
      <c r="T26" s="33"/>
      <c r="U26" s="33"/>
      <c r="V26" s="33"/>
      <c r="W26" s="33"/>
      <c r="X26" s="33"/>
      <c r="Y26" s="33"/>
      <c r="Z26" s="33"/>
      <c r="AA26" s="57">
        <f t="shared" si="8"/>
        <v>0</v>
      </c>
      <c r="AB26" s="56"/>
    </row>
    <row r="27" spans="1:28" s="28" customFormat="1">
      <c r="A27" s="28" t="s">
        <v>60</v>
      </c>
      <c r="B27" s="58">
        <f>SUM(B21:B26)</f>
        <v>700000</v>
      </c>
      <c r="C27" s="58">
        <f t="shared" ref="C27:M27" si="9">SUM(C21:C26)</f>
        <v>0</v>
      </c>
      <c r="D27" s="58">
        <f t="shared" si="9"/>
        <v>0</v>
      </c>
      <c r="E27" s="58">
        <f t="shared" si="9"/>
        <v>0</v>
      </c>
      <c r="F27" s="58">
        <f t="shared" si="9"/>
        <v>0</v>
      </c>
      <c r="G27" s="58">
        <f t="shared" si="9"/>
        <v>0</v>
      </c>
      <c r="H27" s="58">
        <f t="shared" si="9"/>
        <v>0</v>
      </c>
      <c r="I27" s="58">
        <f t="shared" si="9"/>
        <v>0</v>
      </c>
      <c r="J27" s="58">
        <f t="shared" si="9"/>
        <v>0</v>
      </c>
      <c r="K27" s="58">
        <f t="shared" si="9"/>
        <v>0</v>
      </c>
      <c r="L27" s="58">
        <f t="shared" si="9"/>
        <v>0</v>
      </c>
      <c r="M27" s="58">
        <f t="shared" si="9"/>
        <v>0</v>
      </c>
      <c r="N27" s="59">
        <v>300000</v>
      </c>
      <c r="O27" s="58">
        <f>SUM(O21:O26)</f>
        <v>0</v>
      </c>
      <c r="P27" s="58">
        <f t="shared" ref="P27:Z27" si="10">SUM(P21:P26)</f>
        <v>0</v>
      </c>
      <c r="Q27" s="58">
        <f t="shared" si="10"/>
        <v>0</v>
      </c>
      <c r="R27" s="58">
        <f t="shared" si="10"/>
        <v>0</v>
      </c>
      <c r="S27" s="58">
        <f t="shared" si="10"/>
        <v>0</v>
      </c>
      <c r="T27" s="58">
        <f t="shared" si="10"/>
        <v>0</v>
      </c>
      <c r="U27" s="58">
        <f t="shared" si="10"/>
        <v>0</v>
      </c>
      <c r="V27" s="58">
        <f t="shared" si="10"/>
        <v>0</v>
      </c>
      <c r="W27" s="58">
        <f t="shared" si="10"/>
        <v>0</v>
      </c>
      <c r="X27" s="58">
        <f t="shared" si="10"/>
        <v>0</v>
      </c>
      <c r="Y27" s="58">
        <f t="shared" si="10"/>
        <v>0</v>
      </c>
      <c r="Z27" s="58">
        <f t="shared" si="10"/>
        <v>0</v>
      </c>
      <c r="AA27" s="59">
        <f>SUM(O27:Z27)</f>
        <v>0</v>
      </c>
      <c r="AB27" s="122">
        <f>SUM(AB21:AB26)</f>
        <v>0</v>
      </c>
    </row>
    <row r="28" spans="1:28">
      <c r="B28" s="40"/>
      <c r="C28" s="40"/>
      <c r="D28" s="40"/>
      <c r="E28" s="40"/>
      <c r="F28" s="40"/>
      <c r="G28" s="40"/>
      <c r="H28" s="40"/>
      <c r="I28" s="40"/>
      <c r="J28" s="40"/>
      <c r="K28" s="40"/>
      <c r="L28" s="40"/>
      <c r="M28" s="40"/>
      <c r="N28" s="57"/>
      <c r="O28" s="40"/>
      <c r="P28" s="40"/>
      <c r="Q28" s="40"/>
      <c r="R28" s="40"/>
      <c r="S28" s="40"/>
      <c r="T28" s="40"/>
      <c r="U28" s="40"/>
      <c r="V28" s="40"/>
      <c r="W28" s="40"/>
      <c r="X28" s="40"/>
      <c r="Y28" s="40"/>
      <c r="Z28" s="40"/>
      <c r="AA28" s="57"/>
      <c r="AB28" s="56"/>
    </row>
    <row r="29" spans="1:28">
      <c r="A29" s="28" t="s">
        <v>39</v>
      </c>
      <c r="B29" s="40"/>
      <c r="C29" s="40"/>
      <c r="D29" s="40"/>
      <c r="E29" s="40"/>
      <c r="F29" s="40"/>
      <c r="G29" s="40"/>
      <c r="H29" s="40"/>
      <c r="I29" s="40"/>
      <c r="J29" s="40"/>
      <c r="K29" s="40"/>
      <c r="L29" s="40"/>
      <c r="M29" s="40"/>
      <c r="N29" s="57"/>
      <c r="O29" s="40"/>
      <c r="P29" s="40"/>
      <c r="Q29" s="40"/>
      <c r="R29" s="40"/>
      <c r="S29" s="40"/>
      <c r="T29" s="40"/>
      <c r="U29" s="40"/>
      <c r="V29" s="40"/>
      <c r="W29" s="40"/>
      <c r="X29" s="40"/>
      <c r="Y29" s="40"/>
      <c r="Z29" s="40"/>
      <c r="AA29" s="57"/>
      <c r="AB29" s="56"/>
    </row>
    <row r="30" spans="1:28">
      <c r="A30" s="16" t="str">
        <f>Egresos!A8</f>
        <v>Costo de lo vendido</v>
      </c>
      <c r="B30" s="40">
        <f>Egresos!B8</f>
        <v>5000</v>
      </c>
      <c r="C30" s="40">
        <f>Egresos!C8</f>
        <v>5000</v>
      </c>
      <c r="D30" s="40">
        <f>Egresos!D8</f>
        <v>5000</v>
      </c>
      <c r="E30" s="40">
        <f>Egresos!E8</f>
        <v>5000</v>
      </c>
      <c r="F30" s="40">
        <f>Egresos!F8</f>
        <v>5000</v>
      </c>
      <c r="G30" s="40">
        <f>Egresos!G8</f>
        <v>5000</v>
      </c>
      <c r="H30" s="40">
        <f>Egresos!H8</f>
        <v>5000</v>
      </c>
      <c r="I30" s="40">
        <f>Egresos!I8</f>
        <v>5000</v>
      </c>
      <c r="J30" s="40">
        <f>Egresos!J8</f>
        <v>5000</v>
      </c>
      <c r="K30" s="40">
        <f>Egresos!K8</f>
        <v>5000</v>
      </c>
      <c r="L30" s="40">
        <f>Egresos!L8</f>
        <v>5000</v>
      </c>
      <c r="M30" s="40">
        <f>Egresos!M8</f>
        <v>5000</v>
      </c>
      <c r="N30" s="57">
        <f t="shared" si="7"/>
        <v>60000</v>
      </c>
      <c r="O30" s="56">
        <f>Egresos!O8</f>
        <v>8000</v>
      </c>
      <c r="P30" s="56">
        <f>Egresos!P8</f>
        <v>8000</v>
      </c>
      <c r="Q30" s="56">
        <f>Egresos!Q8</f>
        <v>8000</v>
      </c>
      <c r="R30" s="56">
        <f>Egresos!R8</f>
        <v>8000</v>
      </c>
      <c r="S30" s="56">
        <f>Egresos!S8</f>
        <v>8000</v>
      </c>
      <c r="T30" s="56">
        <f>Egresos!T8</f>
        <v>8000</v>
      </c>
      <c r="U30" s="56">
        <f>Egresos!U8</f>
        <v>8000</v>
      </c>
      <c r="V30" s="56">
        <f>Egresos!V8</f>
        <v>8000</v>
      </c>
      <c r="W30" s="56">
        <f>Egresos!W8</f>
        <v>8000</v>
      </c>
      <c r="X30" s="56">
        <f>Egresos!X8</f>
        <v>8000</v>
      </c>
      <c r="Y30" s="56">
        <f>Egresos!Y8</f>
        <v>8000</v>
      </c>
      <c r="Z30" s="56">
        <f>Egresos!Z8</f>
        <v>8000</v>
      </c>
      <c r="AA30" s="57">
        <f>SUM(O30:Z30)</f>
        <v>96000</v>
      </c>
      <c r="AB30" s="56">
        <f>Egresos!AB8</f>
        <v>130000</v>
      </c>
    </row>
    <row r="31" spans="1:28">
      <c r="A31" s="16" t="str">
        <f>Egresos!A9</f>
        <v>Sueldo dueño y directivos</v>
      </c>
      <c r="B31" s="40">
        <f>Egresos!B9</f>
        <v>40000</v>
      </c>
      <c r="C31" s="40">
        <f>Egresos!C9</f>
        <v>40000</v>
      </c>
      <c r="D31" s="40">
        <f>Egresos!D9</f>
        <v>40000</v>
      </c>
      <c r="E31" s="40">
        <f>Egresos!E9</f>
        <v>40000</v>
      </c>
      <c r="F31" s="40">
        <f>Egresos!F9</f>
        <v>40000</v>
      </c>
      <c r="G31" s="40">
        <f>Egresos!G9</f>
        <v>40000</v>
      </c>
      <c r="H31" s="40">
        <f>Egresos!H9</f>
        <v>40000</v>
      </c>
      <c r="I31" s="40">
        <f>Egresos!I9</f>
        <v>40000</v>
      </c>
      <c r="J31" s="40">
        <f>Egresos!J9</f>
        <v>40000</v>
      </c>
      <c r="K31" s="40">
        <f>Egresos!K9</f>
        <v>40000</v>
      </c>
      <c r="L31" s="40">
        <f>Egresos!L9</f>
        <v>40000</v>
      </c>
      <c r="M31" s="40">
        <f>Egresos!M9</f>
        <v>40000</v>
      </c>
      <c r="N31" s="57">
        <f t="shared" si="7"/>
        <v>480000</v>
      </c>
      <c r="O31" s="56">
        <f>Egresos!O9</f>
        <v>40000</v>
      </c>
      <c r="P31" s="56">
        <f>Egresos!P9</f>
        <v>40000</v>
      </c>
      <c r="Q31" s="56">
        <f>Egresos!Q9</f>
        <v>40000</v>
      </c>
      <c r="R31" s="56">
        <f>Egresos!R9</f>
        <v>40000</v>
      </c>
      <c r="S31" s="56">
        <f>Egresos!S9</f>
        <v>40000</v>
      </c>
      <c r="T31" s="56">
        <f>Egresos!T9</f>
        <v>40000</v>
      </c>
      <c r="U31" s="56">
        <f>Egresos!U9</f>
        <v>40000</v>
      </c>
      <c r="V31" s="56">
        <f>Egresos!V9</f>
        <v>40000</v>
      </c>
      <c r="W31" s="56">
        <f>Egresos!W9</f>
        <v>40000</v>
      </c>
      <c r="X31" s="56">
        <f>Egresos!X9</f>
        <v>40000</v>
      </c>
      <c r="Y31" s="56">
        <f>Egresos!Y9</f>
        <v>40000</v>
      </c>
      <c r="Z31" s="56">
        <f>Egresos!Z9</f>
        <v>40000</v>
      </c>
      <c r="AA31" s="57">
        <f>SUM(O31:Z31)</f>
        <v>480000</v>
      </c>
      <c r="AB31" s="56">
        <f>Egresos!AB9</f>
        <v>480000</v>
      </c>
    </row>
    <row r="32" spans="1:28">
      <c r="A32" s="16" t="str">
        <f>Egresos!A10</f>
        <v>Salarios personal de tienda, oficina, …</v>
      </c>
      <c r="B32" s="40">
        <f>Egresos!B10</f>
        <v>0</v>
      </c>
      <c r="C32" s="40">
        <f>Egresos!C10</f>
        <v>0</v>
      </c>
      <c r="D32" s="40">
        <f>Egresos!D10</f>
        <v>0</v>
      </c>
      <c r="E32" s="40">
        <f>Egresos!E10</f>
        <v>0</v>
      </c>
      <c r="F32" s="40">
        <f>Egresos!F10</f>
        <v>0</v>
      </c>
      <c r="G32" s="40">
        <f>Egresos!G10</f>
        <v>0</v>
      </c>
      <c r="H32" s="40">
        <f>Egresos!H10</f>
        <v>12000</v>
      </c>
      <c r="I32" s="40">
        <f>Egresos!I10</f>
        <v>12000</v>
      </c>
      <c r="J32" s="40">
        <f>Egresos!J10</f>
        <v>12000</v>
      </c>
      <c r="K32" s="40">
        <f>Egresos!K10</f>
        <v>12000</v>
      </c>
      <c r="L32" s="40">
        <f>Egresos!L10</f>
        <v>12000</v>
      </c>
      <c r="M32" s="40">
        <f>Egresos!M10</f>
        <v>12000</v>
      </c>
      <c r="N32" s="57">
        <f t="shared" si="7"/>
        <v>72000</v>
      </c>
      <c r="O32" s="56">
        <f>Egresos!O10</f>
        <v>16000</v>
      </c>
      <c r="P32" s="56">
        <f>Egresos!P10</f>
        <v>16000</v>
      </c>
      <c r="Q32" s="56">
        <f>Egresos!Q10</f>
        <v>16000</v>
      </c>
      <c r="R32" s="56">
        <f>Egresos!R10</f>
        <v>16000</v>
      </c>
      <c r="S32" s="56">
        <f>Egresos!S10</f>
        <v>16000</v>
      </c>
      <c r="T32" s="56">
        <f>Egresos!T10</f>
        <v>16000</v>
      </c>
      <c r="U32" s="56">
        <f>Egresos!U10</f>
        <v>16000</v>
      </c>
      <c r="V32" s="56">
        <f>Egresos!V10</f>
        <v>16000</v>
      </c>
      <c r="W32" s="56">
        <f>Egresos!W10</f>
        <v>16000</v>
      </c>
      <c r="X32" s="56">
        <f>Egresos!X10</f>
        <v>16000</v>
      </c>
      <c r="Y32" s="56">
        <f>Egresos!Y10</f>
        <v>16000</v>
      </c>
      <c r="Z32" s="56">
        <f>Egresos!Z10</f>
        <v>16000</v>
      </c>
      <c r="AA32" s="57">
        <f>SUM(O32:Z32)</f>
        <v>192000</v>
      </c>
      <c r="AB32" s="56">
        <f>Egresos!AB10</f>
        <v>240000</v>
      </c>
    </row>
    <row r="33" spans="1:30">
      <c r="A33" s="16" t="str">
        <f>Egresos!A11</f>
        <v>Material de oficina</v>
      </c>
      <c r="B33" s="40">
        <f>Egresos!B11</f>
        <v>50000</v>
      </c>
      <c r="C33" s="40">
        <f>Egresos!C11</f>
        <v>2000</v>
      </c>
      <c r="D33" s="40">
        <f>Egresos!D11</f>
        <v>2000</v>
      </c>
      <c r="E33" s="40">
        <f>Egresos!E11</f>
        <v>2000</v>
      </c>
      <c r="F33" s="40">
        <f>Egresos!F11</f>
        <v>2000</v>
      </c>
      <c r="G33" s="40">
        <f>Egresos!G11</f>
        <v>2000</v>
      </c>
      <c r="H33" s="40">
        <f>Egresos!H11</f>
        <v>2000</v>
      </c>
      <c r="I33" s="40">
        <f>Egresos!I11</f>
        <v>2000</v>
      </c>
      <c r="J33" s="40">
        <f>Egresos!J11</f>
        <v>2000</v>
      </c>
      <c r="K33" s="40">
        <f>Egresos!K11</f>
        <v>2000</v>
      </c>
      <c r="L33" s="40">
        <f>Egresos!L11</f>
        <v>2000</v>
      </c>
      <c r="M33" s="40">
        <f>Egresos!M11</f>
        <v>2000</v>
      </c>
      <c r="N33" s="57">
        <f t="shared" si="7"/>
        <v>72000</v>
      </c>
      <c r="O33" s="56">
        <f>Egresos!O11</f>
        <v>10000</v>
      </c>
      <c r="P33" s="56">
        <f>Egresos!P11</f>
        <v>2000</v>
      </c>
      <c r="Q33" s="56">
        <f>Egresos!Q11</f>
        <v>2000</v>
      </c>
      <c r="R33" s="56">
        <f>Egresos!R11</f>
        <v>2000</v>
      </c>
      <c r="S33" s="56">
        <f>Egresos!S11</f>
        <v>2000</v>
      </c>
      <c r="T33" s="56">
        <f>Egresos!T11</f>
        <v>2000</v>
      </c>
      <c r="U33" s="56">
        <f>Egresos!U11</f>
        <v>2000</v>
      </c>
      <c r="V33" s="56">
        <f>Egresos!V11</f>
        <v>2000</v>
      </c>
      <c r="W33" s="56">
        <f>Egresos!W11</f>
        <v>2000</v>
      </c>
      <c r="X33" s="56">
        <f>Egresos!X11</f>
        <v>2000</v>
      </c>
      <c r="Y33" s="56">
        <f>Egresos!Y11</f>
        <v>2000</v>
      </c>
      <c r="Z33" s="56">
        <f>Egresos!Z11</f>
        <v>2000</v>
      </c>
      <c r="AA33" s="57">
        <f t="shared" ref="AA33:AA44" si="11">SUM(O33:Z33)</f>
        <v>32000</v>
      </c>
      <c r="AB33" s="56">
        <f>Egresos!AB11</f>
        <v>32000</v>
      </c>
    </row>
    <row r="34" spans="1:30">
      <c r="A34" s="16" t="str">
        <f>Egresos!A12</f>
        <v>Teléfono, Internet</v>
      </c>
      <c r="B34" s="40">
        <f>Egresos!B12</f>
        <v>4000</v>
      </c>
      <c r="C34" s="40">
        <f>Egresos!C12</f>
        <v>4000</v>
      </c>
      <c r="D34" s="40">
        <f>Egresos!D12</f>
        <v>4000</v>
      </c>
      <c r="E34" s="40">
        <f>Egresos!E12</f>
        <v>4000</v>
      </c>
      <c r="F34" s="40">
        <f>Egresos!F12</f>
        <v>4000</v>
      </c>
      <c r="G34" s="40">
        <f>Egresos!G12</f>
        <v>4000</v>
      </c>
      <c r="H34" s="40">
        <f>Egresos!H12</f>
        <v>4000</v>
      </c>
      <c r="I34" s="40">
        <f>Egresos!I12</f>
        <v>4000</v>
      </c>
      <c r="J34" s="40">
        <f>Egresos!J12</f>
        <v>4000</v>
      </c>
      <c r="K34" s="40">
        <f>Egresos!K12</f>
        <v>4000</v>
      </c>
      <c r="L34" s="40">
        <f>Egresos!L12</f>
        <v>4000</v>
      </c>
      <c r="M34" s="40">
        <f>Egresos!M12</f>
        <v>4000</v>
      </c>
      <c r="N34" s="57">
        <f t="shared" si="7"/>
        <v>48000</v>
      </c>
      <c r="O34" s="56">
        <f>Egresos!O12</f>
        <v>4000</v>
      </c>
      <c r="P34" s="56">
        <f>Egresos!P12</f>
        <v>4000</v>
      </c>
      <c r="Q34" s="56">
        <f>Egresos!Q12</f>
        <v>4000</v>
      </c>
      <c r="R34" s="56">
        <f>Egresos!R12</f>
        <v>4000</v>
      </c>
      <c r="S34" s="56">
        <f>Egresos!S12</f>
        <v>4000</v>
      </c>
      <c r="T34" s="56">
        <f>Egresos!T12</f>
        <v>4000</v>
      </c>
      <c r="U34" s="56">
        <f>Egresos!U12</f>
        <v>4000</v>
      </c>
      <c r="V34" s="56">
        <f>Egresos!V12</f>
        <v>4000</v>
      </c>
      <c r="W34" s="56">
        <f>Egresos!W12</f>
        <v>4000</v>
      </c>
      <c r="X34" s="56">
        <f>Egresos!X12</f>
        <v>4000</v>
      </c>
      <c r="Y34" s="56">
        <f>Egresos!Y12</f>
        <v>4000</v>
      </c>
      <c r="Z34" s="56">
        <f>Egresos!Z12</f>
        <v>4000</v>
      </c>
      <c r="AA34" s="57">
        <f t="shared" si="11"/>
        <v>48000</v>
      </c>
      <c r="AB34" s="56">
        <f>Egresos!AB12</f>
        <v>48000</v>
      </c>
    </row>
    <row r="35" spans="1:30">
      <c r="A35" s="16" t="str">
        <f>Egresos!A13</f>
        <v>Transporte - entregas</v>
      </c>
      <c r="B35" s="40">
        <f>Egresos!B13</f>
        <v>6000</v>
      </c>
      <c r="C35" s="40">
        <f>Egresos!C13</f>
        <v>6000</v>
      </c>
      <c r="D35" s="40">
        <f>Egresos!D13</f>
        <v>6000</v>
      </c>
      <c r="E35" s="40">
        <f>Egresos!E13</f>
        <v>6000</v>
      </c>
      <c r="F35" s="40">
        <f>Egresos!F13</f>
        <v>6000</v>
      </c>
      <c r="G35" s="40">
        <f>Egresos!G13</f>
        <v>6000</v>
      </c>
      <c r="H35" s="40">
        <f>Egresos!H13</f>
        <v>6000</v>
      </c>
      <c r="I35" s="40">
        <f>Egresos!I13</f>
        <v>6000</v>
      </c>
      <c r="J35" s="40">
        <f>Egresos!J13</f>
        <v>6000</v>
      </c>
      <c r="K35" s="40">
        <f>Egresos!K13</f>
        <v>6000</v>
      </c>
      <c r="L35" s="40">
        <f>Egresos!L13</f>
        <v>6000</v>
      </c>
      <c r="M35" s="40">
        <f>Egresos!M13</f>
        <v>6000</v>
      </c>
      <c r="N35" s="57">
        <f t="shared" si="7"/>
        <v>72000</v>
      </c>
      <c r="O35" s="56">
        <f>Egresos!O13</f>
        <v>6000</v>
      </c>
      <c r="P35" s="56">
        <f>Egresos!P13</f>
        <v>6000</v>
      </c>
      <c r="Q35" s="56">
        <f>Egresos!Q13</f>
        <v>6000</v>
      </c>
      <c r="R35" s="56">
        <f>Egresos!R13</f>
        <v>6000</v>
      </c>
      <c r="S35" s="56">
        <f>Egresos!S13</f>
        <v>6000</v>
      </c>
      <c r="T35" s="56">
        <f>Egresos!T13</f>
        <v>6000</v>
      </c>
      <c r="U35" s="56">
        <f>Egresos!U13</f>
        <v>6000</v>
      </c>
      <c r="V35" s="56">
        <f>Egresos!V13</f>
        <v>6000</v>
      </c>
      <c r="W35" s="56">
        <f>Egresos!W13</f>
        <v>6000</v>
      </c>
      <c r="X35" s="56">
        <f>Egresos!X13</f>
        <v>6000</v>
      </c>
      <c r="Y35" s="56">
        <f>Egresos!Y13</f>
        <v>6000</v>
      </c>
      <c r="Z35" s="56">
        <f>Egresos!Z13</f>
        <v>6000</v>
      </c>
      <c r="AA35" s="57">
        <f t="shared" si="11"/>
        <v>72000</v>
      </c>
      <c r="AB35" s="56">
        <f>Egresos!AB13</f>
        <v>72000</v>
      </c>
    </row>
    <row r="36" spans="1:30">
      <c r="A36" s="16" t="str">
        <f>Egresos!A14</f>
        <v>Renta</v>
      </c>
      <c r="B36" s="40">
        <f>Egresos!B14</f>
        <v>8000</v>
      </c>
      <c r="C36" s="40">
        <f>Egresos!C14</f>
        <v>8000</v>
      </c>
      <c r="D36" s="40">
        <f>Egresos!D14</f>
        <v>8000</v>
      </c>
      <c r="E36" s="40">
        <f>Egresos!E14</f>
        <v>8000</v>
      </c>
      <c r="F36" s="40">
        <f>Egresos!F14</f>
        <v>8000</v>
      </c>
      <c r="G36" s="40">
        <f>Egresos!G14</f>
        <v>8000</v>
      </c>
      <c r="H36" s="40">
        <f>Egresos!H14</f>
        <v>8000</v>
      </c>
      <c r="I36" s="40">
        <f>Egresos!I14</f>
        <v>8000</v>
      </c>
      <c r="J36" s="40">
        <f>Egresos!J14</f>
        <v>8000</v>
      </c>
      <c r="K36" s="40">
        <f>Egresos!K14</f>
        <v>8000</v>
      </c>
      <c r="L36" s="40">
        <f>Egresos!L14</f>
        <v>8000</v>
      </c>
      <c r="M36" s="40">
        <f>Egresos!M14</f>
        <v>8000</v>
      </c>
      <c r="N36" s="57">
        <f t="shared" si="7"/>
        <v>96000</v>
      </c>
      <c r="O36" s="56">
        <f>Egresos!O14</f>
        <v>8000</v>
      </c>
      <c r="P36" s="56">
        <f>Egresos!P14</f>
        <v>8000</v>
      </c>
      <c r="Q36" s="56">
        <f>Egresos!Q14</f>
        <v>8000</v>
      </c>
      <c r="R36" s="56">
        <f>Egresos!R14</f>
        <v>8000</v>
      </c>
      <c r="S36" s="56">
        <f>Egresos!S14</f>
        <v>8000</v>
      </c>
      <c r="T36" s="56">
        <f>Egresos!T14</f>
        <v>8000</v>
      </c>
      <c r="U36" s="56">
        <f>Egresos!U14</f>
        <v>8000</v>
      </c>
      <c r="V36" s="56">
        <f>Egresos!V14</f>
        <v>8000</v>
      </c>
      <c r="W36" s="56">
        <f>Egresos!W14</f>
        <v>8000</v>
      </c>
      <c r="X36" s="56">
        <f>Egresos!X14</f>
        <v>8000</v>
      </c>
      <c r="Y36" s="56">
        <f>Egresos!Y14</f>
        <v>8000</v>
      </c>
      <c r="Z36" s="56">
        <f>Egresos!Z14</f>
        <v>8000</v>
      </c>
      <c r="AA36" s="57">
        <f t="shared" si="11"/>
        <v>96000</v>
      </c>
      <c r="AB36" s="56">
        <f>Egresos!AB14</f>
        <v>96000</v>
      </c>
    </row>
    <row r="37" spans="1:30">
      <c r="A37" s="16" t="str">
        <f>Egresos!A15</f>
        <v xml:space="preserve">Reparaciones y mantenimiento </v>
      </c>
      <c r="B37" s="40">
        <f>Egresos!B15</f>
        <v>8000</v>
      </c>
      <c r="C37" s="40">
        <f>Egresos!C15</f>
        <v>8000</v>
      </c>
      <c r="D37" s="40">
        <f>Egresos!D15</f>
        <v>8000</v>
      </c>
      <c r="E37" s="40">
        <f>Egresos!E15</f>
        <v>8000</v>
      </c>
      <c r="F37" s="40">
        <f>Egresos!F15</f>
        <v>8000</v>
      </c>
      <c r="G37" s="40">
        <f>Egresos!G15</f>
        <v>8000</v>
      </c>
      <c r="H37" s="40">
        <f>Egresos!H15</f>
        <v>8000</v>
      </c>
      <c r="I37" s="40">
        <f>Egresos!I15</f>
        <v>8000</v>
      </c>
      <c r="J37" s="40">
        <f>Egresos!J15</f>
        <v>8000</v>
      </c>
      <c r="K37" s="40">
        <f>Egresos!K15</f>
        <v>8000</v>
      </c>
      <c r="L37" s="40">
        <f>Egresos!L15</f>
        <v>8000</v>
      </c>
      <c r="M37" s="40">
        <f>Egresos!M15</f>
        <v>8000</v>
      </c>
      <c r="N37" s="57">
        <f t="shared" si="7"/>
        <v>96000</v>
      </c>
      <c r="O37" s="56">
        <f>Egresos!O15</f>
        <v>8000</v>
      </c>
      <c r="P37" s="56">
        <f>Egresos!P15</f>
        <v>8000</v>
      </c>
      <c r="Q37" s="56">
        <f>Egresos!Q15</f>
        <v>8000</v>
      </c>
      <c r="R37" s="56">
        <f>Egresos!R15</f>
        <v>8000</v>
      </c>
      <c r="S37" s="56">
        <f>Egresos!S15</f>
        <v>8000</v>
      </c>
      <c r="T37" s="56">
        <f>Egresos!T15</f>
        <v>8000</v>
      </c>
      <c r="U37" s="56">
        <f>Egresos!U15</f>
        <v>8000</v>
      </c>
      <c r="V37" s="56">
        <f>Egresos!V15</f>
        <v>8000</v>
      </c>
      <c r="W37" s="56">
        <f>Egresos!W15</f>
        <v>8000</v>
      </c>
      <c r="X37" s="56">
        <f>Egresos!X15</f>
        <v>8000</v>
      </c>
      <c r="Y37" s="56">
        <f>Egresos!Y15</f>
        <v>8000</v>
      </c>
      <c r="Z37" s="56">
        <f>Egresos!Z15</f>
        <v>8000</v>
      </c>
      <c r="AA37" s="57">
        <f t="shared" si="11"/>
        <v>96000</v>
      </c>
      <c r="AB37" s="56">
        <f>Egresos!AB15</f>
        <v>96000</v>
      </c>
    </row>
    <row r="38" spans="1:30">
      <c r="A38" s="16" t="str">
        <f>Egresos!A16</f>
        <v>Agua</v>
      </c>
      <c r="B38" s="40">
        <f>Egresos!B16</f>
        <v>40</v>
      </c>
      <c r="C38" s="40">
        <f>Egresos!C16</f>
        <v>40</v>
      </c>
      <c r="D38" s="40">
        <f>Egresos!D16</f>
        <v>40</v>
      </c>
      <c r="E38" s="40">
        <f>Egresos!E16</f>
        <v>40</v>
      </c>
      <c r="F38" s="40">
        <f>Egresos!F16</f>
        <v>40</v>
      </c>
      <c r="G38" s="40">
        <f>Egresos!G16</f>
        <v>40</v>
      </c>
      <c r="H38" s="40">
        <f>Egresos!H16</f>
        <v>40</v>
      </c>
      <c r="I38" s="40">
        <f>Egresos!I16</f>
        <v>40</v>
      </c>
      <c r="J38" s="40">
        <f>Egresos!J16</f>
        <v>40</v>
      </c>
      <c r="K38" s="40">
        <f>Egresos!K16</f>
        <v>40</v>
      </c>
      <c r="L38" s="40">
        <f>Egresos!L16</f>
        <v>40</v>
      </c>
      <c r="M38" s="40">
        <f>Egresos!M16</f>
        <v>40</v>
      </c>
      <c r="N38" s="57">
        <f t="shared" si="7"/>
        <v>480</v>
      </c>
      <c r="O38" s="56">
        <f>Egresos!O16</f>
        <v>40</v>
      </c>
      <c r="P38" s="56">
        <f>Egresos!P16</f>
        <v>40</v>
      </c>
      <c r="Q38" s="56">
        <f>Egresos!Q16</f>
        <v>40</v>
      </c>
      <c r="R38" s="56">
        <f>Egresos!R16</f>
        <v>40</v>
      </c>
      <c r="S38" s="56">
        <f>Egresos!S16</f>
        <v>40</v>
      </c>
      <c r="T38" s="56">
        <f>Egresos!T16</f>
        <v>40</v>
      </c>
      <c r="U38" s="56">
        <f>Egresos!U16</f>
        <v>40</v>
      </c>
      <c r="V38" s="56">
        <f>Egresos!V16</f>
        <v>40</v>
      </c>
      <c r="W38" s="56">
        <f>Egresos!W16</f>
        <v>40</v>
      </c>
      <c r="X38" s="56">
        <f>Egresos!X16</f>
        <v>40</v>
      </c>
      <c r="Y38" s="56">
        <f>Egresos!Y16</f>
        <v>40</v>
      </c>
      <c r="Z38" s="56">
        <f>Egresos!Z16</f>
        <v>40</v>
      </c>
      <c r="AA38" s="57">
        <f t="shared" si="11"/>
        <v>480</v>
      </c>
      <c r="AB38" s="56">
        <f>Egresos!AB16</f>
        <v>480</v>
      </c>
    </row>
    <row r="39" spans="1:30">
      <c r="A39" s="16" t="str">
        <f>Egresos!A17</f>
        <v>Energía eléctrica</v>
      </c>
      <c r="B39" s="40">
        <f>Egresos!B17</f>
        <v>4000</v>
      </c>
      <c r="C39" s="40">
        <f>Egresos!C17</f>
        <v>4000</v>
      </c>
      <c r="D39" s="40">
        <f>Egresos!D17</f>
        <v>4000</v>
      </c>
      <c r="E39" s="40">
        <f>Egresos!E17</f>
        <v>4000</v>
      </c>
      <c r="F39" s="40">
        <f>Egresos!F17</f>
        <v>4000</v>
      </c>
      <c r="G39" s="40">
        <f>Egresos!G17</f>
        <v>4000</v>
      </c>
      <c r="H39" s="40">
        <f>Egresos!H17</f>
        <v>4000</v>
      </c>
      <c r="I39" s="40">
        <f>Egresos!I17</f>
        <v>4000</v>
      </c>
      <c r="J39" s="40">
        <f>Egresos!J17</f>
        <v>4000</v>
      </c>
      <c r="K39" s="40">
        <f>Egresos!K17</f>
        <v>4000</v>
      </c>
      <c r="L39" s="40">
        <f>Egresos!L17</f>
        <v>4000</v>
      </c>
      <c r="M39" s="40">
        <f>Egresos!M17</f>
        <v>4000</v>
      </c>
      <c r="N39" s="57">
        <f t="shared" si="7"/>
        <v>48000</v>
      </c>
      <c r="O39" s="56">
        <f>Egresos!O17</f>
        <v>4000</v>
      </c>
      <c r="P39" s="56">
        <f>Egresos!P17</f>
        <v>4000</v>
      </c>
      <c r="Q39" s="56">
        <f>Egresos!Q17</f>
        <v>4000</v>
      </c>
      <c r="R39" s="56">
        <f>Egresos!R17</f>
        <v>4000</v>
      </c>
      <c r="S39" s="56">
        <f>Egresos!S17</f>
        <v>4000</v>
      </c>
      <c r="T39" s="56">
        <f>Egresos!T17</f>
        <v>4000</v>
      </c>
      <c r="U39" s="56">
        <f>Egresos!U17</f>
        <v>4000</v>
      </c>
      <c r="V39" s="56">
        <f>Egresos!V17</f>
        <v>4000</v>
      </c>
      <c r="W39" s="56">
        <f>Egresos!W17</f>
        <v>4000</v>
      </c>
      <c r="X39" s="56">
        <f>Egresos!X17</f>
        <v>4000</v>
      </c>
      <c r="Y39" s="56">
        <f>Egresos!Y17</f>
        <v>4000</v>
      </c>
      <c r="Z39" s="56">
        <f>Egresos!Z17</f>
        <v>4000</v>
      </c>
      <c r="AA39" s="57">
        <f t="shared" si="11"/>
        <v>48000</v>
      </c>
      <c r="AB39" s="56">
        <f>Egresos!AB17</f>
        <v>48000</v>
      </c>
    </row>
    <row r="40" spans="1:30">
      <c r="A40" s="16" t="str">
        <f>Egresos!A18</f>
        <v>Seguros</v>
      </c>
      <c r="B40" s="40">
        <f>Egresos!B18</f>
        <v>3000</v>
      </c>
      <c r="C40" s="40">
        <f>Egresos!C18</f>
        <v>3000</v>
      </c>
      <c r="D40" s="40">
        <f>Egresos!D18</f>
        <v>3000</v>
      </c>
      <c r="E40" s="40">
        <f>Egresos!E18</f>
        <v>3000</v>
      </c>
      <c r="F40" s="40">
        <f>Egresos!F18</f>
        <v>3000</v>
      </c>
      <c r="G40" s="40">
        <f>Egresos!G18</f>
        <v>3000</v>
      </c>
      <c r="H40" s="40">
        <f>Egresos!H18</f>
        <v>3000</v>
      </c>
      <c r="I40" s="40">
        <f>Egresos!I18</f>
        <v>3000</v>
      </c>
      <c r="J40" s="40">
        <f>Egresos!J18</f>
        <v>3000</v>
      </c>
      <c r="K40" s="40">
        <f>Egresos!K18</f>
        <v>3000</v>
      </c>
      <c r="L40" s="40">
        <f>Egresos!L18</f>
        <v>3000</v>
      </c>
      <c r="M40" s="40">
        <f>Egresos!M18</f>
        <v>3000</v>
      </c>
      <c r="N40" s="57">
        <f t="shared" si="7"/>
        <v>36000</v>
      </c>
      <c r="O40" s="56">
        <f>Egresos!O18</f>
        <v>3000</v>
      </c>
      <c r="P40" s="56">
        <f>Egresos!P18</f>
        <v>3000</v>
      </c>
      <c r="Q40" s="56">
        <f>Egresos!Q18</f>
        <v>3000</v>
      </c>
      <c r="R40" s="56">
        <f>Egresos!R18</f>
        <v>3000</v>
      </c>
      <c r="S40" s="56">
        <f>Egresos!S18</f>
        <v>3000</v>
      </c>
      <c r="T40" s="56">
        <f>Egresos!T18</f>
        <v>3000</v>
      </c>
      <c r="U40" s="56">
        <f>Egresos!U18</f>
        <v>3000</v>
      </c>
      <c r="V40" s="56">
        <f>Egresos!V18</f>
        <v>3000</v>
      </c>
      <c r="W40" s="56">
        <f>Egresos!W18</f>
        <v>3000</v>
      </c>
      <c r="X40" s="56">
        <f>Egresos!X18</f>
        <v>3000</v>
      </c>
      <c r="Y40" s="56">
        <f>Egresos!Y18</f>
        <v>3000</v>
      </c>
      <c r="Z40" s="56">
        <f>Egresos!Z18</f>
        <v>3000</v>
      </c>
      <c r="AA40" s="57">
        <f t="shared" si="11"/>
        <v>36000</v>
      </c>
      <c r="AB40" s="56">
        <f>Egresos!AB18</f>
        <v>36000</v>
      </c>
    </row>
    <row r="41" spans="1:30">
      <c r="A41" s="16" t="str">
        <f>Egresos!A19</f>
        <v>Licencias</v>
      </c>
      <c r="B41" s="40">
        <f>Egresos!B19</f>
        <v>10000</v>
      </c>
      <c r="C41" s="40">
        <f>Egresos!C19</f>
        <v>10000</v>
      </c>
      <c r="D41" s="40">
        <f>Egresos!D19</f>
        <v>10000</v>
      </c>
      <c r="E41" s="40">
        <f>Egresos!E19</f>
        <v>10000</v>
      </c>
      <c r="F41" s="40">
        <f>Egresos!F19</f>
        <v>10000</v>
      </c>
      <c r="G41" s="40">
        <f>Egresos!G19</f>
        <v>10000</v>
      </c>
      <c r="H41" s="40">
        <f>Egresos!H19</f>
        <v>10000</v>
      </c>
      <c r="I41" s="40">
        <f>Egresos!I19</f>
        <v>10000</v>
      </c>
      <c r="J41" s="40">
        <f>Egresos!J19</f>
        <v>10000</v>
      </c>
      <c r="K41" s="40">
        <f>Egresos!K19</f>
        <v>10000</v>
      </c>
      <c r="L41" s="40">
        <f>Egresos!L19</f>
        <v>10000</v>
      </c>
      <c r="M41" s="40">
        <f>Egresos!M19</f>
        <v>10000</v>
      </c>
      <c r="N41" s="57">
        <f t="shared" si="7"/>
        <v>120000</v>
      </c>
      <c r="O41" s="56">
        <f>Egresos!O19</f>
        <v>10000</v>
      </c>
      <c r="P41" s="56">
        <f>Egresos!P19</f>
        <v>10000</v>
      </c>
      <c r="Q41" s="56">
        <f>Egresos!Q19</f>
        <v>10000</v>
      </c>
      <c r="R41" s="56">
        <f>Egresos!R19</f>
        <v>10000</v>
      </c>
      <c r="S41" s="56">
        <f>Egresos!S19</f>
        <v>10000</v>
      </c>
      <c r="T41" s="56">
        <f>Egresos!T19</f>
        <v>10000</v>
      </c>
      <c r="U41" s="56">
        <f>Egresos!U19</f>
        <v>10000</v>
      </c>
      <c r="V41" s="56">
        <f>Egresos!V19</f>
        <v>10000</v>
      </c>
      <c r="W41" s="56">
        <f>Egresos!W19</f>
        <v>10000</v>
      </c>
      <c r="X41" s="56">
        <f>Egresos!X19</f>
        <v>10000</v>
      </c>
      <c r="Y41" s="56">
        <f>Egresos!Y19</f>
        <v>10000</v>
      </c>
      <c r="Z41" s="56">
        <f>Egresos!Z19</f>
        <v>10000</v>
      </c>
      <c r="AA41" s="57">
        <f t="shared" si="11"/>
        <v>120000</v>
      </c>
      <c r="AB41" s="56">
        <f>Egresos!AB19</f>
        <v>120000</v>
      </c>
    </row>
    <row r="42" spans="1:30">
      <c r="A42" s="16" t="str">
        <f>Egresos!A20</f>
        <v>Varios</v>
      </c>
      <c r="B42" s="40">
        <f>Egresos!B20</f>
        <v>20000</v>
      </c>
      <c r="C42" s="40">
        <f>Egresos!C20</f>
        <v>20000</v>
      </c>
      <c r="D42" s="40">
        <f>Egresos!D20</f>
        <v>20000</v>
      </c>
      <c r="E42" s="40">
        <f>Egresos!E20</f>
        <v>20000</v>
      </c>
      <c r="F42" s="40">
        <f>Egresos!F20</f>
        <v>20000</v>
      </c>
      <c r="G42" s="40">
        <f>Egresos!G20</f>
        <v>20000</v>
      </c>
      <c r="H42" s="40">
        <f>Egresos!H20</f>
        <v>20000</v>
      </c>
      <c r="I42" s="40">
        <f>Egresos!I20</f>
        <v>20000</v>
      </c>
      <c r="J42" s="40">
        <f>Egresos!J20</f>
        <v>20000</v>
      </c>
      <c r="K42" s="40">
        <f>Egresos!K20</f>
        <v>20000</v>
      </c>
      <c r="L42" s="40">
        <f>Egresos!L20</f>
        <v>20000</v>
      </c>
      <c r="M42" s="40">
        <f>Egresos!M20</f>
        <v>20000</v>
      </c>
      <c r="N42" s="57">
        <f t="shared" si="7"/>
        <v>240000</v>
      </c>
      <c r="O42" s="56">
        <f>Egresos!O20</f>
        <v>20000</v>
      </c>
      <c r="P42" s="56">
        <f>Egresos!P20</f>
        <v>20000</v>
      </c>
      <c r="Q42" s="56">
        <f>Egresos!Q20</f>
        <v>20000</v>
      </c>
      <c r="R42" s="56">
        <f>Egresos!R20</f>
        <v>20000</v>
      </c>
      <c r="S42" s="56">
        <f>Egresos!S20</f>
        <v>20000</v>
      </c>
      <c r="T42" s="56">
        <f>Egresos!T20</f>
        <v>20000</v>
      </c>
      <c r="U42" s="56">
        <f>Egresos!U20</f>
        <v>20000</v>
      </c>
      <c r="V42" s="56">
        <f>Egresos!V20</f>
        <v>20000</v>
      </c>
      <c r="W42" s="56">
        <f>Egresos!W20</f>
        <v>20000</v>
      </c>
      <c r="X42" s="56">
        <f>Egresos!X20</f>
        <v>20000</v>
      </c>
      <c r="Y42" s="56">
        <f>Egresos!Y20</f>
        <v>20000</v>
      </c>
      <c r="Z42" s="56">
        <f>Egresos!Z20</f>
        <v>20000</v>
      </c>
      <c r="AA42" s="57">
        <f t="shared" si="11"/>
        <v>240000</v>
      </c>
      <c r="AB42" s="56">
        <f>Egresos!AB20</f>
        <v>240000</v>
      </c>
    </row>
    <row r="43" spans="1:30">
      <c r="A43" s="16" t="str">
        <f>Egresos!A26</f>
        <v>Pago de Intereses sobre créditos</v>
      </c>
      <c r="B43" s="40">
        <f>Egresos!B26</f>
        <v>4654.166666666667</v>
      </c>
      <c r="C43" s="40">
        <f>Egresos!C26</f>
        <v>4654.166666666667</v>
      </c>
      <c r="D43" s="40">
        <f>Egresos!D26</f>
        <v>4654.166666666667</v>
      </c>
      <c r="E43" s="40">
        <f>Egresos!E26</f>
        <v>4654.166666666667</v>
      </c>
      <c r="F43" s="40">
        <f>Egresos!F26</f>
        <v>4654.166666666667</v>
      </c>
      <c r="G43" s="40">
        <f>Egresos!G26</f>
        <v>4654.166666666667</v>
      </c>
      <c r="H43" s="40">
        <f>Egresos!H26</f>
        <v>4654.166666666667</v>
      </c>
      <c r="I43" s="40">
        <f>Egresos!I26</f>
        <v>4499.0277777777774</v>
      </c>
      <c r="J43" s="40">
        <f>Egresos!J26</f>
        <v>4343.8888888888887</v>
      </c>
      <c r="K43" s="40">
        <f>Egresos!K26</f>
        <v>4188.7499999999991</v>
      </c>
      <c r="L43" s="40">
        <f>Egresos!L26</f>
        <v>4033.6111111111104</v>
      </c>
      <c r="M43" s="40">
        <f>Egresos!M26</f>
        <v>3878.4722222222213</v>
      </c>
      <c r="N43" s="57">
        <f t="shared" si="7"/>
        <v>53522.916666666672</v>
      </c>
      <c r="O43" s="56">
        <f>Egresos!O26</f>
        <v>3723.3333333333321</v>
      </c>
      <c r="P43" s="56">
        <f>Egresos!P26</f>
        <v>3568.194444444443</v>
      </c>
      <c r="Q43" s="56">
        <f>Egresos!Q26</f>
        <v>3413.0555555555543</v>
      </c>
      <c r="R43" s="56">
        <f>Egresos!R26</f>
        <v>3257.9166666666652</v>
      </c>
      <c r="S43" s="56">
        <f>Egresos!S26</f>
        <v>3102.777777777776</v>
      </c>
      <c r="T43" s="56">
        <f>Egresos!T26</f>
        <v>2947.6388888888869</v>
      </c>
      <c r="U43" s="56">
        <f>Egresos!U26</f>
        <v>2792.4999999999977</v>
      </c>
      <c r="V43" s="56">
        <f>Egresos!V26</f>
        <v>2637.3611111111086</v>
      </c>
      <c r="W43" s="56">
        <f>Egresos!W26</f>
        <v>2482.2222222222199</v>
      </c>
      <c r="X43" s="56">
        <f>Egresos!X26</f>
        <v>2327.0833333333308</v>
      </c>
      <c r="Y43" s="56">
        <f>Egresos!Y26</f>
        <v>2171.9444444444421</v>
      </c>
      <c r="Z43" s="56">
        <f>Egresos!Z26</f>
        <v>2016.8055555555534</v>
      </c>
      <c r="AA43" s="57">
        <f t="shared" si="11"/>
        <v>34440.833333333314</v>
      </c>
      <c r="AB43" s="56">
        <f>Egresos!AB26</f>
        <v>12100.83333333331</v>
      </c>
    </row>
    <row r="44" spans="1:30">
      <c r="A44" s="16" t="str">
        <f>Egresos!A27</f>
        <v>Pago de capital sobre créditos</v>
      </c>
      <c r="B44" s="40">
        <f>Egresos!B27</f>
        <v>0</v>
      </c>
      <c r="C44" s="40">
        <f>Egresos!C27</f>
        <v>0</v>
      </c>
      <c r="D44" s="40">
        <f>Egresos!D27</f>
        <v>0</v>
      </c>
      <c r="E44" s="40">
        <f>Egresos!E27</f>
        <v>0</v>
      </c>
      <c r="F44" s="40">
        <f>Egresos!F27</f>
        <v>0</v>
      </c>
      <c r="G44" s="40">
        <f>Egresos!G27</f>
        <v>0</v>
      </c>
      <c r="H44" s="40">
        <f>Egresos!H27</f>
        <v>16666.666666666668</v>
      </c>
      <c r="I44" s="40">
        <f>Egresos!I27</f>
        <v>16666.666666666668</v>
      </c>
      <c r="J44" s="40">
        <f>Egresos!J27</f>
        <v>16666.666666666668</v>
      </c>
      <c r="K44" s="40">
        <f>Egresos!K27</f>
        <v>16666.666666666668</v>
      </c>
      <c r="L44" s="40">
        <f>Egresos!L27</f>
        <v>16666.666666666668</v>
      </c>
      <c r="M44" s="40">
        <f>Egresos!M27</f>
        <v>16666.666666666668</v>
      </c>
      <c r="N44" s="57">
        <f t="shared" si="7"/>
        <v>100000.00000000001</v>
      </c>
      <c r="O44" s="56">
        <f>Egresos!O27</f>
        <v>16666.666666666668</v>
      </c>
      <c r="P44" s="56">
        <f>Egresos!P27</f>
        <v>16666.666666666668</v>
      </c>
      <c r="Q44" s="56">
        <f>Egresos!Q27</f>
        <v>16666.666666666668</v>
      </c>
      <c r="R44" s="56">
        <f>Egresos!R27</f>
        <v>16666.666666666668</v>
      </c>
      <c r="S44" s="56">
        <f>Egresos!S27</f>
        <v>16666.666666666668</v>
      </c>
      <c r="T44" s="56">
        <f>Egresos!T27</f>
        <v>16666.666666666668</v>
      </c>
      <c r="U44" s="56">
        <f>Egresos!U27</f>
        <v>16666.666666666668</v>
      </c>
      <c r="V44" s="56">
        <f>Egresos!V27</f>
        <v>16666.666666666668</v>
      </c>
      <c r="W44" s="56">
        <f>Egresos!W27</f>
        <v>16666.666666666668</v>
      </c>
      <c r="X44" s="56">
        <f>Egresos!X27</f>
        <v>16666.666666666668</v>
      </c>
      <c r="Y44" s="56">
        <f>Egresos!Y27</f>
        <v>16666.666666666668</v>
      </c>
      <c r="Z44" s="56">
        <f>Egresos!Z27</f>
        <v>16666.666666666668</v>
      </c>
      <c r="AA44" s="57">
        <f t="shared" si="11"/>
        <v>199999.99999999997</v>
      </c>
      <c r="AB44" s="56">
        <f>Egresos!AB27</f>
        <v>199999.99999999997</v>
      </c>
    </row>
    <row r="45" spans="1:30">
      <c r="B45" s="40"/>
      <c r="C45" s="40"/>
      <c r="D45" s="40"/>
      <c r="E45" s="40"/>
      <c r="F45" s="40"/>
      <c r="G45" s="40"/>
      <c r="H45" s="40"/>
      <c r="I45" s="40"/>
      <c r="J45" s="40"/>
      <c r="K45" s="40"/>
      <c r="L45" s="40"/>
      <c r="M45" s="40"/>
      <c r="N45" s="57"/>
      <c r="O45" s="40"/>
      <c r="P45" s="40"/>
      <c r="Q45" s="40"/>
      <c r="R45" s="40"/>
      <c r="S45" s="40"/>
      <c r="T45" s="40"/>
      <c r="U45" s="40"/>
      <c r="V45" s="40"/>
      <c r="W45" s="40"/>
      <c r="X45" s="40"/>
      <c r="Y45" s="40"/>
      <c r="Z45" s="40"/>
      <c r="AA45" s="57"/>
      <c r="AB45" s="56"/>
    </row>
    <row r="46" spans="1:30">
      <c r="B46" s="40"/>
      <c r="C46" s="40"/>
      <c r="D46" s="40"/>
      <c r="E46" s="40"/>
      <c r="F46" s="40"/>
      <c r="G46" s="40"/>
      <c r="H46" s="40"/>
      <c r="I46" s="40"/>
      <c r="J46" s="40"/>
      <c r="K46" s="40"/>
      <c r="L46" s="40"/>
      <c r="M46" s="40"/>
      <c r="N46" s="57"/>
      <c r="O46" s="40"/>
      <c r="P46" s="40"/>
      <c r="Q46" s="40"/>
      <c r="R46" s="40"/>
      <c r="S46" s="40"/>
      <c r="T46" s="40"/>
      <c r="U46" s="40"/>
      <c r="V46" s="40"/>
      <c r="W46" s="40"/>
      <c r="X46" s="40"/>
      <c r="Y46" s="40"/>
      <c r="Z46" s="40"/>
      <c r="AA46" s="57"/>
      <c r="AB46" s="56"/>
      <c r="AD46" s="16" t="s">
        <v>197</v>
      </c>
    </row>
    <row r="47" spans="1:30">
      <c r="B47" s="40"/>
      <c r="C47" s="40"/>
      <c r="D47" s="40"/>
      <c r="E47" s="40"/>
      <c r="F47" s="40"/>
      <c r="G47" s="40"/>
      <c r="H47" s="40"/>
      <c r="I47" s="40"/>
      <c r="J47" s="40"/>
      <c r="K47" s="40"/>
      <c r="L47" s="40"/>
      <c r="M47" s="40"/>
      <c r="N47" s="57"/>
      <c r="O47" s="40"/>
      <c r="P47" s="40"/>
      <c r="Q47" s="40"/>
      <c r="R47" s="40"/>
      <c r="S47" s="40"/>
      <c r="T47" s="40"/>
      <c r="U47" s="40"/>
      <c r="V47" s="40"/>
      <c r="W47" s="40"/>
      <c r="X47" s="40"/>
      <c r="Y47" s="40"/>
      <c r="Z47" s="40"/>
      <c r="AA47" s="57"/>
      <c r="AB47" s="56"/>
    </row>
    <row r="48" spans="1:30" s="28" customFormat="1">
      <c r="A48" s="28" t="s">
        <v>40</v>
      </c>
      <c r="B48" s="58">
        <f>SUM(B30:B47)</f>
        <v>162694.16666666666</v>
      </c>
      <c r="C48" s="58">
        <f t="shared" ref="C48:M48" si="12">SUM(C30:C47)</f>
        <v>114694.16666666667</v>
      </c>
      <c r="D48" s="58">
        <f t="shared" si="12"/>
        <v>114694.16666666667</v>
      </c>
      <c r="E48" s="58">
        <f t="shared" si="12"/>
        <v>114694.16666666667</v>
      </c>
      <c r="F48" s="58">
        <f t="shared" si="12"/>
        <v>114694.16666666667</v>
      </c>
      <c r="G48" s="58">
        <f t="shared" si="12"/>
        <v>114694.16666666667</v>
      </c>
      <c r="H48" s="58">
        <f t="shared" si="12"/>
        <v>143360.83333333334</v>
      </c>
      <c r="I48" s="58">
        <f t="shared" si="12"/>
        <v>143205.69444444444</v>
      </c>
      <c r="J48" s="58">
        <f t="shared" si="12"/>
        <v>143050.55555555556</v>
      </c>
      <c r="K48" s="58">
        <f t="shared" si="12"/>
        <v>142895.41666666666</v>
      </c>
      <c r="L48" s="58">
        <f t="shared" si="12"/>
        <v>142740.27777777778</v>
      </c>
      <c r="M48" s="58">
        <f t="shared" si="12"/>
        <v>142585.13888888888</v>
      </c>
      <c r="N48" s="59">
        <f>SUM(B48:M48)</f>
        <v>1594002.9166666665</v>
      </c>
      <c r="O48" s="58">
        <f t="shared" ref="O48:AB48" si="13">SUM(O30:O47)</f>
        <v>157430</v>
      </c>
      <c r="P48" s="58">
        <f t="shared" si="13"/>
        <v>149274.86111111109</v>
      </c>
      <c r="Q48" s="58">
        <f t="shared" si="13"/>
        <v>149119.72222222222</v>
      </c>
      <c r="R48" s="58">
        <f t="shared" si="13"/>
        <v>148964.58333333331</v>
      </c>
      <c r="S48" s="58">
        <f t="shared" si="13"/>
        <v>148809.44444444444</v>
      </c>
      <c r="T48" s="58">
        <f t="shared" si="13"/>
        <v>148654.30555555553</v>
      </c>
      <c r="U48" s="58">
        <f t="shared" si="13"/>
        <v>148499.16666666666</v>
      </c>
      <c r="V48" s="58">
        <f t="shared" si="13"/>
        <v>148344.02777777775</v>
      </c>
      <c r="W48" s="58">
        <f t="shared" si="13"/>
        <v>148188.88888888888</v>
      </c>
      <c r="X48" s="58">
        <f t="shared" si="13"/>
        <v>148033.75</v>
      </c>
      <c r="Y48" s="58">
        <f t="shared" si="13"/>
        <v>147878.61111111109</v>
      </c>
      <c r="Z48" s="58">
        <f t="shared" si="13"/>
        <v>147723.47222222222</v>
      </c>
      <c r="AA48" s="59">
        <f>SUM(O48:Z48)</f>
        <v>1790920.8333333333</v>
      </c>
      <c r="AB48" s="122">
        <f t="shared" si="13"/>
        <v>1850580.8333333333</v>
      </c>
    </row>
    <row r="49" spans="1:28">
      <c r="B49" s="40"/>
      <c r="C49" s="40"/>
      <c r="D49" s="40"/>
      <c r="E49" s="40"/>
      <c r="F49" s="40"/>
      <c r="G49" s="40"/>
      <c r="H49" s="40"/>
      <c r="I49" s="40"/>
      <c r="J49" s="40"/>
      <c r="K49" s="40"/>
      <c r="L49" s="40"/>
      <c r="M49" s="40"/>
      <c r="N49" s="57"/>
      <c r="O49" s="40"/>
      <c r="P49" s="40"/>
      <c r="Q49" s="40"/>
      <c r="R49" s="40"/>
      <c r="S49" s="40"/>
      <c r="T49" s="40"/>
      <c r="U49" s="40"/>
      <c r="V49" s="40"/>
      <c r="W49" s="40"/>
      <c r="X49" s="40"/>
      <c r="Y49" s="40"/>
      <c r="Z49" s="40"/>
      <c r="AA49" s="57"/>
      <c r="AB49" s="56"/>
    </row>
    <row r="50" spans="1:28" s="28" customFormat="1">
      <c r="A50" s="28" t="s">
        <v>64</v>
      </c>
      <c r="B50" s="58">
        <f>SUM(B27,B48)</f>
        <v>862694.16666666663</v>
      </c>
      <c r="C50" s="58">
        <f t="shared" ref="C50:AB50" si="14">SUM(C27,C48)</f>
        <v>114694.16666666667</v>
      </c>
      <c r="D50" s="58">
        <f t="shared" si="14"/>
        <v>114694.16666666667</v>
      </c>
      <c r="E50" s="58">
        <f t="shared" si="14"/>
        <v>114694.16666666667</v>
      </c>
      <c r="F50" s="58">
        <f t="shared" si="14"/>
        <v>114694.16666666667</v>
      </c>
      <c r="G50" s="58">
        <f t="shared" si="14"/>
        <v>114694.16666666667</v>
      </c>
      <c r="H50" s="58">
        <f t="shared" si="14"/>
        <v>143360.83333333334</v>
      </c>
      <c r="I50" s="58">
        <f t="shared" si="14"/>
        <v>143205.69444444444</v>
      </c>
      <c r="J50" s="58">
        <f t="shared" si="14"/>
        <v>143050.55555555556</v>
      </c>
      <c r="K50" s="58">
        <f t="shared" si="14"/>
        <v>142895.41666666666</v>
      </c>
      <c r="L50" s="58">
        <f t="shared" si="14"/>
        <v>142740.27777777778</v>
      </c>
      <c r="M50" s="58">
        <f t="shared" si="14"/>
        <v>142585.13888888888</v>
      </c>
      <c r="N50" s="59">
        <f>SUM(B50:M50)</f>
        <v>2294002.916666667</v>
      </c>
      <c r="O50" s="58">
        <f t="shared" si="14"/>
        <v>157430</v>
      </c>
      <c r="P50" s="58">
        <f t="shared" si="14"/>
        <v>149274.86111111109</v>
      </c>
      <c r="Q50" s="58">
        <f t="shared" si="14"/>
        <v>149119.72222222222</v>
      </c>
      <c r="R50" s="58">
        <f t="shared" si="14"/>
        <v>148964.58333333331</v>
      </c>
      <c r="S50" s="58">
        <f t="shared" si="14"/>
        <v>148809.44444444444</v>
      </c>
      <c r="T50" s="58">
        <f t="shared" si="14"/>
        <v>148654.30555555553</v>
      </c>
      <c r="U50" s="58">
        <f t="shared" si="14"/>
        <v>148499.16666666666</v>
      </c>
      <c r="V50" s="58">
        <f t="shared" si="14"/>
        <v>148344.02777777775</v>
      </c>
      <c r="W50" s="58">
        <f t="shared" si="14"/>
        <v>148188.88888888888</v>
      </c>
      <c r="X50" s="58">
        <f t="shared" si="14"/>
        <v>148033.75</v>
      </c>
      <c r="Y50" s="58">
        <f t="shared" si="14"/>
        <v>147878.61111111109</v>
      </c>
      <c r="Z50" s="58">
        <f t="shared" si="14"/>
        <v>147723.47222222222</v>
      </c>
      <c r="AA50" s="59">
        <f>SUM(O50:Z50)</f>
        <v>1790920.8333333333</v>
      </c>
      <c r="AB50" s="122">
        <f t="shared" si="14"/>
        <v>1850580.8333333333</v>
      </c>
    </row>
    <row r="51" spans="1:28">
      <c r="B51" s="40"/>
      <c r="C51" s="40"/>
      <c r="D51" s="40"/>
      <c r="E51" s="40"/>
      <c r="F51" s="40"/>
      <c r="G51" s="40"/>
      <c r="H51" s="40"/>
      <c r="I51" s="40"/>
      <c r="J51" s="40"/>
      <c r="K51" s="40"/>
      <c r="L51" s="40"/>
      <c r="M51" s="40"/>
      <c r="N51" s="57"/>
      <c r="O51" s="40"/>
      <c r="P51" s="40"/>
      <c r="Q51" s="40"/>
      <c r="R51" s="40"/>
      <c r="S51" s="40"/>
      <c r="T51" s="40"/>
      <c r="U51" s="40"/>
      <c r="V51" s="40"/>
      <c r="W51" s="40"/>
      <c r="X51" s="40"/>
      <c r="Y51" s="40"/>
      <c r="Z51" s="40"/>
      <c r="AA51" s="57"/>
      <c r="AB51" s="56"/>
    </row>
    <row r="52" spans="1:28" s="63" customFormat="1">
      <c r="A52" s="63" t="s">
        <v>150</v>
      </c>
      <c r="B52" s="64">
        <f>B13-B50</f>
        <v>-762694.16666666663</v>
      </c>
      <c r="C52" s="64">
        <f t="shared" ref="C52:N52" si="15">C13-C50</f>
        <v>-12194.166666666672</v>
      </c>
      <c r="D52" s="64">
        <f t="shared" si="15"/>
        <v>-12194.166666666672</v>
      </c>
      <c r="E52" s="64">
        <f t="shared" si="15"/>
        <v>44055.833333333328</v>
      </c>
      <c r="F52" s="64">
        <f t="shared" si="15"/>
        <v>44055.833333333328</v>
      </c>
      <c r="G52" s="64">
        <f t="shared" si="15"/>
        <v>710305.83333333337</v>
      </c>
      <c r="H52" s="64">
        <f t="shared" si="15"/>
        <v>-35860.833333333343</v>
      </c>
      <c r="I52" s="64">
        <f t="shared" si="15"/>
        <v>-35705.694444444438</v>
      </c>
      <c r="J52" s="64">
        <f t="shared" si="15"/>
        <v>-35550.555555555562</v>
      </c>
      <c r="K52" s="64">
        <f t="shared" si="15"/>
        <v>8354.583333333343</v>
      </c>
      <c r="L52" s="64">
        <f t="shared" si="15"/>
        <v>8509.722222222219</v>
      </c>
      <c r="M52" s="64">
        <f t="shared" si="15"/>
        <v>526164.86111111112</v>
      </c>
      <c r="N52" s="65">
        <f t="shared" si="15"/>
        <v>447247.08333333302</v>
      </c>
      <c r="O52" s="66">
        <f>O13-O50</f>
        <v>138070</v>
      </c>
      <c r="P52" s="66">
        <f t="shared" ref="P52:Z52" si="16">P13-P50</f>
        <v>146225.13888888891</v>
      </c>
      <c r="Q52" s="66">
        <f t="shared" si="16"/>
        <v>146380.27777777778</v>
      </c>
      <c r="R52" s="66">
        <f t="shared" si="16"/>
        <v>207785.41666666669</v>
      </c>
      <c r="S52" s="66">
        <f t="shared" si="16"/>
        <v>221940.55555555556</v>
      </c>
      <c r="T52" s="66">
        <f t="shared" si="16"/>
        <v>1214845.6944444445</v>
      </c>
      <c r="U52" s="66">
        <f t="shared" si="16"/>
        <v>222250.83333333334</v>
      </c>
      <c r="V52" s="66">
        <f t="shared" si="16"/>
        <v>222405.97222222225</v>
      </c>
      <c r="W52" s="66">
        <f t="shared" si="16"/>
        <v>222561.11111111112</v>
      </c>
      <c r="X52" s="66">
        <f t="shared" si="16"/>
        <v>222716.25</v>
      </c>
      <c r="Y52" s="66">
        <f t="shared" si="16"/>
        <v>222871.38888888891</v>
      </c>
      <c r="Z52" s="66">
        <f t="shared" si="16"/>
        <v>1215776.5277777778</v>
      </c>
      <c r="AA52" s="65">
        <f>AA13-AA50</f>
        <v>4403829.166666667</v>
      </c>
      <c r="AB52" s="123">
        <f>AB13-AB50</f>
        <v>12048169.166666666</v>
      </c>
    </row>
    <row r="53" spans="1:28" s="63" customFormat="1">
      <c r="A53" s="63" t="s">
        <v>151</v>
      </c>
      <c r="B53" s="64">
        <f>B15-B50</f>
        <v>8137305.833333333</v>
      </c>
      <c r="C53" s="64">
        <f t="shared" ref="C53:AA53" si="17">C15-C50</f>
        <v>8125111.666666666</v>
      </c>
      <c r="D53" s="64">
        <f t="shared" si="17"/>
        <v>8112917.4999999991</v>
      </c>
      <c r="E53" s="64">
        <f t="shared" si="17"/>
        <v>8156973.3333333321</v>
      </c>
      <c r="F53" s="64">
        <f t="shared" si="17"/>
        <v>8201029.1666666651</v>
      </c>
      <c r="G53" s="64">
        <f t="shared" si="17"/>
        <v>8911334.9999999981</v>
      </c>
      <c r="H53" s="64">
        <f t="shared" si="17"/>
        <v>8875474.1666666642</v>
      </c>
      <c r="I53" s="64">
        <f t="shared" si="17"/>
        <v>8839768.4722222202</v>
      </c>
      <c r="J53" s="64">
        <f t="shared" si="17"/>
        <v>8804217.9166666642</v>
      </c>
      <c r="K53" s="64">
        <f t="shared" si="17"/>
        <v>8812572.4999999981</v>
      </c>
      <c r="L53" s="64">
        <f t="shared" si="17"/>
        <v>8821082.2222222202</v>
      </c>
      <c r="M53" s="64">
        <f>M15-M50</f>
        <v>9347247.0833333321</v>
      </c>
      <c r="N53" s="65">
        <f>N15-N50</f>
        <v>9347247.0833333321</v>
      </c>
      <c r="O53" s="64">
        <f t="shared" si="17"/>
        <v>9485317.0833333321</v>
      </c>
      <c r="P53" s="64">
        <f t="shared" si="17"/>
        <v>9631542.2222222202</v>
      </c>
      <c r="Q53" s="64">
        <f t="shared" si="17"/>
        <v>9777922.4999999981</v>
      </c>
      <c r="R53" s="64">
        <f t="shared" si="17"/>
        <v>9985707.9166666642</v>
      </c>
      <c r="S53" s="64">
        <f t="shared" si="17"/>
        <v>10207648.47222222</v>
      </c>
      <c r="T53" s="64">
        <f t="shared" si="17"/>
        <v>11422494.166666664</v>
      </c>
      <c r="U53" s="64">
        <f t="shared" si="17"/>
        <v>11644744.999999998</v>
      </c>
      <c r="V53" s="64">
        <f t="shared" si="17"/>
        <v>11867150.97222222</v>
      </c>
      <c r="W53" s="64">
        <f t="shared" si="17"/>
        <v>12089712.083333332</v>
      </c>
      <c r="X53" s="64">
        <f t="shared" si="17"/>
        <v>12312428.333333332</v>
      </c>
      <c r="Y53" s="64">
        <f t="shared" si="17"/>
        <v>12535299.72222222</v>
      </c>
      <c r="Z53" s="64">
        <f t="shared" si="17"/>
        <v>13751076.249999998</v>
      </c>
      <c r="AA53" s="65">
        <f t="shared" si="17"/>
        <v>13751076.249999998</v>
      </c>
      <c r="AB53" s="124">
        <f>AB15-AB50</f>
        <v>25799245.416666668</v>
      </c>
    </row>
    <row r="54" spans="1:28">
      <c r="AA54" s="54"/>
      <c r="AB54" s="54"/>
    </row>
    <row r="55" spans="1:28">
      <c r="O55" s="39"/>
      <c r="AA55" s="67"/>
      <c r="AB55" s="54"/>
    </row>
    <row r="56" spans="1:28">
      <c r="O56" s="39"/>
      <c r="AA56" s="55"/>
      <c r="AB56" s="55"/>
    </row>
    <row r="57" spans="1:28">
      <c r="AA57" s="55"/>
      <c r="AB57" s="55"/>
    </row>
  </sheetData>
  <phoneticPr fontId="2" type="noConversion"/>
  <pageMargins left="0.75" right="0.75" top="1" bottom="1" header="0" footer="0"/>
  <pageSetup orientation="portrait" horizontalDpi="1200" verticalDpi="1200" r:id="rId1"/>
  <headerFooter alignWithMargins="0"/>
  <ignoredErrors>
    <ignoredError sqref="AA48 AA13 N13 C9 AA50 N48 N50 AA27" formula="1"/>
  </ignoredErrors>
</worksheet>
</file>

<file path=xl/worksheets/sheet7.xml><?xml version="1.0" encoding="utf-8"?>
<worksheet xmlns="http://schemas.openxmlformats.org/spreadsheetml/2006/main" xmlns:r="http://schemas.openxmlformats.org/officeDocument/2006/relationships">
  <dimension ref="A2:J44"/>
  <sheetViews>
    <sheetView topLeftCell="A2" workbookViewId="0">
      <selection activeCell="E2" sqref="E2"/>
    </sheetView>
  </sheetViews>
  <sheetFormatPr baseColWidth="10" defaultRowHeight="12.75"/>
  <cols>
    <col min="1" max="1" width="24.140625" style="16" customWidth="1"/>
    <col min="2" max="2" width="13.140625" style="16" customWidth="1"/>
    <col min="3" max="4" width="11.42578125" style="16"/>
    <col min="5" max="5" width="15" style="16" customWidth="1"/>
    <col min="6" max="16384" width="11.42578125" style="16"/>
  </cols>
  <sheetData>
    <row r="2" spans="1:9">
      <c r="A2" s="17" t="s">
        <v>190</v>
      </c>
      <c r="B2" s="17"/>
    </row>
    <row r="4" spans="1:9">
      <c r="B4" s="68" t="s">
        <v>136</v>
      </c>
      <c r="C4" s="68" t="s">
        <v>57</v>
      </c>
      <c r="D4" s="68" t="s">
        <v>5</v>
      </c>
      <c r="E4" s="68" t="s">
        <v>8</v>
      </c>
    </row>
    <row r="5" spans="1:9">
      <c r="A5" s="17" t="s">
        <v>61</v>
      </c>
      <c r="B5" s="17"/>
    </row>
    <row r="7" spans="1:9">
      <c r="A7" s="28" t="s">
        <v>44</v>
      </c>
      <c r="C7" s="40"/>
      <c r="D7" s="40"/>
      <c r="E7" s="40"/>
    </row>
    <row r="8" spans="1:9">
      <c r="A8" s="16" t="s">
        <v>45</v>
      </c>
      <c r="B8" s="33">
        <f>'Flujo Efectivo'!B8</f>
        <v>8900000</v>
      </c>
      <c r="C8" s="40">
        <f>'Flujo Efectivo'!M53</f>
        <v>9347247.0833333321</v>
      </c>
      <c r="D8" s="40">
        <f>'Flujo Efectivo'!AA53</f>
        <v>13751076.249999998</v>
      </c>
      <c r="E8" s="40">
        <f>'Flujo Efectivo'!AB53</f>
        <v>25799245.416666668</v>
      </c>
    </row>
    <row r="9" spans="1:9">
      <c r="A9" s="16" t="s">
        <v>169</v>
      </c>
      <c r="B9" s="33"/>
      <c r="C9" s="40">
        <f>B9</f>
        <v>0</v>
      </c>
      <c r="D9" s="40">
        <f>C9</f>
        <v>0</v>
      </c>
      <c r="E9" s="40">
        <f>D9</f>
        <v>0</v>
      </c>
    </row>
    <row r="10" spans="1:9">
      <c r="A10" s="28" t="s">
        <v>49</v>
      </c>
      <c r="B10" s="58">
        <f>SUM(B8:B9)</f>
        <v>8900000</v>
      </c>
      <c r="C10" s="58">
        <f>SUM(C8:C9)</f>
        <v>9347247.0833333321</v>
      </c>
      <c r="D10" s="58">
        <f>SUM(D8:D9)</f>
        <v>13751076.249999998</v>
      </c>
      <c r="E10" s="58">
        <f>SUM(E8:E9)</f>
        <v>25799245.416666668</v>
      </c>
    </row>
    <row r="11" spans="1:9">
      <c r="C11" s="40"/>
      <c r="D11" s="40"/>
      <c r="E11" s="40"/>
    </row>
    <row r="12" spans="1:9">
      <c r="A12" s="28" t="s">
        <v>46</v>
      </c>
      <c r="C12" s="40"/>
      <c r="D12" s="40"/>
      <c r="E12" s="40"/>
    </row>
    <row r="13" spans="1:9">
      <c r="A13" s="16" t="s">
        <v>164</v>
      </c>
      <c r="B13" s="125"/>
      <c r="C13" s="40">
        <f>B13+'Flujo Efectivo'!N21</f>
        <v>0</v>
      </c>
      <c r="D13" s="40">
        <f>C13+'Flujo Efectivo'!AA21</f>
        <v>0</v>
      </c>
      <c r="E13" s="40">
        <f>D13+'Flujo Efectivo'!AB21</f>
        <v>0</v>
      </c>
    </row>
    <row r="14" spans="1:9">
      <c r="A14" s="16" t="s">
        <v>165</v>
      </c>
      <c r="B14" s="125"/>
      <c r="C14" s="40">
        <f>B14+'Flujo Efectivo'!N22</f>
        <v>0</v>
      </c>
      <c r="D14" s="40">
        <f>C14+'Flujo Efectivo'!AA22</f>
        <v>0</v>
      </c>
      <c r="E14" s="40">
        <f>D14+'Flujo Efectivo'!AB22</f>
        <v>0</v>
      </c>
    </row>
    <row r="15" spans="1:9">
      <c r="A15" s="16" t="s">
        <v>166</v>
      </c>
      <c r="B15" s="125"/>
      <c r="C15" s="40">
        <f>B15+'Flujo Efectivo'!N23</f>
        <v>0</v>
      </c>
      <c r="D15" s="40">
        <f>C15+'Flujo Efectivo'!AA23</f>
        <v>0</v>
      </c>
      <c r="E15" s="40">
        <f>D15+'Flujo Efectivo'!AB23</f>
        <v>0</v>
      </c>
    </row>
    <row r="16" spans="1:9">
      <c r="A16" s="16" t="s">
        <v>167</v>
      </c>
      <c r="B16" s="125"/>
      <c r="C16" s="40">
        <f>B16+'Flujo Efectivo'!N24</f>
        <v>300000</v>
      </c>
      <c r="D16" s="40">
        <f>C16+'Flujo Efectivo'!AA24</f>
        <v>300000</v>
      </c>
      <c r="E16" s="40">
        <f>D16+'Flujo Efectivo'!AB24</f>
        <v>300000</v>
      </c>
      <c r="I16" s="16" t="s">
        <v>200</v>
      </c>
    </row>
    <row r="17" spans="1:10">
      <c r="A17" s="16" t="s">
        <v>56</v>
      </c>
      <c r="B17" s="125"/>
      <c r="C17" s="40">
        <f>B17+'Flujo Efectivo'!N25</f>
        <v>300000</v>
      </c>
      <c r="D17" s="40">
        <f>C17+'Flujo Efectivo'!AA25</f>
        <v>300000</v>
      </c>
      <c r="E17" s="40">
        <f>D17+'Flujo Efectivo'!AB25</f>
        <v>300000</v>
      </c>
    </row>
    <row r="18" spans="1:10">
      <c r="A18" s="16" t="s">
        <v>168</v>
      </c>
      <c r="B18" s="125"/>
      <c r="C18" s="40">
        <f>B18+'Flujo Efectivo'!N26</f>
        <v>100000</v>
      </c>
      <c r="D18" s="40">
        <f>C18+'Flujo Efectivo'!AA26</f>
        <v>100000</v>
      </c>
      <c r="E18" s="40">
        <f>D18+'Flujo Efectivo'!AB26</f>
        <v>100000</v>
      </c>
    </row>
    <row r="19" spans="1:10">
      <c r="A19" s="42" t="s">
        <v>47</v>
      </c>
      <c r="B19" s="134"/>
      <c r="C19" s="40">
        <f>B19+SUM(Egresos!N21:N25)</f>
        <v>135000</v>
      </c>
      <c r="D19" s="40">
        <f>C19+SUM(Egresos!AA21:AA25)</f>
        <v>270000</v>
      </c>
      <c r="E19" s="40">
        <f>D19+SUM(Egresos!AB21:AB25)</f>
        <v>405000</v>
      </c>
      <c r="I19" s="16" t="s">
        <v>201</v>
      </c>
    </row>
    <row r="20" spans="1:10">
      <c r="A20" s="28" t="s">
        <v>186</v>
      </c>
      <c r="B20" s="58">
        <f>SUM(B13:B18)-B19</f>
        <v>0</v>
      </c>
      <c r="C20" s="58">
        <f>SUM(C13:C18)-C19</f>
        <v>565000</v>
      </c>
      <c r="D20" s="58">
        <f>SUM(D13:D18)-D19</f>
        <v>430000</v>
      </c>
      <c r="E20" s="58">
        <f>SUM(E13:E18)-E19</f>
        <v>295000</v>
      </c>
    </row>
    <row r="21" spans="1:10">
      <c r="C21" s="40"/>
      <c r="D21" s="40"/>
      <c r="E21" s="40"/>
    </row>
    <row r="22" spans="1:10">
      <c r="A22" s="17" t="s">
        <v>48</v>
      </c>
      <c r="B22" s="69">
        <f>SUM(B10,B20)</f>
        <v>8900000</v>
      </c>
      <c r="C22" s="69">
        <f>SUM(C10,C20)</f>
        <v>9912247.0833333321</v>
      </c>
      <c r="D22" s="69">
        <f>SUM(D10,D20)</f>
        <v>14181076.249999998</v>
      </c>
      <c r="E22" s="69">
        <f>SUM(E10,E20)</f>
        <v>26094245.416666668</v>
      </c>
      <c r="I22" s="16" t="s">
        <v>202</v>
      </c>
      <c r="J22" s="16" t="s">
        <v>199</v>
      </c>
    </row>
    <row r="23" spans="1:10">
      <c r="C23" s="40"/>
      <c r="D23" s="40"/>
      <c r="E23" s="40"/>
    </row>
    <row r="24" spans="1:10">
      <c r="C24" s="40"/>
      <c r="D24" s="40"/>
      <c r="E24" s="40"/>
    </row>
    <row r="25" spans="1:10">
      <c r="A25" s="17" t="s">
        <v>62</v>
      </c>
      <c r="B25" s="17"/>
      <c r="C25" s="40"/>
      <c r="D25" s="40"/>
      <c r="E25" s="40"/>
    </row>
    <row r="26" spans="1:10">
      <c r="C26" s="40"/>
      <c r="D26" s="40"/>
      <c r="E26" s="40"/>
    </row>
    <row r="27" spans="1:10">
      <c r="A27" s="28" t="s">
        <v>50</v>
      </c>
      <c r="B27" s="33"/>
      <c r="C27" s="40">
        <f>B27+Credito!K11</f>
        <v>199999.99999999997</v>
      </c>
      <c r="D27" s="40">
        <f>B27+Credito!K12</f>
        <v>199999.99999999997</v>
      </c>
      <c r="E27" s="40">
        <f>B27+Credito!L12</f>
        <v>0</v>
      </c>
    </row>
    <row r="28" spans="1:10">
      <c r="C28" s="40"/>
      <c r="D28" s="40"/>
      <c r="E28" s="40"/>
    </row>
    <row r="29" spans="1:10">
      <c r="A29" s="28" t="s">
        <v>51</v>
      </c>
      <c r="C29" s="40"/>
      <c r="D29" s="40"/>
      <c r="E29" s="40"/>
    </row>
    <row r="30" spans="1:10">
      <c r="A30" s="16" t="s">
        <v>52</v>
      </c>
      <c r="B30" s="33"/>
      <c r="C30" s="40">
        <f>B30+Credito!K12</f>
        <v>199999.99999999997</v>
      </c>
      <c r="D30" s="40">
        <f>B30</f>
        <v>0</v>
      </c>
      <c r="E30" s="40">
        <f>B30</f>
        <v>0</v>
      </c>
    </row>
    <row r="31" spans="1:10">
      <c r="C31" s="40"/>
      <c r="D31" s="40"/>
      <c r="E31" s="40"/>
    </row>
    <row r="32" spans="1:10">
      <c r="A32" s="17" t="s">
        <v>67</v>
      </c>
      <c r="B32" s="69">
        <f>SUM(B27,B30)</f>
        <v>0</v>
      </c>
      <c r="C32" s="69">
        <f>SUM(C27,C30)</f>
        <v>399999.99999999994</v>
      </c>
      <c r="D32" s="69">
        <f>SUM(D27,D30)</f>
        <v>199999.99999999997</v>
      </c>
      <c r="E32" s="69">
        <f>SUM(E27,E30)</f>
        <v>0</v>
      </c>
    </row>
    <row r="33" spans="1:5">
      <c r="C33" s="40"/>
      <c r="D33" s="40"/>
      <c r="E33" s="40"/>
    </row>
    <row r="34" spans="1:5">
      <c r="C34" s="40"/>
      <c r="D34" s="40"/>
      <c r="E34" s="40"/>
    </row>
    <row r="35" spans="1:5">
      <c r="A35" s="17" t="s">
        <v>63</v>
      </c>
      <c r="B35" s="17"/>
      <c r="C35" s="40"/>
      <c r="D35" s="40"/>
      <c r="E35" s="40"/>
    </row>
    <row r="36" spans="1:5">
      <c r="A36" s="16" t="s">
        <v>53</v>
      </c>
      <c r="B36" s="33">
        <f>'Flujo Efectivo'!B8</f>
        <v>8900000</v>
      </c>
      <c r="C36" s="39">
        <f>B36</f>
        <v>8900000</v>
      </c>
      <c r="D36" s="40">
        <f>B36</f>
        <v>8900000</v>
      </c>
      <c r="E36" s="40">
        <f>D36</f>
        <v>8900000</v>
      </c>
    </row>
    <row r="37" spans="1:5">
      <c r="A37" s="16" t="s">
        <v>54</v>
      </c>
      <c r="B37" s="33">
        <v>0</v>
      </c>
      <c r="C37" s="40">
        <f>'Edo Resultados'!N39</f>
        <v>1012247.0833333333</v>
      </c>
      <c r="D37" s="40">
        <f>'Edo Resultados'!AA39</f>
        <v>4468829.166666666</v>
      </c>
      <c r="E37" s="40">
        <f>'Edo Resultados'!AB39</f>
        <v>12113169.166666666</v>
      </c>
    </row>
    <row r="38" spans="1:5">
      <c r="A38" s="16" t="s">
        <v>55</v>
      </c>
      <c r="B38" s="33">
        <v>0</v>
      </c>
      <c r="C38" s="40">
        <f>B37</f>
        <v>0</v>
      </c>
      <c r="D38" s="40">
        <f>C37</f>
        <v>1012247.0833333333</v>
      </c>
      <c r="E38" s="40">
        <f>D37+D38</f>
        <v>5481076.2499999991</v>
      </c>
    </row>
    <row r="40" spans="1:5">
      <c r="A40" s="17" t="s">
        <v>68</v>
      </c>
      <c r="B40" s="60">
        <f>SUM(B36:B39)</f>
        <v>8900000</v>
      </c>
      <c r="C40" s="60">
        <f>SUM(C36:C39)</f>
        <v>9912247.083333334</v>
      </c>
      <c r="D40" s="60">
        <f>SUM(D36:D39)</f>
        <v>14381076.25</v>
      </c>
      <c r="E40" s="60">
        <f>SUM(E36:E39)</f>
        <v>26494245.416666664</v>
      </c>
    </row>
    <row r="42" spans="1:5">
      <c r="A42" s="17" t="s">
        <v>69</v>
      </c>
      <c r="B42" s="60">
        <f>B32+B40</f>
        <v>8900000</v>
      </c>
      <c r="C42" s="60">
        <f>C32+C40</f>
        <v>10312247.083333334</v>
      </c>
      <c r="D42" s="60">
        <f>D32+D40</f>
        <v>14581076.25</v>
      </c>
      <c r="E42" s="60">
        <f>E32+E40</f>
        <v>26494245.416666664</v>
      </c>
    </row>
    <row r="44" spans="1:5">
      <c r="B44" s="39">
        <f>B22-B42</f>
        <v>0</v>
      </c>
      <c r="C44" s="39">
        <f t="shared" ref="C44:E44" si="0">C22-C42</f>
        <v>-400000.00000000186</v>
      </c>
      <c r="D44" s="39">
        <f t="shared" si="0"/>
        <v>-400000.00000000186</v>
      </c>
      <c r="E44" s="39">
        <f t="shared" si="0"/>
        <v>-399999.99999999627</v>
      </c>
    </row>
  </sheetData>
  <phoneticPr fontId="2" type="noConversion"/>
  <pageMargins left="0.75" right="0.75" top="1" bottom="1" header="0" footer="0"/>
  <pageSetup paperSize="9" orientation="portrait" horizontalDpi="0" verticalDpi="0" r:id="rId1"/>
  <headerFooter alignWithMargins="0"/>
  <ignoredErrors>
    <ignoredError sqref="D36" formula="1"/>
  </ignoredErrors>
</worksheet>
</file>

<file path=xl/worksheets/sheet8.xml><?xml version="1.0" encoding="utf-8"?>
<worksheet xmlns="http://schemas.openxmlformats.org/spreadsheetml/2006/main" xmlns:r="http://schemas.openxmlformats.org/officeDocument/2006/relationships">
  <dimension ref="A2:F14"/>
  <sheetViews>
    <sheetView workbookViewId="0">
      <selection activeCell="C14" sqref="C14"/>
    </sheetView>
  </sheetViews>
  <sheetFormatPr baseColWidth="10" defaultRowHeight="12.75"/>
  <cols>
    <col min="1" max="1" width="30" style="16" customWidth="1"/>
    <col min="2" max="2" width="39" style="16" customWidth="1"/>
    <col min="3" max="3" width="20" style="16" customWidth="1"/>
    <col min="4" max="4" width="16.85546875" style="16" customWidth="1"/>
    <col min="5" max="5" width="11.42578125" style="16" customWidth="1"/>
    <col min="6" max="16384" width="11.42578125" style="16"/>
  </cols>
  <sheetData>
    <row r="2" spans="1:6">
      <c r="A2" s="17" t="s">
        <v>70</v>
      </c>
    </row>
    <row r="4" spans="1:6">
      <c r="C4" s="20" t="s">
        <v>4</v>
      </c>
      <c r="D4" s="20" t="s">
        <v>5</v>
      </c>
      <c r="E4" s="20" t="s">
        <v>8</v>
      </c>
      <c r="F4" s="70" t="s">
        <v>80</v>
      </c>
    </row>
    <row r="5" spans="1:6">
      <c r="A5" s="16" t="s">
        <v>77</v>
      </c>
    </row>
    <row r="6" spans="1:6">
      <c r="A6" s="71" t="s">
        <v>78</v>
      </c>
      <c r="B6" s="16" t="s">
        <v>79</v>
      </c>
      <c r="C6" s="135">
        <f>'Balance General'!C10/'Balance General'!C27</f>
        <v>46.736235416666666</v>
      </c>
      <c r="D6" s="135">
        <f>'Balance General'!D10/'Balance General'!D27</f>
        <v>68.755381249999999</v>
      </c>
      <c r="E6" s="72" t="e">
        <f>'Balance General'!E10/'Balance General'!E27</f>
        <v>#DIV/0!</v>
      </c>
      <c r="F6" s="16" t="s">
        <v>187</v>
      </c>
    </row>
    <row r="7" spans="1:6">
      <c r="C7" s="72"/>
      <c r="D7" s="72"/>
      <c r="E7" s="72"/>
    </row>
    <row r="8" spans="1:6">
      <c r="A8" s="16" t="s">
        <v>72</v>
      </c>
      <c r="C8" s="72"/>
      <c r="D8" s="72"/>
      <c r="E8" s="72"/>
    </row>
    <row r="9" spans="1:6">
      <c r="A9" s="73" t="s">
        <v>76</v>
      </c>
      <c r="B9" s="74" t="s">
        <v>87</v>
      </c>
      <c r="C9" s="72">
        <f>'Balance General'!C32/'Balance General'!C22</f>
        <v>4.0354119165629823E-2</v>
      </c>
      <c r="D9" s="72">
        <f>'Balance General'!D32/'Balance General'!D22</f>
        <v>1.4103301926749036E-2</v>
      </c>
      <c r="E9" s="72">
        <f>'Balance General'!E32/'Balance General'!E22</f>
        <v>0</v>
      </c>
      <c r="F9" s="16" t="s">
        <v>81</v>
      </c>
    </row>
    <row r="10" spans="1:6">
      <c r="A10" s="74"/>
      <c r="B10" s="74"/>
      <c r="C10" s="72"/>
      <c r="D10" s="72"/>
      <c r="E10" s="72"/>
    </row>
    <row r="11" spans="1:6">
      <c r="A11" s="74" t="s">
        <v>71</v>
      </c>
      <c r="B11" s="74"/>
      <c r="C11" s="72"/>
      <c r="D11" s="72"/>
      <c r="E11" s="72"/>
    </row>
    <row r="12" spans="1:6" ht="13.5" customHeight="1">
      <c r="A12" s="73" t="s">
        <v>73</v>
      </c>
      <c r="B12" s="74" t="s">
        <v>85</v>
      </c>
      <c r="C12" s="72">
        <f>'Edo Resultados'!N39/'Edo Resultados'!N6</f>
        <v>0.38324546458431924</v>
      </c>
      <c r="D12" s="72">
        <f>'Edo Resultados'!AA39/'Edo Resultados'!AA6</f>
        <v>0.72138975207500966</v>
      </c>
      <c r="E12" s="72">
        <f>'Edo Resultados'!AB39/'Edo Resultados'!AB6</f>
        <v>0.8715293941301675</v>
      </c>
      <c r="F12" s="16" t="s">
        <v>82</v>
      </c>
    </row>
    <row r="13" spans="1:6">
      <c r="A13" s="73" t="s">
        <v>74</v>
      </c>
      <c r="B13" s="74" t="s">
        <v>86</v>
      </c>
      <c r="C13" s="72">
        <f>'Balance General'!C37/'Balance General'!C22</f>
        <v>0.1021208485647364</v>
      </c>
      <c r="D13" s="72">
        <f>'Balance General'!D37/'Balance General'!D22</f>
        <v>0.31512623498281145</v>
      </c>
      <c r="E13" s="72">
        <f>'Balance General'!E37/'Balance General'!E22</f>
        <v>0.46420844800248018</v>
      </c>
      <c r="F13" s="16" t="s">
        <v>83</v>
      </c>
    </row>
    <row r="14" spans="1:6" ht="13.5" customHeight="1">
      <c r="A14" s="73" t="s">
        <v>75</v>
      </c>
      <c r="B14" s="74" t="s">
        <v>120</v>
      </c>
      <c r="C14" s="77">
        <f>'Balance General'!C37/'Balance General'!B36</f>
        <v>0.11373562734082396</v>
      </c>
      <c r="D14" s="77">
        <f>'Balance General'!D37/'Balance General'!D36</f>
        <v>0.50211563670411974</v>
      </c>
      <c r="E14" s="77">
        <f>'Balance General'!E37/'Balance General'!E36</f>
        <v>1.3610302434456929</v>
      </c>
      <c r="F14" s="16" t="s">
        <v>84</v>
      </c>
    </row>
  </sheetData>
  <phoneticPr fontId="2" type="noConversion"/>
  <pageMargins left="0.75" right="0.75" top="1" bottom="1" header="0" footer="0"/>
  <headerFooter alignWithMargins="0"/>
  <ignoredErrors>
    <ignoredError sqref="C6:E6" evalError="1"/>
  </ignoredErrors>
</worksheet>
</file>

<file path=xl/worksheets/sheet9.xml><?xml version="1.0" encoding="utf-8"?>
<worksheet xmlns="http://schemas.openxmlformats.org/spreadsheetml/2006/main" xmlns:r="http://schemas.openxmlformats.org/officeDocument/2006/relationships">
  <sheetPr>
    <pageSetUpPr fitToPage="1"/>
  </sheetPr>
  <dimension ref="A2:J12"/>
  <sheetViews>
    <sheetView workbookViewId="0">
      <selection activeCell="K2" sqref="K2"/>
    </sheetView>
  </sheetViews>
  <sheetFormatPr baseColWidth="10" defaultRowHeight="12.75"/>
  <cols>
    <col min="1" max="3" width="11.42578125" style="16"/>
    <col min="4" max="4" width="12" style="16" customWidth="1"/>
    <col min="5" max="16384" width="11.42578125" style="16"/>
  </cols>
  <sheetData>
    <row r="2" spans="1:10">
      <c r="A2" s="75" t="s">
        <v>92</v>
      </c>
      <c r="B2" s="76"/>
      <c r="C2" s="76"/>
      <c r="D2" s="76"/>
    </row>
    <row r="4" spans="1:10">
      <c r="A4" s="16" t="s">
        <v>88</v>
      </c>
      <c r="D4" s="40">
        <f>D8/(1-D6)</f>
        <v>134847.34953703702</v>
      </c>
    </row>
    <row r="6" spans="1:10">
      <c r="A6" s="16" t="s">
        <v>125</v>
      </c>
      <c r="D6" s="77">
        <f>Egresos!B2</f>
        <v>0</v>
      </c>
    </row>
    <row r="8" spans="1:10">
      <c r="A8" s="16" t="s">
        <v>89</v>
      </c>
      <c r="D8" s="40">
        <f>(AVERAGE('Edo Resultados'!N37,'Edo Resultados'!AA37,'Edo Resultados'!AB37))/12</f>
        <v>134847.34953703702</v>
      </c>
    </row>
    <row r="11" spans="1:10" ht="25.5">
      <c r="A11" s="78" t="s">
        <v>90</v>
      </c>
      <c r="B11" s="79">
        <f>C11-(C11*10%)</f>
        <v>88473.346031249981</v>
      </c>
      <c r="C11" s="79">
        <f>D11-(D11*10%)</f>
        <v>98303.717812499977</v>
      </c>
      <c r="D11" s="79">
        <f>E11-(E11*10%)</f>
        <v>109226.35312499998</v>
      </c>
      <c r="E11" s="79">
        <f>D4-(D4*10%)</f>
        <v>121362.61458333331</v>
      </c>
      <c r="F11" s="79">
        <f>D4</f>
        <v>134847.34953703702</v>
      </c>
      <c r="G11" s="79">
        <f>D4*(1+10%)</f>
        <v>148332.08449074073</v>
      </c>
      <c r="H11" s="79">
        <f>G11*(1+10%)</f>
        <v>163165.29293981483</v>
      </c>
      <c r="I11" s="79">
        <f>H11*(1+10%)</f>
        <v>179481.82223379632</v>
      </c>
      <c r="J11" s="79">
        <f>I11*(1+10%)</f>
        <v>197430.00445717596</v>
      </c>
    </row>
    <row r="12" spans="1:10" ht="25.5">
      <c r="A12" s="80" t="s">
        <v>91</v>
      </c>
      <c r="B12" s="81">
        <f t="shared" ref="B12:J12" si="0">B11-((B11*$D$6)+$D$8)</f>
        <v>-46374.003505787041</v>
      </c>
      <c r="C12" s="81">
        <f t="shared" si="0"/>
        <v>-36543.631724537045</v>
      </c>
      <c r="D12" s="81">
        <f t="shared" si="0"/>
        <v>-25620.996412037042</v>
      </c>
      <c r="E12" s="81">
        <f t="shared" si="0"/>
        <v>-13484.734953703708</v>
      </c>
      <c r="F12" s="81">
        <f t="shared" si="0"/>
        <v>0</v>
      </c>
      <c r="G12" s="81">
        <f t="shared" si="0"/>
        <v>13484.734953703708</v>
      </c>
      <c r="H12" s="81">
        <f t="shared" si="0"/>
        <v>28317.943402777804</v>
      </c>
      <c r="I12" s="81">
        <f t="shared" si="0"/>
        <v>44634.472696759301</v>
      </c>
      <c r="J12" s="81">
        <f t="shared" si="0"/>
        <v>62582.654920138943</v>
      </c>
    </row>
  </sheetData>
  <phoneticPr fontId="2" type="noConversion"/>
  <pageMargins left="0.75" right="0.75" top="1" bottom="1" header="0" footer="0"/>
  <pageSetup scale="71"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vt:i4>
      </vt:variant>
    </vt:vector>
  </HeadingPairs>
  <TitlesOfParts>
    <vt:vector size="12" baseType="lpstr">
      <vt:lpstr>Instrucciones</vt:lpstr>
      <vt:lpstr>Ventas</vt:lpstr>
      <vt:lpstr>Egresos</vt:lpstr>
      <vt:lpstr>Credito</vt:lpstr>
      <vt:lpstr>Edo Resultados</vt:lpstr>
      <vt:lpstr>Flujo Efectivo</vt:lpstr>
      <vt:lpstr>Balance General</vt:lpstr>
      <vt:lpstr>Razones</vt:lpstr>
      <vt:lpstr>Punto Equilibrio</vt:lpstr>
      <vt:lpstr>VPN</vt:lpstr>
      <vt:lpstr>TIR</vt:lpstr>
      <vt:lpstr>'Punto Equilibrio'!Área_de_impresión</vt:lpstr>
    </vt:vector>
  </TitlesOfParts>
  <Company>ITESM Campus Hidalgo</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Sandoval A</dc:creator>
  <cp:lastModifiedBy>Alfredo Bibliofía</cp:lastModifiedBy>
  <cp:lastPrinted>2009-05-12T00:08:43Z</cp:lastPrinted>
  <dcterms:created xsi:type="dcterms:W3CDTF">2009-05-09T15:37:25Z</dcterms:created>
  <dcterms:modified xsi:type="dcterms:W3CDTF">2010-12-24T23:36:25Z</dcterms:modified>
</cp:coreProperties>
</file>