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nry\Desktop\Drive\CUSF\M5 Propulsion\White Dwarf\"/>
    </mc:Choice>
  </mc:AlternateContent>
  <xr:revisionPtr revIDLastSave="0" documentId="13_ncr:1_{56830D10-AC66-4790-9201-31196686B7B6}" xr6:coauthVersionLast="47" xr6:coauthVersionMax="47" xr10:uidLastSave="{00000000-0000-0000-0000-000000000000}"/>
  <bookViews>
    <workbookView xWindow="-108" yWindow="-108" windowWidth="23256" windowHeight="14016" xr2:uid="{E0259372-2B41-4E84-A063-DDFF26D4FCB5}"/>
  </bookViews>
  <sheets>
    <sheet name="White Dwarf" sheetId="1" r:id="rId1"/>
    <sheet name="Poiss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2" l="1"/>
  <c r="A4" i="2"/>
  <c r="A3" i="2"/>
  <c r="I4" i="2"/>
  <c r="G6" i="1"/>
  <c r="G8" i="1" s="1"/>
  <c r="G10" i="1" s="1"/>
  <c r="B9" i="1"/>
  <c r="B10" i="1" s="1"/>
  <c r="B15" i="1"/>
  <c r="G17" i="1"/>
  <c r="B27" i="1"/>
  <c r="G27" i="1"/>
  <c r="B28" i="1"/>
  <c r="B30" i="1"/>
  <c r="G31" i="1"/>
  <c r="G34" i="1"/>
  <c r="G37" i="1" s="1"/>
  <c r="G36" i="1"/>
  <c r="G39" i="1" s="1"/>
  <c r="G38" i="1"/>
  <c r="G40" i="1"/>
  <c r="G41" i="1"/>
  <c r="G42" i="1"/>
  <c r="B29" i="1" s="1"/>
  <c r="I12" i="2" l="1"/>
  <c r="I11" i="2"/>
  <c r="G7" i="1"/>
  <c r="B5" i="1" s="1"/>
  <c r="B13" i="1" s="1"/>
  <c r="G12" i="1" l="1"/>
  <c r="B4" i="1" s="1"/>
  <c r="B12" i="1" s="1"/>
  <c r="B17" i="1" s="1"/>
  <c r="B7" i="1" l="1"/>
  <c r="B32" i="1" s="1"/>
  <c r="B19" i="1" l="1"/>
  <c r="B21" i="1" l="1"/>
  <c r="B22" i="1"/>
  <c r="B23" i="1" s="1"/>
  <c r="B25" i="1" l="1"/>
  <c r="B24" i="1"/>
</calcChain>
</file>

<file path=xl/sharedStrings.xml><?xml version="1.0" encoding="utf-8"?>
<sst xmlns="http://schemas.openxmlformats.org/spreadsheetml/2006/main" count="196" uniqueCount="148">
  <si>
    <t>Flange material allowable design stress</t>
  </si>
  <si>
    <t>Pa</t>
  </si>
  <si>
    <t>S_f</t>
  </si>
  <si>
    <t>Factor derived from K</t>
  </si>
  <si>
    <t>Z</t>
  </si>
  <si>
    <t>Y</t>
  </si>
  <si>
    <t>Longitudinal hub stress factor</t>
  </si>
  <si>
    <t>L</t>
  </si>
  <si>
    <t>Factor derived from K for calculating L</t>
  </si>
  <si>
    <t>T</t>
  </si>
  <si>
    <t>Used in calculating L</t>
  </si>
  <si>
    <t>d</t>
  </si>
  <si>
    <t>Used in calculating other factors</t>
  </si>
  <si>
    <t>e</t>
  </si>
  <si>
    <t>Factor for calculating d - see ASME Sec VIII Fig 2-7.5</t>
  </si>
  <si>
    <t>V_L</t>
  </si>
  <si>
    <t>Factor derived from K for calculating d</t>
  </si>
  <si>
    <t>U</t>
  </si>
  <si>
    <t>Loose type flange factor - see ASME Sec VIII Fig 2-7.4</t>
  </si>
  <si>
    <t>F_L</t>
  </si>
  <si>
    <t>Flange correction factor - see ASME Sec VIII Fig 2-7.6</t>
  </si>
  <si>
    <t>f</t>
  </si>
  <si>
    <t>Force per bolt</t>
  </si>
  <si>
    <t>kN</t>
  </si>
  <si>
    <t>F_b</t>
  </si>
  <si>
    <t>For flange correction factor</t>
  </si>
  <si>
    <t>m</t>
  </si>
  <si>
    <t>h0</t>
  </si>
  <si>
    <t>Hub length</t>
  </si>
  <si>
    <t>h</t>
  </si>
  <si>
    <t>Stress limit for S_L1 and S_L2</t>
  </si>
  <si>
    <t>MPa</t>
  </si>
  <si>
    <t>Hub thickness, small end of hub</t>
  </si>
  <si>
    <t>g0</t>
  </si>
  <si>
    <t>Tangential flange stress limit</t>
  </si>
  <si>
    <t>Hub thickness, large end of hub</t>
  </si>
  <si>
    <t>g1</t>
  </si>
  <si>
    <t>Radial flange stress limit</t>
  </si>
  <si>
    <t>Ratio of OD to ID (&gt;2 gives increasingly conservative results for reverse type)</t>
  </si>
  <si>
    <t>K</t>
  </si>
  <si>
    <t>Longitudinal hub stress limit</t>
  </si>
  <si>
    <t>1.5S_f</t>
  </si>
  <si>
    <t>Flange ID</t>
  </si>
  <si>
    <t>B</t>
  </si>
  <si>
    <t>Flange OD</t>
  </si>
  <si>
    <t>A</t>
  </si>
  <si>
    <t>Longitudinal and tangential abs average</t>
  </si>
  <si>
    <t>S_L2</t>
  </si>
  <si>
    <t>Flange thickness</t>
  </si>
  <si>
    <t>t</t>
  </si>
  <si>
    <t>Longitudinal and radial abs average</t>
  </si>
  <si>
    <t>S_L1</t>
  </si>
  <si>
    <t>Note</t>
  </si>
  <si>
    <t>Unit</t>
  </si>
  <si>
    <t>Value</t>
  </si>
  <si>
    <t>FLANGE PARAMETERS</t>
  </si>
  <si>
    <t>Tangential flange stress</t>
  </si>
  <si>
    <t>S_T</t>
  </si>
  <si>
    <t>Radial flange stress</t>
  </si>
  <si>
    <t>S_R</t>
  </si>
  <si>
    <t>Bolt circle diameter</t>
  </si>
  <si>
    <t>C</t>
  </si>
  <si>
    <t>Longitudinal hub stress</t>
  </si>
  <si>
    <t>S_H</t>
  </si>
  <si>
    <t>Stress area per bolt</t>
  </si>
  <si>
    <t>m^2</t>
  </si>
  <si>
    <t>A_b1</t>
  </si>
  <si>
    <t>Number of bolts</t>
  </si>
  <si>
    <t>n</t>
  </si>
  <si>
    <t>Flange moment</t>
  </si>
  <si>
    <t>Nm</t>
  </si>
  <si>
    <t>M_o</t>
  </si>
  <si>
    <t>Allowable bolt stress at design temperature</t>
  </si>
  <si>
    <t>S_b</t>
  </si>
  <si>
    <t>Allowable bolt stress at ambient temperature</t>
  </si>
  <si>
    <t>S_a</t>
  </si>
  <si>
    <t>Maximum seating load</t>
  </si>
  <si>
    <t>N</t>
  </si>
  <si>
    <t>W</t>
  </si>
  <si>
    <t>Bolt diameter</t>
  </si>
  <si>
    <t>a</t>
  </si>
  <si>
    <t>BOLT PARAMETERS</t>
  </si>
  <si>
    <t>Actual total bolt area</t>
  </si>
  <si>
    <t>A_b</t>
  </si>
  <si>
    <t>M12</t>
  </si>
  <si>
    <t>Gasket joint-contact-surface unit seating stress</t>
  </si>
  <si>
    <t>y</t>
  </si>
  <si>
    <t>Required total bolt area 2</t>
  </si>
  <si>
    <t>A_m2</t>
  </si>
  <si>
    <t>M10</t>
  </si>
  <si>
    <t>Joint contact surface compression load</t>
  </si>
  <si>
    <t>H_p</t>
  </si>
  <si>
    <t>Required total bolt area 1</t>
  </si>
  <si>
    <t>A_m1</t>
  </si>
  <si>
    <t>Gasket factor</t>
  </si>
  <si>
    <t>M8</t>
  </si>
  <si>
    <t>Hydrostatic end force</t>
  </si>
  <si>
    <t>H</t>
  </si>
  <si>
    <t>Bolts required to satisfy above</t>
  </si>
  <si>
    <t>n_req</t>
  </si>
  <si>
    <t>M7</t>
  </si>
  <si>
    <t>Gauge operating pressure</t>
  </si>
  <si>
    <t>P</t>
  </si>
  <si>
    <t>Maximum allowable bolt spacing (lethal applications)</t>
  </si>
  <si>
    <t>B_smax</t>
  </si>
  <si>
    <t>M6</t>
  </si>
  <si>
    <t>Effective gasket diameter</t>
  </si>
  <si>
    <t>G</t>
  </si>
  <si>
    <t>M5</t>
  </si>
  <si>
    <t>Effective gasket width</t>
  </si>
  <si>
    <t>b</t>
  </si>
  <si>
    <t>Required operating bolt load</t>
  </si>
  <si>
    <t>W_m</t>
  </si>
  <si>
    <t>M4</t>
  </si>
  <si>
    <t>Base gasket width</t>
  </si>
  <si>
    <t>b0</t>
  </si>
  <si>
    <t>M3.5</t>
  </si>
  <si>
    <t>Gasket OD</t>
  </si>
  <si>
    <t>OD</t>
  </si>
  <si>
    <t>Operating bolt load 2</t>
  </si>
  <si>
    <t>W_m2</t>
  </si>
  <si>
    <t>M3</t>
  </si>
  <si>
    <t>Gasket ID</t>
  </si>
  <si>
    <t>ID</t>
  </si>
  <si>
    <t>Operating bolt load 1</t>
  </si>
  <si>
    <t>W_m1</t>
  </si>
  <si>
    <t>Stress area, mm^2</t>
  </si>
  <si>
    <t>Nominal diameter, mm</t>
  </si>
  <si>
    <t>Screw</t>
  </si>
  <si>
    <t>GASKET PARAMETERS</t>
  </si>
  <si>
    <t>Notes</t>
  </si>
  <si>
    <t>RESULTS</t>
  </si>
  <si>
    <t>INPUTS</t>
  </si>
  <si>
    <t>"For use with bolted flange connections with gaskets that are entirely within the circle enclosed by the bolt holes and with no contact outside this circle"</t>
  </si>
  <si>
    <t>Gasket design</t>
  </si>
  <si>
    <t>Expected compressive strain at 5 MPa stress, 400 C</t>
  </si>
  <si>
    <t>https://www.esadata.org/</t>
  </si>
  <si>
    <t>Sigraseal V20010M2 2.0 mm</t>
  </si>
  <si>
    <t>Expected strain with current gasket stress</t>
  </si>
  <si>
    <t>Poisson's ratio</t>
  </si>
  <si>
    <t>(Nasty calculation assuming gasket is isotropic to find expansion in radial direction)</t>
  </si>
  <si>
    <t>From ASME Sec VIII Div 1 App 2 - Definitely not meant for sealing rocket engines, made my best interpretation</t>
  </si>
  <si>
    <t>Gasket area, m^2</t>
  </si>
  <si>
    <t>Gasket stress, MPa</t>
  </si>
  <si>
    <t>Source:</t>
  </si>
  <si>
    <t>(Get more data from esadata if stress exceeds 5 Mpa)</t>
  </si>
  <si>
    <t>Compressed OD</t>
  </si>
  <si>
    <t>Compressed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</si>
</sst>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11" fontId="0" fillId="0" borderId="1" xfId="0" applyNumberFormat="1" applyBorder="1"/>
    <xf numFmtId="11" fontId="0" fillId="0" borderId="0" xfId="0" applyNumberFormat="1"/>
    <xf numFmtId="0" fontId="1" fillId="0" borderId="1" xfId="0" applyFont="1" applyBorder="1"/>
    <xf numFmtId="164" fontId="1" fillId="0" borderId="1" xfId="0" applyNumberFormat="1" applyFont="1" applyBorder="1"/>
    <xf numFmtId="165" fontId="1" fillId="0" borderId="1" xfId="0" applyNumberFormat="1" applyFont="1" applyBorder="1"/>
    <xf numFmtId="166" fontId="1" fillId="0" borderId="1" xfId="0" applyNumberFormat="1" applyFont="1" applyBorder="1"/>
    <xf numFmtId="2" fontId="0" fillId="0" borderId="1" xfId="0" applyNumberFormat="1" applyBorder="1"/>
    <xf numFmtId="11" fontId="1" fillId="0" borderId="1" xfId="0" applyNumberFormat="1" applyFont="1" applyBorder="1"/>
    <xf numFmtId="0" fontId="1" fillId="0" borderId="0" xfId="0" applyFont="1"/>
    <xf numFmtId="165" fontId="0" fillId="0" borderId="1" xfId="0" applyNumberFormat="1" applyBorder="1"/>
    <xf numFmtId="2" fontId="0" fillId="0" borderId="0" xfId="0" applyNumberFormat="1"/>
  </cellXfs>
  <cellStyles count="1">
    <cellStyle name="Normal" xfId="0" builtinId="0"/>
  </cellStyles>
  <dxfs count="3"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15</xdr:row>
      <xdr:rowOff>0</xdr:rowOff>
    </xdr:from>
    <xdr:to>
      <xdr:col>7</xdr:col>
      <xdr:colOff>304800</xdr:colOff>
      <xdr:row>16</xdr:row>
      <xdr:rowOff>121920</xdr:rowOff>
    </xdr:to>
    <xdr:sp macro="" textlink="">
      <xdr:nvSpPr>
        <xdr:cNvPr id="2050" name="AutoShape 2" descr="{\displaystyle \varepsilon _{zz}={\frac {1}{E}}\left[\sigma _{zz}-\nu \left(\sigma _{xx}+\sigma _{yy}\right)\right]}">
          <a:extLst>
            <a:ext uri="{FF2B5EF4-FFF2-40B4-BE49-F238E27FC236}">
              <a16:creationId xmlns:a16="http://schemas.microsoft.com/office/drawing/2014/main" id="{4ACF1AC8-204F-4DB6-AFCC-7C76A8C6B3F0}"/>
            </a:ext>
          </a:extLst>
        </xdr:cNvPr>
        <xdr:cNvSpPr>
          <a:spLocks noChangeAspect="1" noChangeArrowheads="1"/>
        </xdr:cNvSpPr>
      </xdr:nvSpPr>
      <xdr:spPr bwMode="auto">
        <a:xfrm>
          <a:off x="4267200" y="274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16</xdr:row>
      <xdr:rowOff>0</xdr:rowOff>
    </xdr:from>
    <xdr:to>
      <xdr:col>5</xdr:col>
      <xdr:colOff>304800</xdr:colOff>
      <xdr:row>17</xdr:row>
      <xdr:rowOff>121920</xdr:rowOff>
    </xdr:to>
    <xdr:sp macro="" textlink="">
      <xdr:nvSpPr>
        <xdr:cNvPr id="2052" name="AutoShape 4" descr="{\displaystyle \varepsilon _{zz}={\frac {1}{E}}\left[\sigma _{zz}-\nu \left(\sigma _{xx}+\sigma _{yy}\right)\right]}">
          <a:extLst>
            <a:ext uri="{FF2B5EF4-FFF2-40B4-BE49-F238E27FC236}">
              <a16:creationId xmlns:a16="http://schemas.microsoft.com/office/drawing/2014/main" id="{1021D863-D07D-464C-AF15-157BADE42813}"/>
            </a:ext>
          </a:extLst>
        </xdr:cNvPr>
        <xdr:cNvSpPr>
          <a:spLocks noChangeAspect="1" noChangeArrowheads="1"/>
        </xdr:cNvSpPr>
      </xdr:nvSpPr>
      <xdr:spPr bwMode="auto">
        <a:xfrm>
          <a:off x="3048000" y="29260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DA186A-2FF7-4D75-92A2-4DF95A8B7690}">
  <dimension ref="A1:M42"/>
  <sheetViews>
    <sheetView tabSelected="1" workbookViewId="0">
      <selection activeCell="E9" sqref="E9"/>
    </sheetView>
  </sheetViews>
  <sheetFormatPr defaultRowHeight="14.4" x14ac:dyDescent="0.3"/>
  <cols>
    <col min="2" max="2" width="9.109375" customWidth="1"/>
    <col min="4" max="4" width="45.88671875" customWidth="1"/>
    <col min="6" max="6" width="19.88671875" customWidth="1"/>
    <col min="7" max="7" width="12" customWidth="1"/>
    <col min="9" max="9" width="64.33203125" customWidth="1"/>
    <col min="13" max="13" width="16.5546875" customWidth="1"/>
  </cols>
  <sheetData>
    <row r="1" spans="1:13" x14ac:dyDescent="0.3">
      <c r="A1" s="10" t="s">
        <v>134</v>
      </c>
      <c r="E1" s="10" t="s">
        <v>133</v>
      </c>
    </row>
    <row r="2" spans="1:13" x14ac:dyDescent="0.3">
      <c r="A2" s="10" t="s">
        <v>141</v>
      </c>
      <c r="F2" s="10" t="s">
        <v>132</v>
      </c>
    </row>
    <row r="3" spans="1:13" x14ac:dyDescent="0.3">
      <c r="A3" s="4" t="s">
        <v>131</v>
      </c>
      <c r="B3" s="1" t="s">
        <v>54</v>
      </c>
      <c r="C3" s="1" t="s">
        <v>53</v>
      </c>
      <c r="D3" s="1" t="s">
        <v>130</v>
      </c>
      <c r="F3" s="4" t="s">
        <v>129</v>
      </c>
      <c r="G3" s="1" t="s">
        <v>54</v>
      </c>
      <c r="H3" s="1" t="s">
        <v>53</v>
      </c>
      <c r="I3" s="1" t="s">
        <v>52</v>
      </c>
      <c r="K3" s="1" t="s">
        <v>128</v>
      </c>
      <c r="L3" s="1" t="s">
        <v>127</v>
      </c>
      <c r="M3" s="1" t="s">
        <v>126</v>
      </c>
    </row>
    <row r="4" spans="1:13" x14ac:dyDescent="0.3">
      <c r="A4" s="1" t="s">
        <v>125</v>
      </c>
      <c r="B4" s="2">
        <f>G10+G12</f>
        <v>31806.662122188165</v>
      </c>
      <c r="C4" s="1" t="s">
        <v>77</v>
      </c>
      <c r="D4" s="1" t="s">
        <v>124</v>
      </c>
      <c r="F4" s="4" t="s">
        <v>123</v>
      </c>
      <c r="G4" s="4">
        <v>0.09</v>
      </c>
      <c r="H4" s="4" t="s">
        <v>26</v>
      </c>
      <c r="I4" s="4" t="s">
        <v>122</v>
      </c>
      <c r="K4" s="1" t="s">
        <v>121</v>
      </c>
      <c r="L4" s="1">
        <v>3</v>
      </c>
      <c r="M4" s="1">
        <v>5.03</v>
      </c>
    </row>
    <row r="5" spans="1:13" x14ac:dyDescent="0.3">
      <c r="A5" s="1" t="s">
        <v>120</v>
      </c>
      <c r="B5" s="2">
        <f>PI()*G7*G8*G13</f>
        <v>29863.979765024571</v>
      </c>
      <c r="C5" s="1" t="s">
        <v>77</v>
      </c>
      <c r="D5" s="1" t="s">
        <v>119</v>
      </c>
      <c r="F5" s="4" t="s">
        <v>118</v>
      </c>
      <c r="G5" s="4">
        <v>0.104</v>
      </c>
      <c r="H5" s="4" t="s">
        <v>26</v>
      </c>
      <c r="I5" s="4" t="s">
        <v>117</v>
      </c>
      <c r="K5" s="1" t="s">
        <v>116</v>
      </c>
      <c r="L5" s="1">
        <v>3.5</v>
      </c>
      <c r="M5" s="1">
        <v>6.78</v>
      </c>
    </row>
    <row r="6" spans="1:13" x14ac:dyDescent="0.3">
      <c r="A6" s="1"/>
      <c r="B6" s="1"/>
      <c r="C6" s="1"/>
      <c r="D6" s="1"/>
      <c r="F6" s="1" t="s">
        <v>115</v>
      </c>
      <c r="G6" s="1">
        <f>(G5-G4)/4</f>
        <v>3.4999999999999996E-3</v>
      </c>
      <c r="H6" s="1" t="s">
        <v>26</v>
      </c>
      <c r="I6" s="1" t="s">
        <v>114</v>
      </c>
      <c r="K6" s="1" t="s">
        <v>113</v>
      </c>
      <c r="L6" s="1">
        <v>4</v>
      </c>
      <c r="M6" s="1">
        <v>8.7799999999999994</v>
      </c>
    </row>
    <row r="7" spans="1:13" x14ac:dyDescent="0.3">
      <c r="A7" s="1" t="s">
        <v>112</v>
      </c>
      <c r="B7" s="8">
        <f>MAX(B4:B5)/1000</f>
        <v>31.806662122188165</v>
      </c>
      <c r="C7" s="1" t="s">
        <v>23</v>
      </c>
      <c r="D7" s="1" t="s">
        <v>111</v>
      </c>
      <c r="F7" s="1" t="s">
        <v>110</v>
      </c>
      <c r="G7" s="1">
        <f>IF(G6&lt;=0.006, G6, 2.5*SQRT(G6))</f>
        <v>3.4999999999999996E-3</v>
      </c>
      <c r="H7" s="1" t="s">
        <v>26</v>
      </c>
      <c r="I7" s="1" t="s">
        <v>109</v>
      </c>
      <c r="K7" s="1" t="s">
        <v>108</v>
      </c>
      <c r="L7" s="1">
        <v>5</v>
      </c>
      <c r="M7" s="1">
        <v>14.2</v>
      </c>
    </row>
    <row r="8" spans="1:13" x14ac:dyDescent="0.3">
      <c r="A8" s="1"/>
      <c r="B8" s="1"/>
      <c r="C8" s="1"/>
      <c r="D8" s="1"/>
      <c r="F8" s="1" t="s">
        <v>107</v>
      </c>
      <c r="G8" s="11">
        <f>IF(G6&lt;=0.006, (G4+G5)/2, G5-(2*G7))</f>
        <v>9.7000000000000003E-2</v>
      </c>
      <c r="H8" s="1" t="s">
        <v>26</v>
      </c>
      <c r="I8" s="1" t="s">
        <v>106</v>
      </c>
      <c r="K8" s="1" t="s">
        <v>105</v>
      </c>
      <c r="L8" s="1">
        <v>6</v>
      </c>
      <c r="M8" s="1">
        <v>20.100000000000001</v>
      </c>
    </row>
    <row r="9" spans="1:13" x14ac:dyDescent="0.3">
      <c r="A9" s="1" t="s">
        <v>104</v>
      </c>
      <c r="B9" s="1">
        <f>(2*G16)+((6*G24)/(G11+0.5))</f>
        <v>0.02</v>
      </c>
      <c r="C9" s="1" t="s">
        <v>26</v>
      </c>
      <c r="D9" s="1" t="s">
        <v>103</v>
      </c>
      <c r="F9" s="4" t="s">
        <v>102</v>
      </c>
      <c r="G9" s="9">
        <v>2500000</v>
      </c>
      <c r="H9" s="4" t="s">
        <v>1</v>
      </c>
      <c r="I9" s="4" t="s">
        <v>101</v>
      </c>
      <c r="K9" s="1" t="s">
        <v>100</v>
      </c>
      <c r="L9" s="1">
        <v>7</v>
      </c>
      <c r="M9" s="1">
        <v>28.9</v>
      </c>
    </row>
    <row r="10" spans="1:13" x14ac:dyDescent="0.3">
      <c r="A10" s="1" t="s">
        <v>99</v>
      </c>
      <c r="B10" s="8">
        <f>PI()*G21/B9</f>
        <v>12.880529879718152</v>
      </c>
      <c r="C10" s="1"/>
      <c r="D10" s="1" t="s">
        <v>98</v>
      </c>
      <c r="F10" s="1" t="s">
        <v>97</v>
      </c>
      <c r="G10" s="2">
        <f>PI()*(G8^2)*G9/4</f>
        <v>18474.528298516478</v>
      </c>
      <c r="H10" s="1" t="s">
        <v>77</v>
      </c>
      <c r="I10" s="1" t="s">
        <v>96</v>
      </c>
      <c r="K10" s="1" t="s">
        <v>95</v>
      </c>
      <c r="L10" s="1">
        <v>8</v>
      </c>
      <c r="M10" s="1">
        <v>36.6</v>
      </c>
    </row>
    <row r="11" spans="1:13" x14ac:dyDescent="0.3">
      <c r="A11" s="1"/>
      <c r="B11" s="1"/>
      <c r="C11" s="1"/>
      <c r="D11" s="1"/>
      <c r="E11" s="10"/>
      <c r="F11" s="4" t="s">
        <v>26</v>
      </c>
      <c r="G11" s="4">
        <v>2.5</v>
      </c>
      <c r="H11" s="4"/>
      <c r="I11" s="4" t="s">
        <v>94</v>
      </c>
      <c r="K11" s="1"/>
      <c r="L11" s="1"/>
      <c r="M11" s="1"/>
    </row>
    <row r="12" spans="1:13" x14ac:dyDescent="0.3">
      <c r="A12" s="1" t="s">
        <v>93</v>
      </c>
      <c r="B12" s="2">
        <f>B4/G17</f>
        <v>3.6433748135381629E-5</v>
      </c>
      <c r="C12" s="1" t="s">
        <v>65</v>
      </c>
      <c r="D12" s="1" t="s">
        <v>92</v>
      </c>
      <c r="E12" s="10"/>
      <c r="F12" s="1" t="s">
        <v>91</v>
      </c>
      <c r="G12" s="2">
        <f>2*G7*PI()*G8*G11*G9</f>
        <v>13332.133823671686</v>
      </c>
      <c r="H12" s="1" t="s">
        <v>77</v>
      </c>
      <c r="I12" s="1" t="s">
        <v>90</v>
      </c>
      <c r="K12" s="1" t="s">
        <v>89</v>
      </c>
      <c r="L12" s="1">
        <v>10</v>
      </c>
      <c r="M12" s="1">
        <v>58</v>
      </c>
    </row>
    <row r="13" spans="1:13" x14ac:dyDescent="0.3">
      <c r="A13" s="1" t="s">
        <v>88</v>
      </c>
      <c r="B13" s="2">
        <f>B5/G18</f>
        <v>3.4208453339088859E-5</v>
      </c>
      <c r="C13" s="1" t="s">
        <v>65</v>
      </c>
      <c r="D13" s="1" t="s">
        <v>87</v>
      </c>
      <c r="F13" s="1" t="s">
        <v>86</v>
      </c>
      <c r="G13" s="2">
        <v>28000000</v>
      </c>
      <c r="H13" s="1" t="s">
        <v>1</v>
      </c>
      <c r="I13" s="1" t="s">
        <v>85</v>
      </c>
      <c r="K13" s="1" t="s">
        <v>84</v>
      </c>
      <c r="L13" s="1">
        <v>12</v>
      </c>
      <c r="M13" s="1">
        <v>84.3</v>
      </c>
    </row>
    <row r="14" spans="1:13" x14ac:dyDescent="0.3">
      <c r="A14" s="1"/>
      <c r="B14" s="1"/>
      <c r="C14" s="1"/>
      <c r="D14" s="1"/>
    </row>
    <row r="15" spans="1:13" ht="15" customHeight="1" x14ac:dyDescent="0.3">
      <c r="A15" s="1" t="s">
        <v>83</v>
      </c>
      <c r="B15" s="2">
        <f>G19*G20</f>
        <v>2.2719999999999999E-4</v>
      </c>
      <c r="C15" s="1" t="s">
        <v>65</v>
      </c>
      <c r="D15" s="1" t="s">
        <v>82</v>
      </c>
      <c r="F15" s="4" t="s">
        <v>81</v>
      </c>
      <c r="G15" s="1" t="s">
        <v>54</v>
      </c>
      <c r="H15" s="1" t="s">
        <v>53</v>
      </c>
      <c r="I15" s="1"/>
    </row>
    <row r="16" spans="1:13" x14ac:dyDescent="0.3">
      <c r="A16" s="1"/>
      <c r="B16" s="1"/>
      <c r="C16" s="1"/>
      <c r="D16" s="1"/>
      <c r="F16" s="4" t="s">
        <v>80</v>
      </c>
      <c r="G16" s="7">
        <v>5.0000000000000001E-3</v>
      </c>
      <c r="H16" s="4" t="s">
        <v>26</v>
      </c>
      <c r="I16" s="4" t="s">
        <v>79</v>
      </c>
    </row>
    <row r="17" spans="1:9" x14ac:dyDescent="0.3">
      <c r="A17" s="1" t="s">
        <v>78</v>
      </c>
      <c r="B17" s="1">
        <f>(MAX(B12:B13)+B15)*G17/2</f>
        <v>115076.13106109409</v>
      </c>
      <c r="C17" s="1" t="s">
        <v>77</v>
      </c>
      <c r="D17" s="1" t="s">
        <v>76</v>
      </c>
      <c r="F17" s="4" t="s">
        <v>75</v>
      </c>
      <c r="G17" s="9">
        <f>0.9*970000000</f>
        <v>873000000</v>
      </c>
      <c r="H17" s="4" t="s">
        <v>1</v>
      </c>
      <c r="I17" s="4" t="s">
        <v>74</v>
      </c>
    </row>
    <row r="18" spans="1:9" x14ac:dyDescent="0.3">
      <c r="A18" s="1"/>
      <c r="B18" s="1"/>
      <c r="C18" s="1"/>
      <c r="D18" s="1"/>
      <c r="F18" s="4" t="s">
        <v>73</v>
      </c>
      <c r="G18" s="9">
        <v>873000000</v>
      </c>
      <c r="H18" s="4" t="s">
        <v>1</v>
      </c>
      <c r="I18" s="4" t="s">
        <v>72</v>
      </c>
    </row>
    <row r="19" spans="1:9" x14ac:dyDescent="0.3">
      <c r="A19" s="1" t="s">
        <v>71</v>
      </c>
      <c r="B19" s="1">
        <f>B7*1000*(G21-G8)/2</f>
        <v>-238.54996591641122</v>
      </c>
      <c r="C19" s="1" t="s">
        <v>70</v>
      </c>
      <c r="D19" s="1" t="s">
        <v>69</v>
      </c>
      <c r="F19" s="4" t="s">
        <v>68</v>
      </c>
      <c r="G19" s="4">
        <v>16</v>
      </c>
      <c r="H19" s="4"/>
      <c r="I19" s="4" t="s">
        <v>67</v>
      </c>
    </row>
    <row r="20" spans="1:9" x14ac:dyDescent="0.3">
      <c r="A20" s="1"/>
      <c r="B20" s="1"/>
      <c r="C20" s="1"/>
      <c r="D20" s="1"/>
      <c r="F20" s="4" t="s">
        <v>66</v>
      </c>
      <c r="G20" s="9">
        <v>1.42E-5</v>
      </c>
      <c r="H20" s="4" t="s">
        <v>65</v>
      </c>
      <c r="I20" s="4" t="s">
        <v>64</v>
      </c>
    </row>
    <row r="21" spans="1:9" x14ac:dyDescent="0.3">
      <c r="A21" s="1" t="s">
        <v>63</v>
      </c>
      <c r="B21" s="1">
        <f>G32*B19/(G39*G28^2*G26)/1000000</f>
        <v>-11.476397597841331</v>
      </c>
      <c r="C21" s="1" t="s">
        <v>31</v>
      </c>
      <c r="D21" s="1" t="s">
        <v>62</v>
      </c>
      <c r="F21" s="4" t="s">
        <v>61</v>
      </c>
      <c r="G21" s="6">
        <v>8.2000000000000003E-2</v>
      </c>
      <c r="H21" s="4" t="s">
        <v>26</v>
      </c>
      <c r="I21" s="4" t="s">
        <v>60</v>
      </c>
    </row>
    <row r="22" spans="1:9" x14ac:dyDescent="0.3">
      <c r="A22" s="1" t="s">
        <v>59</v>
      </c>
      <c r="B22" s="1">
        <f>(((4/3)*G24*G36)+1)*B19/(G39*G24^2*G26)/1000000</f>
        <v>-175.5718804051798</v>
      </c>
      <c r="C22" s="1" t="s">
        <v>31</v>
      </c>
      <c r="D22" s="1" t="s">
        <v>58</v>
      </c>
    </row>
    <row r="23" spans="1:9" x14ac:dyDescent="0.3">
      <c r="A23" s="1" t="s">
        <v>57</v>
      </c>
      <c r="B23" s="8">
        <f>(((G40*B19)/(G24^2*G26))-(G41*B22*1000000))/1000000</f>
        <v>-68.536528676944101</v>
      </c>
      <c r="C23" s="1" t="s">
        <v>31</v>
      </c>
      <c r="D23" s="1" t="s">
        <v>56</v>
      </c>
      <c r="F23" s="4" t="s">
        <v>55</v>
      </c>
      <c r="G23" s="1" t="s">
        <v>54</v>
      </c>
      <c r="H23" s="1" t="s">
        <v>53</v>
      </c>
      <c r="I23" s="1" t="s">
        <v>52</v>
      </c>
    </row>
    <row r="24" spans="1:9" x14ac:dyDescent="0.3">
      <c r="A24" s="1" t="s">
        <v>51</v>
      </c>
      <c r="B24" s="8">
        <f>(ABS(B21)+ABS(B22))/2</f>
        <v>93.524139001510562</v>
      </c>
      <c r="C24" s="1" t="s">
        <v>31</v>
      </c>
      <c r="D24" s="1" t="s">
        <v>50</v>
      </c>
      <c r="F24" s="4" t="s">
        <v>49</v>
      </c>
      <c r="G24" s="6">
        <v>5.0000000000000001E-3</v>
      </c>
      <c r="H24" s="4" t="s">
        <v>26</v>
      </c>
      <c r="I24" s="4" t="s">
        <v>48</v>
      </c>
    </row>
    <row r="25" spans="1:9" x14ac:dyDescent="0.3">
      <c r="A25" s="1" t="s">
        <v>47</v>
      </c>
      <c r="B25" s="8">
        <f>(ABS(B21)+ABS(B23))/2</f>
        <v>40.006463137392714</v>
      </c>
      <c r="C25" s="1" t="s">
        <v>31</v>
      </c>
      <c r="D25" s="1" t="s">
        <v>46</v>
      </c>
      <c r="F25" s="4" t="s">
        <v>45</v>
      </c>
      <c r="G25" s="6">
        <v>0.18</v>
      </c>
      <c r="H25" s="4" t="s">
        <v>26</v>
      </c>
      <c r="I25" s="4" t="s">
        <v>44</v>
      </c>
    </row>
    <row r="26" spans="1:9" x14ac:dyDescent="0.3">
      <c r="A26" s="1"/>
      <c r="B26" s="1"/>
      <c r="C26" s="1"/>
      <c r="D26" s="1"/>
      <c r="F26" s="4" t="s">
        <v>43</v>
      </c>
      <c r="G26" s="7">
        <v>6.5000000000000002E-2</v>
      </c>
      <c r="H26" s="4" t="s">
        <v>26</v>
      </c>
      <c r="I26" s="4" t="s">
        <v>42</v>
      </c>
    </row>
    <row r="27" spans="1:9" x14ac:dyDescent="0.3">
      <c r="A27" s="1" t="s">
        <v>41</v>
      </c>
      <c r="B27" s="1">
        <f>G42*1.5/1000000</f>
        <v>276.75</v>
      </c>
      <c r="C27" s="1" t="s">
        <v>31</v>
      </c>
      <c r="D27" s="1" t="s">
        <v>40</v>
      </c>
      <c r="F27" s="1" t="s">
        <v>39</v>
      </c>
      <c r="G27" s="1">
        <f>G25/G26</f>
        <v>2.7692307692307692</v>
      </c>
      <c r="H27" s="1"/>
      <c r="I27" s="1" t="s">
        <v>38</v>
      </c>
    </row>
    <row r="28" spans="1:9" x14ac:dyDescent="0.3">
      <c r="A28" s="1" t="s">
        <v>2</v>
      </c>
      <c r="B28" s="1">
        <f>G42/1000000</f>
        <v>184.5</v>
      </c>
      <c r="C28" s="1" t="s">
        <v>31</v>
      </c>
      <c r="D28" s="1" t="s">
        <v>37</v>
      </c>
      <c r="F28" s="4" t="s">
        <v>36</v>
      </c>
      <c r="G28" s="6">
        <v>1.3849999999999999E-2</v>
      </c>
      <c r="H28" s="4" t="s">
        <v>26</v>
      </c>
      <c r="I28" s="4" t="s">
        <v>35</v>
      </c>
    </row>
    <row r="29" spans="1:9" x14ac:dyDescent="0.3">
      <c r="A29" s="1" t="s">
        <v>2</v>
      </c>
      <c r="B29" s="1">
        <f>G42/1000000</f>
        <v>184.5</v>
      </c>
      <c r="C29" s="1" t="s">
        <v>31</v>
      </c>
      <c r="D29" s="1" t="s">
        <v>34</v>
      </c>
      <c r="F29" s="4" t="s">
        <v>33</v>
      </c>
      <c r="G29" s="6">
        <v>1.2800000000000001E-2</v>
      </c>
      <c r="H29" s="4" t="s">
        <v>26</v>
      </c>
      <c r="I29" s="4" t="s">
        <v>32</v>
      </c>
    </row>
    <row r="30" spans="1:9" x14ac:dyDescent="0.3">
      <c r="A30" s="1" t="s">
        <v>2</v>
      </c>
      <c r="B30" s="1">
        <f>G42/1000000</f>
        <v>184.5</v>
      </c>
      <c r="C30" s="1" t="s">
        <v>31</v>
      </c>
      <c r="D30" s="1" t="s">
        <v>30</v>
      </c>
      <c r="F30" s="4" t="s">
        <v>29</v>
      </c>
      <c r="G30" s="6">
        <v>5.0000000000000001E-3</v>
      </c>
      <c r="H30" s="4" t="s">
        <v>26</v>
      </c>
      <c r="I30" s="4" t="s">
        <v>28</v>
      </c>
    </row>
    <row r="31" spans="1:9" x14ac:dyDescent="0.3">
      <c r="A31" s="1"/>
      <c r="B31" s="1"/>
      <c r="C31" s="1"/>
      <c r="D31" s="1"/>
      <c r="F31" s="1" t="s">
        <v>27</v>
      </c>
      <c r="G31" s="1">
        <f>SQRT(G26*G29)</f>
        <v>2.8844410203711916E-2</v>
      </c>
      <c r="H31" s="1" t="s">
        <v>26</v>
      </c>
      <c r="I31" s="1" t="s">
        <v>25</v>
      </c>
    </row>
    <row r="32" spans="1:9" x14ac:dyDescent="0.3">
      <c r="A32" s="1" t="s">
        <v>24</v>
      </c>
      <c r="B32" s="1">
        <f>B7/G19</f>
        <v>1.9879163826367603</v>
      </c>
      <c r="C32" s="1" t="s">
        <v>23</v>
      </c>
      <c r="D32" s="1" t="s">
        <v>22</v>
      </c>
      <c r="F32" s="4" t="s">
        <v>21</v>
      </c>
      <c r="G32" s="5">
        <v>1</v>
      </c>
      <c r="H32" s="4"/>
      <c r="I32" s="4" t="s">
        <v>20</v>
      </c>
    </row>
    <row r="33" spans="3:9" x14ac:dyDescent="0.3">
      <c r="F33" s="4" t="s">
        <v>19</v>
      </c>
      <c r="G33" s="5">
        <v>4.3</v>
      </c>
      <c r="H33" s="4"/>
      <c r="I33" s="4" t="s">
        <v>18</v>
      </c>
    </row>
    <row r="34" spans="3:9" x14ac:dyDescent="0.3">
      <c r="C34" s="3"/>
      <c r="F34" s="1" t="s">
        <v>17</v>
      </c>
      <c r="G34" s="1">
        <f>((G27^2)*(1+8.55246*LOG10(G27))-1)/(1.36136*(G27^2 - 1)*(G27-1))</f>
        <v>2.2214850013373315</v>
      </c>
      <c r="H34" s="1"/>
      <c r="I34" s="1" t="s">
        <v>16</v>
      </c>
    </row>
    <row r="35" spans="3:9" x14ac:dyDescent="0.3">
      <c r="C35" s="3"/>
      <c r="F35" s="4" t="s">
        <v>15</v>
      </c>
      <c r="G35" s="5">
        <v>24</v>
      </c>
      <c r="H35" s="1"/>
      <c r="I35" s="4" t="s">
        <v>14</v>
      </c>
    </row>
    <row r="36" spans="3:9" x14ac:dyDescent="0.3">
      <c r="C36" s="3"/>
      <c r="F36" s="1" t="s">
        <v>13</v>
      </c>
      <c r="G36" s="1">
        <f>G33/G31</f>
        <v>149.07567773553032</v>
      </c>
      <c r="H36" s="1"/>
      <c r="I36" s="1" t="s">
        <v>12</v>
      </c>
    </row>
    <row r="37" spans="3:9" x14ac:dyDescent="0.3">
      <c r="C37" s="3"/>
      <c r="F37" s="1" t="s">
        <v>11</v>
      </c>
      <c r="G37" s="1">
        <f>(G34/G35)*G31*G29^2</f>
        <v>4.3743521887551157E-7</v>
      </c>
      <c r="H37" s="1"/>
      <c r="I37" s="1" t="s">
        <v>10</v>
      </c>
    </row>
    <row r="38" spans="3:9" x14ac:dyDescent="0.3">
      <c r="F38" s="1" t="s">
        <v>9</v>
      </c>
      <c r="G38" s="1">
        <f>((G27^2)*(1+8.55246*LOG10(G27))-1)/((1.0472+(1.9448*G27^2))*(G27-1))</f>
        <v>1.263539666586172</v>
      </c>
      <c r="H38" s="1"/>
      <c r="I38" s="1" t="s">
        <v>8</v>
      </c>
    </row>
    <row r="39" spans="3:9" x14ac:dyDescent="0.3">
      <c r="F39" s="1" t="s">
        <v>7</v>
      </c>
      <c r="G39" s="1">
        <f>(((G24*G36)+1)/G38)+((G24^3)/G37)</f>
        <v>1.6670969981938302</v>
      </c>
      <c r="H39" s="1"/>
      <c r="I39" s="1" t="s">
        <v>6</v>
      </c>
    </row>
    <row r="40" spans="3:9" x14ac:dyDescent="0.3">
      <c r="F40" s="1" t="s">
        <v>5</v>
      </c>
      <c r="G40" s="1">
        <f>(1/(G27-1))*(0.66845+5.7169*((G27^2*LOG10(G27))/(G27^2-1)))</f>
        <v>2.0215561097474501</v>
      </c>
      <c r="H40" s="1"/>
      <c r="I40" s="1" t="s">
        <v>3</v>
      </c>
    </row>
    <row r="41" spans="3:9" x14ac:dyDescent="0.3">
      <c r="F41" s="1" t="s">
        <v>4</v>
      </c>
      <c r="G41" s="1">
        <f>(G27^2+1)/(G27^2-1)</f>
        <v>1.2999112688553685</v>
      </c>
      <c r="H41" s="1"/>
      <c r="I41" s="1" t="s">
        <v>3</v>
      </c>
    </row>
    <row r="42" spans="3:9" x14ac:dyDescent="0.3">
      <c r="F42" s="1" t="s">
        <v>2</v>
      </c>
      <c r="G42" s="2">
        <f>205000000*0.9</f>
        <v>184500000</v>
      </c>
      <c r="H42" s="1" t="s">
        <v>1</v>
      </c>
      <c r="I42" s="1" t="s">
        <v>0</v>
      </c>
    </row>
  </sheetData>
  <conditionalFormatting sqref="B21">
    <cfRule type="cellIs" dxfId="2" priority="5" operator="notBetween">
      <formula>$B$27</formula>
      <formula>-$B$27</formula>
    </cfRule>
  </conditionalFormatting>
  <conditionalFormatting sqref="B22">
    <cfRule type="cellIs" dxfId="1" priority="4" operator="notBetween">
      <formula>$B$28</formula>
      <formula>-$B$28</formula>
    </cfRule>
  </conditionalFormatting>
  <conditionalFormatting sqref="B23">
    <cfRule type="cellIs" priority="3" operator="notBetween">
      <formula>$B$29</formula>
      <formula>-$B$29</formula>
    </cfRule>
  </conditionalFormatting>
  <conditionalFormatting sqref="B24:B25">
    <cfRule type="cellIs" priority="2" operator="notBetween">
      <formula>$B$30</formula>
      <formula>-$B$30</formula>
    </cfRule>
  </conditionalFormatting>
  <conditionalFormatting sqref="B15">
    <cfRule type="cellIs" dxfId="0" priority="1" operator="lessThan">
      <formula>MAX(B12:B13)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47608-0A87-4954-94BB-6F66B6A73FED}">
  <dimension ref="A1:J12"/>
  <sheetViews>
    <sheetView workbookViewId="0">
      <selection activeCell="B7" sqref="B7"/>
    </sheetView>
  </sheetViews>
  <sheetFormatPr defaultRowHeight="14.4" x14ac:dyDescent="0.3"/>
  <cols>
    <col min="8" max="8" width="46" customWidth="1"/>
  </cols>
  <sheetData>
    <row r="1" spans="1:10" x14ac:dyDescent="0.3">
      <c r="A1" t="s">
        <v>140</v>
      </c>
    </row>
    <row r="3" spans="1:10" x14ac:dyDescent="0.3">
      <c r="A3">
        <f>PI()*('White Dwarf'!G5^2-'White Dwarf'!G4^2)</f>
        <v>8.5325656471498777E-3</v>
      </c>
      <c r="B3" t="s">
        <v>142</v>
      </c>
      <c r="J3" t="s">
        <v>144</v>
      </c>
    </row>
    <row r="4" spans="1:10" x14ac:dyDescent="0.3">
      <c r="A4">
        <f>'White Dwarf'!B7*1000/(A3*1000000)</f>
        <v>3.7276785714285725</v>
      </c>
      <c r="B4" t="s">
        <v>143</v>
      </c>
      <c r="H4" t="s">
        <v>135</v>
      </c>
      <c r="I4">
        <f>(2.08-1.805)/2.08</f>
        <v>0.13221153846153852</v>
      </c>
      <c r="J4" t="s">
        <v>136</v>
      </c>
    </row>
    <row r="5" spans="1:10" x14ac:dyDescent="0.3">
      <c r="J5" t="s">
        <v>137</v>
      </c>
    </row>
    <row r="7" spans="1:10" x14ac:dyDescent="0.3">
      <c r="A7" s="12"/>
      <c r="H7" t="s">
        <v>138</v>
      </c>
      <c r="I7">
        <f>A4*I4/5</f>
        <v>9.856842376373634E-2</v>
      </c>
    </row>
    <row r="8" spans="1:10" x14ac:dyDescent="0.3">
      <c r="H8" t="s">
        <v>145</v>
      </c>
    </row>
    <row r="10" spans="1:10" x14ac:dyDescent="0.3">
      <c r="H10" t="s">
        <v>139</v>
      </c>
      <c r="I10">
        <v>0.2</v>
      </c>
    </row>
    <row r="11" spans="1:10" x14ac:dyDescent="0.3">
      <c r="H11" t="s">
        <v>146</v>
      </c>
      <c r="I11">
        <f>(1+I10*I7)*'White Dwarf'!G5</f>
        <v>0.10605022321428571</v>
      </c>
      <c r="J11" t="s">
        <v>26</v>
      </c>
    </row>
    <row r="12" spans="1:10" x14ac:dyDescent="0.3">
      <c r="H12" t="s">
        <v>147</v>
      </c>
      <c r="I12">
        <f>(1-I10*I7)*'White Dwarf'!G4</f>
        <v>8.8225768372252739E-2</v>
      </c>
      <c r="J12" t="s">
        <v>26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White Dwarf</vt:lpstr>
      <vt:lpstr>Poisson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Henry</dc:creator>
  <cp:lastModifiedBy>Henry</cp:lastModifiedBy>
  <dcterms:created xsi:type="dcterms:W3CDTF">2022-01-12T17:52:44Z</dcterms:created>
  <dcterms:modified xsi:type="dcterms:W3CDTF">2022-01-26T16:56:57Z</dcterms:modified>
</cp:coreProperties>
</file>