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is\Documents\Internships\Brunel\DATA\"/>
    </mc:Choice>
  </mc:AlternateContent>
  <xr:revisionPtr revIDLastSave="0" documentId="13_ncr:1_{65637738-BAF2-4C68-8E52-48303CC89F36}" xr6:coauthVersionLast="34" xr6:coauthVersionMax="34" xr10:uidLastSave="{00000000-0000-0000-0000-000000000000}"/>
  <bookViews>
    <workbookView xWindow="0" yWindow="0" windowWidth="8415" windowHeight="5865" activeTab="9" xr2:uid="{00000000-000D-0000-FFFF-FFFF00000000}"/>
  </bookViews>
  <sheets>
    <sheet name="WBG" sheetId="1" r:id="rId1"/>
    <sheet name="NBG" sheetId="2" r:id="rId2"/>
    <sheet name="Warrap" sheetId="3" r:id="rId3"/>
    <sheet name="Lakes" sheetId="4" r:id="rId4"/>
    <sheet name="Upper Nile" sheetId="5" r:id="rId5"/>
    <sheet name="Jonglei" sheetId="6" r:id="rId6"/>
    <sheet name="Unity" sheetId="7" r:id="rId7"/>
    <sheet name="CES" sheetId="8" r:id="rId8"/>
    <sheet name="WES" sheetId="9" r:id="rId9"/>
    <sheet name="EES" sheetId="10" r:id="rId10"/>
    <sheet name="Total" sheetId="11" r:id="rId11"/>
  </sheets>
  <calcPr calcId="179021"/>
</workbook>
</file>

<file path=xl/calcChain.xml><?xml version="1.0" encoding="utf-8"?>
<calcChain xmlns="http://schemas.openxmlformats.org/spreadsheetml/2006/main">
  <c r="I10" i="8" l="1"/>
  <c r="H10" i="8"/>
  <c r="G10" i="8"/>
  <c r="F10" i="8"/>
  <c r="E10" i="8"/>
  <c r="D10" i="8"/>
  <c r="I9" i="8"/>
  <c r="H9" i="8"/>
  <c r="G9" i="8"/>
  <c r="F9" i="8"/>
  <c r="E9" i="8"/>
  <c r="D9" i="8"/>
  <c r="I8" i="8"/>
  <c r="H8" i="8"/>
  <c r="G8" i="8"/>
  <c r="F8" i="8"/>
  <c r="E8" i="8"/>
  <c r="D8" i="8"/>
  <c r="I7" i="8"/>
  <c r="H7" i="8"/>
  <c r="G7" i="8"/>
  <c r="F7" i="8"/>
  <c r="E7" i="8"/>
  <c r="D7" i="8"/>
  <c r="I6" i="8"/>
  <c r="H6" i="8"/>
  <c r="G6" i="8"/>
  <c r="F6" i="8"/>
  <c r="E6" i="8"/>
  <c r="D6" i="8"/>
  <c r="I5" i="8"/>
  <c r="H5" i="8"/>
  <c r="G5" i="8"/>
  <c r="F5" i="8"/>
  <c r="E5" i="8"/>
  <c r="D5" i="8"/>
  <c r="H10" i="11"/>
  <c r="G10" i="11"/>
  <c r="F10" i="11"/>
  <c r="I10" i="11" s="1"/>
  <c r="E10" i="11"/>
  <c r="J10" i="11" s="1"/>
  <c r="D10" i="11"/>
  <c r="K10" i="11" s="1"/>
  <c r="H9" i="11"/>
  <c r="G9" i="11"/>
  <c r="F9" i="11"/>
  <c r="K9" i="11" s="1"/>
  <c r="E9" i="11"/>
  <c r="D9" i="11"/>
  <c r="H8" i="11"/>
  <c r="G8" i="11"/>
  <c r="F8" i="11"/>
  <c r="K8" i="11" s="1"/>
  <c r="E8" i="11"/>
  <c r="D8" i="11"/>
  <c r="H7" i="11"/>
  <c r="G7" i="11"/>
  <c r="F7" i="11"/>
  <c r="K7" i="11" s="1"/>
  <c r="E7" i="11"/>
  <c r="D7" i="11"/>
  <c r="H6" i="11"/>
  <c r="G6" i="11"/>
  <c r="F6" i="11"/>
  <c r="K6" i="11" s="1"/>
  <c r="E6" i="11"/>
  <c r="D6" i="11"/>
  <c r="H5" i="11"/>
  <c r="G5" i="11"/>
  <c r="F5" i="11"/>
  <c r="K5" i="11" s="1"/>
  <c r="E5" i="11"/>
  <c r="D5" i="11"/>
  <c r="K4" i="11"/>
  <c r="J4" i="11"/>
  <c r="I4" i="11"/>
  <c r="K3" i="11"/>
  <c r="J3" i="11"/>
  <c r="I3" i="11"/>
  <c r="K2" i="11"/>
  <c r="J2" i="11"/>
  <c r="I2" i="11"/>
  <c r="H10" i="10"/>
  <c r="G10" i="10"/>
  <c r="F10" i="10"/>
  <c r="I10" i="10" s="1"/>
  <c r="E10" i="10"/>
  <c r="J10" i="10" s="1"/>
  <c r="D10" i="10"/>
  <c r="K10" i="10" s="1"/>
  <c r="H9" i="10"/>
  <c r="G9" i="10"/>
  <c r="F9" i="10"/>
  <c r="I9" i="10" s="1"/>
  <c r="E9" i="10"/>
  <c r="J9" i="10" s="1"/>
  <c r="D9" i="10"/>
  <c r="K9" i="10" s="1"/>
  <c r="H8" i="10"/>
  <c r="G8" i="10"/>
  <c r="F8" i="10"/>
  <c r="I8" i="10" s="1"/>
  <c r="E8" i="10"/>
  <c r="J8" i="10" s="1"/>
  <c r="D8" i="10"/>
  <c r="K8" i="10" s="1"/>
  <c r="H7" i="10"/>
  <c r="G7" i="10"/>
  <c r="F7" i="10"/>
  <c r="I7" i="10" s="1"/>
  <c r="E7" i="10"/>
  <c r="J7" i="10" s="1"/>
  <c r="D7" i="10"/>
  <c r="K7" i="10" s="1"/>
  <c r="H6" i="10"/>
  <c r="G6" i="10"/>
  <c r="F6" i="10"/>
  <c r="J6" i="10" s="1"/>
  <c r="E6" i="10"/>
  <c r="D6" i="10"/>
  <c r="K6" i="10" s="1"/>
  <c r="H5" i="10"/>
  <c r="G5" i="10"/>
  <c r="F5" i="10"/>
  <c r="J5" i="10" s="1"/>
  <c r="E5" i="10"/>
  <c r="D5" i="10"/>
  <c r="K5" i="10" s="1"/>
  <c r="K4" i="10"/>
  <c r="J4" i="10"/>
  <c r="I4" i="10"/>
  <c r="K3" i="10"/>
  <c r="J3" i="10"/>
  <c r="I3" i="10"/>
  <c r="K2" i="10"/>
  <c r="J2" i="10"/>
  <c r="I2" i="10"/>
  <c r="H10" i="9"/>
  <c r="G10" i="9"/>
  <c r="F10" i="9"/>
  <c r="I10" i="9" s="1"/>
  <c r="E10" i="9"/>
  <c r="D10" i="9"/>
  <c r="H9" i="9"/>
  <c r="G9" i="9"/>
  <c r="F9" i="9"/>
  <c r="I9" i="9" s="1"/>
  <c r="E9" i="9"/>
  <c r="D9" i="9"/>
  <c r="H8" i="9"/>
  <c r="G8" i="9"/>
  <c r="F8" i="9"/>
  <c r="I8" i="9" s="1"/>
  <c r="E8" i="9"/>
  <c r="D8" i="9"/>
  <c r="H7" i="9"/>
  <c r="G7" i="9"/>
  <c r="F7" i="9"/>
  <c r="I7" i="9" s="1"/>
  <c r="E7" i="9"/>
  <c r="D7" i="9"/>
  <c r="H6" i="9"/>
  <c r="G6" i="9"/>
  <c r="F6" i="9"/>
  <c r="I6" i="9" s="1"/>
  <c r="E6" i="9"/>
  <c r="D6" i="9"/>
  <c r="H5" i="9"/>
  <c r="G5" i="9"/>
  <c r="F5" i="9"/>
  <c r="I5" i="9" s="1"/>
  <c r="E5" i="9"/>
  <c r="D5" i="9"/>
  <c r="K4" i="9"/>
  <c r="J4" i="9"/>
  <c r="I4" i="9"/>
  <c r="K3" i="9"/>
  <c r="J3" i="9"/>
  <c r="I3" i="9"/>
  <c r="K2" i="9"/>
  <c r="J2" i="9"/>
  <c r="I2" i="9"/>
  <c r="J10" i="8"/>
  <c r="K10" i="8"/>
  <c r="J9" i="8"/>
  <c r="K9" i="8"/>
  <c r="K8" i="8"/>
  <c r="J8" i="8"/>
  <c r="K7" i="8"/>
  <c r="J7" i="8"/>
  <c r="K6" i="8"/>
  <c r="J6" i="8"/>
  <c r="K5" i="8"/>
  <c r="J5" i="8"/>
  <c r="K4" i="8"/>
  <c r="J4" i="8"/>
  <c r="I4" i="8"/>
  <c r="K3" i="8"/>
  <c r="J3" i="8"/>
  <c r="I3" i="8"/>
  <c r="K2" i="8"/>
  <c r="J2" i="8"/>
  <c r="I2" i="8"/>
  <c r="H10" i="7"/>
  <c r="I10" i="7" s="1"/>
  <c r="G10" i="7"/>
  <c r="F10" i="7"/>
  <c r="E10" i="7"/>
  <c r="J10" i="7" s="1"/>
  <c r="D10" i="7"/>
  <c r="K10" i="7" s="1"/>
  <c r="H9" i="7"/>
  <c r="I9" i="7" s="1"/>
  <c r="G9" i="7"/>
  <c r="F9" i="7"/>
  <c r="E9" i="7"/>
  <c r="J9" i="7" s="1"/>
  <c r="D9" i="7"/>
  <c r="K9" i="7" s="1"/>
  <c r="H8" i="7"/>
  <c r="I8" i="7" s="1"/>
  <c r="G8" i="7"/>
  <c r="F8" i="7"/>
  <c r="E8" i="7"/>
  <c r="J8" i="7" s="1"/>
  <c r="D8" i="7"/>
  <c r="K8" i="7" s="1"/>
  <c r="H7" i="7"/>
  <c r="I7" i="7" s="1"/>
  <c r="G7" i="7"/>
  <c r="F7" i="7"/>
  <c r="E7" i="7"/>
  <c r="J7" i="7" s="1"/>
  <c r="D7" i="7"/>
  <c r="K7" i="7" s="1"/>
  <c r="H6" i="7"/>
  <c r="I6" i="7" s="1"/>
  <c r="G6" i="7"/>
  <c r="F6" i="7"/>
  <c r="E6" i="7"/>
  <c r="J6" i="7" s="1"/>
  <c r="D6" i="7"/>
  <c r="K6" i="7" s="1"/>
  <c r="H5" i="7"/>
  <c r="I5" i="7" s="1"/>
  <c r="G5" i="7"/>
  <c r="F5" i="7"/>
  <c r="E5" i="7"/>
  <c r="J5" i="7" s="1"/>
  <c r="D5" i="7"/>
  <c r="K5" i="7" s="1"/>
  <c r="K4" i="7"/>
  <c r="J4" i="7"/>
  <c r="I4" i="7"/>
  <c r="K3" i="7"/>
  <c r="J3" i="7"/>
  <c r="I3" i="7"/>
  <c r="K2" i="7"/>
  <c r="J2" i="7"/>
  <c r="I2" i="7"/>
  <c r="H10" i="6"/>
  <c r="G10" i="6"/>
  <c r="F10" i="6"/>
  <c r="I10" i="6" s="1"/>
  <c r="E10" i="6"/>
  <c r="J10" i="6" s="1"/>
  <c r="D10" i="6"/>
  <c r="K10" i="6" s="1"/>
  <c r="H9" i="6"/>
  <c r="G9" i="6"/>
  <c r="F9" i="6"/>
  <c r="I9" i="6" s="1"/>
  <c r="E9" i="6"/>
  <c r="J9" i="6" s="1"/>
  <c r="D9" i="6"/>
  <c r="K9" i="6" s="1"/>
  <c r="H8" i="6"/>
  <c r="G8" i="6"/>
  <c r="F8" i="6"/>
  <c r="I8" i="6" s="1"/>
  <c r="E8" i="6"/>
  <c r="J8" i="6" s="1"/>
  <c r="D8" i="6"/>
  <c r="K8" i="6" s="1"/>
  <c r="H7" i="6"/>
  <c r="G7" i="6"/>
  <c r="F7" i="6"/>
  <c r="I7" i="6" s="1"/>
  <c r="E7" i="6"/>
  <c r="J7" i="6" s="1"/>
  <c r="D7" i="6"/>
  <c r="K7" i="6" s="1"/>
  <c r="H6" i="6"/>
  <c r="G6" i="6"/>
  <c r="F6" i="6"/>
  <c r="I6" i="6" s="1"/>
  <c r="E6" i="6"/>
  <c r="J6" i="6" s="1"/>
  <c r="D6" i="6"/>
  <c r="K6" i="6" s="1"/>
  <c r="H5" i="6"/>
  <c r="G5" i="6"/>
  <c r="F5" i="6"/>
  <c r="J5" i="6" s="1"/>
  <c r="E5" i="6"/>
  <c r="D5" i="6"/>
  <c r="K5" i="6" s="1"/>
  <c r="K4" i="6"/>
  <c r="J4" i="6"/>
  <c r="I4" i="6"/>
  <c r="K3" i="6"/>
  <c r="J3" i="6"/>
  <c r="I3" i="6"/>
  <c r="K2" i="6"/>
  <c r="J2" i="6"/>
  <c r="I2" i="6"/>
  <c r="H10" i="5"/>
  <c r="G10" i="5"/>
  <c r="F10" i="5"/>
  <c r="I10" i="5" s="1"/>
  <c r="E10" i="5"/>
  <c r="J10" i="5" s="1"/>
  <c r="D10" i="5"/>
  <c r="K10" i="5" s="1"/>
  <c r="H9" i="5"/>
  <c r="G9" i="5"/>
  <c r="F9" i="5"/>
  <c r="I9" i="5" s="1"/>
  <c r="E9" i="5"/>
  <c r="J9" i="5" s="1"/>
  <c r="D9" i="5"/>
  <c r="K9" i="5" s="1"/>
  <c r="H8" i="5"/>
  <c r="G8" i="5"/>
  <c r="F8" i="5"/>
  <c r="I8" i="5" s="1"/>
  <c r="E8" i="5"/>
  <c r="J8" i="5" s="1"/>
  <c r="D8" i="5"/>
  <c r="K8" i="5" s="1"/>
  <c r="H7" i="5"/>
  <c r="G7" i="5"/>
  <c r="F7" i="5"/>
  <c r="I7" i="5" s="1"/>
  <c r="E7" i="5"/>
  <c r="K7" i="5" s="1"/>
  <c r="D7" i="5"/>
  <c r="H6" i="5"/>
  <c r="G6" i="5"/>
  <c r="F6" i="5"/>
  <c r="I6" i="5" s="1"/>
  <c r="E6" i="5"/>
  <c r="D6" i="5"/>
  <c r="H5" i="5"/>
  <c r="G5" i="5"/>
  <c r="F5" i="5"/>
  <c r="I5" i="5" s="1"/>
  <c r="E5" i="5"/>
  <c r="D5" i="5"/>
  <c r="K4" i="5"/>
  <c r="J4" i="5"/>
  <c r="I4" i="5"/>
  <c r="K3" i="5"/>
  <c r="J3" i="5"/>
  <c r="I3" i="5"/>
  <c r="K2" i="5"/>
  <c r="J2" i="5"/>
  <c r="I2" i="5"/>
  <c r="H10" i="4"/>
  <c r="G10" i="4"/>
  <c r="F10" i="4"/>
  <c r="I10" i="4" s="1"/>
  <c r="E10" i="4"/>
  <c r="J10" i="4" s="1"/>
  <c r="D10" i="4"/>
  <c r="K10" i="4" s="1"/>
  <c r="H9" i="4"/>
  <c r="G9" i="4"/>
  <c r="F9" i="4"/>
  <c r="I9" i="4" s="1"/>
  <c r="E9" i="4"/>
  <c r="J9" i="4" s="1"/>
  <c r="D9" i="4"/>
  <c r="K9" i="4" s="1"/>
  <c r="H8" i="4"/>
  <c r="G8" i="4"/>
  <c r="F8" i="4"/>
  <c r="I8" i="4" s="1"/>
  <c r="E8" i="4"/>
  <c r="J8" i="4" s="1"/>
  <c r="D8" i="4"/>
  <c r="K8" i="4" s="1"/>
  <c r="H7" i="4"/>
  <c r="G7" i="4"/>
  <c r="F7" i="4"/>
  <c r="I7" i="4" s="1"/>
  <c r="E7" i="4"/>
  <c r="J7" i="4" s="1"/>
  <c r="D7" i="4"/>
  <c r="K7" i="4" s="1"/>
  <c r="H6" i="4"/>
  <c r="G6" i="4"/>
  <c r="F6" i="4"/>
  <c r="I6" i="4" s="1"/>
  <c r="E6" i="4"/>
  <c r="J6" i="4" s="1"/>
  <c r="D6" i="4"/>
  <c r="K6" i="4" s="1"/>
  <c r="H5" i="4"/>
  <c r="G5" i="4"/>
  <c r="F5" i="4"/>
  <c r="I5" i="4" s="1"/>
  <c r="E5" i="4"/>
  <c r="J5" i="4" s="1"/>
  <c r="D5" i="4"/>
  <c r="K5" i="4" s="1"/>
  <c r="K4" i="4"/>
  <c r="J4" i="4"/>
  <c r="I4" i="4"/>
  <c r="K3" i="4"/>
  <c r="J3" i="4"/>
  <c r="I3" i="4"/>
  <c r="K2" i="4"/>
  <c r="J2" i="4"/>
  <c r="I2" i="4"/>
  <c r="H10" i="3"/>
  <c r="G10" i="3"/>
  <c r="F10" i="3"/>
  <c r="I10" i="3" s="1"/>
  <c r="E10" i="3"/>
  <c r="J10" i="3" s="1"/>
  <c r="D10" i="3"/>
  <c r="K10" i="3" s="1"/>
  <c r="H9" i="3"/>
  <c r="G9" i="3"/>
  <c r="F9" i="3"/>
  <c r="I9" i="3" s="1"/>
  <c r="E9" i="3"/>
  <c r="J9" i="3" s="1"/>
  <c r="D9" i="3"/>
  <c r="K9" i="3" s="1"/>
  <c r="H8" i="3"/>
  <c r="G8" i="3"/>
  <c r="F8" i="3"/>
  <c r="I8" i="3" s="1"/>
  <c r="E8" i="3"/>
  <c r="J8" i="3" s="1"/>
  <c r="D8" i="3"/>
  <c r="K8" i="3" s="1"/>
  <c r="H7" i="3"/>
  <c r="G7" i="3"/>
  <c r="F7" i="3"/>
  <c r="J7" i="3" s="1"/>
  <c r="E7" i="3"/>
  <c r="D7" i="3"/>
  <c r="K7" i="3" s="1"/>
  <c r="H6" i="3"/>
  <c r="G6" i="3"/>
  <c r="F6" i="3"/>
  <c r="J6" i="3" s="1"/>
  <c r="E6" i="3"/>
  <c r="D6" i="3"/>
  <c r="K6" i="3" s="1"/>
  <c r="H5" i="3"/>
  <c r="G5" i="3"/>
  <c r="F5" i="3"/>
  <c r="J5" i="3" s="1"/>
  <c r="E5" i="3"/>
  <c r="D5" i="3"/>
  <c r="K5" i="3" s="1"/>
  <c r="K4" i="3"/>
  <c r="J4" i="3"/>
  <c r="I4" i="3"/>
  <c r="K3" i="3"/>
  <c r="J3" i="3"/>
  <c r="I3" i="3"/>
  <c r="K2" i="3"/>
  <c r="J2" i="3"/>
  <c r="I2" i="3"/>
  <c r="I10" i="2"/>
  <c r="H10" i="2"/>
  <c r="G10" i="2"/>
  <c r="J10" i="2" s="1"/>
  <c r="F10" i="2"/>
  <c r="K10" i="2" s="1"/>
  <c r="E10" i="2"/>
  <c r="L10" i="2" s="1"/>
  <c r="I9" i="2"/>
  <c r="H9" i="2"/>
  <c r="G9" i="2"/>
  <c r="J9" i="2" s="1"/>
  <c r="F9" i="2"/>
  <c r="K9" i="2" s="1"/>
  <c r="E9" i="2"/>
  <c r="L9" i="2" s="1"/>
  <c r="I8" i="2"/>
  <c r="H8" i="2"/>
  <c r="G8" i="2"/>
  <c r="J8" i="2" s="1"/>
  <c r="F8" i="2"/>
  <c r="K8" i="2" s="1"/>
  <c r="E8" i="2"/>
  <c r="L8" i="2" s="1"/>
  <c r="I7" i="2"/>
  <c r="H7" i="2"/>
  <c r="G7" i="2"/>
  <c r="J7" i="2" s="1"/>
  <c r="F7" i="2"/>
  <c r="K7" i="2" s="1"/>
  <c r="E7" i="2"/>
  <c r="L7" i="2" s="1"/>
  <c r="I6" i="2"/>
  <c r="H6" i="2"/>
  <c r="G6" i="2"/>
  <c r="J6" i="2" s="1"/>
  <c r="F6" i="2"/>
  <c r="K6" i="2" s="1"/>
  <c r="E6" i="2"/>
  <c r="L6" i="2" s="1"/>
  <c r="I5" i="2"/>
  <c r="H5" i="2"/>
  <c r="G5" i="2"/>
  <c r="J5" i="2" s="1"/>
  <c r="F5" i="2"/>
  <c r="K5" i="2" s="1"/>
  <c r="E5" i="2"/>
  <c r="L5" i="2" s="1"/>
  <c r="L4" i="2"/>
  <c r="K4" i="2"/>
  <c r="J4" i="2"/>
  <c r="L3" i="2"/>
  <c r="K3" i="2"/>
  <c r="J3" i="2"/>
  <c r="L2" i="2"/>
  <c r="K2" i="2"/>
  <c r="J2" i="2"/>
  <c r="H10" i="1"/>
  <c r="G10" i="1"/>
  <c r="F10" i="1"/>
  <c r="I10" i="1" s="1"/>
  <c r="E10" i="1"/>
  <c r="J10" i="1" s="1"/>
  <c r="D10" i="1"/>
  <c r="K10" i="1" s="1"/>
  <c r="H9" i="1"/>
  <c r="G9" i="1"/>
  <c r="F9" i="1"/>
  <c r="I9" i="1" s="1"/>
  <c r="E9" i="1"/>
  <c r="J9" i="1" s="1"/>
  <c r="D9" i="1"/>
  <c r="K9" i="1" s="1"/>
  <c r="H8" i="1"/>
  <c r="G8" i="1"/>
  <c r="F8" i="1"/>
  <c r="I8" i="1" s="1"/>
  <c r="E8" i="1"/>
  <c r="J8" i="1" s="1"/>
  <c r="D8" i="1"/>
  <c r="K8" i="1" s="1"/>
  <c r="H7" i="1"/>
  <c r="G7" i="1"/>
  <c r="F7" i="1"/>
  <c r="I7" i="1" s="1"/>
  <c r="E7" i="1"/>
  <c r="J7" i="1" s="1"/>
  <c r="D7" i="1"/>
  <c r="K7" i="1" s="1"/>
  <c r="H6" i="1"/>
  <c r="G6" i="1"/>
  <c r="F6" i="1"/>
  <c r="I6" i="1" s="1"/>
  <c r="E6" i="1"/>
  <c r="J6" i="1" s="1"/>
  <c r="D6" i="1"/>
  <c r="K6" i="1" s="1"/>
  <c r="H5" i="1"/>
  <c r="G5" i="1"/>
  <c r="F5" i="1"/>
  <c r="I5" i="1" s="1"/>
  <c r="E5" i="1"/>
  <c r="J5" i="1" s="1"/>
  <c r="D5" i="1"/>
  <c r="K5" i="1" s="1"/>
  <c r="K4" i="1"/>
  <c r="J4" i="1"/>
  <c r="I4" i="1"/>
  <c r="K3" i="1"/>
  <c r="J3" i="1"/>
  <c r="I3" i="1"/>
  <c r="K2" i="1"/>
  <c r="J2" i="1"/>
  <c r="I2" i="1"/>
  <c r="J5" i="5" l="1"/>
  <c r="J6" i="5"/>
  <c r="J7" i="5"/>
  <c r="I5" i="6"/>
  <c r="J5" i="9"/>
  <c r="J6" i="9"/>
  <c r="J7" i="9"/>
  <c r="J8" i="9"/>
  <c r="J9" i="9"/>
  <c r="J10" i="9"/>
  <c r="I5" i="10"/>
  <c r="I6" i="10"/>
  <c r="I5" i="3"/>
  <c r="I6" i="3"/>
  <c r="I7" i="3"/>
  <c r="K5" i="5"/>
  <c r="K6" i="5"/>
  <c r="K5" i="9"/>
  <c r="K6" i="9"/>
  <c r="K7" i="9"/>
  <c r="K8" i="9"/>
  <c r="K9" i="9"/>
  <c r="K10" i="9"/>
  <c r="I5" i="11"/>
  <c r="I6" i="11"/>
  <c r="I7" i="11"/>
  <c r="I8" i="11"/>
  <c r="I9" i="11"/>
  <c r="J5" i="11"/>
  <c r="J6" i="11"/>
  <c r="J7" i="11"/>
  <c r="J8" i="11"/>
  <c r="J9" i="11"/>
</calcChain>
</file>

<file path=xl/sharedStrings.xml><?xml version="1.0" encoding="utf-8"?>
<sst xmlns="http://schemas.openxmlformats.org/spreadsheetml/2006/main" count="269" uniqueCount="24">
  <si>
    <t>Period</t>
  </si>
  <si>
    <t>IPC1</t>
  </si>
  <si>
    <t>IPC2</t>
  </si>
  <si>
    <t>IPC3</t>
  </si>
  <si>
    <t>IPC4</t>
  </si>
  <si>
    <t>IPC5</t>
  </si>
  <si>
    <t>IPC&gt;=3</t>
  </si>
  <si>
    <t>IPC&gt;=2</t>
  </si>
  <si>
    <t>ALL</t>
  </si>
  <si>
    <t>PROJECTION</t>
  </si>
  <si>
    <t>30.07.2013 &gt; 30.10.2013</t>
  </si>
  <si>
    <t>01.05.2014 &gt; 31.05.2014</t>
  </si>
  <si>
    <t>01.06.2014 &gt; 30.08.2014</t>
  </si>
  <si>
    <t>0.3</t>
  </si>
  <si>
    <t>01.09.2014 &gt; 30.09.2014</t>
  </si>
  <si>
    <t>01.10.2014 &gt; 31.12.2014</t>
  </si>
  <si>
    <t>01.01.2015 &gt; 31.03.2015</t>
  </si>
  <si>
    <t>30.04.2015 &gt; 30.04.2015</t>
  </si>
  <si>
    <t>01.05.2015 &gt; 31.07.2015</t>
  </si>
  <si>
    <t>01.08.2015 &gt; 30.09.2015</t>
  </si>
  <si>
    <t>http://www.ipcinfo.org/ipc-country-analysis/details-map/en/c/459538/?iso3=SSD</t>
  </si>
  <si>
    <t>http://www.ipcinfo.org/ipc-country-analysis/details-map/en/c/459577/?iso3=SSD</t>
  </si>
  <si>
    <t>http://www.ipcinfo.org/ipc-country-analysis/details-map/en/c/459589/?iso3=SSD</t>
  </si>
  <si>
    <t>http://www.ipcinfo.org/ipc-country-analysis/details-map/en/c/459609/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</si>
</sst>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pcinfo.org/ipc-country-analysis/details-map/en/c/459589/?iso3=SSD" TargetMode="External"/><Relationship Id="rId2" Type="http://schemas.openxmlformats.org/officeDocument/2006/relationships/hyperlink" Target="http://www.ipcinfo.org/ipc-country-analysis/details-map/en/c/459577/?iso3=SSD" TargetMode="External"/><Relationship Id="rId1" Type="http://schemas.openxmlformats.org/officeDocument/2006/relationships/hyperlink" Target="http://www.ipcinfo.org/ipc-country-analysis/details-map/en/c/459538/?iso3=SSD" TargetMode="External"/><Relationship Id="rId4" Type="http://schemas.openxmlformats.org/officeDocument/2006/relationships/hyperlink" Target="http://www.ipcinfo.org/ipc-country-analysis/details-map/en/c/4596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workbookViewId="0">
      <selection sqref="A1:K10"/>
    </sheetView>
  </sheetViews>
  <sheetFormatPr baseColWidth="10" defaultColWidth="14.42578125" defaultRowHeight="15.75" customHeight="1" x14ac:dyDescent="0.2"/>
  <cols>
    <col min="3" max="3" width="29.28515625" customWidth="1"/>
  </cols>
  <sheetData>
    <row r="1" spans="1:11" ht="15.75" customHeigh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2">
      <c r="A2" s="1" t="s">
        <v>9</v>
      </c>
      <c r="C2" s="1" t="s">
        <v>10</v>
      </c>
      <c r="D2" s="2">
        <v>52</v>
      </c>
      <c r="E2" s="2">
        <v>40</v>
      </c>
      <c r="F2" s="2">
        <v>8</v>
      </c>
      <c r="G2" s="2">
        <v>0</v>
      </c>
      <c r="H2" s="2">
        <v>0</v>
      </c>
      <c r="I2" s="3">
        <f t="shared" ref="I2:I10" si="0">F2+G2+H2</f>
        <v>8</v>
      </c>
      <c r="J2" s="3">
        <f t="shared" ref="J2:J10" si="1">SUM(E2:H2)</f>
        <v>48</v>
      </c>
      <c r="K2" s="3">
        <f t="shared" ref="K2:K10" si="2">SUM(D2:H2)</f>
        <v>100</v>
      </c>
    </row>
    <row r="3" spans="1:11" ht="15.75" customHeight="1" x14ac:dyDescent="0.2">
      <c r="C3" s="1" t="s">
        <v>11</v>
      </c>
      <c r="D3" s="2">
        <v>33</v>
      </c>
      <c r="E3" s="2">
        <v>41</v>
      </c>
      <c r="F3" s="2">
        <v>15</v>
      </c>
      <c r="G3" s="2">
        <v>11</v>
      </c>
      <c r="H3" s="2">
        <v>0</v>
      </c>
      <c r="I3" s="3">
        <f t="shared" si="0"/>
        <v>26</v>
      </c>
      <c r="J3" s="3">
        <f t="shared" si="1"/>
        <v>67</v>
      </c>
      <c r="K3" s="3">
        <f t="shared" si="2"/>
        <v>100</v>
      </c>
    </row>
    <row r="4" spans="1:11" ht="15.75" customHeight="1" x14ac:dyDescent="0.2">
      <c r="A4" s="1" t="s">
        <v>9</v>
      </c>
      <c r="B4" s="4"/>
      <c r="C4" s="1" t="s">
        <v>12</v>
      </c>
      <c r="D4" s="5">
        <v>30</v>
      </c>
      <c r="E4" s="5">
        <v>42</v>
      </c>
      <c r="F4" s="5">
        <v>16</v>
      </c>
      <c r="G4" s="5">
        <v>11</v>
      </c>
      <c r="H4" s="5">
        <v>0</v>
      </c>
      <c r="I4" s="3">
        <f t="shared" si="0"/>
        <v>27</v>
      </c>
      <c r="J4" s="3">
        <f t="shared" si="1"/>
        <v>69</v>
      </c>
      <c r="K4" s="3">
        <f t="shared" si="2"/>
        <v>99</v>
      </c>
    </row>
    <row r="5" spans="1:11" ht="15.75" customHeight="1" x14ac:dyDescent="0.2">
      <c r="B5" s="4">
        <v>517216</v>
      </c>
      <c r="C5" s="7" t="s">
        <v>14</v>
      </c>
      <c r="D5" s="8">
        <f>260000/$B$5*100</f>
        <v>50.269133205469288</v>
      </c>
      <c r="E5" s="8">
        <f>190000/$B$5*100</f>
        <v>36.735135803996783</v>
      </c>
      <c r="F5" s="8">
        <f>70000/$B$5*100</f>
        <v>13.533997401472501</v>
      </c>
      <c r="G5" s="8">
        <f t="shared" ref="G5:H5" si="3">0/$B$5*100</f>
        <v>0</v>
      </c>
      <c r="H5" s="8">
        <f t="shared" si="3"/>
        <v>0</v>
      </c>
      <c r="I5" s="8">
        <f t="shared" si="0"/>
        <v>13.533997401472501</v>
      </c>
      <c r="J5" s="3">
        <f t="shared" si="1"/>
        <v>50.269133205469288</v>
      </c>
      <c r="K5" s="8">
        <f t="shared" si="2"/>
        <v>100.53826641093858</v>
      </c>
    </row>
    <row r="6" spans="1:11" ht="15.75" customHeight="1" x14ac:dyDescent="0.2">
      <c r="A6" s="1" t="s">
        <v>9</v>
      </c>
      <c r="B6" s="4">
        <v>517216</v>
      </c>
      <c r="C6" s="7" t="s">
        <v>15</v>
      </c>
      <c r="D6" s="8">
        <f>440000/$B6*100</f>
        <v>85.070840809255714</v>
      </c>
      <c r="E6" s="8">
        <f>55000/$B6*100</f>
        <v>10.633855101156964</v>
      </c>
      <c r="F6" s="8">
        <f t="shared" ref="F6:F7" si="4">20000/$B6*100</f>
        <v>3.8668564004207138</v>
      </c>
      <c r="G6" s="8">
        <f t="shared" ref="G6:H6" si="5">0/$B6*100</f>
        <v>0</v>
      </c>
      <c r="H6" s="8">
        <f t="shared" si="5"/>
        <v>0</v>
      </c>
      <c r="I6" s="8">
        <f t="shared" si="0"/>
        <v>3.8668564004207138</v>
      </c>
      <c r="J6" s="3">
        <f t="shared" si="1"/>
        <v>14.500711501577678</v>
      </c>
      <c r="K6" s="8">
        <f t="shared" si="2"/>
        <v>99.571552310833397</v>
      </c>
    </row>
    <row r="7" spans="1:11" ht="15.75" customHeight="1" x14ac:dyDescent="0.2">
      <c r="A7" s="1" t="s">
        <v>9</v>
      </c>
      <c r="B7" s="4">
        <v>526666</v>
      </c>
      <c r="C7" s="7" t="s">
        <v>16</v>
      </c>
      <c r="D7" s="8">
        <f>395000/$B7*100</f>
        <v>75.000094936829029</v>
      </c>
      <c r="E7" s="8">
        <f>110000/$B7*100</f>
        <v>20.886102387471375</v>
      </c>
      <c r="F7" s="8">
        <f t="shared" si="4"/>
        <v>3.797473161358432</v>
      </c>
      <c r="G7" s="8">
        <f t="shared" ref="G7:H7" si="6">0/$B7*100</f>
        <v>0</v>
      </c>
      <c r="H7" s="8">
        <f t="shared" si="6"/>
        <v>0</v>
      </c>
      <c r="I7" s="8">
        <f t="shared" si="0"/>
        <v>3.797473161358432</v>
      </c>
      <c r="J7" s="3">
        <f t="shared" si="1"/>
        <v>24.683575548829808</v>
      </c>
      <c r="K7" s="8">
        <f t="shared" si="2"/>
        <v>99.683670485658837</v>
      </c>
    </row>
    <row r="8" spans="1:11" ht="15.75" customHeight="1" x14ac:dyDescent="0.2">
      <c r="B8" s="4">
        <v>526666</v>
      </c>
      <c r="C8" s="1" t="s">
        <v>17</v>
      </c>
      <c r="D8" s="8">
        <f>205000/$B8*100</f>
        <v>38.924099903923931</v>
      </c>
      <c r="E8" s="8">
        <f>180000/$B8*100</f>
        <v>34.177258452225892</v>
      </c>
      <c r="F8" s="8">
        <f>100000/$B8*100</f>
        <v>18.987365806792162</v>
      </c>
      <c r="G8" s="8">
        <f t="shared" ref="G8:G9" si="7">40000/$B8*100</f>
        <v>7.5949463227168641</v>
      </c>
      <c r="H8" s="8">
        <f t="shared" ref="H8:H10" si="8">0/$B8*100</f>
        <v>0</v>
      </c>
      <c r="I8" s="8">
        <f t="shared" si="0"/>
        <v>26.582312129509027</v>
      </c>
      <c r="J8" s="3">
        <f t="shared" si="1"/>
        <v>60.75957058173492</v>
      </c>
      <c r="K8" s="8">
        <f t="shared" si="2"/>
        <v>99.683670485658851</v>
      </c>
    </row>
    <row r="9" spans="1:11" ht="15.75" customHeight="1" x14ac:dyDescent="0.2">
      <c r="A9" s="1" t="s">
        <v>9</v>
      </c>
      <c r="B9" s="4">
        <v>526666</v>
      </c>
      <c r="C9" s="1" t="s">
        <v>18</v>
      </c>
      <c r="D9" s="8">
        <f>165000/$B9*100</f>
        <v>31.329153581207063</v>
      </c>
      <c r="E9" s="8">
        <f t="shared" ref="E9:F9" si="9">160000/$B9*100</f>
        <v>30.379785290867456</v>
      </c>
      <c r="F9" s="8">
        <f t="shared" si="9"/>
        <v>30.379785290867456</v>
      </c>
      <c r="G9" s="8">
        <f t="shared" si="7"/>
        <v>7.5949463227168641</v>
      </c>
      <c r="H9" s="8">
        <f t="shared" si="8"/>
        <v>0</v>
      </c>
      <c r="I9" s="8">
        <f t="shared" si="0"/>
        <v>37.974731613584318</v>
      </c>
      <c r="J9" s="3">
        <f t="shared" si="1"/>
        <v>68.354516904451771</v>
      </c>
      <c r="K9" s="8">
        <f t="shared" si="2"/>
        <v>99.683670485658837</v>
      </c>
    </row>
    <row r="10" spans="1:11" ht="15.75" customHeight="1" x14ac:dyDescent="0.2">
      <c r="A10" s="1" t="s">
        <v>9</v>
      </c>
      <c r="B10" s="4">
        <v>526666</v>
      </c>
      <c r="C10" s="1" t="s">
        <v>19</v>
      </c>
      <c r="D10" s="8">
        <f>225000/$B10*100</f>
        <v>42.721573065282357</v>
      </c>
      <c r="E10" s="8">
        <f>190000/$B10*100</f>
        <v>36.075995032905105</v>
      </c>
      <c r="F10" s="8">
        <f>85000/$B10*100</f>
        <v>16.139260935773336</v>
      </c>
      <c r="G10" s="8">
        <f>25000/$B10*100</f>
        <v>4.7468414516980406</v>
      </c>
      <c r="H10" s="8">
        <f t="shared" si="8"/>
        <v>0</v>
      </c>
      <c r="I10" s="8">
        <f t="shared" si="0"/>
        <v>20.886102387471375</v>
      </c>
      <c r="J10" s="3">
        <f t="shared" si="1"/>
        <v>56.96209742037648</v>
      </c>
      <c r="K10" s="8">
        <f t="shared" si="2"/>
        <v>99.683670485658851</v>
      </c>
    </row>
    <row r="11" spans="1:11" ht="15.75" customHeight="1" x14ac:dyDescent="0.2">
      <c r="D11" s="3"/>
      <c r="E11" s="3"/>
      <c r="F11" s="3"/>
      <c r="G11" s="3"/>
      <c r="H11" s="3"/>
      <c r="I11" s="3"/>
      <c r="J11" s="3"/>
      <c r="K11" s="3"/>
    </row>
    <row r="12" spans="1:11" ht="15.75" customHeight="1" x14ac:dyDescent="0.2">
      <c r="D12" s="3"/>
      <c r="E12" s="3"/>
      <c r="F12" s="3"/>
      <c r="G12" s="3"/>
      <c r="H12" s="3"/>
      <c r="I12" s="3"/>
      <c r="J12" s="3"/>
      <c r="K12" s="3"/>
    </row>
    <row r="13" spans="1:11" ht="15.75" customHeight="1" x14ac:dyDescent="0.2">
      <c r="D13" s="3"/>
      <c r="E13" s="3"/>
      <c r="F13" s="3"/>
      <c r="G13" s="3"/>
      <c r="H13" s="3"/>
      <c r="I13" s="3"/>
      <c r="J13" s="3"/>
      <c r="K13" s="3"/>
    </row>
    <row r="14" spans="1:11" ht="15.75" customHeight="1" x14ac:dyDescent="0.2">
      <c r="D14" s="3"/>
      <c r="E14" s="3"/>
      <c r="F14" s="3"/>
      <c r="G14" s="3"/>
      <c r="H14" s="3"/>
      <c r="I14" s="3"/>
      <c r="J14" s="3"/>
      <c r="K14" s="3"/>
    </row>
    <row r="15" spans="1:11" ht="15.75" customHeight="1" x14ac:dyDescent="0.2">
      <c r="D15" s="3"/>
      <c r="E15" s="3"/>
      <c r="F15" s="3"/>
      <c r="G15" s="3"/>
      <c r="H15" s="3"/>
      <c r="I15" s="3"/>
      <c r="J15" s="3"/>
      <c r="K15" s="3"/>
    </row>
    <row r="16" spans="1:11" ht="15.75" customHeight="1" x14ac:dyDescent="0.2">
      <c r="D16" s="3"/>
      <c r="E16" s="3"/>
      <c r="F16" s="3"/>
      <c r="G16" s="3"/>
      <c r="H16" s="3"/>
      <c r="I16" s="3"/>
      <c r="J16" s="3"/>
      <c r="K1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L10"/>
  <sheetViews>
    <sheetView topLeftCell="C1" workbookViewId="0">
      <selection activeCell="C5" sqref="C5:C10"/>
    </sheetView>
  </sheetViews>
  <sheetFormatPr baseColWidth="10" defaultColWidth="14.42578125" defaultRowHeight="15.75" customHeight="1" x14ac:dyDescent="0.2"/>
  <cols>
    <col min="4" max="4" width="29.28515625" customWidth="1"/>
  </cols>
  <sheetData>
    <row r="1" spans="2:12" ht="15.75" customHeight="1" x14ac:dyDescent="0.2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2:12" ht="15.75" customHeight="1" x14ac:dyDescent="0.2">
      <c r="B2" s="1" t="s">
        <v>9</v>
      </c>
      <c r="D2" s="1" t="s">
        <v>10</v>
      </c>
      <c r="E2" s="1">
        <v>55</v>
      </c>
      <c r="F2" s="1">
        <v>38</v>
      </c>
      <c r="G2" s="1">
        <v>7</v>
      </c>
      <c r="H2" s="1">
        <v>0</v>
      </c>
      <c r="I2" s="1">
        <v>0</v>
      </c>
      <c r="J2">
        <f t="shared" ref="J2:J5" si="0">SUM(G2:I2)</f>
        <v>7</v>
      </c>
      <c r="K2">
        <f t="shared" ref="K2:K10" si="1">SUM(F2:I2)</f>
        <v>45</v>
      </c>
      <c r="L2">
        <f t="shared" ref="L2:L10" si="2">SUM(E2:I2)</f>
        <v>100</v>
      </c>
    </row>
    <row r="3" spans="2:12" ht="15.75" customHeight="1" x14ac:dyDescent="0.2">
      <c r="D3" s="1" t="s">
        <v>11</v>
      </c>
      <c r="E3" s="1">
        <v>27</v>
      </c>
      <c r="F3" s="1">
        <v>35</v>
      </c>
      <c r="G3" s="1">
        <v>24</v>
      </c>
      <c r="H3" s="1">
        <v>14</v>
      </c>
      <c r="I3" s="1">
        <v>0</v>
      </c>
      <c r="J3">
        <f t="shared" si="0"/>
        <v>38</v>
      </c>
      <c r="K3">
        <f t="shared" si="1"/>
        <v>73</v>
      </c>
      <c r="L3">
        <f t="shared" si="2"/>
        <v>100</v>
      </c>
    </row>
    <row r="4" spans="2:12" ht="15.75" customHeight="1" x14ac:dyDescent="0.2">
      <c r="B4" s="1" t="s">
        <v>9</v>
      </c>
      <c r="C4" s="4"/>
      <c r="D4" s="1" t="s">
        <v>12</v>
      </c>
      <c r="E4" s="5">
        <v>26</v>
      </c>
      <c r="F4" s="5">
        <v>36</v>
      </c>
      <c r="G4" s="5">
        <v>24</v>
      </c>
      <c r="H4" s="5">
        <v>14</v>
      </c>
      <c r="I4" s="5">
        <v>0</v>
      </c>
      <c r="J4" s="3">
        <f t="shared" si="0"/>
        <v>38</v>
      </c>
      <c r="K4" s="3">
        <f t="shared" si="1"/>
        <v>74</v>
      </c>
      <c r="L4" s="3">
        <f t="shared" si="2"/>
        <v>100</v>
      </c>
    </row>
    <row r="5" spans="2:12" ht="15.75" customHeight="1" x14ac:dyDescent="0.2">
      <c r="C5" s="4">
        <v>1344421</v>
      </c>
      <c r="D5" s="7" t="s">
        <v>14</v>
      </c>
      <c r="E5" s="8">
        <f>600000/$C$5*100</f>
        <v>44.628877412655712</v>
      </c>
      <c r="F5" s="8">
        <f>570000/$C$5*100</f>
        <v>42.397433542022924</v>
      </c>
      <c r="G5" s="8">
        <f>175000/$C$5*100</f>
        <v>13.016755912024584</v>
      </c>
      <c r="H5" s="8">
        <f t="shared" ref="H5:I5" si="3">0/$C$5*100</f>
        <v>0</v>
      </c>
      <c r="I5" s="8">
        <f t="shared" si="3"/>
        <v>0</v>
      </c>
      <c r="J5" s="3">
        <f t="shared" si="0"/>
        <v>13.016755912024584</v>
      </c>
      <c r="K5" s="3">
        <f t="shared" si="1"/>
        <v>55.414189454047509</v>
      </c>
      <c r="L5" s="3">
        <f t="shared" si="2"/>
        <v>100.04306686670321</v>
      </c>
    </row>
    <row r="6" spans="2:12" ht="15.75" customHeight="1" x14ac:dyDescent="0.2">
      <c r="B6" s="1" t="s">
        <v>9</v>
      </c>
      <c r="C6" s="4">
        <v>1344421</v>
      </c>
      <c r="D6" s="7" t="s">
        <v>15</v>
      </c>
      <c r="E6" s="8">
        <f>670000/$C6*100</f>
        <v>49.83557977746554</v>
      </c>
      <c r="F6" s="8">
        <f>510000/$C6*100</f>
        <v>37.934545800757355</v>
      </c>
      <c r="G6" s="8">
        <f>165000/$C6*100</f>
        <v>12.27294128848032</v>
      </c>
      <c r="H6" s="8">
        <f t="shared" ref="H6:I6" si="4">0/$C6*100</f>
        <v>0</v>
      </c>
      <c r="I6" s="8">
        <f t="shared" si="4"/>
        <v>0</v>
      </c>
      <c r="J6" s="8">
        <f t="shared" ref="J6:J10" si="5">G6+H6+I6</f>
        <v>12.27294128848032</v>
      </c>
      <c r="K6" s="3">
        <f t="shared" si="1"/>
        <v>50.207487089237674</v>
      </c>
      <c r="L6" s="8">
        <f t="shared" si="2"/>
        <v>100.04306686670321</v>
      </c>
    </row>
    <row r="7" spans="2:12" ht="15.75" customHeight="1" x14ac:dyDescent="0.2">
      <c r="B7" s="1" t="s">
        <v>9</v>
      </c>
      <c r="C7" s="4">
        <v>1368984</v>
      </c>
      <c r="D7" s="7" t="s">
        <v>16</v>
      </c>
      <c r="E7" s="8">
        <f>545000/$C7*100</f>
        <v>39.810545630920444</v>
      </c>
      <c r="F7" s="8">
        <f>500000/$C7*100</f>
        <v>36.523436358642613</v>
      </c>
      <c r="G7" s="8">
        <f>245000/$C7*100</f>
        <v>17.896483815734882</v>
      </c>
      <c r="H7" s="8">
        <f>75000/$C7*100</f>
        <v>5.4785154537963923</v>
      </c>
      <c r="I7" s="8">
        <f t="shared" ref="I7:I10" si="6">0/$C7*100</f>
        <v>0</v>
      </c>
      <c r="J7" s="8">
        <f t="shared" si="5"/>
        <v>23.374999269531273</v>
      </c>
      <c r="K7" s="3">
        <f t="shared" si="1"/>
        <v>59.898435628173885</v>
      </c>
      <c r="L7" s="8">
        <f t="shared" si="2"/>
        <v>99.70898125909433</v>
      </c>
    </row>
    <row r="8" spans="2:12" ht="15.75" customHeight="1" x14ac:dyDescent="0.2">
      <c r="C8" s="4">
        <v>1368984</v>
      </c>
      <c r="D8" s="1" t="s">
        <v>17</v>
      </c>
      <c r="E8" s="8">
        <f>255000/$C8*100</f>
        <v>18.626952542907731</v>
      </c>
      <c r="F8" s="8">
        <f>630000/$C8*100</f>
        <v>46.01952981188969</v>
      </c>
      <c r="G8" s="8">
        <f>350000/$C8*100</f>
        <v>25.566405451049828</v>
      </c>
      <c r="H8" s="8">
        <f>140000/$C8*100</f>
        <v>10.226562180419933</v>
      </c>
      <c r="I8" s="8">
        <f t="shared" si="6"/>
        <v>0</v>
      </c>
      <c r="J8" s="8">
        <f t="shared" si="5"/>
        <v>35.792967631469764</v>
      </c>
      <c r="K8" s="3">
        <f t="shared" si="1"/>
        <v>81.812497443359447</v>
      </c>
      <c r="L8" s="8">
        <f t="shared" si="2"/>
        <v>100.43944998626719</v>
      </c>
    </row>
    <row r="9" spans="2:12" ht="15.75" customHeight="1" x14ac:dyDescent="0.2">
      <c r="B9" s="1" t="s">
        <v>9</v>
      </c>
      <c r="C9" s="4">
        <v>1368984</v>
      </c>
      <c r="D9" s="1" t="s">
        <v>18</v>
      </c>
      <c r="E9" s="8">
        <f>115000/$C9*100</f>
        <v>8.4003903624878014</v>
      </c>
      <c r="F9" s="8">
        <f>440000/$C9*100</f>
        <v>32.140623995605502</v>
      </c>
      <c r="G9" s="8">
        <f>610000/$C9*100</f>
        <v>44.558592357543994</v>
      </c>
      <c r="H9" s="8">
        <f>205000/$C9*100</f>
        <v>14.974608907043471</v>
      </c>
      <c r="I9" s="8">
        <f t="shared" si="6"/>
        <v>0</v>
      </c>
      <c r="J9" s="8">
        <f t="shared" si="5"/>
        <v>59.533201264587461</v>
      </c>
      <c r="K9" s="3">
        <f t="shared" si="1"/>
        <v>91.67382526019297</v>
      </c>
      <c r="L9" s="8">
        <f t="shared" si="2"/>
        <v>100.07421562268077</v>
      </c>
    </row>
    <row r="10" spans="2:12" ht="15.75" customHeight="1" x14ac:dyDescent="0.2">
      <c r="B10" s="1" t="s">
        <v>9</v>
      </c>
      <c r="C10" s="4">
        <v>1368984</v>
      </c>
      <c r="D10" s="1" t="s">
        <v>19</v>
      </c>
      <c r="E10" s="8">
        <f>375000/$C10*100</f>
        <v>27.39257726898196</v>
      </c>
      <c r="F10" s="8">
        <f>785000/$C10*100</f>
        <v>57.341795083068902</v>
      </c>
      <c r="G10" s="8">
        <f>135000/$C10*100</f>
        <v>9.861327816833505</v>
      </c>
      <c r="H10" s="8">
        <f>70000/$C10*100</f>
        <v>5.1132810902099664</v>
      </c>
      <c r="I10" s="8">
        <f t="shared" si="6"/>
        <v>0</v>
      </c>
      <c r="J10" s="8">
        <f t="shared" si="5"/>
        <v>14.974608907043471</v>
      </c>
      <c r="K10" s="3">
        <f t="shared" si="1"/>
        <v>72.316403990112377</v>
      </c>
      <c r="L10" s="8">
        <f t="shared" si="2"/>
        <v>99.70898125909433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"/>
  <sheetViews>
    <sheetView workbookViewId="0">
      <selection activeCell="B5" sqref="B5:B10"/>
    </sheetView>
  </sheetViews>
  <sheetFormatPr baseColWidth="10" defaultColWidth="14.42578125" defaultRowHeight="15.75" customHeight="1" x14ac:dyDescent="0.2"/>
  <cols>
    <col min="3" max="3" width="29.42578125" customWidth="1"/>
  </cols>
  <sheetData>
    <row r="1" spans="1:11" ht="15.75" customHeigh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2">
      <c r="A2" s="1" t="s">
        <v>9</v>
      </c>
      <c r="C2" s="1" t="s">
        <v>10</v>
      </c>
      <c r="D2" s="1">
        <v>67</v>
      </c>
      <c r="E2" s="1">
        <v>26</v>
      </c>
      <c r="F2" s="1">
        <v>8</v>
      </c>
      <c r="G2" s="1">
        <v>0</v>
      </c>
      <c r="H2" s="1">
        <v>0</v>
      </c>
      <c r="I2">
        <f t="shared" ref="I2:I4" si="0">SUM(F2:H2)</f>
        <v>8</v>
      </c>
      <c r="J2">
        <f t="shared" ref="J2:J10" si="1">SUM(E2:H2)</f>
        <v>34</v>
      </c>
      <c r="K2">
        <f t="shared" ref="K2:K10" si="2">SUM(D2:H2)</f>
        <v>101</v>
      </c>
    </row>
    <row r="3" spans="1:11" ht="15.75" customHeight="1" x14ac:dyDescent="0.2">
      <c r="C3" s="1" t="s">
        <v>11</v>
      </c>
      <c r="D3" s="1">
        <v>59</v>
      </c>
      <c r="E3" s="1">
        <v>21</v>
      </c>
      <c r="F3" s="1">
        <v>20</v>
      </c>
      <c r="G3" s="1">
        <v>0</v>
      </c>
      <c r="H3" s="1">
        <v>0</v>
      </c>
      <c r="I3">
        <f t="shared" si="0"/>
        <v>20</v>
      </c>
      <c r="J3">
        <f t="shared" si="1"/>
        <v>41</v>
      </c>
      <c r="K3">
        <f t="shared" si="2"/>
        <v>100</v>
      </c>
    </row>
    <row r="4" spans="1:11" ht="15.75" customHeight="1" x14ac:dyDescent="0.2">
      <c r="A4" s="1" t="s">
        <v>9</v>
      </c>
      <c r="B4" s="4"/>
      <c r="C4" s="1" t="s">
        <v>12</v>
      </c>
      <c r="D4" s="5">
        <v>59</v>
      </c>
      <c r="E4" s="5">
        <v>21</v>
      </c>
      <c r="F4" s="5">
        <v>19</v>
      </c>
      <c r="G4" s="6" t="s">
        <v>13</v>
      </c>
      <c r="H4" s="5">
        <v>0</v>
      </c>
      <c r="I4" s="3">
        <f t="shared" si="0"/>
        <v>19</v>
      </c>
      <c r="J4" s="3">
        <f t="shared" si="1"/>
        <v>40</v>
      </c>
      <c r="K4" s="3">
        <f t="shared" si="2"/>
        <v>99</v>
      </c>
    </row>
    <row r="5" spans="1:11" ht="15.75" customHeight="1" x14ac:dyDescent="0.2">
      <c r="B5" s="4">
        <v>1254848</v>
      </c>
      <c r="C5" s="7" t="s">
        <v>14</v>
      </c>
      <c r="D5" s="8">
        <f>710000/$B$5*100</f>
        <v>56.580557963992447</v>
      </c>
      <c r="E5" s="8">
        <f>410000/$B$5*100</f>
        <v>32.673279951037891</v>
      </c>
      <c r="F5" s="8">
        <f>140000/$B$5*100</f>
        <v>11.156729739378793</v>
      </c>
      <c r="G5" s="8">
        <f t="shared" ref="G5:H5" si="3">0/$B$5*100</f>
        <v>0</v>
      </c>
      <c r="H5" s="8">
        <f t="shared" si="3"/>
        <v>0</v>
      </c>
      <c r="I5" s="8">
        <f t="shared" ref="I5:I10" si="4">F5+G5+H5</f>
        <v>11.156729739378793</v>
      </c>
      <c r="J5" s="3">
        <f t="shared" si="1"/>
        <v>43.830009690416688</v>
      </c>
      <c r="K5" s="8">
        <f t="shared" si="2"/>
        <v>100.41056765440914</v>
      </c>
    </row>
    <row r="6" spans="1:11" ht="15.75" customHeight="1" x14ac:dyDescent="0.2">
      <c r="A6" s="1" t="s">
        <v>9</v>
      </c>
      <c r="B6" s="4">
        <v>1254848</v>
      </c>
      <c r="C6" s="7" t="s">
        <v>15</v>
      </c>
      <c r="D6" s="8">
        <f>900000/$B6*100</f>
        <v>71.721834038863676</v>
      </c>
      <c r="E6" s="8">
        <f>305000/$B6*100</f>
        <v>24.305732646503799</v>
      </c>
      <c r="F6" s="8">
        <f>45000/$B6*100</f>
        <v>3.5860917019431837</v>
      </c>
      <c r="G6" s="8">
        <f t="shared" ref="G6:H6" si="5">0/$B6*100</f>
        <v>0</v>
      </c>
      <c r="H6" s="8">
        <f t="shared" si="5"/>
        <v>0</v>
      </c>
      <c r="I6" s="8">
        <f t="shared" si="4"/>
        <v>3.5860917019431837</v>
      </c>
      <c r="J6" s="3">
        <f t="shared" si="1"/>
        <v>27.891824348446981</v>
      </c>
      <c r="K6" s="8">
        <f t="shared" si="2"/>
        <v>99.613658387310664</v>
      </c>
    </row>
    <row r="7" spans="1:11" ht="15.75" customHeight="1" x14ac:dyDescent="0.2">
      <c r="A7" s="1" t="s">
        <v>9</v>
      </c>
      <c r="B7" s="4">
        <v>1276953</v>
      </c>
      <c r="C7" s="7" t="s">
        <v>16</v>
      </c>
      <c r="D7" s="8">
        <f>605000/$B7*100</f>
        <v>47.378407819238454</v>
      </c>
      <c r="E7" s="8">
        <f>530000/$B7*100</f>
        <v>41.505051478010543</v>
      </c>
      <c r="F7" s="8">
        <f>145000/$B7*100</f>
        <v>11.355155593040621</v>
      </c>
      <c r="G7" s="8">
        <f t="shared" ref="G7:H7" si="6">0/$B7*100</f>
        <v>0</v>
      </c>
      <c r="H7" s="8">
        <f t="shared" si="6"/>
        <v>0</v>
      </c>
      <c r="I7" s="8">
        <f t="shared" si="4"/>
        <v>11.355155593040621</v>
      </c>
      <c r="J7" s="3">
        <f t="shared" si="1"/>
        <v>52.860207071051164</v>
      </c>
      <c r="K7" s="8">
        <f t="shared" si="2"/>
        <v>100.23861489028963</v>
      </c>
    </row>
    <row r="8" spans="1:11" ht="15.75" customHeight="1" x14ac:dyDescent="0.2">
      <c r="B8" s="4">
        <v>1276953</v>
      </c>
      <c r="C8" s="1" t="s">
        <v>17</v>
      </c>
      <c r="D8" s="8">
        <f t="shared" ref="D8:D9" si="7">90000/$B8*100</f>
        <v>7.0480276094734897</v>
      </c>
      <c r="E8" s="8">
        <f>585000/$B8*100</f>
        <v>45.812179461577678</v>
      </c>
      <c r="F8" s="8">
        <f>525000/$B8*100</f>
        <v>41.113494388595349</v>
      </c>
      <c r="G8" s="8">
        <f t="shared" ref="G8:G9" si="8">75000/$B8*100</f>
        <v>5.8733563412279075</v>
      </c>
      <c r="H8" s="8">
        <f t="shared" ref="H8:H10" si="9">0/$B8*100</f>
        <v>0</v>
      </c>
      <c r="I8" s="8">
        <f t="shared" si="4"/>
        <v>46.98685072982326</v>
      </c>
      <c r="J8" s="3">
        <f t="shared" si="1"/>
        <v>92.799030191400931</v>
      </c>
      <c r="K8" s="8">
        <f t="shared" si="2"/>
        <v>99.847057800874424</v>
      </c>
    </row>
    <row r="9" spans="1:11" ht="15.75" customHeight="1" x14ac:dyDescent="0.2">
      <c r="A9" s="1" t="s">
        <v>9</v>
      </c>
      <c r="B9" s="4">
        <v>1276953</v>
      </c>
      <c r="C9" s="1" t="s">
        <v>18</v>
      </c>
      <c r="D9" s="8">
        <f t="shared" si="7"/>
        <v>7.0480276094734897</v>
      </c>
      <c r="E9" s="8">
        <f>565000/$B9*100</f>
        <v>44.245951103916902</v>
      </c>
      <c r="F9" s="8">
        <f>545000/$B9*100</f>
        <v>42.679722746256125</v>
      </c>
      <c r="G9" s="8">
        <f t="shared" si="8"/>
        <v>5.8733563412279075</v>
      </c>
      <c r="H9" s="8">
        <f t="shared" si="9"/>
        <v>0</v>
      </c>
      <c r="I9" s="8">
        <f t="shared" si="4"/>
        <v>48.553079087484036</v>
      </c>
      <c r="J9" s="3">
        <f t="shared" si="1"/>
        <v>92.799030191400931</v>
      </c>
      <c r="K9" s="8">
        <f t="shared" si="2"/>
        <v>99.847057800874424</v>
      </c>
    </row>
    <row r="10" spans="1:11" ht="15.75" customHeight="1" x14ac:dyDescent="0.2">
      <c r="A10" s="1" t="s">
        <v>9</v>
      </c>
      <c r="B10" s="4">
        <v>1276953</v>
      </c>
      <c r="C10" s="1" t="s">
        <v>19</v>
      </c>
      <c r="D10" s="8">
        <f>65000/$B10*100</f>
        <v>5.0902421623975194</v>
      </c>
      <c r="E10" s="8">
        <f>1055000/$B10*100</f>
        <v>82.618545866605899</v>
      </c>
      <c r="F10" s="8">
        <f>150000/$B10*100</f>
        <v>11.746712682455815</v>
      </c>
      <c r="G10" s="8">
        <f>5000/$B10*100</f>
        <v>0.39155708941519385</v>
      </c>
      <c r="H10" s="8">
        <f t="shared" si="9"/>
        <v>0</v>
      </c>
      <c r="I10" s="8">
        <f t="shared" si="4"/>
        <v>12.138269771871009</v>
      </c>
      <c r="J10" s="3">
        <f t="shared" si="1"/>
        <v>94.756815638476894</v>
      </c>
      <c r="K10" s="8">
        <f t="shared" si="2"/>
        <v>99.84705780087441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"/>
  <sheetViews>
    <sheetView workbookViewId="0">
      <selection activeCell="B5" sqref="B5:B10"/>
    </sheetView>
  </sheetViews>
  <sheetFormatPr baseColWidth="10" defaultColWidth="14.42578125" defaultRowHeight="15.75" customHeight="1" x14ac:dyDescent="0.2"/>
  <cols>
    <col min="3" max="3" width="29.42578125" customWidth="1"/>
  </cols>
  <sheetData>
    <row r="1" spans="1:11" ht="15.75" customHeigh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2">
      <c r="A2" s="1" t="s">
        <v>9</v>
      </c>
      <c r="C2" s="1" t="s">
        <v>10</v>
      </c>
      <c r="D2" s="1">
        <v>50</v>
      </c>
      <c r="E2" s="1">
        <v>30</v>
      </c>
      <c r="F2" s="1">
        <v>20</v>
      </c>
      <c r="G2" s="1">
        <v>0</v>
      </c>
      <c r="H2" s="1">
        <v>0</v>
      </c>
      <c r="I2">
        <f t="shared" ref="I2:I4" si="0">SUM(F2:H2)</f>
        <v>20</v>
      </c>
      <c r="J2">
        <f t="shared" ref="J2:J10" si="1">SUM(E2:H2)</f>
        <v>50</v>
      </c>
      <c r="K2">
        <f t="shared" ref="K2:K10" si="2">SUM(D2:H2)</f>
        <v>100</v>
      </c>
    </row>
    <row r="3" spans="1:11" ht="15.75" customHeight="1" x14ac:dyDescent="0.2">
      <c r="C3" s="1" t="s">
        <v>11</v>
      </c>
      <c r="D3" s="1">
        <v>48</v>
      </c>
      <c r="E3" s="1">
        <v>31</v>
      </c>
      <c r="F3" s="1">
        <v>21</v>
      </c>
      <c r="G3" s="1">
        <v>0</v>
      </c>
      <c r="H3" s="1">
        <v>0</v>
      </c>
      <c r="I3">
        <f t="shared" si="0"/>
        <v>21</v>
      </c>
      <c r="J3">
        <f t="shared" si="1"/>
        <v>52</v>
      </c>
      <c r="K3">
        <f t="shared" si="2"/>
        <v>100</v>
      </c>
    </row>
    <row r="4" spans="1:11" ht="15.75" customHeight="1" x14ac:dyDescent="0.2">
      <c r="A4" s="1" t="s">
        <v>9</v>
      </c>
      <c r="B4" s="1"/>
      <c r="C4" s="1" t="s">
        <v>12</v>
      </c>
      <c r="D4" s="2">
        <v>39</v>
      </c>
      <c r="E4" s="2">
        <v>31</v>
      </c>
      <c r="F4" s="2">
        <v>26</v>
      </c>
      <c r="G4" s="2">
        <v>4</v>
      </c>
      <c r="H4" s="2">
        <v>0</v>
      </c>
      <c r="I4" s="3">
        <f t="shared" si="0"/>
        <v>30</v>
      </c>
      <c r="J4" s="3">
        <f t="shared" si="1"/>
        <v>61</v>
      </c>
      <c r="K4" s="3">
        <f t="shared" si="2"/>
        <v>100</v>
      </c>
    </row>
    <row r="5" spans="1:11" ht="15.75" customHeight="1" x14ac:dyDescent="0.2">
      <c r="B5" s="1">
        <v>1055844</v>
      </c>
      <c r="C5" s="7" t="s">
        <v>14</v>
      </c>
      <c r="D5" s="3">
        <f>450000/$B$5*100</f>
        <v>42.619932490026933</v>
      </c>
      <c r="E5" s="3">
        <f>420000/$B$5*100</f>
        <v>39.778603657358474</v>
      </c>
      <c r="F5" s="3">
        <f>275000/$B$5*100</f>
        <v>26.045514299460905</v>
      </c>
      <c r="G5" s="3">
        <f>5000/$B$5*100</f>
        <v>0.47355480544474371</v>
      </c>
      <c r="H5" s="3">
        <f>0/$B$5*100</f>
        <v>0</v>
      </c>
      <c r="I5" s="3">
        <f t="shared" ref="I5:I10" si="3">F5+G5+H5</f>
        <v>26.519069104905647</v>
      </c>
      <c r="J5" s="3">
        <f t="shared" si="1"/>
        <v>66.297672762264128</v>
      </c>
      <c r="K5" s="3">
        <f t="shared" si="2"/>
        <v>108.91760525229107</v>
      </c>
    </row>
    <row r="6" spans="1:11" ht="15.75" customHeight="1" x14ac:dyDescent="0.2">
      <c r="A6" s="1" t="s">
        <v>9</v>
      </c>
      <c r="B6" s="1">
        <v>1055844</v>
      </c>
      <c r="C6" s="7" t="s">
        <v>15</v>
      </c>
      <c r="D6" s="8">
        <f>765000/$B6*100</f>
        <v>72.453885233045796</v>
      </c>
      <c r="E6" s="8">
        <f>235000/$B6*100</f>
        <v>22.257075855902954</v>
      </c>
      <c r="F6" s="8">
        <f>145000/$B6*100</f>
        <v>13.733089357897569</v>
      </c>
      <c r="G6" s="8">
        <f>5000/$B6*100</f>
        <v>0.47355480544474371</v>
      </c>
      <c r="H6" s="8">
        <f t="shared" ref="H6:H10" si="4">0/$B6*100</f>
        <v>0</v>
      </c>
      <c r="I6" s="8">
        <f t="shared" si="3"/>
        <v>14.206644163342313</v>
      </c>
      <c r="J6" s="3">
        <f t="shared" si="1"/>
        <v>36.463720019245265</v>
      </c>
      <c r="K6" s="8">
        <f t="shared" si="2"/>
        <v>108.91760525229107</v>
      </c>
    </row>
    <row r="7" spans="1:11" ht="15.75" customHeight="1" x14ac:dyDescent="0.2">
      <c r="A7" s="1" t="s">
        <v>9</v>
      </c>
      <c r="B7" s="1">
        <v>1075135</v>
      </c>
      <c r="C7" s="7" t="s">
        <v>16</v>
      </c>
      <c r="D7" s="8">
        <f>680000/$B7*100</f>
        <v>63.247871197570539</v>
      </c>
      <c r="E7" s="8">
        <f>290000/$B7*100</f>
        <v>26.973356834258023</v>
      </c>
      <c r="F7" s="8">
        <f t="shared" ref="F7:G7" si="5">100000/$B7*100</f>
        <v>9.3011575290544908</v>
      </c>
      <c r="G7" s="8">
        <f t="shared" si="5"/>
        <v>9.3011575290544908</v>
      </c>
      <c r="H7" s="8">
        <f t="shared" si="4"/>
        <v>0</v>
      </c>
      <c r="I7" s="8">
        <f t="shared" si="3"/>
        <v>18.602315058108982</v>
      </c>
      <c r="J7" s="3">
        <f t="shared" si="1"/>
        <v>45.575671892367005</v>
      </c>
      <c r="K7" s="8">
        <f t="shared" si="2"/>
        <v>108.82354308993754</v>
      </c>
    </row>
    <row r="8" spans="1:11" ht="15.75" customHeight="1" x14ac:dyDescent="0.2">
      <c r="B8" s="1">
        <v>1075135</v>
      </c>
      <c r="C8" s="1" t="s">
        <v>17</v>
      </c>
      <c r="D8" s="8">
        <f>240000/$B8*100</f>
        <v>22.322778069730777</v>
      </c>
      <c r="E8" s="8">
        <f>315000/$B8*100</f>
        <v>29.298646216521647</v>
      </c>
      <c r="F8" s="8">
        <f>505000/$B8*100</f>
        <v>46.970845521725181</v>
      </c>
      <c r="G8" s="8">
        <f>85000/$B8*100</f>
        <v>7.9059838996963174</v>
      </c>
      <c r="H8" s="8">
        <f t="shared" si="4"/>
        <v>0</v>
      </c>
      <c r="I8" s="8">
        <f t="shared" si="3"/>
        <v>54.876829421421498</v>
      </c>
      <c r="J8" s="3">
        <f t="shared" si="1"/>
        <v>84.175475637943151</v>
      </c>
      <c r="K8" s="8">
        <f t="shared" si="2"/>
        <v>106.49825370767392</v>
      </c>
    </row>
    <row r="9" spans="1:11" ht="15.75" customHeight="1" x14ac:dyDescent="0.2">
      <c r="A9" s="1" t="s">
        <v>9</v>
      </c>
      <c r="B9" s="1">
        <v>1075135</v>
      </c>
      <c r="C9" s="1" t="s">
        <v>18</v>
      </c>
      <c r="D9" s="8">
        <f>185000/$B9*100</f>
        <v>17.207141428750809</v>
      </c>
      <c r="E9" s="8">
        <f>340000/$B9*100</f>
        <v>31.62393559878527</v>
      </c>
      <c r="F9" s="8">
        <f>550000/$B9*100</f>
        <v>51.156366409799702</v>
      </c>
      <c r="G9" s="8">
        <f>75000/$B9*100</f>
        <v>6.9758681467908685</v>
      </c>
      <c r="H9" s="8">
        <f t="shared" si="4"/>
        <v>0</v>
      </c>
      <c r="I9" s="8">
        <f t="shared" si="3"/>
        <v>58.132234556590568</v>
      </c>
      <c r="J9" s="3">
        <f t="shared" si="1"/>
        <v>89.756170155375841</v>
      </c>
      <c r="K9" s="8">
        <f t="shared" si="2"/>
        <v>106.96331158412666</v>
      </c>
    </row>
    <row r="10" spans="1:11" ht="15.75" customHeight="1" x14ac:dyDescent="0.2">
      <c r="A10" s="1" t="s">
        <v>9</v>
      </c>
      <c r="B10" s="1">
        <v>1075135</v>
      </c>
      <c r="C10" s="1" t="s">
        <v>19</v>
      </c>
      <c r="D10" s="8">
        <f>455000/$B10*100</f>
        <v>42.320266757197935</v>
      </c>
      <c r="E10" s="8">
        <f>435000/$B10*100</f>
        <v>40.460035251387033</v>
      </c>
      <c r="F10" s="8">
        <f>255000/$B10*100</f>
        <v>23.717951699088953</v>
      </c>
      <c r="G10" s="8">
        <f>5000/$B10*100</f>
        <v>0.46505787645272451</v>
      </c>
      <c r="H10" s="8">
        <f t="shared" si="4"/>
        <v>0</v>
      </c>
      <c r="I10" s="8">
        <f t="shared" si="3"/>
        <v>24.183009575541679</v>
      </c>
      <c r="J10" s="3">
        <f t="shared" si="1"/>
        <v>64.643044826928701</v>
      </c>
      <c r="K10" s="8">
        <f t="shared" si="2"/>
        <v>106.96331158412664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"/>
  <sheetViews>
    <sheetView workbookViewId="0">
      <selection activeCell="B5" sqref="B5:B10"/>
    </sheetView>
  </sheetViews>
  <sheetFormatPr baseColWidth="10" defaultColWidth="14.42578125" defaultRowHeight="15.75" customHeight="1" x14ac:dyDescent="0.2"/>
  <cols>
    <col min="3" max="3" width="29.28515625" customWidth="1"/>
  </cols>
  <sheetData>
    <row r="1" spans="1:11" ht="15.75" customHeigh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2">
      <c r="A2" s="1" t="s">
        <v>9</v>
      </c>
      <c r="C2" s="1" t="s">
        <v>10</v>
      </c>
      <c r="D2" s="1">
        <v>75</v>
      </c>
      <c r="E2" s="1">
        <v>22</v>
      </c>
      <c r="F2" s="1">
        <v>3</v>
      </c>
      <c r="G2" s="1">
        <v>0</v>
      </c>
      <c r="H2" s="1">
        <v>0</v>
      </c>
      <c r="I2">
        <f t="shared" ref="I2:I5" si="0">SUM(F2:H2)</f>
        <v>3</v>
      </c>
      <c r="J2">
        <f t="shared" ref="J2:J10" si="1">SUM(E2:H2)</f>
        <v>25</v>
      </c>
      <c r="K2">
        <f t="shared" ref="K2:K10" si="2">SUM(D2:H2)</f>
        <v>100</v>
      </c>
    </row>
    <row r="3" spans="1:11" ht="15.75" customHeight="1" x14ac:dyDescent="0.2">
      <c r="C3" s="1" t="s">
        <v>11</v>
      </c>
      <c r="D3" s="1">
        <v>17</v>
      </c>
      <c r="E3" s="1">
        <v>35</v>
      </c>
      <c r="F3" s="1">
        <v>33</v>
      </c>
      <c r="G3" s="1">
        <v>15</v>
      </c>
      <c r="H3" s="1">
        <v>0</v>
      </c>
      <c r="I3">
        <f t="shared" si="0"/>
        <v>48</v>
      </c>
      <c r="J3">
        <f t="shared" si="1"/>
        <v>83</v>
      </c>
      <c r="K3">
        <f t="shared" si="2"/>
        <v>100</v>
      </c>
    </row>
    <row r="4" spans="1:11" ht="15.75" customHeight="1" x14ac:dyDescent="0.2">
      <c r="A4" s="1" t="s">
        <v>9</v>
      </c>
      <c r="B4" s="4"/>
      <c r="C4" s="1" t="s">
        <v>12</v>
      </c>
      <c r="D4" s="5">
        <v>17</v>
      </c>
      <c r="E4" s="5">
        <v>33</v>
      </c>
      <c r="F4" s="5">
        <v>34</v>
      </c>
      <c r="G4" s="5">
        <v>16</v>
      </c>
      <c r="H4" s="5">
        <v>0</v>
      </c>
      <c r="I4" s="3">
        <f t="shared" si="0"/>
        <v>50</v>
      </c>
      <c r="J4" s="3">
        <f t="shared" si="1"/>
        <v>83</v>
      </c>
      <c r="K4" s="3">
        <f t="shared" si="2"/>
        <v>100</v>
      </c>
    </row>
    <row r="5" spans="1:11" ht="15.75" customHeight="1" x14ac:dyDescent="0.2">
      <c r="B5" s="4">
        <v>1193145</v>
      </c>
      <c r="C5" s="7" t="s">
        <v>14</v>
      </c>
      <c r="D5" s="8">
        <f>370000/$B$5*100</f>
        <v>31.010480704356976</v>
      </c>
      <c r="E5" s="8">
        <f>365000/$B$5*100</f>
        <v>30.591420154298092</v>
      </c>
      <c r="F5" s="8">
        <f>305000/$B$5*100</f>
        <v>25.562693553591558</v>
      </c>
      <c r="G5" s="8">
        <f>70000/$B$5*100</f>
        <v>5.8668477008242927</v>
      </c>
      <c r="H5" s="8">
        <f>0/$B$5*100</f>
        <v>0</v>
      </c>
      <c r="I5" s="3">
        <f t="shared" si="0"/>
        <v>31.429541254415852</v>
      </c>
      <c r="J5" s="3">
        <f t="shared" si="1"/>
        <v>62.020961408713944</v>
      </c>
      <c r="K5" s="3">
        <f t="shared" si="2"/>
        <v>93.031442113070923</v>
      </c>
    </row>
    <row r="6" spans="1:11" ht="15.75" customHeight="1" x14ac:dyDescent="0.2">
      <c r="A6" s="1" t="s">
        <v>9</v>
      </c>
      <c r="B6" s="4">
        <v>1193145</v>
      </c>
      <c r="C6" s="7" t="s">
        <v>15</v>
      </c>
      <c r="D6" s="8">
        <f>375000/$B6*100</f>
        <v>31.429541254415849</v>
      </c>
      <c r="E6" s="8">
        <f>570000/$B6*100</f>
        <v>47.772902706712095</v>
      </c>
      <c r="F6" s="8">
        <f>175000/$B6*100</f>
        <v>14.667119252060731</v>
      </c>
      <c r="G6" s="8">
        <f t="shared" ref="G6:H6" si="3">0/$B6*100</f>
        <v>0</v>
      </c>
      <c r="H6" s="8">
        <f t="shared" si="3"/>
        <v>0</v>
      </c>
      <c r="I6" s="8">
        <f t="shared" ref="I6:I10" si="4">F6+G6+H6</f>
        <v>14.667119252060731</v>
      </c>
      <c r="J6" s="3">
        <f t="shared" si="1"/>
        <v>62.440021958772824</v>
      </c>
      <c r="K6" s="8">
        <f t="shared" si="2"/>
        <v>93.86956321318867</v>
      </c>
    </row>
    <row r="7" spans="1:11" ht="15.75" customHeight="1" x14ac:dyDescent="0.2">
      <c r="A7" s="1" t="s">
        <v>9</v>
      </c>
      <c r="B7" s="4">
        <v>1214871</v>
      </c>
      <c r="C7" s="7" t="s">
        <v>16</v>
      </c>
      <c r="D7" s="8">
        <f>255000/$B7*100</f>
        <v>20.989882876453549</v>
      </c>
      <c r="E7" s="8">
        <f t="shared" ref="E7:F7" si="5">330000/$B7*100</f>
        <v>27.163377840116361</v>
      </c>
      <c r="F7" s="8">
        <f t="shared" si="5"/>
        <v>27.163377840116361</v>
      </c>
      <c r="G7" s="8">
        <f>200000/$B7*100</f>
        <v>16.462653236434157</v>
      </c>
      <c r="H7" s="8">
        <f t="shared" ref="H7:H10" si="6">0/$B7*100</f>
        <v>0</v>
      </c>
      <c r="I7" s="8">
        <f t="shared" si="4"/>
        <v>43.626031076550518</v>
      </c>
      <c r="J7" s="3">
        <f t="shared" si="1"/>
        <v>70.789408916666872</v>
      </c>
      <c r="K7" s="8">
        <f t="shared" si="2"/>
        <v>91.779291793120422</v>
      </c>
    </row>
    <row r="8" spans="1:11" ht="15.75" customHeight="1" x14ac:dyDescent="0.2">
      <c r="B8" s="4">
        <v>1214871</v>
      </c>
      <c r="C8" s="1" t="s">
        <v>17</v>
      </c>
      <c r="D8" s="8">
        <f>185000/$B8*100</f>
        <v>15.227954243701594</v>
      </c>
      <c r="E8" s="8">
        <f>375000/$B8*100</f>
        <v>30.867474818314044</v>
      </c>
      <c r="F8" s="8">
        <f>395000/$B8*100</f>
        <v>32.513740141957456</v>
      </c>
      <c r="G8" s="8">
        <f>175000/$B8*100</f>
        <v>14.404821581879887</v>
      </c>
      <c r="H8" s="8">
        <f t="shared" si="6"/>
        <v>0</v>
      </c>
      <c r="I8" s="8">
        <f t="shared" si="4"/>
        <v>46.918561723837342</v>
      </c>
      <c r="J8" s="3">
        <f t="shared" si="1"/>
        <v>77.786036542151379</v>
      </c>
      <c r="K8" s="8">
        <f t="shared" si="2"/>
        <v>93.013990785852982</v>
      </c>
    </row>
    <row r="9" spans="1:11" ht="15.75" customHeight="1" x14ac:dyDescent="0.2">
      <c r="A9" s="1" t="s">
        <v>9</v>
      </c>
      <c r="B9" s="4">
        <v>1214871</v>
      </c>
      <c r="C9" s="1" t="s">
        <v>18</v>
      </c>
      <c r="D9" s="8">
        <f>125000/$B9*100</f>
        <v>10.289158272771349</v>
      </c>
      <c r="E9" s="8">
        <f>300000/$B9*100</f>
        <v>24.693979854651236</v>
      </c>
      <c r="F9" s="8">
        <f>490000/$B9*100</f>
        <v>40.333500429263687</v>
      </c>
      <c r="G9" s="8">
        <f>205000/$B9*100</f>
        <v>16.874219567345012</v>
      </c>
      <c r="H9" s="8">
        <f t="shared" si="6"/>
        <v>0</v>
      </c>
      <c r="I9" s="8">
        <f t="shared" si="4"/>
        <v>57.207719996608702</v>
      </c>
      <c r="J9" s="3">
        <f t="shared" si="1"/>
        <v>81.901699851259934</v>
      </c>
      <c r="K9" s="8">
        <f t="shared" si="2"/>
        <v>92.19085812403128</v>
      </c>
    </row>
    <row r="10" spans="1:11" ht="15.75" customHeight="1" x14ac:dyDescent="0.2">
      <c r="A10" s="1" t="s">
        <v>9</v>
      </c>
      <c r="B10" s="4">
        <v>1214871</v>
      </c>
      <c r="C10" s="1" t="s">
        <v>19</v>
      </c>
      <c r="D10" s="8">
        <f>165000/$B10*100</f>
        <v>13.581688920058181</v>
      </c>
      <c r="E10" s="8">
        <f>330000/$B10*100</f>
        <v>27.163377840116361</v>
      </c>
      <c r="F10" s="8">
        <f>460000/$B10*100</f>
        <v>37.864102443798558</v>
      </c>
      <c r="G10" s="8">
        <f>165000/$B10*100</f>
        <v>13.581688920058181</v>
      </c>
      <c r="H10" s="8">
        <f t="shared" si="6"/>
        <v>0</v>
      </c>
      <c r="I10" s="8">
        <f t="shared" si="4"/>
        <v>51.445791363856742</v>
      </c>
      <c r="J10" s="3">
        <f t="shared" si="1"/>
        <v>78.609169203973096</v>
      </c>
      <c r="K10" s="8">
        <f t="shared" si="2"/>
        <v>92.19085812403128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"/>
  <sheetViews>
    <sheetView workbookViewId="0">
      <selection activeCell="B5" sqref="B5:B10"/>
    </sheetView>
  </sheetViews>
  <sheetFormatPr baseColWidth="10" defaultColWidth="14.42578125" defaultRowHeight="15.75" customHeight="1" x14ac:dyDescent="0.2"/>
  <cols>
    <col min="3" max="3" width="29.28515625" customWidth="1"/>
  </cols>
  <sheetData>
    <row r="1" spans="1:12" ht="15.75" customHeigh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ht="15.75" customHeight="1" x14ac:dyDescent="0.2">
      <c r="A2" s="1" t="s">
        <v>9</v>
      </c>
      <c r="C2" s="1" t="s">
        <v>10</v>
      </c>
      <c r="D2" s="1">
        <v>10</v>
      </c>
      <c r="E2" s="1">
        <v>35</v>
      </c>
      <c r="F2" s="1">
        <v>40</v>
      </c>
      <c r="G2" s="1">
        <v>15</v>
      </c>
      <c r="H2" s="1">
        <v>0</v>
      </c>
      <c r="I2">
        <f t="shared" ref="I2:I4" si="0">SUM(F2:H2)</f>
        <v>55</v>
      </c>
      <c r="J2">
        <f t="shared" ref="J2:J10" si="1">SUM(E2:H2)</f>
        <v>90</v>
      </c>
      <c r="K2">
        <f t="shared" ref="K2:K10" si="2">SUM(D2:H2)</f>
        <v>100</v>
      </c>
      <c r="L2" s="1"/>
    </row>
    <row r="3" spans="1:12" ht="15.75" customHeight="1" x14ac:dyDescent="0.2">
      <c r="C3" s="1" t="s">
        <v>11</v>
      </c>
      <c r="D3" s="1">
        <v>20</v>
      </c>
      <c r="E3" s="1">
        <v>36</v>
      </c>
      <c r="F3" s="1">
        <v>25</v>
      </c>
      <c r="G3" s="1">
        <v>20</v>
      </c>
      <c r="H3" s="1">
        <v>0</v>
      </c>
      <c r="I3">
        <f t="shared" si="0"/>
        <v>45</v>
      </c>
      <c r="J3">
        <f t="shared" si="1"/>
        <v>81</v>
      </c>
      <c r="K3">
        <f t="shared" si="2"/>
        <v>101</v>
      </c>
    </row>
    <row r="4" spans="1:12" ht="15.75" customHeight="1" x14ac:dyDescent="0.2">
      <c r="A4" s="1" t="s">
        <v>9</v>
      </c>
      <c r="B4" s="9"/>
      <c r="C4" s="1" t="s">
        <v>12</v>
      </c>
      <c r="D4" s="5">
        <v>15</v>
      </c>
      <c r="E4" s="5">
        <v>33</v>
      </c>
      <c r="F4" s="5">
        <v>30</v>
      </c>
      <c r="G4" s="5">
        <v>22</v>
      </c>
      <c r="H4" s="5">
        <v>0</v>
      </c>
      <c r="I4" s="3">
        <f t="shared" si="0"/>
        <v>52</v>
      </c>
      <c r="J4" s="3">
        <f t="shared" si="1"/>
        <v>85</v>
      </c>
      <c r="K4" s="3">
        <f t="shared" si="2"/>
        <v>100</v>
      </c>
    </row>
    <row r="5" spans="1:12" ht="15.75" customHeight="1" x14ac:dyDescent="0.2">
      <c r="B5" s="9">
        <v>1727564</v>
      </c>
      <c r="C5" s="7" t="s">
        <v>14</v>
      </c>
      <c r="D5" s="8">
        <f>280000/$B$5*100</f>
        <v>16.207793170035959</v>
      </c>
      <c r="E5" s="8">
        <f>735000/$B$5*100</f>
        <v>42.545457071344387</v>
      </c>
      <c r="F5" s="8">
        <f>315000/$B$5*100</f>
        <v>18.233767316290454</v>
      </c>
      <c r="G5" s="8">
        <f>180000/$B$5*100</f>
        <v>10.419295609308831</v>
      </c>
      <c r="H5" s="8">
        <f>0/$B$5*100</f>
        <v>0</v>
      </c>
      <c r="I5" s="8">
        <f t="shared" ref="I5:I10" si="3">F5+G5+H5</f>
        <v>28.653062925599286</v>
      </c>
      <c r="J5" s="3">
        <f t="shared" si="1"/>
        <v>71.198519996943674</v>
      </c>
      <c r="K5" s="8">
        <f t="shared" si="2"/>
        <v>87.406313166979629</v>
      </c>
    </row>
    <row r="6" spans="1:12" ht="15.75" customHeight="1" x14ac:dyDescent="0.2">
      <c r="A6" s="1" t="s">
        <v>9</v>
      </c>
      <c r="B6" s="9">
        <v>1727564</v>
      </c>
      <c r="C6" s="7" t="s">
        <v>15</v>
      </c>
      <c r="D6" s="8">
        <f>265000/$B6*100</f>
        <v>15.339518535926889</v>
      </c>
      <c r="E6" s="8">
        <f>785000/$B6*100</f>
        <v>45.439705851707956</v>
      </c>
      <c r="F6" s="8">
        <f>315000/$B6*100</f>
        <v>18.233767316290454</v>
      </c>
      <c r="G6" s="8">
        <f>145000/$B6*100</f>
        <v>8.3933214630543365</v>
      </c>
      <c r="H6" s="8">
        <f t="shared" ref="H6:H10" si="4">0/$B6*100</f>
        <v>0</v>
      </c>
      <c r="I6" s="8">
        <f t="shared" si="3"/>
        <v>26.627088779344788</v>
      </c>
      <c r="J6" s="3">
        <f t="shared" si="1"/>
        <v>72.066794631052744</v>
      </c>
      <c r="K6" s="8">
        <f t="shared" si="2"/>
        <v>87.406313166979629</v>
      </c>
    </row>
    <row r="7" spans="1:12" ht="15.75" customHeight="1" x14ac:dyDescent="0.2">
      <c r="A7" s="1" t="s">
        <v>9</v>
      </c>
      <c r="B7" s="4">
        <v>1759071</v>
      </c>
      <c r="C7" s="7" t="s">
        <v>16</v>
      </c>
      <c r="D7" s="8">
        <f>180000/$B7*100</f>
        <v>10.232673951193556</v>
      </c>
      <c r="E7" s="8">
        <f>805000/$B7*100</f>
        <v>45.762791837282293</v>
      </c>
      <c r="F7" s="8">
        <f>300000/$B7*100</f>
        <v>17.054456585322594</v>
      </c>
      <c r="G7" s="8">
        <f>215000/$B7*100</f>
        <v>12.222360552814525</v>
      </c>
      <c r="H7" s="8">
        <f t="shared" si="4"/>
        <v>0</v>
      </c>
      <c r="I7" s="8">
        <f t="shared" si="3"/>
        <v>29.276817138137119</v>
      </c>
      <c r="J7" s="3">
        <f t="shared" si="1"/>
        <v>75.039608975419412</v>
      </c>
      <c r="K7" s="8">
        <f t="shared" si="2"/>
        <v>85.272282926612959</v>
      </c>
    </row>
    <row r="8" spans="1:12" ht="15.75" customHeight="1" x14ac:dyDescent="0.2">
      <c r="B8" s="4">
        <v>1759071</v>
      </c>
      <c r="C8" s="1" t="s">
        <v>17</v>
      </c>
      <c r="D8" s="8">
        <f>255000/$B8*100</f>
        <v>14.496288097524204</v>
      </c>
      <c r="E8" s="8">
        <f>525000/$B8*100</f>
        <v>29.845299024314535</v>
      </c>
      <c r="F8" s="8">
        <f>460000/$B8*100</f>
        <v>26.150166764161309</v>
      </c>
      <c r="G8" s="8">
        <f>190000/$B8*100</f>
        <v>10.801155837370976</v>
      </c>
      <c r="H8" s="8">
        <f t="shared" si="4"/>
        <v>0</v>
      </c>
      <c r="I8" s="8">
        <f t="shared" si="3"/>
        <v>36.951322601532283</v>
      </c>
      <c r="J8" s="3">
        <f t="shared" si="1"/>
        <v>66.796621625846811</v>
      </c>
      <c r="K8" s="8">
        <f t="shared" si="2"/>
        <v>81.292909723371025</v>
      </c>
    </row>
    <row r="9" spans="1:12" ht="15.75" customHeight="1" x14ac:dyDescent="0.2">
      <c r="A9" s="1" t="s">
        <v>9</v>
      </c>
      <c r="B9" s="4">
        <v>1759071</v>
      </c>
      <c r="C9" s="1" t="s">
        <v>18</v>
      </c>
      <c r="D9" s="8">
        <f>170000/$B9*100</f>
        <v>9.6641920650161364</v>
      </c>
      <c r="E9" s="8">
        <f>490000/$B9*100</f>
        <v>27.855612422693572</v>
      </c>
      <c r="F9" s="8">
        <f>535000/$B9*100</f>
        <v>30.413780910491962</v>
      </c>
      <c r="G9" s="8">
        <f>235000/$B9*100</f>
        <v>13.359324325169364</v>
      </c>
      <c r="H9" s="8">
        <f t="shared" si="4"/>
        <v>0</v>
      </c>
      <c r="I9" s="8">
        <f t="shared" si="3"/>
        <v>43.773105235661326</v>
      </c>
      <c r="J9" s="3">
        <f t="shared" si="1"/>
        <v>71.628717658354901</v>
      </c>
      <c r="K9" s="8">
        <f t="shared" si="2"/>
        <v>81.292909723371039</v>
      </c>
    </row>
    <row r="10" spans="1:12" ht="15.75" customHeight="1" x14ac:dyDescent="0.2">
      <c r="A10" s="1" t="s">
        <v>9</v>
      </c>
      <c r="B10" s="4">
        <v>1759071</v>
      </c>
      <c r="C10" s="1" t="s">
        <v>19</v>
      </c>
      <c r="D10" s="8">
        <f>160000/$B10*100</f>
        <v>9.0957101788387167</v>
      </c>
      <c r="E10" s="8">
        <f>485000/$B10*100</f>
        <v>27.57137147960486</v>
      </c>
      <c r="F10" s="8">
        <f>590000/$B10*100</f>
        <v>33.540431284467772</v>
      </c>
      <c r="G10" s="8">
        <f>190000/$B10*100</f>
        <v>10.801155837370976</v>
      </c>
      <c r="H10" s="8">
        <f t="shared" si="4"/>
        <v>0</v>
      </c>
      <c r="I10" s="8">
        <f t="shared" si="3"/>
        <v>44.341587121838749</v>
      </c>
      <c r="J10" s="3">
        <f t="shared" si="1"/>
        <v>71.912958601443606</v>
      </c>
      <c r="K10" s="8">
        <f t="shared" si="2"/>
        <v>81.008668780282321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0"/>
  <sheetViews>
    <sheetView workbookViewId="0">
      <selection activeCell="B5" sqref="B5:B10"/>
    </sheetView>
  </sheetViews>
  <sheetFormatPr baseColWidth="10" defaultColWidth="14.42578125" defaultRowHeight="15.75" customHeight="1" x14ac:dyDescent="0.2"/>
  <cols>
    <col min="3" max="3" width="29.140625" customWidth="1"/>
  </cols>
  <sheetData>
    <row r="1" spans="1:11" ht="15.75" customHeigh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2">
      <c r="A2" s="1" t="s">
        <v>9</v>
      </c>
      <c r="C2" s="1" t="s">
        <v>10</v>
      </c>
      <c r="D2" s="1">
        <v>10</v>
      </c>
      <c r="E2" s="1">
        <v>46</v>
      </c>
      <c r="F2" s="1">
        <v>30</v>
      </c>
      <c r="G2" s="1">
        <v>14</v>
      </c>
      <c r="H2" s="1">
        <v>0</v>
      </c>
      <c r="I2">
        <f t="shared" ref="I2:I5" si="0">SUM(F2:H2)</f>
        <v>44</v>
      </c>
      <c r="J2">
        <f t="shared" ref="J2:J10" si="1">SUM(E2:H2)</f>
        <v>90</v>
      </c>
      <c r="K2">
        <f t="shared" ref="K2:K10" si="2">SUM(D2:H2)</f>
        <v>100</v>
      </c>
    </row>
    <row r="3" spans="1:11" ht="15.75" customHeight="1" x14ac:dyDescent="0.2">
      <c r="C3" s="1" t="s">
        <v>11</v>
      </c>
      <c r="D3" s="1">
        <v>15</v>
      </c>
      <c r="E3" s="1">
        <v>21</v>
      </c>
      <c r="F3" s="1">
        <v>33</v>
      </c>
      <c r="G3" s="1">
        <v>31</v>
      </c>
      <c r="H3" s="1">
        <v>0</v>
      </c>
      <c r="I3">
        <f t="shared" si="0"/>
        <v>64</v>
      </c>
      <c r="J3">
        <f t="shared" si="1"/>
        <v>85</v>
      </c>
      <c r="K3">
        <f t="shared" si="2"/>
        <v>100</v>
      </c>
    </row>
    <row r="4" spans="1:11" ht="15.75" customHeight="1" x14ac:dyDescent="0.2">
      <c r="A4" s="1" t="s">
        <v>9</v>
      </c>
      <c r="B4" s="4"/>
      <c r="C4" s="1" t="s">
        <v>12</v>
      </c>
      <c r="D4" s="5">
        <v>12</v>
      </c>
      <c r="E4" s="5">
        <v>17</v>
      </c>
      <c r="F4" s="5">
        <v>38</v>
      </c>
      <c r="G4" s="5">
        <v>33</v>
      </c>
      <c r="H4" s="5">
        <v>0</v>
      </c>
      <c r="I4" s="3">
        <f t="shared" si="0"/>
        <v>71</v>
      </c>
      <c r="J4" s="3">
        <f t="shared" si="1"/>
        <v>88</v>
      </c>
      <c r="K4" s="3">
        <f t="shared" si="2"/>
        <v>100</v>
      </c>
    </row>
    <row r="5" spans="1:11" ht="15.75" customHeight="1" x14ac:dyDescent="0.2">
      <c r="B5" s="4">
        <v>993768</v>
      </c>
      <c r="C5" s="7" t="s">
        <v>14</v>
      </c>
      <c r="D5" s="8">
        <f>210000/$B$5*100</f>
        <v>21.131692708962252</v>
      </c>
      <c r="E5" s="8">
        <f>380000/$B$5*100</f>
        <v>38.23830109240788</v>
      </c>
      <c r="F5" s="8">
        <f>305000/$B$5*100</f>
        <v>30.691267982064225</v>
      </c>
      <c r="G5" s="8">
        <f>135000/$B$5*100</f>
        <v>13.58465959861859</v>
      </c>
      <c r="H5" s="8">
        <f>0/$B$5*100</f>
        <v>0</v>
      </c>
      <c r="I5" s="3">
        <f t="shared" si="0"/>
        <v>44.275927580682819</v>
      </c>
      <c r="J5" s="3">
        <f t="shared" si="1"/>
        <v>82.514228673090699</v>
      </c>
      <c r="K5" s="3">
        <f t="shared" si="2"/>
        <v>103.64592138205295</v>
      </c>
    </row>
    <row r="6" spans="1:11" ht="15.75" customHeight="1" x14ac:dyDescent="0.2">
      <c r="A6" s="1" t="s">
        <v>9</v>
      </c>
      <c r="B6" s="4">
        <v>993768</v>
      </c>
      <c r="C6" s="7" t="s">
        <v>15</v>
      </c>
      <c r="D6" s="8">
        <f>240000/$B6*100</f>
        <v>24.150505953099717</v>
      </c>
      <c r="E6" s="8">
        <f>435000/$B6*100</f>
        <v>43.772792039993234</v>
      </c>
      <c r="F6" s="8">
        <f>295000/$B6*100</f>
        <v>29.684996900685068</v>
      </c>
      <c r="G6" s="8">
        <f>70000/$B6*100</f>
        <v>7.0438975696540842</v>
      </c>
      <c r="H6" s="8">
        <f t="shared" ref="H6:H10" si="3">0/$B6*100</f>
        <v>0</v>
      </c>
      <c r="I6" s="8">
        <f t="shared" ref="I6:I10" si="4">F6+G6+H6</f>
        <v>36.728894470339149</v>
      </c>
      <c r="J6" s="3">
        <f t="shared" si="1"/>
        <v>80.501686510332377</v>
      </c>
      <c r="K6" s="8">
        <f t="shared" si="2"/>
        <v>104.65219246343209</v>
      </c>
    </row>
    <row r="7" spans="1:11" ht="15.75" customHeight="1" x14ac:dyDescent="0.2">
      <c r="A7" s="1" t="s">
        <v>9</v>
      </c>
      <c r="B7" s="4">
        <v>1011925</v>
      </c>
      <c r="C7" s="7" t="s">
        <v>16</v>
      </c>
      <c r="D7" s="8">
        <f>2000/$B7*100</f>
        <v>0.19764310596141016</v>
      </c>
      <c r="E7" s="8">
        <f>485000/$B7*100</f>
        <v>47.928453195641971</v>
      </c>
      <c r="F7" s="8">
        <f>285000/$B7*100</f>
        <v>28.164142599500952</v>
      </c>
      <c r="G7" s="8">
        <f>240000/$B7*100</f>
        <v>23.717172715369223</v>
      </c>
      <c r="H7" s="8">
        <f t="shared" si="3"/>
        <v>0</v>
      </c>
      <c r="I7" s="8">
        <f t="shared" si="4"/>
        <v>51.881315314870179</v>
      </c>
      <c r="J7" s="3">
        <f t="shared" si="1"/>
        <v>99.809768510512157</v>
      </c>
      <c r="K7" s="8">
        <f t="shared" si="2"/>
        <v>100.00741161647355</v>
      </c>
    </row>
    <row r="8" spans="1:11" ht="15.75" customHeight="1" x14ac:dyDescent="0.2">
      <c r="B8" s="4">
        <v>1011925</v>
      </c>
      <c r="C8" s="1" t="s">
        <v>17</v>
      </c>
      <c r="D8" s="8">
        <f>30000/$B8*100</f>
        <v>2.9646465894211529</v>
      </c>
      <c r="E8" s="8">
        <f>535000/$B8*100</f>
        <v>52.869530844677229</v>
      </c>
      <c r="F8" s="8">
        <f>300000/$B8*100</f>
        <v>29.646465894211527</v>
      </c>
      <c r="G8" s="8">
        <f>125000/$B8*100</f>
        <v>12.352694122588137</v>
      </c>
      <c r="H8" s="8">
        <f t="shared" si="3"/>
        <v>0</v>
      </c>
      <c r="I8" s="8">
        <f t="shared" si="4"/>
        <v>41.999160016799664</v>
      </c>
      <c r="J8" s="3">
        <f t="shared" si="1"/>
        <v>94.868690861476892</v>
      </c>
      <c r="K8" s="8">
        <f t="shared" si="2"/>
        <v>97.833337450898043</v>
      </c>
    </row>
    <row r="9" spans="1:11" ht="15.75" customHeight="1" x14ac:dyDescent="0.2">
      <c r="A9" s="1" t="s">
        <v>9</v>
      </c>
      <c r="B9" s="4">
        <v>1011925</v>
      </c>
      <c r="C9" s="1" t="s">
        <v>18</v>
      </c>
      <c r="D9" s="8">
        <f>35000/$B9*100</f>
        <v>3.4587543543246779</v>
      </c>
      <c r="E9" s="8">
        <f>405000/$B9*100</f>
        <v>40.022728957185564</v>
      </c>
      <c r="F9" s="8">
        <f>385000/$B9*100</f>
        <v>38.046297897571463</v>
      </c>
      <c r="G9" s="8">
        <f>165000/$B9*100</f>
        <v>16.30555624181634</v>
      </c>
      <c r="H9" s="8">
        <f t="shared" si="3"/>
        <v>0</v>
      </c>
      <c r="I9" s="8">
        <f t="shared" si="4"/>
        <v>54.351854139387804</v>
      </c>
      <c r="J9" s="3">
        <f t="shared" si="1"/>
        <v>94.37458309657336</v>
      </c>
      <c r="K9" s="8">
        <f t="shared" si="2"/>
        <v>97.833337450898028</v>
      </c>
    </row>
    <row r="10" spans="1:11" ht="15.75" customHeight="1" x14ac:dyDescent="0.2">
      <c r="A10" s="1" t="s">
        <v>9</v>
      </c>
      <c r="B10" s="4">
        <v>1011925</v>
      </c>
      <c r="C10" s="1" t="s">
        <v>19</v>
      </c>
      <c r="D10" s="8">
        <f>30000/$B10*100</f>
        <v>2.9646465894211529</v>
      </c>
      <c r="E10" s="8">
        <f>515000/$B10*100</f>
        <v>50.893099785063121</v>
      </c>
      <c r="F10" s="8">
        <f>325000/$B10*100</f>
        <v>32.117004718729156</v>
      </c>
      <c r="G10" s="8">
        <f>120000/$B10*100</f>
        <v>11.858586357684612</v>
      </c>
      <c r="H10" s="8">
        <f t="shared" si="3"/>
        <v>0</v>
      </c>
      <c r="I10" s="8">
        <f t="shared" si="4"/>
        <v>43.975591076413764</v>
      </c>
      <c r="J10" s="3">
        <f t="shared" si="1"/>
        <v>94.868690861476892</v>
      </c>
      <c r="K10" s="8">
        <f t="shared" si="2"/>
        <v>97.833337450898043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"/>
  <sheetViews>
    <sheetView workbookViewId="0">
      <selection activeCell="B5" sqref="B5:B10"/>
    </sheetView>
  </sheetViews>
  <sheetFormatPr baseColWidth="10" defaultColWidth="14.42578125" defaultRowHeight="15.75" customHeight="1" x14ac:dyDescent="0.2"/>
  <cols>
    <col min="3" max="3" width="29.140625" customWidth="1"/>
  </cols>
  <sheetData>
    <row r="1" spans="1:12" ht="15.75" customHeigh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ht="15.75" customHeight="1" x14ac:dyDescent="0.2">
      <c r="A2" s="1" t="s">
        <v>9</v>
      </c>
      <c r="C2" s="1" t="s">
        <v>10</v>
      </c>
      <c r="D2" s="1">
        <v>70</v>
      </c>
      <c r="E2" s="1">
        <v>28</v>
      </c>
      <c r="F2" s="1">
        <v>2</v>
      </c>
      <c r="G2" s="1">
        <v>0</v>
      </c>
      <c r="H2" s="1">
        <v>0</v>
      </c>
      <c r="I2">
        <f t="shared" ref="I2:I4" si="0">SUM(F2:H2)</f>
        <v>2</v>
      </c>
      <c r="J2">
        <f t="shared" ref="J2:J10" si="1">SUM(E2:H2)</f>
        <v>30</v>
      </c>
      <c r="K2">
        <f t="shared" ref="K2:K10" si="2">SUM(D2:H2)</f>
        <v>100</v>
      </c>
      <c r="L2" s="1"/>
    </row>
    <row r="3" spans="1:12" ht="15.75" customHeight="1" x14ac:dyDescent="0.2">
      <c r="C3" s="1" t="s">
        <v>11</v>
      </c>
      <c r="D3" s="1">
        <v>57</v>
      </c>
      <c r="E3" s="1">
        <v>30</v>
      </c>
      <c r="F3" s="1">
        <v>6</v>
      </c>
      <c r="G3" s="1">
        <v>5</v>
      </c>
      <c r="H3" s="1">
        <v>0</v>
      </c>
      <c r="I3">
        <f t="shared" si="0"/>
        <v>11</v>
      </c>
      <c r="J3">
        <f t="shared" si="1"/>
        <v>41</v>
      </c>
      <c r="K3">
        <f t="shared" si="2"/>
        <v>98</v>
      </c>
    </row>
    <row r="4" spans="1:12" ht="15.75" customHeight="1" x14ac:dyDescent="0.2">
      <c r="A4" s="1" t="s">
        <v>9</v>
      </c>
      <c r="B4" s="1"/>
      <c r="C4" s="1" t="s">
        <v>12</v>
      </c>
      <c r="D4" s="2">
        <v>64</v>
      </c>
      <c r="E4" s="2">
        <v>27</v>
      </c>
      <c r="F4" s="2">
        <v>8</v>
      </c>
      <c r="G4" s="2">
        <v>2</v>
      </c>
      <c r="H4" s="2">
        <v>0</v>
      </c>
      <c r="I4" s="3">
        <f t="shared" si="0"/>
        <v>10</v>
      </c>
      <c r="J4" s="3">
        <f t="shared" si="1"/>
        <v>37</v>
      </c>
      <c r="K4" s="3">
        <f t="shared" si="2"/>
        <v>101</v>
      </c>
    </row>
    <row r="5" spans="1:12" ht="15.75" customHeight="1" x14ac:dyDescent="0.2">
      <c r="B5" s="1">
        <v>1526608</v>
      </c>
      <c r="C5" s="7" t="s">
        <v>14</v>
      </c>
      <c r="D5" s="3">
        <f>1105000/$B$5*100</f>
        <v>72.382694182134514</v>
      </c>
      <c r="E5" s="3">
        <f>330000/$B$5*100</f>
        <v>21.61655120371438</v>
      </c>
      <c r="F5" s="3">
        <f>100000/$B$5*100</f>
        <v>6.5504700617316294</v>
      </c>
      <c r="G5" s="3">
        <f>25000/$B$5*100</f>
        <v>1.6376175154329073</v>
      </c>
      <c r="H5" s="3">
        <f>0/$B$5*100</f>
        <v>0</v>
      </c>
      <c r="I5" s="3">
        <f t="shared" ref="I5:I10" si="3">F5+G5+H5</f>
        <v>8.1880875771645361</v>
      </c>
      <c r="J5" s="3">
        <f t="shared" si="1"/>
        <v>29.804638780878918</v>
      </c>
      <c r="K5" s="3">
        <f t="shared" si="2"/>
        <v>102.18733296301343</v>
      </c>
    </row>
    <row r="6" spans="1:12" ht="15.75" customHeight="1" x14ac:dyDescent="0.2">
      <c r="A6" s="1" t="s">
        <v>9</v>
      </c>
      <c r="B6" s="1">
        <v>1526608</v>
      </c>
      <c r="C6" s="7" t="s">
        <v>15</v>
      </c>
      <c r="D6" s="8">
        <f>1175000/$B6*100</f>
        <v>76.968023225346656</v>
      </c>
      <c r="E6" s="8">
        <f>295000/$B6*100</f>
        <v>19.323886682108306</v>
      </c>
      <c r="F6" s="8">
        <f>65000/$B6*100</f>
        <v>4.2578055401255597</v>
      </c>
      <c r="G6" s="8">
        <f>25000/$B6*100</f>
        <v>1.6376175154329073</v>
      </c>
      <c r="H6" s="8">
        <f t="shared" ref="H6:H9" si="4">0/$B6*100</f>
        <v>0</v>
      </c>
      <c r="I6" s="8">
        <f t="shared" si="3"/>
        <v>5.8954230555584672</v>
      </c>
      <c r="J6" s="3">
        <f t="shared" si="1"/>
        <v>25.219309737666773</v>
      </c>
      <c r="K6" s="8">
        <f t="shared" si="2"/>
        <v>102.18733296301343</v>
      </c>
    </row>
    <row r="7" spans="1:12" ht="15.75" customHeight="1" x14ac:dyDescent="0.2">
      <c r="A7" s="1" t="s">
        <v>9</v>
      </c>
      <c r="B7" s="1">
        <v>1554187</v>
      </c>
      <c r="C7" s="7" t="s">
        <v>16</v>
      </c>
      <c r="D7" s="8">
        <f>1025000/$B7*100</f>
        <v>65.95087978473633</v>
      </c>
      <c r="E7" s="8">
        <f>385000/$B7*100</f>
        <v>24.771793870364377</v>
      </c>
      <c r="F7" s="8">
        <f>120000/$B7*100</f>
        <v>7.7210786089447412</v>
      </c>
      <c r="G7" s="8">
        <f>60000/$B7*100</f>
        <v>3.8605393044723706</v>
      </c>
      <c r="H7" s="8">
        <f t="shared" si="4"/>
        <v>0</v>
      </c>
      <c r="I7" s="8">
        <f t="shared" si="3"/>
        <v>11.581617913417112</v>
      </c>
      <c r="J7" s="3">
        <f t="shared" si="1"/>
        <v>36.353411783781489</v>
      </c>
      <c r="K7" s="8">
        <f t="shared" si="2"/>
        <v>102.30429156851781</v>
      </c>
    </row>
    <row r="8" spans="1:12" ht="15.75" customHeight="1" x14ac:dyDescent="0.2">
      <c r="B8" s="1">
        <v>1554187</v>
      </c>
      <c r="C8" s="1" t="s">
        <v>17</v>
      </c>
      <c r="D8" s="8">
        <f>1030000/$B8*100</f>
        <v>66.272591393442355</v>
      </c>
      <c r="E8" s="8">
        <f>390000/$B8*100</f>
        <v>25.093505479070409</v>
      </c>
      <c r="F8" s="8">
        <f>135000/$B8*100</f>
        <v>8.6862134350628342</v>
      </c>
      <c r="G8" s="8">
        <f t="shared" ref="G8:G9" si="5">35000/$B8*100</f>
        <v>2.2519812609422161</v>
      </c>
      <c r="H8" s="8">
        <f t="shared" si="4"/>
        <v>0</v>
      </c>
      <c r="I8" s="8">
        <f t="shared" si="3"/>
        <v>10.93819469600505</v>
      </c>
      <c r="J8" s="3">
        <f t="shared" si="1"/>
        <v>36.031700175075457</v>
      </c>
      <c r="K8" s="8">
        <f t="shared" si="2"/>
        <v>102.30429156851783</v>
      </c>
    </row>
    <row r="9" spans="1:12" ht="15.75" customHeight="1" x14ac:dyDescent="0.2">
      <c r="A9" s="1" t="s">
        <v>9</v>
      </c>
      <c r="B9" s="1">
        <v>1554187</v>
      </c>
      <c r="C9" s="1" t="s">
        <v>18</v>
      </c>
      <c r="D9" s="8">
        <f>1220000/$B9*100</f>
        <v>78.497632524271538</v>
      </c>
      <c r="E9" s="8">
        <f>190000/$B9*100</f>
        <v>12.225041130829172</v>
      </c>
      <c r="F9" s="8">
        <f>145000/$B9*100</f>
        <v>9.3296366524748962</v>
      </c>
      <c r="G9" s="8">
        <f t="shared" si="5"/>
        <v>2.2519812609422161</v>
      </c>
      <c r="H9" s="8">
        <f t="shared" si="4"/>
        <v>0</v>
      </c>
      <c r="I9" s="8">
        <f t="shared" si="3"/>
        <v>11.581617913417112</v>
      </c>
      <c r="J9" s="3">
        <f t="shared" si="1"/>
        <v>23.806659044246285</v>
      </c>
      <c r="K9" s="8">
        <f t="shared" si="2"/>
        <v>102.30429156851781</v>
      </c>
    </row>
    <row r="10" spans="1:12" ht="15.75" customHeight="1" x14ac:dyDescent="0.2">
      <c r="A10" s="1" t="s">
        <v>9</v>
      </c>
      <c r="B10" s="1">
        <v>1554187</v>
      </c>
      <c r="C10" s="1" t="s">
        <v>19</v>
      </c>
      <c r="D10" s="8">
        <f>1295000/$B10*100</f>
        <v>83.323306654861995</v>
      </c>
      <c r="E10" s="8">
        <f>200000/$B10*100</f>
        <v>12.868464348241234</v>
      </c>
      <c r="F10" s="8">
        <f>90000/$B10*100</f>
        <v>5.7908089567085552</v>
      </c>
      <c r="G10" s="8">
        <f t="shared" ref="G10:H10" si="6">0/$B10*100</f>
        <v>0</v>
      </c>
      <c r="H10" s="8">
        <f t="shared" si="6"/>
        <v>0</v>
      </c>
      <c r="I10" s="8">
        <f t="shared" si="3"/>
        <v>5.7908089567085552</v>
      </c>
      <c r="J10" s="3">
        <f t="shared" si="1"/>
        <v>18.659273304949789</v>
      </c>
      <c r="K10" s="8">
        <f t="shared" si="2"/>
        <v>101.98257995981179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0"/>
  <sheetViews>
    <sheetView workbookViewId="0">
      <selection activeCell="B5" sqref="B5:B10"/>
    </sheetView>
  </sheetViews>
  <sheetFormatPr baseColWidth="10" defaultColWidth="14.42578125" defaultRowHeight="15.75" customHeight="1" x14ac:dyDescent="0.2"/>
  <cols>
    <col min="3" max="3" width="29.140625" customWidth="1"/>
  </cols>
  <sheetData>
    <row r="1" spans="1:11" ht="15.75" customHeigh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2">
      <c r="A2" s="1" t="s">
        <v>9</v>
      </c>
      <c r="C2" s="1" t="s">
        <v>10</v>
      </c>
      <c r="D2" s="1">
        <v>64</v>
      </c>
      <c r="E2" s="1">
        <v>21</v>
      </c>
      <c r="F2" s="1">
        <v>15</v>
      </c>
      <c r="G2" s="1">
        <v>0</v>
      </c>
      <c r="H2" s="1">
        <v>0</v>
      </c>
      <c r="I2">
        <f t="shared" ref="I2:I4" si="0">SUM(F2:H2)</f>
        <v>15</v>
      </c>
      <c r="J2">
        <f t="shared" ref="J2:J10" si="1">SUM(E2:H2)</f>
        <v>36</v>
      </c>
      <c r="K2">
        <f t="shared" ref="K2:K10" si="2">SUM(D2:H2)</f>
        <v>100</v>
      </c>
    </row>
    <row r="3" spans="1:11" ht="15.75" customHeight="1" x14ac:dyDescent="0.2">
      <c r="C3" s="1" t="s">
        <v>11</v>
      </c>
      <c r="D3" s="1">
        <v>82</v>
      </c>
      <c r="E3" s="1">
        <v>3</v>
      </c>
      <c r="F3" s="1">
        <v>10</v>
      </c>
      <c r="G3" s="1">
        <v>5</v>
      </c>
      <c r="H3" s="1">
        <v>0</v>
      </c>
      <c r="I3">
        <f t="shared" si="0"/>
        <v>15</v>
      </c>
      <c r="J3">
        <f t="shared" si="1"/>
        <v>18</v>
      </c>
      <c r="K3">
        <f t="shared" si="2"/>
        <v>100</v>
      </c>
    </row>
    <row r="4" spans="1:11" ht="15.75" customHeight="1" x14ac:dyDescent="0.2">
      <c r="A4" s="1" t="s">
        <v>9</v>
      </c>
      <c r="B4" s="4"/>
      <c r="C4" s="1" t="s">
        <v>12</v>
      </c>
      <c r="D4" s="5">
        <v>82</v>
      </c>
      <c r="E4" s="5">
        <v>3</v>
      </c>
      <c r="F4" s="5">
        <v>10</v>
      </c>
      <c r="G4" s="5">
        <v>5</v>
      </c>
      <c r="H4" s="5">
        <v>0</v>
      </c>
      <c r="I4" s="3">
        <f t="shared" si="0"/>
        <v>15</v>
      </c>
      <c r="J4" s="3">
        <f t="shared" si="1"/>
        <v>18</v>
      </c>
      <c r="K4" s="3">
        <f t="shared" si="2"/>
        <v>100</v>
      </c>
    </row>
    <row r="5" spans="1:11" ht="15.75" customHeight="1" x14ac:dyDescent="0.2">
      <c r="B5" s="4">
        <v>770568</v>
      </c>
      <c r="C5" s="7" t="s">
        <v>14</v>
      </c>
      <c r="D5" s="8">
        <f>680000/$B$5*100</f>
        <v>88.246592124251194</v>
      </c>
      <c r="E5" s="8">
        <f>90000/$B$5*100</f>
        <v>11.679696016445012</v>
      </c>
      <c r="F5" s="8">
        <f>5000/$B$5*100</f>
        <v>0.64887200091361175</v>
      </c>
      <c r="G5" s="8">
        <f t="shared" ref="G5:H5" si="3">0/$B$5*100</f>
        <v>0</v>
      </c>
      <c r="H5" s="8">
        <f t="shared" si="3"/>
        <v>0</v>
      </c>
      <c r="I5" s="8">
        <f t="shared" ref="I5:I10" si="4">F5+G5+H5</f>
        <v>0.64887200091361175</v>
      </c>
      <c r="J5" s="3">
        <f t="shared" si="1"/>
        <v>12.328568017358624</v>
      </c>
      <c r="K5" s="8">
        <f t="shared" si="2"/>
        <v>100.57516014160981</v>
      </c>
    </row>
    <row r="6" spans="1:11" ht="15.75" customHeight="1" x14ac:dyDescent="0.2">
      <c r="A6" s="1" t="s">
        <v>9</v>
      </c>
      <c r="B6" s="4">
        <v>770568</v>
      </c>
      <c r="C6" s="7" t="s">
        <v>15</v>
      </c>
      <c r="D6" s="8">
        <f>720000/$B6*100</f>
        <v>93.437568131560099</v>
      </c>
      <c r="E6" s="8">
        <f>50000/$B6*100</f>
        <v>6.4887200091361175</v>
      </c>
      <c r="F6" s="8">
        <f t="shared" ref="F6:H6" si="5">0/$B6*100</f>
        <v>0</v>
      </c>
      <c r="G6" s="8">
        <f t="shared" si="5"/>
        <v>0</v>
      </c>
      <c r="H6" s="8">
        <f t="shared" si="5"/>
        <v>0</v>
      </c>
      <c r="I6" s="8">
        <f t="shared" si="4"/>
        <v>0</v>
      </c>
      <c r="J6" s="3">
        <f t="shared" si="1"/>
        <v>6.4887200091361175</v>
      </c>
      <c r="K6" s="8">
        <f t="shared" si="2"/>
        <v>99.926288140696215</v>
      </c>
    </row>
    <row r="7" spans="1:11" ht="15.75" customHeight="1" x14ac:dyDescent="0.2">
      <c r="A7" s="1" t="s">
        <v>9</v>
      </c>
      <c r="B7" s="1">
        <v>784492</v>
      </c>
      <c r="C7" s="7" t="s">
        <v>16</v>
      </c>
      <c r="D7" s="8">
        <f>660000/$B7*100</f>
        <v>84.130877051646152</v>
      </c>
      <c r="E7" s="8">
        <f>120000/$B7*100</f>
        <v>15.296523100299304</v>
      </c>
      <c r="F7" s="8">
        <f>5000/$B7*100</f>
        <v>0.63735512917913761</v>
      </c>
      <c r="G7" s="8">
        <f t="shared" ref="G7:H7" si="6">0/$B7*100</f>
        <v>0</v>
      </c>
      <c r="H7" s="8">
        <f t="shared" si="6"/>
        <v>0</v>
      </c>
      <c r="I7" s="8">
        <f t="shared" si="4"/>
        <v>0.63735512917913761</v>
      </c>
      <c r="J7" s="3">
        <f t="shared" si="1"/>
        <v>15.933878229478442</v>
      </c>
      <c r="K7" s="8">
        <f t="shared" si="2"/>
        <v>100.06475528112459</v>
      </c>
    </row>
    <row r="8" spans="1:11" ht="15.75" customHeight="1" x14ac:dyDescent="0.2">
      <c r="B8" s="1">
        <v>784492</v>
      </c>
      <c r="C8" s="1" t="s">
        <v>17</v>
      </c>
      <c r="D8" s="8">
        <f>645000/$B8*100</f>
        <v>82.218811664108742</v>
      </c>
      <c r="E8" s="8">
        <f>115000/$B8*100</f>
        <v>14.659167971120166</v>
      </c>
      <c r="F8" s="8">
        <f>25000/$B8*100</f>
        <v>3.1867756458956875</v>
      </c>
      <c r="G8" s="8">
        <f t="shared" ref="G8:H8" si="7">0/$B8*100</f>
        <v>0</v>
      </c>
      <c r="H8" s="8">
        <f t="shared" si="7"/>
        <v>0</v>
      </c>
      <c r="I8" s="8">
        <f t="shared" si="4"/>
        <v>3.1867756458956875</v>
      </c>
      <c r="J8" s="3">
        <f t="shared" si="1"/>
        <v>17.845943617015852</v>
      </c>
      <c r="K8" s="8">
        <f t="shared" si="2"/>
        <v>100.0647552811246</v>
      </c>
    </row>
    <row r="9" spans="1:11" ht="15.75" customHeight="1" x14ac:dyDescent="0.2">
      <c r="A9" s="1" t="s">
        <v>9</v>
      </c>
      <c r="B9" s="1">
        <v>784492</v>
      </c>
      <c r="C9" s="1" t="s">
        <v>18</v>
      </c>
      <c r="D9" s="8">
        <f>675000/$B9*100</f>
        <v>86.042942439183577</v>
      </c>
      <c r="E9" s="8">
        <f>100000/$B9*100</f>
        <v>12.74710258358275</v>
      </c>
      <c r="F9" s="8">
        <f>5000/$B9*100</f>
        <v>0.63735512917913761</v>
      </c>
      <c r="G9" s="8">
        <f t="shared" ref="G9:H9" si="8">0/$B9*100</f>
        <v>0</v>
      </c>
      <c r="H9" s="8">
        <f t="shared" si="8"/>
        <v>0</v>
      </c>
      <c r="I9" s="8">
        <f t="shared" si="4"/>
        <v>0.63735512917913761</v>
      </c>
      <c r="J9" s="3">
        <f t="shared" si="1"/>
        <v>13.384457712761888</v>
      </c>
      <c r="K9" s="8">
        <f t="shared" si="2"/>
        <v>99.427400151945463</v>
      </c>
    </row>
    <row r="10" spans="1:11" ht="15.75" customHeight="1" x14ac:dyDescent="0.2">
      <c r="A10" s="1" t="s">
        <v>9</v>
      </c>
      <c r="B10" s="1">
        <v>784492</v>
      </c>
      <c r="C10" s="1" t="s">
        <v>19</v>
      </c>
      <c r="D10" s="8">
        <f>720000/$B10*100</f>
        <v>91.779138601795808</v>
      </c>
      <c r="E10" s="8">
        <f>60000/$B10*100</f>
        <v>7.6482615501496518</v>
      </c>
      <c r="F10" s="8">
        <f t="shared" ref="F10:H10" si="9">0/$B10*100</f>
        <v>0</v>
      </c>
      <c r="G10" s="8">
        <f t="shared" si="9"/>
        <v>0</v>
      </c>
      <c r="H10" s="8">
        <f t="shared" si="9"/>
        <v>0</v>
      </c>
      <c r="I10" s="8">
        <f t="shared" si="4"/>
        <v>0</v>
      </c>
      <c r="J10" s="3">
        <f t="shared" si="1"/>
        <v>7.6482615501496518</v>
      </c>
      <c r="K10" s="8">
        <f t="shared" si="2"/>
        <v>99.427400151945463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10"/>
  <sheetViews>
    <sheetView tabSelected="1" workbookViewId="0">
      <selection activeCell="B5" sqref="B5:B10"/>
    </sheetView>
  </sheetViews>
  <sheetFormatPr baseColWidth="10" defaultColWidth="14.42578125" defaultRowHeight="15.75" customHeight="1" x14ac:dyDescent="0.2"/>
  <cols>
    <col min="3" max="3" width="29.28515625" customWidth="1"/>
  </cols>
  <sheetData>
    <row r="1" spans="1:11" ht="15.75" customHeigh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2">
      <c r="A2" s="1" t="s">
        <v>9</v>
      </c>
      <c r="C2" s="1" t="s">
        <v>10</v>
      </c>
      <c r="D2" s="1">
        <v>66</v>
      </c>
      <c r="E2" s="1">
        <v>28</v>
      </c>
      <c r="F2" s="1">
        <v>6</v>
      </c>
      <c r="G2" s="1">
        <v>0</v>
      </c>
      <c r="H2" s="1">
        <v>0</v>
      </c>
      <c r="I2">
        <f t="shared" ref="I2:I5" si="0">SUM(F2:H2)</f>
        <v>6</v>
      </c>
      <c r="J2">
        <f t="shared" ref="J2:J10" si="1">SUM(E2:H2)</f>
        <v>34</v>
      </c>
      <c r="K2">
        <f t="shared" ref="K2:K10" si="2">SUM(D2:H2)</f>
        <v>100</v>
      </c>
    </row>
    <row r="3" spans="1:11" ht="15.75" customHeight="1" x14ac:dyDescent="0.2">
      <c r="C3" s="1" t="s">
        <v>11</v>
      </c>
      <c r="D3" s="1">
        <v>44</v>
      </c>
      <c r="E3" s="1">
        <v>41</v>
      </c>
      <c r="F3" s="1">
        <v>15</v>
      </c>
      <c r="G3" s="1">
        <v>0</v>
      </c>
      <c r="H3" s="1">
        <v>0</v>
      </c>
      <c r="I3">
        <f t="shared" si="0"/>
        <v>15</v>
      </c>
      <c r="J3">
        <f t="shared" si="1"/>
        <v>56</v>
      </c>
      <c r="K3">
        <f t="shared" si="2"/>
        <v>100</v>
      </c>
    </row>
    <row r="4" spans="1:11" ht="15.75" customHeight="1" x14ac:dyDescent="0.2">
      <c r="A4" s="1" t="s">
        <v>9</v>
      </c>
      <c r="B4" s="9"/>
      <c r="C4" s="1" t="s">
        <v>12</v>
      </c>
      <c r="D4" s="5">
        <v>40</v>
      </c>
      <c r="E4" s="5">
        <v>43</v>
      </c>
      <c r="F4" s="5">
        <v>17</v>
      </c>
      <c r="G4" s="5">
        <v>0</v>
      </c>
      <c r="H4" s="5">
        <v>0</v>
      </c>
      <c r="I4" s="3">
        <f t="shared" si="0"/>
        <v>17</v>
      </c>
      <c r="J4" s="3">
        <f t="shared" si="1"/>
        <v>60</v>
      </c>
      <c r="K4" s="3">
        <f t="shared" si="2"/>
        <v>100</v>
      </c>
    </row>
    <row r="5" spans="1:11" ht="15.75" customHeight="1" x14ac:dyDescent="0.2">
      <c r="B5" s="9">
        <v>1102227</v>
      </c>
      <c r="C5" s="7" t="s">
        <v>14</v>
      </c>
      <c r="D5" s="8">
        <f>860000/$B$5*100</f>
        <v>78.023855340143172</v>
      </c>
      <c r="E5" s="8">
        <f>185000/$B$5*100</f>
        <v>16.784201439449404</v>
      </c>
      <c r="F5" s="8">
        <f>60000/$B$5*100</f>
        <v>5.4435247911727807</v>
      </c>
      <c r="G5" s="8">
        <f t="shared" ref="G5:H5" si="3">0/$B$5*100</f>
        <v>0</v>
      </c>
      <c r="H5" s="8">
        <f t="shared" si="3"/>
        <v>0</v>
      </c>
      <c r="I5" s="8">
        <f t="shared" si="0"/>
        <v>5.4435247911727807</v>
      </c>
      <c r="J5" s="3">
        <f t="shared" si="1"/>
        <v>22.227726230622185</v>
      </c>
      <c r="K5" s="8">
        <f t="shared" si="2"/>
        <v>100.25158157076535</v>
      </c>
    </row>
    <row r="6" spans="1:11" ht="15.75" customHeight="1" x14ac:dyDescent="0.2">
      <c r="A6" s="1" t="s">
        <v>9</v>
      </c>
      <c r="B6" s="9">
        <v>1102227</v>
      </c>
      <c r="C6" s="7" t="s">
        <v>15</v>
      </c>
      <c r="D6" s="8">
        <f>845000/$B6*100</f>
        <v>76.662974142349995</v>
      </c>
      <c r="E6" s="8">
        <f>225000/$B6*100</f>
        <v>20.413217966897925</v>
      </c>
      <c r="F6" s="8">
        <f>35000/$B6*100</f>
        <v>3.1753894615174549</v>
      </c>
      <c r="G6" s="8">
        <f t="shared" ref="G6:H6" si="4">0/$B6*100</f>
        <v>0</v>
      </c>
      <c r="H6" s="8">
        <f t="shared" si="4"/>
        <v>0</v>
      </c>
      <c r="I6" s="8">
        <f t="shared" ref="I6:I10" si="5">F6+G6+H6</f>
        <v>3.1753894615174549</v>
      </c>
      <c r="J6" s="3">
        <f t="shared" si="1"/>
        <v>23.588607428415379</v>
      </c>
      <c r="K6" s="8">
        <f t="shared" si="2"/>
        <v>100.25158157076538</v>
      </c>
    </row>
    <row r="7" spans="1:11" ht="15.75" customHeight="1" x14ac:dyDescent="0.2">
      <c r="A7" s="1" t="s">
        <v>9</v>
      </c>
      <c r="B7" s="4">
        <v>1122365</v>
      </c>
      <c r="C7" s="7" t="s">
        <v>16</v>
      </c>
      <c r="D7" s="8">
        <f>740000/$B7*100</f>
        <v>65.932205655023097</v>
      </c>
      <c r="E7" s="8">
        <f>300000/$B7*100</f>
        <v>26.7292725628472</v>
      </c>
      <c r="F7" s="8">
        <f>80000/$B7*100</f>
        <v>7.1278060167592541</v>
      </c>
      <c r="G7" s="8">
        <f t="shared" ref="G7:H7" si="6">0/$B7*100</f>
        <v>0</v>
      </c>
      <c r="H7" s="8">
        <f t="shared" si="6"/>
        <v>0</v>
      </c>
      <c r="I7" s="8">
        <f t="shared" si="5"/>
        <v>7.1278060167592541</v>
      </c>
      <c r="J7" s="3">
        <f t="shared" si="1"/>
        <v>33.857078579606451</v>
      </c>
      <c r="K7" s="8">
        <f t="shared" si="2"/>
        <v>99.789284234629548</v>
      </c>
    </row>
    <row r="8" spans="1:11" ht="15.75" customHeight="1" x14ac:dyDescent="0.2">
      <c r="B8" s="4">
        <v>1122365</v>
      </c>
      <c r="C8" s="1" t="s">
        <v>17</v>
      </c>
      <c r="D8" s="8">
        <f>730000/$B8*100</f>
        <v>65.041229902928194</v>
      </c>
      <c r="E8" s="8">
        <f>305000/$B8*100</f>
        <v>27.174760438894658</v>
      </c>
      <c r="F8" s="8">
        <f>90000/$B8*100</f>
        <v>8.0187817688541614</v>
      </c>
      <c r="G8" s="8">
        <f t="shared" ref="G8:H8" si="7">0/$B8*100</f>
        <v>0</v>
      </c>
      <c r="H8" s="8">
        <f t="shared" si="7"/>
        <v>0</v>
      </c>
      <c r="I8" s="8">
        <f t="shared" si="5"/>
        <v>8.0187817688541614</v>
      </c>
      <c r="J8" s="3">
        <f t="shared" si="1"/>
        <v>35.19354220774882</v>
      </c>
      <c r="K8" s="8">
        <f t="shared" si="2"/>
        <v>100.234772110677</v>
      </c>
    </row>
    <row r="9" spans="1:11" ht="15.75" customHeight="1" x14ac:dyDescent="0.2">
      <c r="A9" s="1" t="s">
        <v>9</v>
      </c>
      <c r="B9" s="4">
        <v>1122365</v>
      </c>
      <c r="C9" s="1" t="s">
        <v>18</v>
      </c>
      <c r="D9" s="8">
        <f>685000/$B9*100</f>
        <v>61.03183901850111</v>
      </c>
      <c r="E9" s="8">
        <f>290000/$B9*100</f>
        <v>25.838296810752297</v>
      </c>
      <c r="F9" s="8">
        <f>150000/$B9*100</f>
        <v>13.3646362814236</v>
      </c>
      <c r="G9" s="8">
        <f t="shared" ref="G9:H9" si="8">0/$B9*100</f>
        <v>0</v>
      </c>
      <c r="H9" s="8">
        <f t="shared" si="8"/>
        <v>0</v>
      </c>
      <c r="I9" s="8">
        <f t="shared" si="5"/>
        <v>13.3646362814236</v>
      </c>
      <c r="J9" s="3">
        <f t="shared" si="1"/>
        <v>39.202933092175897</v>
      </c>
      <c r="K9" s="8">
        <f t="shared" si="2"/>
        <v>100.234772110677</v>
      </c>
    </row>
    <row r="10" spans="1:11" ht="15.75" customHeight="1" x14ac:dyDescent="0.2">
      <c r="A10" s="1" t="s">
        <v>9</v>
      </c>
      <c r="B10" s="4">
        <v>1122365</v>
      </c>
      <c r="C10" s="1" t="s">
        <v>19</v>
      </c>
      <c r="D10" s="8">
        <f>800000/$B10*100</f>
        <v>71.278060167592542</v>
      </c>
      <c r="E10" s="8">
        <f>240000/$B10*100</f>
        <v>21.383418050277761</v>
      </c>
      <c r="F10" s="8">
        <f>80000/$B10*100</f>
        <v>7.1278060167592541</v>
      </c>
      <c r="G10" s="8">
        <f t="shared" ref="G10:H10" si="9">0/$B10*100</f>
        <v>0</v>
      </c>
      <c r="H10" s="8">
        <f t="shared" si="9"/>
        <v>0</v>
      </c>
      <c r="I10" s="8">
        <f t="shared" si="5"/>
        <v>7.1278060167592541</v>
      </c>
      <c r="J10" s="3">
        <f t="shared" si="1"/>
        <v>28.511224067037016</v>
      </c>
      <c r="K10" s="8">
        <f t="shared" si="2"/>
        <v>99.789284234629548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10"/>
  <sheetViews>
    <sheetView workbookViewId="0"/>
  </sheetViews>
  <sheetFormatPr baseColWidth="10" defaultColWidth="14.42578125" defaultRowHeight="15.75" customHeight="1" x14ac:dyDescent="0.2"/>
  <cols>
    <col min="3" max="3" width="29.42578125" customWidth="1"/>
  </cols>
  <sheetData>
    <row r="1" spans="1:12" ht="15.75" customHeight="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ht="15.75" customHeight="1" x14ac:dyDescent="0.2">
      <c r="A2" s="1" t="s">
        <v>9</v>
      </c>
      <c r="C2" s="1" t="s">
        <v>10</v>
      </c>
      <c r="D2" s="1">
        <v>49</v>
      </c>
      <c r="E2" s="1">
        <v>31</v>
      </c>
      <c r="F2" s="1">
        <v>14</v>
      </c>
      <c r="G2" s="1">
        <v>5</v>
      </c>
      <c r="H2" s="1">
        <v>0</v>
      </c>
      <c r="I2">
        <f t="shared" ref="I2:I4" si="0">SUM(F2:H2)</f>
        <v>19</v>
      </c>
      <c r="J2">
        <f t="shared" ref="J2:J10" si="1">SUM(E2:H2)</f>
        <v>50</v>
      </c>
      <c r="K2">
        <f t="shared" ref="K2:K10" si="2">SUM(D2:H2)</f>
        <v>99</v>
      </c>
      <c r="L2" s="10" t="s">
        <v>20</v>
      </c>
    </row>
    <row r="3" spans="1:12" ht="15.75" customHeight="1" x14ac:dyDescent="0.2">
      <c r="C3" s="1" t="s">
        <v>11</v>
      </c>
      <c r="D3" s="1">
        <v>39</v>
      </c>
      <c r="E3" s="1">
        <v>31</v>
      </c>
      <c r="F3" s="1">
        <v>21</v>
      </c>
      <c r="G3" s="1">
        <v>10</v>
      </c>
      <c r="H3" s="1">
        <v>0</v>
      </c>
      <c r="I3">
        <f t="shared" si="0"/>
        <v>31</v>
      </c>
      <c r="J3">
        <f t="shared" si="1"/>
        <v>62</v>
      </c>
      <c r="K3">
        <f t="shared" si="2"/>
        <v>101</v>
      </c>
      <c r="L3" s="10" t="s">
        <v>21</v>
      </c>
    </row>
    <row r="4" spans="1:12" ht="15.75" customHeight="1" x14ac:dyDescent="0.2">
      <c r="A4" s="1" t="s">
        <v>9</v>
      </c>
      <c r="B4" s="4"/>
      <c r="C4" s="1" t="s">
        <v>12</v>
      </c>
      <c r="D4" s="5">
        <v>37</v>
      </c>
      <c r="E4" s="5">
        <v>29</v>
      </c>
      <c r="F4" s="5">
        <v>23</v>
      </c>
      <c r="G4" s="5">
        <v>11</v>
      </c>
      <c r="H4" s="5">
        <v>0</v>
      </c>
      <c r="I4" s="3">
        <f t="shared" si="0"/>
        <v>34</v>
      </c>
      <c r="J4" s="3">
        <f t="shared" si="1"/>
        <v>63</v>
      </c>
      <c r="K4" s="3">
        <f t="shared" si="2"/>
        <v>100</v>
      </c>
      <c r="L4" s="1"/>
    </row>
    <row r="5" spans="1:12" ht="15.75" customHeight="1" x14ac:dyDescent="0.2">
      <c r="B5" s="4">
        <v>11486209</v>
      </c>
      <c r="C5" s="7" t="s">
        <v>14</v>
      </c>
      <c r="D5" s="8">
        <f>5525000/$B5*100</f>
        <v>48.101162010894974</v>
      </c>
      <c r="E5" s="8">
        <f>3675000/$B$5*100</f>
        <v>31.994890568332856</v>
      </c>
      <c r="F5" s="8">
        <f>1750000/$B$5*100</f>
        <v>15.2356621753966</v>
      </c>
      <c r="G5" s="8">
        <f>415000/$B$5*100</f>
        <v>3.6130284587369075</v>
      </c>
      <c r="H5" s="8">
        <f>0/$B$5*100</f>
        <v>0</v>
      </c>
      <c r="I5" s="8">
        <f t="shared" ref="I5:I10" si="3">F5+G5+H5</f>
        <v>18.848690634133508</v>
      </c>
      <c r="J5" s="3">
        <f t="shared" si="1"/>
        <v>50.84358120246636</v>
      </c>
      <c r="K5" s="8">
        <f t="shared" si="2"/>
        <v>98.944743213361335</v>
      </c>
      <c r="L5" s="10" t="s">
        <v>22</v>
      </c>
    </row>
    <row r="6" spans="1:12" ht="15.75" customHeight="1" x14ac:dyDescent="0.2">
      <c r="A6" s="1" t="s">
        <v>9</v>
      </c>
      <c r="B6" s="4">
        <v>11486209</v>
      </c>
      <c r="C6" s="7" t="s">
        <v>15</v>
      </c>
      <c r="D6" s="8">
        <f>6395000/$B6*100</f>
        <v>55.675462635235007</v>
      </c>
      <c r="E6" s="8">
        <f>3465000/$B6*100</f>
        <v>30.16661110728527</v>
      </c>
      <c r="F6" s="8">
        <f>1260000/$B6*100</f>
        <v>10.969676766285552</v>
      </c>
      <c r="G6" s="8">
        <f>245000/$B6*100</f>
        <v>2.1329927045555239</v>
      </c>
      <c r="H6" s="8">
        <f t="shared" ref="H6:H10" si="4">0/$B6*100</f>
        <v>0</v>
      </c>
      <c r="I6" s="8">
        <f t="shared" si="3"/>
        <v>13.102669470841075</v>
      </c>
      <c r="J6" s="3">
        <f t="shared" si="1"/>
        <v>43.269280578126349</v>
      </c>
      <c r="K6" s="8">
        <f t="shared" si="2"/>
        <v>98.944743213361349</v>
      </c>
    </row>
    <row r="7" spans="1:12" ht="15.75" customHeight="1" x14ac:dyDescent="0.2">
      <c r="A7" s="1" t="s">
        <v>9</v>
      </c>
      <c r="B7" s="1">
        <v>11694648</v>
      </c>
      <c r="C7" s="7" t="s">
        <v>16</v>
      </c>
      <c r="D7" s="8">
        <f>5105000/$B7*100</f>
        <v>43.652446828668978</v>
      </c>
      <c r="E7" s="8">
        <f>3855000/$B7*100</f>
        <v>32.963796772677547</v>
      </c>
      <c r="F7" s="8">
        <f>1630000/$B7*100</f>
        <v>13.937999673012818</v>
      </c>
      <c r="G7" s="8">
        <f>890000/$B7*100</f>
        <v>7.6103188398658945</v>
      </c>
      <c r="H7" s="8">
        <f t="shared" si="4"/>
        <v>0</v>
      </c>
      <c r="I7" s="8">
        <f t="shared" si="3"/>
        <v>21.548318512878712</v>
      </c>
      <c r="J7" s="3">
        <f t="shared" si="1"/>
        <v>54.512115285556263</v>
      </c>
      <c r="K7" s="8">
        <f t="shared" si="2"/>
        <v>98.164562114225248</v>
      </c>
    </row>
    <row r="8" spans="1:12" ht="15.75" customHeight="1" x14ac:dyDescent="0.2">
      <c r="B8" s="1">
        <v>11694648</v>
      </c>
      <c r="C8" s="1" t="s">
        <v>17</v>
      </c>
      <c r="D8" s="8">
        <f>3665000/$B8*100</f>
        <v>31.339121964166853</v>
      </c>
      <c r="E8" s="8">
        <f>3955000/$B8*100</f>
        <v>33.818888777156872</v>
      </c>
      <c r="F8" s="8">
        <f>2885000/$B8*100</f>
        <v>24.669404329228207</v>
      </c>
      <c r="G8" s="5">
        <f>865000/$B8*100</f>
        <v>7.3965458387460661</v>
      </c>
      <c r="H8" s="8">
        <f t="shared" si="4"/>
        <v>0</v>
      </c>
      <c r="I8" s="8">
        <f t="shared" si="3"/>
        <v>32.065950167974272</v>
      </c>
      <c r="J8" s="3">
        <f t="shared" si="1"/>
        <v>65.88483894513115</v>
      </c>
      <c r="K8" s="8">
        <f t="shared" si="2"/>
        <v>97.223960909297986</v>
      </c>
      <c r="L8" s="10" t="s">
        <v>23</v>
      </c>
    </row>
    <row r="9" spans="1:12" ht="15.75" customHeight="1" x14ac:dyDescent="0.2">
      <c r="A9" s="1" t="s">
        <v>9</v>
      </c>
      <c r="B9" s="1">
        <v>11694648</v>
      </c>
      <c r="C9" s="1" t="s">
        <v>18</v>
      </c>
      <c r="D9" s="8">
        <f>3465000/$B9*100</f>
        <v>29.628937955208229</v>
      </c>
      <c r="E9" s="8">
        <f>3280000/$B9*100</f>
        <v>28.047017746921497</v>
      </c>
      <c r="F9" s="8">
        <f>3575000/$B9*100</f>
        <v>30.569539160135474</v>
      </c>
      <c r="G9" s="8">
        <f>1035000/$B9*100</f>
        <v>8.8502022463608991</v>
      </c>
      <c r="H9" s="8">
        <f t="shared" si="4"/>
        <v>0</v>
      </c>
      <c r="I9" s="8">
        <f t="shared" si="3"/>
        <v>39.419741406496371</v>
      </c>
      <c r="J9" s="3">
        <f t="shared" si="1"/>
        <v>67.466759153417868</v>
      </c>
      <c r="K9" s="8">
        <f t="shared" si="2"/>
        <v>97.095697108626098</v>
      </c>
    </row>
    <row r="10" spans="1:12" ht="15.75" customHeight="1" x14ac:dyDescent="0.2">
      <c r="A10" s="1" t="s">
        <v>9</v>
      </c>
      <c r="B10" s="1">
        <v>11694648</v>
      </c>
      <c r="C10" s="1" t="s">
        <v>19</v>
      </c>
      <c r="D10" s="8">
        <f>4290000/$B10*100</f>
        <v>36.683446992162565</v>
      </c>
      <c r="E10" s="8">
        <f>4295000/$B10*100</f>
        <v>36.726201592386538</v>
      </c>
      <c r="F10" s="8">
        <f>2170000/$B10*100</f>
        <v>18.555496497201112</v>
      </c>
      <c r="G10" s="8">
        <f>580000/$B10*100</f>
        <v>4.9595336259800211</v>
      </c>
      <c r="H10" s="8">
        <f t="shared" si="4"/>
        <v>0</v>
      </c>
      <c r="I10" s="8">
        <f t="shared" si="3"/>
        <v>23.515030123181134</v>
      </c>
      <c r="J10" s="3">
        <f t="shared" si="1"/>
        <v>60.241231715567672</v>
      </c>
      <c r="K10" s="8">
        <f t="shared" si="2"/>
        <v>96.924678707730237</v>
      </c>
    </row>
  </sheetData>
  <hyperlinks>
    <hyperlink ref="L2" r:id="rId1" xr:uid="{00000000-0004-0000-0A00-000000000000}"/>
    <hyperlink ref="L3" r:id="rId2" xr:uid="{00000000-0004-0000-0A00-000001000000}"/>
    <hyperlink ref="L5" r:id="rId3" xr:uid="{00000000-0004-0000-0A00-000002000000}"/>
    <hyperlink ref="L8" r:id="rId4" xr:uid="{00000000-0004-0000-0A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WBG</vt:lpstr>
      <vt:lpstr>NBG</vt:lpstr>
      <vt:lpstr>Warrap</vt:lpstr>
      <vt:lpstr>Lakes</vt:lpstr>
      <vt:lpstr>Upper Nile</vt:lpstr>
      <vt:lpstr>Jonglei</vt:lpstr>
      <vt:lpstr>Unity</vt:lpstr>
      <vt:lpstr>CES</vt:lpstr>
      <vt:lpstr>WES</vt:lpstr>
      <vt:lpstr>EES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Chrisis</cp:lastModifiedBy>
  <dcterms:modified xsi:type="dcterms:W3CDTF">2018-08-02T14:35:06Z</dcterms:modified>
</cp:coreProperties>
</file>