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 - planning\"/>
    </mc:Choice>
  </mc:AlternateContent>
  <xr:revisionPtr revIDLastSave="0" documentId="13_ncr:1_{9A55BDC0-11D5-4A13-AB9B-B9D0679092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cept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concept!$F$27:$H$31,concept!$N$27:$P$31,concept!$J$27:$L$31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concept!$Z$11:$AD$13</definedName>
    <definedName name="solver_lhs2" localSheetId="0" hidden="1">concept!$F$27:$H$31</definedName>
    <definedName name="solver_lhs3" localSheetId="0" hidden="1">concept!$J$27:$L$31</definedName>
    <definedName name="solver_lhs4" localSheetId="0" hidden="1">concept!$J$35:$L$39</definedName>
    <definedName name="solver_lhs5" localSheetId="0" hidden="1">concept!$Z$8:$AD$9</definedName>
    <definedName name="solver_lhs6" localSheetId="0" hidden="1">concept!$J$27:$L$31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concept!$T$15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concept!$J$43:$L$47</definedName>
    <definedName name="solver_rhs4" localSheetId="0" hidden="1">concept!$J$27:$L$31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2" l="1" a="1"/>
  <c r="P43" i="2" s="1"/>
  <c r="O43" i="2" a="1"/>
  <c r="O43" i="2" s="1"/>
  <c r="N43" i="2" a="1"/>
  <c r="N43" i="2" s="1"/>
  <c r="AK35" i="2"/>
  <c r="AD35" i="2"/>
  <c r="W35" i="2"/>
  <c r="R35" i="2" a="1"/>
  <c r="T39" i="2" s="1"/>
  <c r="AL31" i="2"/>
  <c r="AE31" i="2"/>
  <c r="X31" i="2"/>
  <c r="AL30" i="2"/>
  <c r="AM31" i="2" s="1"/>
  <c r="AF30" i="2"/>
  <c r="AG31" i="2" s="1"/>
  <c r="AE30" i="2"/>
  <c r="AF31" i="2" s="1"/>
  <c r="X30" i="2"/>
  <c r="Y31" i="2" s="1"/>
  <c r="AL29" i="2"/>
  <c r="AM30" i="2" s="1"/>
  <c r="AN31" i="2" s="1"/>
  <c r="AG29" i="2"/>
  <c r="AH30" i="2" s="1"/>
  <c r="AI31" i="2" s="1"/>
  <c r="AE29" i="2"/>
  <c r="X29" i="2"/>
  <c r="Y30" i="2" s="1"/>
  <c r="Z31" i="2" s="1"/>
  <c r="AL28" i="2"/>
  <c r="AM29" i="2" s="1"/>
  <c r="AN30" i="2" s="1"/>
  <c r="AO31" i="2" s="1"/>
  <c r="AF28" i="2"/>
  <c r="AE28" i="2"/>
  <c r="AF29" i="2" s="1"/>
  <c r="AG30" i="2" s="1"/>
  <c r="AH31" i="2" s="1"/>
  <c r="Y28" i="2"/>
  <c r="Z29" i="2" s="1"/>
  <c r="AA30" i="2" s="1"/>
  <c r="AB31" i="2" s="1"/>
  <c r="X28" i="2"/>
  <c r="Y29" i="2" s="1"/>
  <c r="Z30" i="2" s="1"/>
  <c r="AA31" i="2" s="1"/>
  <c r="AL27" i="2"/>
  <c r="AM28" i="2" s="1"/>
  <c r="AN29" i="2" s="1"/>
  <c r="AO30" i="2" s="1"/>
  <c r="AP31" i="2" s="1"/>
  <c r="AE27" i="2"/>
  <c r="X27" i="2"/>
  <c r="N35" i="2" s="1" a="1"/>
  <c r="R27" i="2" a="1"/>
  <c r="T28" i="2" s="1"/>
  <c r="Z11" i="2" a="1"/>
  <c r="AB13" i="2" s="1"/>
  <c r="T8" i="2" a="1"/>
  <c r="V9" i="2" s="1"/>
  <c r="N39" i="2" l="1"/>
  <c r="N38" i="2"/>
  <c r="N37" i="2"/>
  <c r="N36" i="2"/>
  <c r="N35" i="2"/>
  <c r="R36" i="2"/>
  <c r="W36" i="2"/>
  <c r="W37" i="2" s="1"/>
  <c r="W38" i="2" s="1"/>
  <c r="W39" i="2" s="1"/>
  <c r="W9" i="2"/>
  <c r="Z13" i="2"/>
  <c r="X9" i="2"/>
  <c r="U8" i="2"/>
  <c r="AC11" i="2"/>
  <c r="O35" i="2" a="1"/>
  <c r="T9" i="2"/>
  <c r="AB12" i="2"/>
  <c r="T27" i="2"/>
  <c r="T31" i="2"/>
  <c r="AC12" i="2"/>
  <c r="S36" i="2"/>
  <c r="X35" i="2"/>
  <c r="X36" i="2"/>
  <c r="AA11" i="2"/>
  <c r="AC13" i="2"/>
  <c r="T29" i="2"/>
  <c r="T8" i="2"/>
  <c r="AB11" i="2"/>
  <c r="AD13" i="2"/>
  <c r="R30" i="2"/>
  <c r="S30" i="2"/>
  <c r="V8" i="2"/>
  <c r="AD11" i="2"/>
  <c r="W8" i="2"/>
  <c r="Z12" i="2"/>
  <c r="R27" i="2"/>
  <c r="R31" i="2"/>
  <c r="X8" i="2"/>
  <c r="AA12" i="2"/>
  <c r="S27" i="2"/>
  <c r="S31" i="2"/>
  <c r="U9" i="2"/>
  <c r="R28" i="2"/>
  <c r="AD12" i="2"/>
  <c r="S28" i="2"/>
  <c r="P35" i="2" a="1"/>
  <c r="T36" i="2"/>
  <c r="AD36" i="2"/>
  <c r="AD37" i="2" s="1"/>
  <c r="AD38" i="2" s="1"/>
  <c r="AD39" i="2" s="1"/>
  <c r="R37" i="2"/>
  <c r="AE35" i="2"/>
  <c r="S37" i="2"/>
  <c r="AK36" i="2"/>
  <c r="AK37" i="2" s="1"/>
  <c r="AK38" i="2" s="1"/>
  <c r="AK39" i="2" s="1"/>
  <c r="AA13" i="2"/>
  <c r="R29" i="2"/>
  <c r="Z11" i="2"/>
  <c r="S29" i="2"/>
  <c r="T37" i="2"/>
  <c r="AL35" i="2"/>
  <c r="R38" i="2"/>
  <c r="S38" i="2"/>
  <c r="T38" i="2"/>
  <c r="T30" i="2"/>
  <c r="R35" i="2"/>
  <c r="R39" i="2"/>
  <c r="S35" i="2"/>
  <c r="S39" i="2"/>
  <c r="T35" i="2"/>
  <c r="AE39" i="2" l="1"/>
  <c r="AE38" i="2"/>
  <c r="AE37" i="2"/>
  <c r="AE36" i="2"/>
  <c r="P39" i="2"/>
  <c r="P38" i="2"/>
  <c r="P37" i="2"/>
  <c r="P36" i="2"/>
  <c r="P35" i="2"/>
  <c r="X37" i="2"/>
  <c r="X39" i="2"/>
  <c r="O37" i="2"/>
  <c r="O36" i="2"/>
  <c r="O35" i="2"/>
  <c r="O39" i="2"/>
  <c r="O38" i="2"/>
  <c r="Z8" i="2" a="1"/>
  <c r="AL37" i="2"/>
  <c r="AL38" i="2"/>
  <c r="AL36" i="2"/>
  <c r="AL39" i="2"/>
  <c r="AT35" i="2" a="1"/>
  <c r="AT35" i="2" s="1"/>
  <c r="AU35" i="2" a="1"/>
  <c r="AU35" i="2" s="1"/>
  <c r="T15" i="2"/>
  <c r="X38" i="2"/>
  <c r="AS35" i="2" l="1" a="1"/>
  <c r="AS35" i="2" s="1"/>
  <c r="N51" i="2" a="1"/>
  <c r="AC9" i="2"/>
  <c r="AB9" i="2"/>
  <c r="Z9" i="2"/>
  <c r="AA8" i="2"/>
  <c r="Z8" i="2"/>
  <c r="AA9" i="2"/>
  <c r="AD8" i="2"/>
  <c r="AC8" i="2"/>
  <c r="AB8" i="2"/>
  <c r="AD9" i="2"/>
  <c r="P55" i="2" l="1"/>
  <c r="P51" i="2"/>
  <c r="O55" i="2"/>
  <c r="O51" i="2"/>
  <c r="N55" i="2"/>
  <c r="N51" i="2"/>
  <c r="P54" i="2"/>
  <c r="O54" i="2"/>
  <c r="N54" i="2"/>
  <c r="P53" i="2"/>
  <c r="O53" i="2"/>
  <c r="N53" i="2"/>
  <c r="P52" i="2"/>
  <c r="O52" i="2"/>
  <c r="N52" i="2"/>
  <c r="J35" i="2" l="1" a="1"/>
  <c r="J43" i="2" a="1"/>
  <c r="K46" i="2" l="1"/>
  <c r="J46" i="2"/>
  <c r="L45" i="2"/>
  <c r="K45" i="2"/>
  <c r="J45" i="2"/>
  <c r="L44" i="2"/>
  <c r="K44" i="2"/>
  <c r="J44" i="2"/>
  <c r="L47" i="2"/>
  <c r="L43" i="2"/>
  <c r="K47" i="2"/>
  <c r="K43" i="2"/>
  <c r="J47" i="2"/>
  <c r="J43" i="2"/>
  <c r="L46" i="2"/>
  <c r="J39" i="2"/>
  <c r="J35" i="2"/>
  <c r="L38" i="2"/>
  <c r="K38" i="2"/>
  <c r="L37" i="2"/>
  <c r="K37" i="2"/>
  <c r="J37" i="2"/>
  <c r="L36" i="2"/>
  <c r="K36" i="2"/>
  <c r="J36" i="2"/>
  <c r="J38" i="2"/>
  <c r="L39" i="2"/>
  <c r="L35" i="2"/>
  <c r="K39" i="2"/>
  <c r="K3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<sst xmlns="http://schemas.openxmlformats.org/spreadsheetml/2006/main" count="153" uniqueCount="68">
  <si>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Back to contents</t>
  </si>
  <si>
    <t>time</t>
  </si>
  <si>
    <t>y.1</t>
  </si>
  <si>
    <t>y.2</t>
  </si>
  <si>
    <t>y.3</t>
  </si>
  <si>
    <t>y.4</t>
  </si>
  <si>
    <t>y.5</t>
  </si>
  <si>
    <t>flows</t>
  </si>
  <si>
    <t>f.1a</t>
  </si>
  <si>
    <t>f.1b</t>
  </si>
  <si>
    <t>f2</t>
  </si>
  <si>
    <t>techs</t>
  </si>
  <si>
    <t>t.1</t>
  </si>
  <si>
    <t>t.2</t>
  </si>
  <si>
    <t>t.3</t>
  </si>
  <si>
    <t>name</t>
  </si>
  <si>
    <t>EE Fossil</t>
  </si>
  <si>
    <t>EE RES</t>
  </si>
  <si>
    <t>Final demand</t>
  </si>
  <si>
    <t>Iff</t>
  </si>
  <si>
    <t>u</t>
  </si>
  <si>
    <t>Y</t>
  </si>
  <si>
    <t>Q_agg - u*X' - Y == 0</t>
  </si>
  <si>
    <t>f.1</t>
  </si>
  <si>
    <t>EE</t>
  </si>
  <si>
    <t>f.2</t>
  </si>
  <si>
    <t>Transport</t>
  </si>
  <si>
    <t>d</t>
  </si>
  <si>
    <t>X' - d*Q' == 0</t>
  </si>
  <si>
    <t>Fossil PP</t>
  </si>
  <si>
    <t>RES PP</t>
  </si>
  <si>
    <t>Min(sum(C_inv,C_om))</t>
  </si>
  <si>
    <t>Investment costs</t>
  </si>
  <si>
    <t>ci</t>
  </si>
  <si>
    <t>O&amp;M costs</t>
  </si>
  <si>
    <t>co</t>
  </si>
  <si>
    <t>Load factors</t>
  </si>
  <si>
    <t>min</t>
  </si>
  <si>
    <t>max</t>
  </si>
  <si>
    <t>Initial capacity</t>
  </si>
  <si>
    <t>C_start</t>
  </si>
  <si>
    <t>Initial capacity residual lifetime</t>
  </si>
  <si>
    <t>res_lt</t>
  </si>
  <si>
    <t>Average lifetime</t>
  </si>
  <si>
    <t>lt</t>
  </si>
  <si>
    <t>Shape factor</t>
  </si>
  <si>
    <t>weib t.1 new</t>
  </si>
  <si>
    <t>weib t.2 new</t>
  </si>
  <si>
    <t>weib t.3 new</t>
  </si>
  <si>
    <t>Q</t>
  </si>
  <si>
    <t>X</t>
  </si>
  <si>
    <t>Cap_new</t>
  </si>
  <si>
    <t>C_inv = Cap_new * diag(ci)</t>
  </si>
  <si>
    <t>year of installation within time horizon</t>
  </si>
  <si>
    <t>year of lifetime</t>
  </si>
  <si>
    <t>Xmin = Cap_op * diag(lf_min)</t>
  </si>
  <si>
    <t>Cap_disp_new_t=weib_t*Cap_new_t</t>
  </si>
  <si>
    <t>C_om = X * diag(co)</t>
  </si>
  <si>
    <t>weib_start t.1</t>
  </si>
  <si>
    <t>weib_start t.2</t>
  </si>
  <si>
    <t>weib_start t.3</t>
  </si>
  <si>
    <t>weibull start concat</t>
  </si>
  <si>
    <t>Cap_disp_start = C_start*  weib_concat</t>
  </si>
  <si>
    <t>Cap_op = c_start + Tyy*Cap_new + Tyy*Cap_disp_new + Tyy*Cap_disp_start</t>
  </si>
  <si>
    <t>Tyy</t>
  </si>
  <si>
    <t>sf</t>
  </si>
  <si>
    <t>Xmax = Cap_op * diag(lf_max)</t>
  </si>
  <si>
    <t>Q_agg == Iff *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</si>
</sst>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1"/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6" borderId="0" xfId="0" applyFont="1" applyFill="1"/>
    <xf numFmtId="0" fontId="0" fillId="2" borderId="1" xfId="0" applyFill="1" applyBorder="1"/>
    <xf numFmtId="0" fontId="0" fillId="2" borderId="7" xfId="0" applyFill="1" applyBorder="1"/>
    <xf numFmtId="0" fontId="2" fillId="0" borderId="0" xfId="0" applyFont="1" applyAlignment="1">
      <alignment horizontal="left" wrapText="1"/>
    </xf>
    <xf numFmtId="0" fontId="0" fillId="0" borderId="5" xfId="0" applyBorder="1" applyAlignment="1">
      <alignment vertical="top"/>
    </xf>
    <xf numFmtId="165" fontId="0" fillId="4" borderId="0" xfId="0" applyNumberFormat="1" applyFill="1"/>
    <xf numFmtId="0" fontId="2" fillId="0" borderId="0" xfId="0" applyFont="1" applyAlignment="1">
      <alignment horizontal="left" wrapText="1"/>
    </xf>
    <xf numFmtId="11" fontId="0" fillId="0" borderId="0" xfId="0" applyNumberFormat="1"/>
    <xf numFmtId="1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989C-90CD-4FC2-8C02-DA4C620DE4CF}">
  <sheetPr>
    <tabColor theme="8" tint="0.59999389629810485"/>
  </sheetPr>
  <dimension ref="A1:AU55"/>
  <sheetViews>
    <sheetView showGridLines="0" tabSelected="1" zoomScale="115" zoomScaleNormal="115" workbookViewId="0">
      <pane xSplit="4" ySplit="6" topLeftCell="E19" activePane="bottomRight" state="frozen"/>
      <selection pane="topRight"/>
      <selection pane="bottomLeft"/>
      <selection pane="bottomRight" activeCell="R21" sqref="R21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6" bestFit="1" customWidth="1"/>
    <col min="4" max="4" width="31.7109375" bestFit="1" customWidth="1"/>
    <col min="5" max="5" width="2.85546875" customWidth="1"/>
    <col min="6" max="6" width="8.28515625" customWidth="1"/>
    <col min="7" max="7" width="6.7109375" bestFit="1" customWidth="1"/>
    <col min="8" max="8" width="6.42578125" customWidth="1"/>
    <col min="9" max="9" width="4.7109375" customWidth="1"/>
    <col min="10" max="11" width="6.85546875" customWidth="1"/>
    <col min="12" max="12" width="18.28515625" customWidth="1"/>
    <col min="13" max="13" width="4.7109375" customWidth="1"/>
    <col min="14" max="17" width="9" customWidth="1"/>
    <col min="18" max="20" width="8.42578125" customWidth="1"/>
    <col min="21" max="32" width="7.42578125" customWidth="1"/>
    <col min="33" max="34" width="4.85546875" customWidth="1"/>
    <col min="35" max="35" width="5.28515625" customWidth="1"/>
    <col min="36" max="38" width="7.140625" customWidth="1"/>
    <col min="39" max="43" width="5.28515625" customWidth="1"/>
    <col min="46" max="46" width="12.28515625" bestFit="1" customWidth="1"/>
  </cols>
  <sheetData>
    <row r="1" spans="1:30" x14ac:dyDescent="0.25">
      <c r="A1" s="1" t="s">
        <v>0</v>
      </c>
    </row>
    <row r="2" spans="1:30" x14ac:dyDescent="0.25">
      <c r="A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30" x14ac:dyDescent="0.25">
      <c r="B3" t="s">
        <v>7</v>
      </c>
      <c r="F3" t="s">
        <v>8</v>
      </c>
      <c r="G3" t="s">
        <v>9</v>
      </c>
      <c r="H3" t="s">
        <v>10</v>
      </c>
    </row>
    <row r="4" spans="1:30" x14ac:dyDescent="0.25">
      <c r="C4" t="s">
        <v>11</v>
      </c>
      <c r="J4" t="s">
        <v>12</v>
      </c>
      <c r="K4" t="s">
        <v>13</v>
      </c>
      <c r="L4" t="s">
        <v>14</v>
      </c>
    </row>
    <row r="5" spans="1:30" x14ac:dyDescent="0.25">
      <c r="D5" t="s">
        <v>15</v>
      </c>
      <c r="F5" t="s">
        <v>16</v>
      </c>
      <c r="G5" t="s">
        <v>17</v>
      </c>
      <c r="N5" t="s">
        <v>18</v>
      </c>
    </row>
    <row r="6" spans="1:30" x14ac:dyDescent="0.25">
      <c r="H6" s="2"/>
      <c r="J6" s="2"/>
      <c r="K6" s="2"/>
      <c r="L6" s="2"/>
    </row>
    <row r="7" spans="1:30" x14ac:dyDescent="0.25">
      <c r="F7" s="3" t="s">
        <v>19</v>
      </c>
      <c r="J7" s="3" t="s">
        <v>20</v>
      </c>
      <c r="N7" s="3" t="s">
        <v>21</v>
      </c>
      <c r="T7" s="3" t="s">
        <v>67</v>
      </c>
      <c r="Z7" s="3" t="s">
        <v>22</v>
      </c>
    </row>
    <row r="8" spans="1:30" x14ac:dyDescent="0.25">
      <c r="B8" t="s">
        <v>23</v>
      </c>
      <c r="D8" t="s">
        <v>24</v>
      </c>
      <c r="F8" s="4">
        <v>1</v>
      </c>
      <c r="G8" s="4">
        <v>1</v>
      </c>
      <c r="H8" s="4">
        <v>0</v>
      </c>
      <c r="J8" s="5">
        <v>7.9000000000000001E-2</v>
      </c>
      <c r="K8" s="5">
        <v>7.9000000000000001E-2</v>
      </c>
      <c r="L8" s="5">
        <v>0</v>
      </c>
      <c r="N8" s="29">
        <v>100</v>
      </c>
      <c r="O8" s="29">
        <v>120</v>
      </c>
      <c r="P8" s="29">
        <v>144</v>
      </c>
      <c r="Q8" s="29">
        <v>173</v>
      </c>
      <c r="R8" s="29">
        <v>207</v>
      </c>
      <c r="T8" s="6">
        <f t="array" ref="T8:X9">MMULT(F8:H9,TRANSPOSE(F27:H31))</f>
        <v>108.57763</v>
      </c>
      <c r="U8" s="6">
        <v>130.29316</v>
      </c>
      <c r="V8" s="6">
        <v>156.35178999999999</v>
      </c>
      <c r="W8" s="6">
        <v>187.83931000000001</v>
      </c>
      <c r="X8" s="6">
        <v>224.75569999999999</v>
      </c>
      <c r="Z8" s="7">
        <f t="array" ref="Z8:AD9">T8:X9-MMULT(J8:L9,TRANSPOSE(J27:L31))-N8:R9</f>
        <v>-2.7699999947117249E-6</v>
      </c>
      <c r="AA8" s="8">
        <v>3.6000000136482413E-7</v>
      </c>
      <c r="AB8" s="8">
        <v>-1.4100000100825127E-6</v>
      </c>
      <c r="AC8" s="8">
        <v>4.5099999965714233E-6</v>
      </c>
      <c r="AD8" s="9">
        <v>-3.0000001061125658E-7</v>
      </c>
    </row>
    <row r="9" spans="1:30" x14ac:dyDescent="0.25">
      <c r="B9" t="s">
        <v>25</v>
      </c>
      <c r="D9" t="s">
        <v>26</v>
      </c>
      <c r="F9" s="4">
        <v>0</v>
      </c>
      <c r="G9" s="4">
        <v>0</v>
      </c>
      <c r="H9" s="4">
        <v>1</v>
      </c>
      <c r="J9" s="5">
        <v>0</v>
      </c>
      <c r="K9" s="5">
        <v>0</v>
      </c>
      <c r="L9" s="5">
        <v>0</v>
      </c>
      <c r="N9" s="29">
        <v>508022.19999999995</v>
      </c>
      <c r="O9" s="29">
        <v>518182.64399999997</v>
      </c>
      <c r="P9" s="29">
        <v>528546.29687999992</v>
      </c>
      <c r="Q9" s="29">
        <v>539117.22281759989</v>
      </c>
      <c r="R9" s="29">
        <v>549899.56727395195</v>
      </c>
      <c r="T9" s="6">
        <v>508022.2</v>
      </c>
      <c r="U9" s="6">
        <v>518182.64</v>
      </c>
      <c r="V9" s="6">
        <v>528546.30000000005</v>
      </c>
      <c r="W9" s="6">
        <v>539117.22</v>
      </c>
      <c r="X9" s="6">
        <v>549899.56999999995</v>
      </c>
      <c r="Z9" s="10">
        <v>0</v>
      </c>
      <c r="AA9" s="11">
        <v>-3.9999999571591616E-3</v>
      </c>
      <c r="AB9" s="11">
        <v>3.1200001249089837E-3</v>
      </c>
      <c r="AC9" s="11">
        <v>-2.8175999177619815E-3</v>
      </c>
      <c r="AD9" s="12">
        <v>2.7260479982942343E-3</v>
      </c>
    </row>
    <row r="10" spans="1:30" x14ac:dyDescent="0.25">
      <c r="F10" s="3" t="s">
        <v>27</v>
      </c>
      <c r="Z10" s="3" t="s">
        <v>28</v>
      </c>
    </row>
    <row r="11" spans="1:30" x14ac:dyDescent="0.25">
      <c r="C11" t="s">
        <v>12</v>
      </c>
      <c r="D11" t="s">
        <v>29</v>
      </c>
      <c r="F11" s="5">
        <v>1</v>
      </c>
      <c r="G11" s="5">
        <v>0</v>
      </c>
      <c r="H11" s="5">
        <v>0</v>
      </c>
      <c r="T11" s="13"/>
      <c r="U11" s="13"/>
      <c r="V11" s="13"/>
      <c r="W11" s="13"/>
      <c r="X11" s="13"/>
      <c r="Z11" s="14">
        <f t="array" ref="Z11:AD13">TRANSPOSE(J27:L31)-MMULT(F11:H13,TRANSPOSE(F27:H31))</f>
        <v>0</v>
      </c>
      <c r="AA11" s="8">
        <v>0</v>
      </c>
      <c r="AB11" s="8">
        <v>0</v>
      </c>
      <c r="AC11" s="8">
        <v>0</v>
      </c>
      <c r="AD11" s="9">
        <v>0</v>
      </c>
    </row>
    <row r="12" spans="1:30" x14ac:dyDescent="0.25">
      <c r="C12" t="s">
        <v>13</v>
      </c>
      <c r="D12" t="s">
        <v>30</v>
      </c>
      <c r="F12" s="5">
        <v>0</v>
      </c>
      <c r="G12" s="5">
        <v>1</v>
      </c>
      <c r="H12" s="5">
        <v>0</v>
      </c>
      <c r="T12" s="13"/>
      <c r="U12" s="13"/>
      <c r="V12" s="13"/>
      <c r="W12" s="13"/>
      <c r="X12" s="13"/>
      <c r="Z12" s="15">
        <v>0</v>
      </c>
      <c r="AA12">
        <v>0</v>
      </c>
      <c r="AB12">
        <v>0</v>
      </c>
      <c r="AC12">
        <v>0</v>
      </c>
      <c r="AD12" s="16">
        <v>0</v>
      </c>
    </row>
    <row r="13" spans="1:30" x14ac:dyDescent="0.25">
      <c r="C13" t="s">
        <v>14</v>
      </c>
      <c r="D13" t="s">
        <v>26</v>
      </c>
      <c r="F13" s="5">
        <v>0</v>
      </c>
      <c r="G13" s="5">
        <v>0</v>
      </c>
      <c r="H13" s="5">
        <v>1</v>
      </c>
      <c r="T13" s="13"/>
      <c r="U13" s="13"/>
      <c r="V13" s="13"/>
      <c r="W13" s="13"/>
      <c r="X13" s="13"/>
      <c r="Z13" s="10">
        <v>0</v>
      </c>
      <c r="AA13" s="11">
        <v>0</v>
      </c>
      <c r="AB13" s="11">
        <v>0</v>
      </c>
      <c r="AC13" s="11">
        <v>0</v>
      </c>
      <c r="AD13" s="12">
        <v>0</v>
      </c>
    </row>
    <row r="14" spans="1:30" x14ac:dyDescent="0.25">
      <c r="T14" s="3" t="s">
        <v>31</v>
      </c>
    </row>
    <row r="15" spans="1:30" x14ac:dyDescent="0.25">
      <c r="D15" t="s">
        <v>32</v>
      </c>
      <c r="I15" s="17" t="s">
        <v>33</v>
      </c>
      <c r="J15" s="5">
        <v>10</v>
      </c>
      <c r="K15" s="5">
        <v>10</v>
      </c>
      <c r="L15" s="5">
        <v>5</v>
      </c>
      <c r="S15" s="3"/>
      <c r="T15" s="18">
        <f>SUM(R27:T31,R35:T39)</f>
        <v>2906853.0380299999</v>
      </c>
    </row>
    <row r="16" spans="1:30" x14ac:dyDescent="0.25">
      <c r="D16" t="s">
        <v>34</v>
      </c>
      <c r="I16" s="17" t="s">
        <v>35</v>
      </c>
      <c r="J16" s="5">
        <v>10</v>
      </c>
      <c r="K16" s="5">
        <v>10</v>
      </c>
      <c r="L16" s="5">
        <v>1</v>
      </c>
    </row>
    <row r="17" spans="1:42" x14ac:dyDescent="0.25">
      <c r="D17" t="s">
        <v>36</v>
      </c>
      <c r="I17" s="17" t="s">
        <v>37</v>
      </c>
      <c r="J17" s="5">
        <v>0</v>
      </c>
      <c r="K17" s="5">
        <v>0</v>
      </c>
      <c r="L17" s="5">
        <v>0</v>
      </c>
    </row>
    <row r="18" spans="1:42" x14ac:dyDescent="0.25">
      <c r="I18" s="17" t="s">
        <v>38</v>
      </c>
      <c r="J18" s="5">
        <v>0.7</v>
      </c>
      <c r="K18" s="5">
        <v>0.3</v>
      </c>
      <c r="L18" s="5">
        <v>20</v>
      </c>
    </row>
    <row r="19" spans="1:42" x14ac:dyDescent="0.25">
      <c r="D19" t="s">
        <v>39</v>
      </c>
      <c r="I19" s="17" t="s">
        <v>40</v>
      </c>
      <c r="J19" s="5">
        <v>0</v>
      </c>
      <c r="K19" s="5">
        <v>0</v>
      </c>
      <c r="L19" s="5">
        <v>1</v>
      </c>
    </row>
    <row r="20" spans="1:42" x14ac:dyDescent="0.25">
      <c r="D20" t="s">
        <v>41</v>
      </c>
      <c r="I20" s="17" t="s">
        <v>42</v>
      </c>
      <c r="J20" s="5">
        <v>0</v>
      </c>
      <c r="K20" s="5">
        <v>0</v>
      </c>
      <c r="L20" s="5">
        <v>3</v>
      </c>
    </row>
    <row r="21" spans="1:42" x14ac:dyDescent="0.25">
      <c r="D21" t="s">
        <v>43</v>
      </c>
      <c r="I21" s="17" t="s">
        <v>44</v>
      </c>
      <c r="J21" s="5">
        <v>3</v>
      </c>
      <c r="K21" s="5">
        <v>2</v>
      </c>
      <c r="L21" s="5">
        <v>5</v>
      </c>
    </row>
    <row r="22" spans="1:42" x14ac:dyDescent="0.25">
      <c r="D22" t="s">
        <v>45</v>
      </c>
      <c r="I22" s="17" t="s">
        <v>65</v>
      </c>
      <c r="J22" s="5">
        <v>3</v>
      </c>
      <c r="K22" s="5">
        <v>5</v>
      </c>
      <c r="L22" s="5">
        <v>5</v>
      </c>
    </row>
    <row r="24" spans="1:42" x14ac:dyDescent="0.25">
      <c r="X24" s="3" t="s">
        <v>46</v>
      </c>
      <c r="AE24" s="3" t="s">
        <v>47</v>
      </c>
      <c r="AL24" s="3" t="s">
        <v>48</v>
      </c>
    </row>
    <row r="25" spans="1:42" x14ac:dyDescent="0.25">
      <c r="F25" s="3" t="s">
        <v>49</v>
      </c>
      <c r="I25" s="3"/>
      <c r="J25" s="3" t="s">
        <v>50</v>
      </c>
      <c r="N25" s="3" t="s">
        <v>51</v>
      </c>
      <c r="R25" s="3" t="s">
        <v>52</v>
      </c>
      <c r="X25" s="19" t="s">
        <v>53</v>
      </c>
    </row>
    <row r="26" spans="1:42" x14ac:dyDescent="0.25">
      <c r="F26" t="s">
        <v>8</v>
      </c>
      <c r="G26" t="s">
        <v>9</v>
      </c>
      <c r="H26" t="s">
        <v>10</v>
      </c>
      <c r="J26" t="s">
        <v>12</v>
      </c>
      <c r="K26" t="s">
        <v>13</v>
      </c>
      <c r="L26" t="s">
        <v>14</v>
      </c>
      <c r="N26" t="s">
        <v>12</v>
      </c>
      <c r="O26" t="s">
        <v>13</v>
      </c>
      <c r="P26" t="s">
        <v>14</v>
      </c>
      <c r="R26" t="s">
        <v>12</v>
      </c>
      <c r="S26" t="s">
        <v>13</v>
      </c>
      <c r="T26" t="s">
        <v>14</v>
      </c>
      <c r="W26" s="20" t="s">
        <v>54</v>
      </c>
      <c r="X26" t="s">
        <v>2</v>
      </c>
      <c r="Y26" t="s">
        <v>3</v>
      </c>
      <c r="Z26" t="s">
        <v>4</v>
      </c>
      <c r="AA26" t="s">
        <v>5</v>
      </c>
      <c r="AB26" t="s">
        <v>6</v>
      </c>
      <c r="AE26" t="s">
        <v>2</v>
      </c>
      <c r="AF26" t="s">
        <v>3</v>
      </c>
      <c r="AG26" t="s">
        <v>4</v>
      </c>
      <c r="AH26" t="s">
        <v>5</v>
      </c>
      <c r="AI26" t="s">
        <v>6</v>
      </c>
      <c r="AL26" t="s">
        <v>2</v>
      </c>
      <c r="AM26" t="s">
        <v>3</v>
      </c>
      <c r="AN26" t="s">
        <v>4</v>
      </c>
      <c r="AO26" t="s">
        <v>5</v>
      </c>
      <c r="AP26" t="s">
        <v>6</v>
      </c>
    </row>
    <row r="27" spans="1:42" x14ac:dyDescent="0.25">
      <c r="A27" t="s">
        <v>2</v>
      </c>
      <c r="F27" s="21">
        <v>108.57763</v>
      </c>
      <c r="G27" s="21">
        <v>0</v>
      </c>
      <c r="H27" s="21">
        <v>508022.2</v>
      </c>
      <c r="J27" s="21">
        <v>108.57763</v>
      </c>
      <c r="K27" s="21">
        <v>0</v>
      </c>
      <c r="L27" s="21">
        <v>508022.2</v>
      </c>
      <c r="N27" s="21">
        <v>173.71026000000001</v>
      </c>
      <c r="O27" s="21">
        <v>0</v>
      </c>
      <c r="P27" s="21">
        <v>25440.682000000001</v>
      </c>
      <c r="R27" s="6">
        <f t="array" ref="R27:T31">MMULT(N27:P31,_xlfn.MUNIT(3)*J15:L15)</f>
        <v>1737.1026000000002</v>
      </c>
      <c r="S27" s="6">
        <v>0</v>
      </c>
      <c r="T27" s="6">
        <v>127203.41</v>
      </c>
      <c r="W27" s="16">
        <v>1</v>
      </c>
      <c r="X27" s="4">
        <f>_xlfn.WEIBULL.DIST(COUNTA($W$27:$W27),J$22,J$21,FALSE)</f>
        <v>0.10707116047792069</v>
      </c>
      <c r="Y27" s="4">
        <v>0</v>
      </c>
      <c r="Z27" s="4">
        <v>0</v>
      </c>
      <c r="AA27" s="4">
        <v>0</v>
      </c>
      <c r="AB27" s="4">
        <v>0</v>
      </c>
      <c r="AE27" s="22">
        <f>_xlfn.WEIBULL.DIST(COUNTA($W$27:$W27),K$22,K$21,FALSE)</f>
        <v>0.15144269288692877</v>
      </c>
      <c r="AF27" s="4">
        <v>0</v>
      </c>
      <c r="AG27" s="4">
        <v>0</v>
      </c>
      <c r="AH27" s="4">
        <v>0</v>
      </c>
      <c r="AI27" s="4">
        <v>0</v>
      </c>
      <c r="AL27" s="22">
        <f>_xlfn.WEIBULL.DIST(COUNTA($W$27:$W27),L$22,L$21,FALSE)</f>
        <v>1.599488081911263E-3</v>
      </c>
      <c r="AM27" s="4">
        <v>0</v>
      </c>
      <c r="AN27" s="4">
        <v>0</v>
      </c>
      <c r="AO27" s="4">
        <v>0</v>
      </c>
      <c r="AP27" s="4">
        <v>0</v>
      </c>
    </row>
    <row r="28" spans="1:42" x14ac:dyDescent="0.25">
      <c r="A28" t="s">
        <v>3</v>
      </c>
      <c r="F28" s="21">
        <v>130.29316</v>
      </c>
      <c r="G28" s="21">
        <v>0</v>
      </c>
      <c r="H28" s="21">
        <v>518182.64</v>
      </c>
      <c r="J28" s="21">
        <v>130.29316</v>
      </c>
      <c r="K28" s="21">
        <v>0</v>
      </c>
      <c r="L28" s="21">
        <v>518182.64</v>
      </c>
      <c r="N28" s="21">
        <v>99.032472999999996</v>
      </c>
      <c r="O28" s="21">
        <v>0</v>
      </c>
      <c r="P28" s="21">
        <v>1154.2195999999999</v>
      </c>
      <c r="R28" s="6">
        <v>990.32472999999993</v>
      </c>
      <c r="S28" s="6">
        <v>0</v>
      </c>
      <c r="T28" s="6">
        <v>5771.098</v>
      </c>
      <c r="W28" s="16">
        <v>2</v>
      </c>
      <c r="X28" s="4">
        <f>_xlfn.WEIBULL.DIST(COUNTA($W$27:$W28),J$22,J$21,FALSE)</f>
        <v>0.33047425742484726</v>
      </c>
      <c r="Y28" s="4">
        <f>X27</f>
        <v>0.10707116047792069</v>
      </c>
      <c r="Z28" s="4">
        <v>0</v>
      </c>
      <c r="AA28" s="4">
        <v>0</v>
      </c>
      <c r="AB28" s="4">
        <v>0</v>
      </c>
      <c r="AE28" s="23">
        <f>_xlfn.WEIBULL.DIST(COUNTA($W$27:$W28),K$22,K$21,FALSE)</f>
        <v>0.91969860292860572</v>
      </c>
      <c r="AF28" s="4">
        <f>AE27</f>
        <v>0.15144269288692877</v>
      </c>
      <c r="AG28" s="4">
        <v>0</v>
      </c>
      <c r="AH28" s="4">
        <v>0</v>
      </c>
      <c r="AI28" s="4">
        <v>0</v>
      </c>
      <c r="AL28" s="23">
        <f>_xlfn.WEIBULL.DIST(COUNTA($W$27:$W28),L$22,L$21,FALSE)</f>
        <v>2.5339193607685703E-2</v>
      </c>
      <c r="AM28" s="4">
        <f>AL27</f>
        <v>1.599488081911263E-3</v>
      </c>
      <c r="AN28" s="4">
        <v>0</v>
      </c>
      <c r="AO28" s="4">
        <v>0</v>
      </c>
      <c r="AP28" s="4">
        <v>0</v>
      </c>
    </row>
    <row r="29" spans="1:42" x14ac:dyDescent="0.25">
      <c r="A29" t="s">
        <v>4</v>
      </c>
      <c r="F29" s="21">
        <v>156.35178999999999</v>
      </c>
      <c r="G29" s="21">
        <v>0</v>
      </c>
      <c r="H29" s="21">
        <v>528546.30000000005</v>
      </c>
      <c r="J29" s="21">
        <v>156.35178999999999</v>
      </c>
      <c r="K29" s="21">
        <v>0</v>
      </c>
      <c r="L29" s="21">
        <v>528546.30000000005</v>
      </c>
      <c r="N29" s="21">
        <v>149.90975</v>
      </c>
      <c r="O29" s="21">
        <v>0</v>
      </c>
      <c r="P29" s="21">
        <v>3603.2689</v>
      </c>
      <c r="R29" s="6">
        <v>1499.0975000000001</v>
      </c>
      <c r="S29" s="6">
        <v>0</v>
      </c>
      <c r="T29" s="6">
        <v>18016.344499999999</v>
      </c>
      <c r="W29" s="16">
        <v>3</v>
      </c>
      <c r="X29" s="4">
        <f>_xlfn.WEIBULL.DIST(COUNTA($W$27:$W29),J$22,J$21,FALSE)</f>
        <v>0.36787944117144239</v>
      </c>
      <c r="Y29" s="4">
        <f t="shared" ref="Y29:Z31" si="0">X28</f>
        <v>0.33047425742484726</v>
      </c>
      <c r="Z29" s="4">
        <f>Y28</f>
        <v>0.10707116047792069</v>
      </c>
      <c r="AA29" s="4">
        <v>0</v>
      </c>
      <c r="AB29" s="4">
        <v>0</v>
      </c>
      <c r="AE29" s="23">
        <f>_xlfn.WEIBULL.DIST(COUNTA($W$27:$W29),K$22,K$21,FALSE)</f>
        <v>6.3735489107332949E-3</v>
      </c>
      <c r="AF29" s="4">
        <f t="shared" ref="AF29:AG31" si="1">AE28</f>
        <v>0.91969860292860572</v>
      </c>
      <c r="AG29" s="4">
        <f>AF28</f>
        <v>0.15144269288692877</v>
      </c>
      <c r="AH29" s="4">
        <v>0</v>
      </c>
      <c r="AI29" s="4">
        <v>0</v>
      </c>
      <c r="AL29" s="23">
        <f>_xlfn.WEIBULL.DIST(COUNTA($W$27:$W29),L$22,L$21,FALSE)</f>
        <v>0.11990416322625341</v>
      </c>
      <c r="AM29" s="4">
        <f t="shared" ref="AM29:AN31" si="2">AL28</f>
        <v>2.5339193607685703E-2</v>
      </c>
      <c r="AN29" s="4">
        <f>AM28</f>
        <v>1.599488081911263E-3</v>
      </c>
      <c r="AO29" s="4">
        <v>0</v>
      </c>
      <c r="AP29" s="4">
        <v>0</v>
      </c>
    </row>
    <row r="30" spans="1:42" x14ac:dyDescent="0.25">
      <c r="A30" t="s">
        <v>5</v>
      </c>
      <c r="F30" s="21">
        <v>187.83931000000001</v>
      </c>
      <c r="G30" s="21">
        <v>0</v>
      </c>
      <c r="H30" s="21">
        <v>539117.22</v>
      </c>
      <c r="J30" s="21">
        <v>187.83931000000001</v>
      </c>
      <c r="K30" s="21">
        <v>0</v>
      </c>
      <c r="L30" s="21">
        <v>539117.22</v>
      </c>
      <c r="N30" s="21">
        <v>178.97658000000001</v>
      </c>
      <c r="O30" s="21">
        <v>0</v>
      </c>
      <c r="P30" s="21">
        <v>8280.2656999999999</v>
      </c>
      <c r="R30" s="6">
        <v>1789.7658000000001</v>
      </c>
      <c r="S30" s="6">
        <v>0</v>
      </c>
      <c r="T30" s="6">
        <v>41401.328500000003</v>
      </c>
      <c r="W30" s="16">
        <v>4</v>
      </c>
      <c r="X30" s="4">
        <f>_xlfn.WEIBULL.DIST(COUNTA($W$27:$W30),J$22,J$21,FALSE)</f>
        <v>0.1661264181291118</v>
      </c>
      <c r="Y30" s="4">
        <f t="shared" si="0"/>
        <v>0.36787944117144239</v>
      </c>
      <c r="Z30" s="4">
        <f t="shared" si="0"/>
        <v>0.33047425742484726</v>
      </c>
      <c r="AA30" s="4">
        <f>Z29</f>
        <v>0.10707116047792069</v>
      </c>
      <c r="AB30" s="4">
        <v>0</v>
      </c>
      <c r="AE30" s="23">
        <f>_xlfn.WEIBULL.DIST(COUNTA($W$27:$W30),K$22,K$21,FALSE)</f>
        <v>5.0656662196376692E-13</v>
      </c>
      <c r="AF30" s="4">
        <f t="shared" si="1"/>
        <v>6.3735489107332949E-3</v>
      </c>
      <c r="AG30" s="4">
        <f t="shared" si="1"/>
        <v>0.91969860292860572</v>
      </c>
      <c r="AH30" s="4">
        <f>AG29</f>
        <v>0.15144269288692877</v>
      </c>
      <c r="AI30" s="4">
        <v>0</v>
      </c>
      <c r="AL30" s="23">
        <f>_xlfn.WEIBULL.DIST(COUNTA($W$27:$W30),L$22,L$21,FALSE)</f>
        <v>0.29515512740172928</v>
      </c>
      <c r="AM30" s="4">
        <f t="shared" si="2"/>
        <v>0.11990416322625341</v>
      </c>
      <c r="AN30" s="4">
        <f t="shared" si="2"/>
        <v>2.5339193607685703E-2</v>
      </c>
      <c r="AO30" s="4">
        <f>AN29</f>
        <v>1.599488081911263E-3</v>
      </c>
      <c r="AP30" s="4">
        <v>0</v>
      </c>
    </row>
    <row r="31" spans="1:42" x14ac:dyDescent="0.25">
      <c r="A31" t="s">
        <v>6</v>
      </c>
      <c r="F31" s="21">
        <v>224.75569999999999</v>
      </c>
      <c r="G31" s="21">
        <v>0</v>
      </c>
      <c r="H31" s="21">
        <v>549899.56999999995</v>
      </c>
      <c r="J31" s="21">
        <v>224.75569999999999</v>
      </c>
      <c r="K31" s="21">
        <v>0</v>
      </c>
      <c r="L31" s="21">
        <v>549899.56999999995</v>
      </c>
      <c r="N31" s="21">
        <v>210.76054999999999</v>
      </c>
      <c r="O31" s="21">
        <v>0</v>
      </c>
      <c r="P31" s="21">
        <v>10898.171</v>
      </c>
      <c r="R31" s="6">
        <v>2107.6055000000001</v>
      </c>
      <c r="S31" s="6">
        <v>0</v>
      </c>
      <c r="T31" s="6">
        <v>54490.855000000003</v>
      </c>
      <c r="W31" s="16">
        <v>5</v>
      </c>
      <c r="X31" s="4">
        <f>_xlfn.WEIBULL.DIST(COUNTA($W$27:$W31),J$22,J$21,FALSE)</f>
        <v>2.7106590681160576E-2</v>
      </c>
      <c r="Y31" s="4">
        <f t="shared" si="0"/>
        <v>0.1661264181291118</v>
      </c>
      <c r="Z31" s="4">
        <f t="shared" si="0"/>
        <v>0.36787944117144239</v>
      </c>
      <c r="AA31" s="4">
        <f>Z30</f>
        <v>0.33047425742484726</v>
      </c>
      <c r="AB31" s="4">
        <f>AA30</f>
        <v>0.10707116047792069</v>
      </c>
      <c r="AE31" s="23">
        <f>_xlfn.WEIBULL.DIST(COUNTA($W$27:$W31),K$22,K$21,FALSE)</f>
        <v>3.7855548657894578E-41</v>
      </c>
      <c r="AF31" s="4">
        <f t="shared" si="1"/>
        <v>5.0656662196376692E-13</v>
      </c>
      <c r="AG31" s="4">
        <f t="shared" si="1"/>
        <v>6.3735489107332949E-3</v>
      </c>
      <c r="AH31" s="4">
        <f>AG30</f>
        <v>0.91969860292860572</v>
      </c>
      <c r="AI31" s="4">
        <f>AH30</f>
        <v>0.15144269288692877</v>
      </c>
      <c r="AL31" s="23">
        <f>_xlfn.WEIBULL.DIST(COUNTA($W$27:$W31),L$22,L$21,FALSE)</f>
        <v>0.36787944117144233</v>
      </c>
      <c r="AM31" s="4">
        <f t="shared" si="2"/>
        <v>0.29515512740172928</v>
      </c>
      <c r="AN31" s="4">
        <f t="shared" si="2"/>
        <v>0.11990416322625341</v>
      </c>
      <c r="AO31" s="4">
        <f>AN30</f>
        <v>2.5339193607685703E-2</v>
      </c>
      <c r="AP31" s="4">
        <f>AO30</f>
        <v>1.599488081911263E-3</v>
      </c>
    </row>
    <row r="32" spans="1:42" x14ac:dyDescent="0.25">
      <c r="F32" s="13"/>
      <c r="G32" s="13"/>
      <c r="H32" s="13"/>
      <c r="J32" s="13"/>
      <c r="K32" s="13"/>
      <c r="L32" s="13"/>
      <c r="N32" s="13"/>
      <c r="O32" s="13"/>
      <c r="P32" s="13"/>
    </row>
    <row r="33" spans="1:47" ht="29.25" customHeight="1" x14ac:dyDescent="0.25">
      <c r="J33" s="27" t="s">
        <v>55</v>
      </c>
      <c r="K33" s="27"/>
      <c r="L33" s="27"/>
      <c r="M33" s="3"/>
      <c r="N33" s="27" t="s">
        <v>56</v>
      </c>
      <c r="O33" s="27"/>
      <c r="P33" s="27"/>
      <c r="Q33" s="3"/>
      <c r="R33" s="3" t="s">
        <v>57</v>
      </c>
      <c r="S33" s="3"/>
      <c r="X33" s="3" t="s">
        <v>58</v>
      </c>
      <c r="AE33" s="3" t="s">
        <v>59</v>
      </c>
      <c r="AL33" s="3" t="s">
        <v>60</v>
      </c>
      <c r="AS33" s="3" t="s">
        <v>61</v>
      </c>
    </row>
    <row r="34" spans="1:47" x14ac:dyDescent="0.25">
      <c r="J34" t="s">
        <v>12</v>
      </c>
      <c r="K34" t="s">
        <v>13</v>
      </c>
      <c r="L34" t="s">
        <v>14</v>
      </c>
      <c r="N34" t="s">
        <v>12</v>
      </c>
      <c r="O34" t="s">
        <v>13</v>
      </c>
      <c r="P34" t="s">
        <v>14</v>
      </c>
      <c r="R34" t="s">
        <v>12</v>
      </c>
      <c r="S34" t="s">
        <v>13</v>
      </c>
      <c r="T34" t="s">
        <v>14</v>
      </c>
      <c r="X34" s="25" t="s">
        <v>12</v>
      </c>
      <c r="AE34" s="25" t="s">
        <v>13</v>
      </c>
      <c r="AL34" s="25" t="s">
        <v>14</v>
      </c>
      <c r="AS34" s="25" t="s">
        <v>12</v>
      </c>
      <c r="AT34" s="25" t="s">
        <v>13</v>
      </c>
      <c r="AU34" s="25" t="s">
        <v>14</v>
      </c>
    </row>
    <row r="35" spans="1:47" x14ac:dyDescent="0.25">
      <c r="A35" t="s">
        <v>2</v>
      </c>
      <c r="J35" s="26">
        <f t="array" ref="J35:L39">N51:P55*J17:L17</f>
        <v>0</v>
      </c>
      <c r="K35" s="26">
        <v>0</v>
      </c>
      <c r="L35" s="26">
        <v>0</v>
      </c>
      <c r="N35" s="6">
        <f t="array" ref="N35:N39">MMULT(X27:AB31,N27:N31)</f>
        <v>18.599359125121328</v>
      </c>
      <c r="O35" s="6">
        <f t="array" ref="O35:O39">MMULT(AE27:AI31,O27:O31)</f>
        <v>0</v>
      </c>
      <c r="P35" s="6">
        <f t="array" ref="P35:P39">MMULT(AL27:AP31,P27:P31)</f>
        <v>40.692067654694398</v>
      </c>
      <c r="R35" s="6">
        <f t="array" ref="R35:T39">MMULT(J27:L31,_xlfn.MUNIT(3)*J16:L16)</f>
        <v>1085.7763</v>
      </c>
      <c r="S35" s="6">
        <v>0</v>
      </c>
      <c r="T35" s="6">
        <v>508022.2</v>
      </c>
      <c r="W35">
        <f>J21-J20</f>
        <v>3</v>
      </c>
      <c r="X35" s="23">
        <f>_xlfn.WEIBULL.DIST(COUNTA($W$35:$W35)+$W$35,J$22,J$21,FALSE)</f>
        <v>0.1661264181291118</v>
      </c>
      <c r="AD35">
        <f>K21-K20</f>
        <v>2</v>
      </c>
      <c r="AE35" s="23">
        <f>_xlfn.WEIBULL.DIST(COUNTA($AD$35:$AD35)+$AD$35,K$22,K$21,FALSE)</f>
        <v>6.3735489107332949E-3</v>
      </c>
      <c r="AK35">
        <f>L21-L20</f>
        <v>2</v>
      </c>
      <c r="AL35" s="23">
        <f>_xlfn.WEIBULL.DIST(COUNTA($AK$35:$AK35)+$AK$35,L$22,L$21,FALSE)</f>
        <v>0.11990416322625341</v>
      </c>
      <c r="AS35" s="4" cm="1">
        <f t="array" ref="AS35:AS39">X35:X39</f>
        <v>0.1661264181291118</v>
      </c>
      <c r="AT35" s="4" cm="1">
        <f t="array" ref="AT35:AT39">AE35:AE39</f>
        <v>6.3735489107332949E-3</v>
      </c>
      <c r="AU35" s="4" cm="1">
        <f t="array" ref="AU35:AU39">AL35:AL39</f>
        <v>0.11990416322625341</v>
      </c>
    </row>
    <row r="36" spans="1:47" x14ac:dyDescent="0.25">
      <c r="A36" t="s">
        <v>3</v>
      </c>
      <c r="J36" s="26">
        <v>0</v>
      </c>
      <c r="K36" s="26">
        <v>0</v>
      </c>
      <c r="L36" s="26">
        <v>0</v>
      </c>
      <c r="N36" s="6">
        <v>68.010290989685501</v>
      </c>
      <c r="O36" s="6">
        <v>0</v>
      </c>
      <c r="P36" s="6">
        <v>646.49252720367315</v>
      </c>
      <c r="R36" s="6">
        <v>1302.9315999999999</v>
      </c>
      <c r="S36" s="6">
        <v>0</v>
      </c>
      <c r="T36" s="6">
        <v>518182.64</v>
      </c>
      <c r="W36">
        <f>W35+1</f>
        <v>4</v>
      </c>
      <c r="X36" s="23">
        <f>_xlfn.WEIBULL.DIST(COUNTA($W$35:$W36)+$W$35,J$22,J$21,FALSE)</f>
        <v>2.7106590681160576E-2</v>
      </c>
      <c r="AD36">
        <f>AD35+1</f>
        <v>3</v>
      </c>
      <c r="AE36" s="23">
        <f>_xlfn.WEIBULL.DIST(COUNTA($AD$35:$AD36)+$AD$35,K$22,K$21,FALSE)</f>
        <v>5.0656662196376692E-13</v>
      </c>
      <c r="AK36">
        <f>AK35+1</f>
        <v>3</v>
      </c>
      <c r="AL36" s="23">
        <f>_xlfn.WEIBULL.DIST(COUNTA($AK$35:$AK36)+$AK$35,L$22,L$21,FALSE)</f>
        <v>0.29515512740172928</v>
      </c>
      <c r="AS36" s="4">
        <v>2.7106590681160576E-2</v>
      </c>
      <c r="AT36" s="4">
        <v>5.0656662196376692E-13</v>
      </c>
      <c r="AU36" s="4">
        <v>0.29515512740172928</v>
      </c>
    </row>
    <row r="37" spans="1:47" x14ac:dyDescent="0.25">
      <c r="A37" t="s">
        <v>4</v>
      </c>
      <c r="J37" s="26">
        <v>0</v>
      </c>
      <c r="K37" s="26">
        <v>0</v>
      </c>
      <c r="L37" s="26">
        <v>0</v>
      </c>
      <c r="N37" s="6">
        <v>112.68312724962217</v>
      </c>
      <c r="O37" s="6">
        <v>0</v>
      </c>
      <c r="P37" s="6">
        <v>3085.4540666868643</v>
      </c>
      <c r="R37" s="6">
        <v>1563.5178999999998</v>
      </c>
      <c r="S37" s="6">
        <v>0</v>
      </c>
      <c r="T37" s="6">
        <v>528546.30000000005</v>
      </c>
      <c r="W37">
        <f t="shared" ref="W37:W39" si="3">W36+1</f>
        <v>5</v>
      </c>
      <c r="X37" s="23">
        <f>_xlfn.WEIBULL.DIST(COUNTA($W$35:$W37)+$W$35,J$22,J$21,FALSE)</f>
        <v>1.3418505116100498E-3</v>
      </c>
      <c r="AD37">
        <f t="shared" ref="AD37:AD39" si="4">AD36+1</f>
        <v>4</v>
      </c>
      <c r="AE37" s="23">
        <f>_xlfn.WEIBULL.DIST(COUNTA($AD$35:$AD37)+$AD$35,K$22,K$21,FALSE)</f>
        <v>3.7855548657894578E-41</v>
      </c>
      <c r="AK37">
        <f t="shared" ref="AK37:AK39" si="5">AK36+1</f>
        <v>4</v>
      </c>
      <c r="AL37" s="23">
        <f>_xlfn.WEIBULL.DIST(COUNTA($AK$35:$AK37)+$AK$35,L$22,L$21,FALSE)</f>
        <v>0.36787944117144233</v>
      </c>
      <c r="AS37" s="4">
        <v>1.3418505116100498E-3</v>
      </c>
      <c r="AT37" s="4">
        <v>3.7855548657894578E-41</v>
      </c>
      <c r="AU37" s="4">
        <v>0.36787944117144233</v>
      </c>
    </row>
    <row r="38" spans="1:47" x14ac:dyDescent="0.25">
      <c r="A38" t="s">
        <v>5</v>
      </c>
      <c r="J38" s="26">
        <v>0</v>
      </c>
      <c r="K38" s="26">
        <v>0</v>
      </c>
      <c r="L38" s="26">
        <v>0</v>
      </c>
      <c r="N38" s="6">
        <v>133.99441754210659</v>
      </c>
      <c r="O38" s="6">
        <v>0</v>
      </c>
      <c r="P38" s="6">
        <v>7751.8915867940832</v>
      </c>
      <c r="R38" s="6">
        <v>1878.3931000000002</v>
      </c>
      <c r="S38" s="6">
        <v>0</v>
      </c>
      <c r="T38" s="6">
        <v>539117.22</v>
      </c>
      <c r="W38">
        <f t="shared" si="3"/>
        <v>6</v>
      </c>
      <c r="X38" s="23">
        <f>_xlfn.WEIBULL.DIST(COUNTA($W$35:$W38)+$W$35,J$22,J$21,FALSE)</f>
        <v>1.6550272633902514E-5</v>
      </c>
      <c r="AD38">
        <f t="shared" si="4"/>
        <v>5</v>
      </c>
      <c r="AE38" s="23">
        <f>_xlfn.WEIBULL.DIST(COUNTA($AD$35:$AD38)+$AD$35,K$22,K$21,FALSE)</f>
        <v>5.9274230554426089E-104</v>
      </c>
      <c r="AK38">
        <f t="shared" si="5"/>
        <v>5</v>
      </c>
      <c r="AL38" s="23">
        <f>_xlfn.WEIBULL.DIST(COUNTA($AK$35:$AK38)+$AK$35,L$22,L$21,FALSE)</f>
        <v>0.17221117858191715</v>
      </c>
      <c r="AS38" s="4">
        <v>1.6550272633902514E-5</v>
      </c>
      <c r="AT38" s="4">
        <v>5.9274230554426089E-104</v>
      </c>
      <c r="AU38" s="4">
        <v>0.17221117858191715</v>
      </c>
    </row>
    <row r="39" spans="1:47" x14ac:dyDescent="0.25">
      <c r="A39" t="s">
        <v>6</v>
      </c>
      <c r="J39" s="26">
        <v>0</v>
      </c>
      <c r="K39" s="26">
        <v>0</v>
      </c>
      <c r="L39" s="26">
        <v>0</v>
      </c>
      <c r="N39" s="6">
        <v>158.02284703245019</v>
      </c>
      <c r="O39" s="6">
        <v>0</v>
      </c>
      <c r="P39" s="6">
        <v>10359.071402926136</v>
      </c>
      <c r="R39" s="6">
        <v>2247.5569999999998</v>
      </c>
      <c r="S39" s="6">
        <v>0</v>
      </c>
      <c r="T39" s="6">
        <v>549899.56999999995</v>
      </c>
      <c r="W39">
        <f t="shared" si="3"/>
        <v>7</v>
      </c>
      <c r="X39" s="23">
        <f>_xlfn.WEIBULL.DIST(COUNTA($W$35:$W39)+$W$35,J$22,J$21,FALSE)</f>
        <v>4.1345408690430844E-8</v>
      </c>
      <c r="AD39">
        <f t="shared" si="4"/>
        <v>6</v>
      </c>
      <c r="AE39" s="23">
        <f>_xlfn.WEIBULL.DIST(COUNTA($AD$35:$AD39)+$AD$35,K$22,K$21,FALSE)</f>
        <v>2.9826841676640016E-226</v>
      </c>
      <c r="AK39">
        <f t="shared" si="5"/>
        <v>6</v>
      </c>
      <c r="AL39" s="23">
        <f>_xlfn.WEIBULL.DIST(COUNTA($AK$35:$AK39)+$AK$35,L$22,L$21,FALSE)</f>
        <v>1.7732590637651324E-2</v>
      </c>
      <c r="AS39" s="4">
        <v>4.1345408690430844E-8</v>
      </c>
      <c r="AT39" s="4">
        <v>2.9826841676640016E-226</v>
      </c>
      <c r="AU39" s="4">
        <v>1.7732590637651324E-2</v>
      </c>
    </row>
    <row r="41" spans="1:47" ht="30" customHeight="1" x14ac:dyDescent="0.25">
      <c r="J41" s="27" t="s">
        <v>66</v>
      </c>
      <c r="K41" s="27"/>
      <c r="L41" s="27"/>
      <c r="N41" s="27" t="s">
        <v>62</v>
      </c>
      <c r="O41" s="27"/>
      <c r="P41" s="27"/>
      <c r="R41" s="28"/>
      <c r="S41" s="28"/>
    </row>
    <row r="42" spans="1:47" x14ac:dyDescent="0.25">
      <c r="J42" t="s">
        <v>12</v>
      </c>
      <c r="K42" t="s">
        <v>13</v>
      </c>
      <c r="L42" t="s">
        <v>14</v>
      </c>
      <c r="N42" t="s">
        <v>12</v>
      </c>
      <c r="O42" t="s">
        <v>13</v>
      </c>
      <c r="P42" t="s">
        <v>14</v>
      </c>
    </row>
    <row r="43" spans="1:47" x14ac:dyDescent="0.25">
      <c r="A43" t="s">
        <v>2</v>
      </c>
      <c r="J43" s="6">
        <f t="array" ref="J43:L47">N51:P55*J18:L18</f>
        <v>108.57763061241506</v>
      </c>
      <c r="K43" s="6">
        <v>0</v>
      </c>
      <c r="L43" s="6">
        <v>508022.19673017069</v>
      </c>
      <c r="N43" s="6" cm="1">
        <f t="array" ref="N43:N47">J19*X35:X39</f>
        <v>0</v>
      </c>
      <c r="O43" s="6" cm="1">
        <f t="array" ref="O43:O47">K19*AE35:AE39</f>
        <v>0</v>
      </c>
      <c r="P43" s="6" cm="1">
        <f t="array" ref="P43:P47">L19*AL35:AL39</f>
        <v>0.11990416322625341</v>
      </c>
    </row>
    <row r="44" spans="1:47" x14ac:dyDescent="0.25">
      <c r="A44" t="s">
        <v>3</v>
      </c>
      <c r="J44" s="6">
        <v>130.29315801963523</v>
      </c>
      <c r="K44" s="6">
        <v>0</v>
      </c>
      <c r="L44" s="6">
        <v>518182.64128864516</v>
      </c>
      <c r="N44" s="6">
        <v>0</v>
      </c>
      <c r="O44" s="6">
        <v>0</v>
      </c>
      <c r="P44" s="6">
        <v>0.29515512740172928</v>
      </c>
    </row>
    <row r="45" spans="1:47" x14ac:dyDescent="0.25">
      <c r="A45" t="s">
        <v>4</v>
      </c>
      <c r="J45" s="6">
        <v>156.35179394489964</v>
      </c>
      <c r="K45" s="6">
        <v>0</v>
      </c>
      <c r="L45" s="6">
        <v>528546.29554373131</v>
      </c>
      <c r="N45" s="6">
        <v>0</v>
      </c>
      <c r="O45" s="6">
        <v>0</v>
      </c>
      <c r="P45" s="6">
        <v>0.36787944117144233</v>
      </c>
    </row>
    <row r="46" spans="1:47" x14ac:dyDescent="0.25">
      <c r="A46" t="s">
        <v>5</v>
      </c>
      <c r="J46" s="6">
        <v>187.83930766542505</v>
      </c>
      <c r="K46" s="6">
        <v>0</v>
      </c>
      <c r="L46" s="6">
        <v>539117.22203142114</v>
      </c>
      <c r="N46" s="6">
        <v>0</v>
      </c>
      <c r="O46" s="6">
        <v>0</v>
      </c>
      <c r="P46" s="6">
        <v>0.17221117858191715</v>
      </c>
    </row>
    <row r="47" spans="1:47" x14ac:dyDescent="0.25">
      <c r="A47" t="s">
        <v>6</v>
      </c>
      <c r="J47" s="6">
        <v>224.75569974270988</v>
      </c>
      <c r="K47" s="6">
        <v>0</v>
      </c>
      <c r="L47" s="6">
        <v>549899.56862471136</v>
      </c>
      <c r="N47" s="6">
        <v>0</v>
      </c>
      <c r="O47" s="6">
        <v>0</v>
      </c>
      <c r="P47" s="6">
        <v>1.7732590637651324E-2</v>
      </c>
    </row>
    <row r="49" spans="1:28" ht="30" customHeight="1" x14ac:dyDescent="0.25">
      <c r="N49" s="27" t="s">
        <v>63</v>
      </c>
      <c r="O49" s="27"/>
      <c r="P49" s="27"/>
      <c r="Q49" s="27"/>
      <c r="R49" s="27"/>
      <c r="S49" s="27"/>
      <c r="X49" s="3" t="s">
        <v>64</v>
      </c>
    </row>
    <row r="50" spans="1:28" x14ac:dyDescent="0.25">
      <c r="N50" t="s">
        <v>12</v>
      </c>
      <c r="O50" t="s">
        <v>13</v>
      </c>
      <c r="P50" t="s">
        <v>14</v>
      </c>
      <c r="Q50" s="24"/>
      <c r="R50" s="24"/>
      <c r="S50" s="24"/>
      <c r="X50" t="s">
        <v>2</v>
      </c>
      <c r="Y50" t="s">
        <v>3</v>
      </c>
      <c r="Z50" t="s">
        <v>4</v>
      </c>
      <c r="AA50" t="s">
        <v>5</v>
      </c>
      <c r="AB50" t="s">
        <v>6</v>
      </c>
    </row>
    <row r="51" spans="1:28" x14ac:dyDescent="0.25">
      <c r="A51" t="s">
        <v>2</v>
      </c>
      <c r="N51" s="6">
        <f t="array" ref="N51:P55">J19:L19-MMULT(X51:AB55,N35:P39)+MMULT(X51:AB55,N27:P31)+MMULT(X51:AB55,N43:P47)</f>
        <v>155.11090087487867</v>
      </c>
      <c r="O51" s="6">
        <v>0</v>
      </c>
      <c r="P51" s="6">
        <v>25401.109836508534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</row>
    <row r="52" spans="1:28" x14ac:dyDescent="0.25">
      <c r="A52" t="s">
        <v>3</v>
      </c>
      <c r="N52" s="6">
        <v>186.13308288519318</v>
      </c>
      <c r="O52" s="6">
        <v>0</v>
      </c>
      <c r="P52" s="6">
        <v>25909.132064432259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</row>
    <row r="53" spans="1:28" x14ac:dyDescent="0.25">
      <c r="A53" t="s">
        <v>4</v>
      </c>
      <c r="N53" s="6">
        <v>223.35970563557095</v>
      </c>
      <c r="O53" s="6">
        <v>0</v>
      </c>
      <c r="P53" s="6">
        <v>26427.314777186566</v>
      </c>
      <c r="X53" s="4">
        <v>1</v>
      </c>
      <c r="Y53" s="4">
        <v>1</v>
      </c>
      <c r="Z53" s="4">
        <v>1</v>
      </c>
      <c r="AA53" s="4">
        <v>0</v>
      </c>
      <c r="AB53" s="4">
        <v>0</v>
      </c>
    </row>
    <row r="54" spans="1:28" x14ac:dyDescent="0.25">
      <c r="A54" t="s">
        <v>5</v>
      </c>
      <c r="N54" s="6">
        <v>268.34186809346437</v>
      </c>
      <c r="O54" s="6">
        <v>0</v>
      </c>
      <c r="P54" s="6">
        <v>26955.861101571059</v>
      </c>
      <c r="X54" s="4">
        <v>1</v>
      </c>
      <c r="Y54" s="4">
        <v>1</v>
      </c>
      <c r="Z54" s="4">
        <v>1</v>
      </c>
      <c r="AA54" s="4">
        <v>1</v>
      </c>
      <c r="AB54" s="4">
        <v>0</v>
      </c>
    </row>
    <row r="55" spans="1:28" x14ac:dyDescent="0.25">
      <c r="A55" t="s">
        <v>6</v>
      </c>
      <c r="N55" s="6">
        <v>321.07957106101412</v>
      </c>
      <c r="O55" s="6">
        <v>0</v>
      </c>
      <c r="P55" s="6">
        <v>27494.978431235566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</row>
  </sheetData>
  <mergeCells count="5">
    <mergeCell ref="J33:L33"/>
    <mergeCell ref="N33:P33"/>
    <mergeCell ref="J41:L41"/>
    <mergeCell ref="N41:P41"/>
    <mergeCell ref="N49:S49"/>
  </mergeCells>
  <hyperlinks>
    <hyperlink ref="A1" location="Contents!A1" display="Back to contents" xr:uid="{E4D00318-65A7-41BB-830C-13D71851F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2024-05-02T15:41:21Z</dcterms:modified>
</cp:coreProperties>
</file>