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loren\Documents\GitHub\pyesm\doc\concepts\"/>
    </mc:Choice>
  </mc:AlternateContent>
  <xr:revisionPtr revIDLastSave="0" documentId="13_ncr:1_{4597E6D3-E650-41F4-86D7-858CA73F02EB}" xr6:coauthVersionLast="47" xr6:coauthVersionMax="47" xr10:uidLastSave="{00000000-0000-0000-0000-000000000000}"/>
  <bookViews>
    <workbookView xWindow="38280" yWindow="-120" windowWidth="38640" windowHeight="21120" tabRatio="887" xr2:uid="{B26EA869-E077-404B-8821-28AAA0DECE59}"/>
  </bookViews>
  <sheets>
    <sheet name="Contents" sheetId="28" r:id="rId1"/>
    <sheet name="1. Multi-products - Sim" sheetId="27" r:id="rId2"/>
    <sheet name="1. Multi-products - Opt" sheetId="26" r:id="rId3"/>
    <sheet name="2. Operation" sheetId="25" r:id="rId4"/>
    <sheet name="3. Planning - No disposal" sheetId="21" r:id="rId5"/>
    <sheet name="3. Planning - Disposal" sheetId="23" r:id="rId6"/>
    <sheet name="3. Planning - Disposal (1 shot)" sheetId="22" r:id="rId7"/>
    <sheet name="3. Planning - Discounting" sheetId="24" r:id="rId8"/>
    <sheet name="4. Infra-year timeslices" sheetId="20" r:id="rId9"/>
    <sheet name="5. Storage (same flow)" sheetId="16" r:id="rId10"/>
    <sheet name="5. Storage BEV" sheetId="17" r:id="rId11"/>
    <sheet name="5. Storage V2G" sheetId="18" r:id="rId12"/>
    <sheet name="5. Storage V2G sell" sheetId="19" r:id="rId13"/>
    <sheet name="6. Transmissions" sheetId="29" r:id="rId14"/>
    <sheet name="6. Trades" sheetId="30" r:id="rId15"/>
    <sheet name="6. Trades &amp; transmission" sheetId="34" r:id="rId16"/>
    <sheet name="6. Trades &amp; transmission RCOT" sheetId="36" r:id="rId17"/>
  </sheets>
  <definedNames>
    <definedName name="OpenSolver_ChosenSolver" localSheetId="2" hidden="1">CBC</definedName>
    <definedName name="OpenSolver_ChosenSolver" localSheetId="1" hidden="1">CBC</definedName>
    <definedName name="OpenSolver_ChosenSolver" localSheetId="3" hidden="1">CBC</definedName>
    <definedName name="OpenSolver_ChosenSolver" localSheetId="7" hidden="1">CBC</definedName>
    <definedName name="OpenSolver_ChosenSolver" localSheetId="5" hidden="1">CBC</definedName>
    <definedName name="OpenSolver_ChosenSolver" localSheetId="6" hidden="1">CBC</definedName>
    <definedName name="OpenSolver_ChosenSolver" localSheetId="4" hidden="1">CBC</definedName>
    <definedName name="OpenSolver_ChosenSolver" localSheetId="8" hidden="1">CBC</definedName>
    <definedName name="OpenSolver_ChosenSolver" localSheetId="9" hidden="1">CBC</definedName>
    <definedName name="OpenSolver_ChosenSolver" localSheetId="10" hidden="1">CBC</definedName>
    <definedName name="OpenSolver_ChosenSolver" localSheetId="11" hidden="1">CBC</definedName>
    <definedName name="OpenSolver_ChosenSolver" localSheetId="12" hidden="1">CBC</definedName>
    <definedName name="OpenSolver_ChosenSolver" localSheetId="14" hidden="1">CBC</definedName>
    <definedName name="OpenSolver_ChosenSolver" localSheetId="15" hidden="1">CBC</definedName>
    <definedName name="OpenSolver_ChosenSolver" localSheetId="16" hidden="1">CBC</definedName>
    <definedName name="OpenSolver_ChosenSolver" localSheetId="13" hidden="1">CBC</definedName>
    <definedName name="OpenSolver_DualsNewSheet" localSheetId="2" hidden="1">0</definedName>
    <definedName name="OpenSolver_DualsNewSheet" localSheetId="1" hidden="1">0</definedName>
    <definedName name="OpenSolver_DualsNewSheet" localSheetId="3" hidden="1">0</definedName>
    <definedName name="OpenSolver_DualsNewSheet" localSheetId="7" hidden="1">0</definedName>
    <definedName name="OpenSolver_DualsNewSheet" localSheetId="5" hidden="1">0</definedName>
    <definedName name="OpenSolver_DualsNewSheet" localSheetId="6" hidden="1">0</definedName>
    <definedName name="OpenSolver_DualsNewSheet" localSheetId="4" hidden="1">0</definedName>
    <definedName name="OpenSolver_DualsNewSheet" localSheetId="8" hidden="1">0</definedName>
    <definedName name="OpenSolver_DualsNewSheet" localSheetId="9" hidden="1">0</definedName>
    <definedName name="OpenSolver_DualsNewSheet" localSheetId="10" hidden="1">0</definedName>
    <definedName name="OpenSolver_DualsNewSheet" localSheetId="11" hidden="1">0</definedName>
    <definedName name="OpenSolver_DualsNewSheet" localSheetId="12" hidden="1">0</definedName>
    <definedName name="OpenSolver_DualsNewSheet" localSheetId="14" hidden="1">0</definedName>
    <definedName name="OpenSolver_DualsNewSheet" localSheetId="15" hidden="1">0</definedName>
    <definedName name="OpenSolver_DualsNewSheet" localSheetId="16" hidden="1">0</definedName>
    <definedName name="OpenSolver_DualsNewSheet" localSheetId="13" hidden="1">0</definedName>
    <definedName name="OpenSolver_LinearityCheck" localSheetId="2" hidden="1">1</definedName>
    <definedName name="OpenSolver_LinearityCheck" localSheetId="1" hidden="1">1</definedName>
    <definedName name="OpenSolver_LinearityCheck" localSheetId="3" hidden="1">1</definedName>
    <definedName name="OpenSolver_LinearityCheck" localSheetId="7" hidden="1">1</definedName>
    <definedName name="OpenSolver_LinearityCheck" localSheetId="5" hidden="1">1</definedName>
    <definedName name="OpenSolver_LinearityCheck" localSheetId="6" hidden="1">1</definedName>
    <definedName name="OpenSolver_LinearityCheck" localSheetId="4" hidden="1">1</definedName>
    <definedName name="OpenSolver_LinearityCheck" localSheetId="8" hidden="1">1</definedName>
    <definedName name="OpenSolver_LinearityCheck" localSheetId="9" hidden="1">1</definedName>
    <definedName name="OpenSolver_LinearityCheck" localSheetId="10" hidden="1">1</definedName>
    <definedName name="OpenSolver_LinearityCheck" localSheetId="11" hidden="1">1</definedName>
    <definedName name="OpenSolver_LinearityCheck" localSheetId="12" hidden="1">1</definedName>
    <definedName name="OpenSolver_LinearityCheck" localSheetId="14" hidden="1">1</definedName>
    <definedName name="OpenSolver_LinearityCheck" localSheetId="15" hidden="1">1</definedName>
    <definedName name="OpenSolver_LinearityCheck" localSheetId="16" hidden="1">1</definedName>
    <definedName name="OpenSolver_LinearityCheck" localSheetId="13" hidden="1">1</definedName>
    <definedName name="OpenSolver_UpdateSensitivity" localSheetId="2" hidden="1">1</definedName>
    <definedName name="OpenSolver_UpdateSensitivity" localSheetId="1" hidden="1">1</definedName>
    <definedName name="OpenSolver_UpdateSensitivity" localSheetId="3" hidden="1">1</definedName>
    <definedName name="OpenSolver_UpdateSensitivity" localSheetId="7" hidden="1">1</definedName>
    <definedName name="OpenSolver_UpdateSensitivity" localSheetId="5" hidden="1">1</definedName>
    <definedName name="OpenSolver_UpdateSensitivity" localSheetId="6" hidden="1">1</definedName>
    <definedName name="OpenSolver_UpdateSensitivity" localSheetId="4" hidden="1">1</definedName>
    <definedName name="OpenSolver_UpdateSensitivity" localSheetId="8" hidden="1">1</definedName>
    <definedName name="OpenSolver_UpdateSensitivity" localSheetId="9" hidden="1">1</definedName>
    <definedName name="OpenSolver_UpdateSensitivity" localSheetId="10" hidden="1">1</definedName>
    <definedName name="OpenSolver_UpdateSensitivity" localSheetId="11" hidden="1">1</definedName>
    <definedName name="OpenSolver_UpdateSensitivity" localSheetId="12" hidden="1">1</definedName>
    <definedName name="OpenSolver_UpdateSensitivity" localSheetId="14" hidden="1">1</definedName>
    <definedName name="OpenSolver_UpdateSensitivity" localSheetId="15" hidden="1">1</definedName>
    <definedName name="OpenSolver_UpdateSensitivity" localSheetId="16" hidden="1">1</definedName>
    <definedName name="OpenSolver_UpdateSensitivity" localSheetId="13" hidden="1">1</definedName>
    <definedName name="solver_adj" localSheetId="2" hidden="1">'1. Multi-products - Opt'!$W$33:$W$38,'1. Multi-products - Opt'!$W$41:$W$45,'1. Multi-products - Opt'!$G$49:$M$49</definedName>
    <definedName name="solver_adj" localSheetId="1" hidden="1">'1. Multi-products - Sim'!$W$24:$W$30,'1. Multi-products - Sim'!$W$32:$W$36,'1. Multi-products - Sim'!$G$40:$M$40</definedName>
    <definedName name="solver_adj" localSheetId="3" hidden="1">'2. Operation'!$G$16:$H$20,'2. Operation'!$J$16:$K$20</definedName>
    <definedName name="solver_adj" localSheetId="7" hidden="1">'3. Planning - Discounting'!$F$28:$H$32,'3. Planning - Discounting'!$N$28:$P$32,'3. Planning - Discounting'!$J$28:$L$32</definedName>
    <definedName name="solver_adj" localSheetId="5" hidden="1">'3. Planning - Disposal'!$F$28:$H$32,'3. Planning - Disposal'!$N$28:$P$32,'3. Planning - Disposal'!$J$28:$L$32</definedName>
    <definedName name="solver_adj" localSheetId="6" hidden="1">'3. Planning - Disposal (1 shot)'!$F$28:$H$32,'3. Planning - Disposal (1 shot)'!$N$28:$P$32,'3. Planning - Disposal (1 shot)'!$J$28:$L$32</definedName>
    <definedName name="solver_adj" localSheetId="4" hidden="1">'3. Planning - No disposal'!$G$25:$I$29,'3. Planning - No disposal'!$O$25:$Q$29,'3. Planning - No disposal'!$K$25:$M$29</definedName>
    <definedName name="solver_adj" localSheetId="8" hidden="1">'4. Infra-year timeslices'!$H$39:$I$41,'4. Infra-year timeslices'!$H$43:$I$45,'4. Infra-year timeslices'!$L$39:$M$41,'4. Infra-year timeslices'!$L$43:$M$45,'4. Infra-year timeslices'!$L$48:$N$49,'4. Infra-year timeslices'!$H$48:$J$49,'4. Infra-year timeslices'!$L$74:$N$75</definedName>
    <definedName name="solver_adj" localSheetId="9" hidden="1">'5. Storage (same flow)'!$H$36:$I$40,'5. Storage (same flow)'!$K$36:$M$40</definedName>
    <definedName name="solver_adj" localSheetId="10" hidden="1">'5. Storage BEV'!$H$41:$K$45,'5. Storage BEV'!$M$41:$Q$45</definedName>
    <definedName name="solver_adj" localSheetId="11" hidden="1">'5. Storage V2G'!$H$41:$K$45,'5. Storage V2G'!$M$41:$Q$45</definedName>
    <definedName name="solver_adj" localSheetId="12" hidden="1">'5. Storage V2G sell'!$H$41:$K$45,'5. Storage V2G sell'!$M$41:$R$45</definedName>
    <definedName name="solver_adj" localSheetId="14" hidden="1">'6. Trades'!$F$27:$K$27,'6. Trades'!$M$27:$R$27,'6. Trades'!$F$7:$K$12</definedName>
    <definedName name="solver_adj" localSheetId="15" hidden="1">'6. Trades &amp; transmission'!$F$32:$K$32,'6. Trades &amp; transmission'!$M$32:$R$32,'6. Trades &amp; transmission'!$F$7:$K$12</definedName>
    <definedName name="solver_adj" localSheetId="16" hidden="1">'6. Trades &amp; transmission RCOT'!$F$32:$K$32,'6. Trades &amp; transmission RCOT'!$M$32:$R$32,'6. Trades &amp; transmission RCOT'!$F$7:$K$9</definedName>
    <definedName name="solver_adj" localSheetId="13" hidden="1">'6. Transmissions'!$E$14:$F$14,'6. Transmissions'!$H$14:$I$14</definedName>
    <definedName name="solver_cvg" localSheetId="2" hidden="1">0.0001</definedName>
    <definedName name="solver_cvg" localSheetId="1" hidden="1">0.0001</definedName>
    <definedName name="solver_cvg" localSheetId="3" hidden="1">0.0001</definedName>
    <definedName name="solver_cvg" localSheetId="7" hidden="1">0.0001</definedName>
    <definedName name="solver_cvg" localSheetId="5" hidden="1">0.0001</definedName>
    <definedName name="solver_cvg" localSheetId="6" hidden="1">0.0001</definedName>
    <definedName name="solver_cvg" localSheetId="4" hidden="1">0.0001</definedName>
    <definedName name="solver_cvg" localSheetId="8" hidden="1">0.0001</definedName>
    <definedName name="solver_cvg" localSheetId="9" hidden="1">0.0001</definedName>
    <definedName name="solver_cvg" localSheetId="10" hidden="1">0.0001</definedName>
    <definedName name="solver_cvg" localSheetId="11" hidden="1">0.0001</definedName>
    <definedName name="solver_cvg" localSheetId="12" hidden="1">0.0001</definedName>
    <definedName name="solver_cvg" localSheetId="14" hidden="1">0.0001</definedName>
    <definedName name="solver_cvg" localSheetId="15" hidden="1">0.0001</definedName>
    <definedName name="solver_cvg" localSheetId="16" hidden="1">0.0001</definedName>
    <definedName name="solver_cvg" localSheetId="13" hidden="1">0.0001</definedName>
    <definedName name="solver_drv" localSheetId="2" hidden="1">1</definedName>
    <definedName name="solver_drv" localSheetId="1" hidden="1">1</definedName>
    <definedName name="solver_drv" localSheetId="3" hidden="1">1</definedName>
    <definedName name="solver_drv" localSheetId="7" hidden="1">1</definedName>
    <definedName name="solver_drv" localSheetId="5" hidden="1">1</definedName>
    <definedName name="solver_drv" localSheetId="6" hidden="1">1</definedName>
    <definedName name="solver_drv" localSheetId="4" hidden="1">1</definedName>
    <definedName name="solver_drv" localSheetId="8" hidden="1">1</definedName>
    <definedName name="solver_drv" localSheetId="9" hidden="1">1</definedName>
    <definedName name="solver_drv" localSheetId="10" hidden="1">1</definedName>
    <definedName name="solver_drv" localSheetId="11" hidden="1">1</definedName>
    <definedName name="solver_drv" localSheetId="12" hidden="1">1</definedName>
    <definedName name="solver_drv" localSheetId="14" hidden="1">1</definedName>
    <definedName name="solver_drv" localSheetId="15" hidden="1">1</definedName>
    <definedName name="solver_drv" localSheetId="16" hidden="1">1</definedName>
    <definedName name="solver_drv" localSheetId="13" hidden="1">1</definedName>
    <definedName name="solver_eng" localSheetId="7" hidden="1">1</definedName>
    <definedName name="solver_eng" localSheetId="5" hidden="1">1</definedName>
    <definedName name="solver_eng" localSheetId="6" hidden="1">1</definedName>
    <definedName name="solver_eng" localSheetId="4" hidden="1">1</definedName>
    <definedName name="solver_eng" localSheetId="16" hidden="1">2</definedName>
    <definedName name="solver_est" localSheetId="2" hidden="1">1</definedName>
    <definedName name="solver_est" localSheetId="1" hidden="1">1</definedName>
    <definedName name="solver_est" localSheetId="3" hidden="1">1</definedName>
    <definedName name="solver_est" localSheetId="7" hidden="1">1</definedName>
    <definedName name="solver_est" localSheetId="5" hidden="1">1</definedName>
    <definedName name="solver_est" localSheetId="6" hidden="1">1</definedName>
    <definedName name="solver_est" localSheetId="4" hidden="1">1</definedName>
    <definedName name="solver_est" localSheetId="8" hidden="1">1</definedName>
    <definedName name="solver_est" localSheetId="9" hidden="1">1</definedName>
    <definedName name="solver_est" localSheetId="10" hidden="1">1</definedName>
    <definedName name="solver_est" localSheetId="11" hidden="1">1</definedName>
    <definedName name="solver_est" localSheetId="12" hidden="1">1</definedName>
    <definedName name="solver_est" localSheetId="14" hidden="1">1</definedName>
    <definedName name="solver_est" localSheetId="15" hidden="1">1</definedName>
    <definedName name="solver_est" localSheetId="16" hidden="1">1</definedName>
    <definedName name="solver_est" localSheetId="13" hidden="1">1</definedName>
    <definedName name="solver_itr" localSheetId="2" hidden="1">2147483647</definedName>
    <definedName name="solver_itr" localSheetId="1" hidden="1">2147483647</definedName>
    <definedName name="solver_itr" localSheetId="3" hidden="1">2147483647</definedName>
    <definedName name="solver_itr" localSheetId="7" hidden="1">2147483647</definedName>
    <definedName name="solver_itr" localSheetId="5" hidden="1">2147483647</definedName>
    <definedName name="solver_itr" localSheetId="6" hidden="1">2147483647</definedName>
    <definedName name="solver_itr" localSheetId="4" hidden="1">2147483647</definedName>
    <definedName name="solver_itr" localSheetId="8" hidden="1">2147483647</definedName>
    <definedName name="solver_itr" localSheetId="9" hidden="1">2147483647</definedName>
    <definedName name="solver_itr" localSheetId="10" hidden="1">2147483647</definedName>
    <definedName name="solver_itr" localSheetId="11" hidden="1">2147483647</definedName>
    <definedName name="solver_itr" localSheetId="12" hidden="1">2147483647</definedName>
    <definedName name="solver_itr" localSheetId="14" hidden="1">2147483647</definedName>
    <definedName name="solver_itr" localSheetId="15" hidden="1">2147483647</definedName>
    <definedName name="solver_itr" localSheetId="16" hidden="1">2147483647</definedName>
    <definedName name="solver_itr" localSheetId="13" hidden="1">2147483647</definedName>
    <definedName name="solver_lhs1" localSheetId="2" hidden="1">'1. Multi-products - Opt'!$AC$33:$AC$38</definedName>
    <definedName name="solver_lhs1" localSheetId="1" hidden="1">'1. Multi-products - Sim'!$AC$24:$AC$30</definedName>
    <definedName name="solver_lhs1" localSheetId="3" hidden="1">'2. Operation'!$Y$8:$AC$8</definedName>
    <definedName name="solver_lhs1" localSheetId="7" hidden="1">'3. Planning - Discounting'!$Z$11:$AD$13</definedName>
    <definedName name="solver_lhs1" localSheetId="5" hidden="1">'3. Planning - Disposal'!$Z$11:$AD$13</definedName>
    <definedName name="solver_lhs1" localSheetId="6" hidden="1">'3. Planning - Disposal (1 shot)'!$AD$11:$AH$13</definedName>
    <definedName name="solver_lhs1" localSheetId="4" hidden="1">'3. Planning - No disposal'!$AA$11:$AE$13</definedName>
    <definedName name="solver_lhs1" localSheetId="8" hidden="1">'4. Infra-year timeslices'!$AM$10:$AN$11</definedName>
    <definedName name="solver_lhs1" localSheetId="9" hidden="1">'5. Storage (same flow)'!$Z$9:$AD$9</definedName>
    <definedName name="solver_lhs1" localSheetId="10" hidden="1">'5. Storage BEV'!$AG$10:$AK$12</definedName>
    <definedName name="solver_lhs1" localSheetId="11" hidden="1">'5. Storage V2G'!$AG$10:$AK$12</definedName>
    <definedName name="solver_lhs1" localSheetId="12" hidden="1">'5. Storage V2G sell'!$AH$10:$AL$12</definedName>
    <definedName name="solver_lhs1" localSheetId="14" hidden="1">'6. Trades'!$F$7:$G$8</definedName>
    <definedName name="solver_lhs1" localSheetId="15" hidden="1">'6. Trades &amp; transmission'!$F$7:$G$8</definedName>
    <definedName name="solver_lhs1" localSheetId="16" hidden="1">'6. Trades &amp; transmission RCOT'!$AD$11:$AD$16</definedName>
    <definedName name="solver_lhs1" localSheetId="13" hidden="1">'6. Transmissions'!$P$9:$P$10</definedName>
    <definedName name="solver_lhs10" localSheetId="8" hidden="1">'4. Infra-year timeslices'!$L$43:$M$45</definedName>
    <definedName name="solver_lhs10" localSheetId="9" hidden="1">'5. Storage (same flow)'!$M$36:$M$40</definedName>
    <definedName name="solver_lhs10" localSheetId="10" hidden="1">'5. Storage BEV'!$Q$41:$Q$45</definedName>
    <definedName name="solver_lhs10" localSheetId="11" hidden="1">'5. Storage V2G'!$Q$41:$Q$45</definedName>
    <definedName name="solver_lhs10" localSheetId="12" hidden="1">'5. Storage V2G sell'!$Q$41:$Q$45</definedName>
    <definedName name="solver_lhs10" localSheetId="14" hidden="1">'6. Trades'!$K$9</definedName>
    <definedName name="solver_lhs10" localSheetId="15" hidden="1">'6. Trades &amp; transmission'!$K$9</definedName>
    <definedName name="solver_lhs10" localSheetId="16" hidden="1">'6. Trades &amp; transmission RCOT'!$K$8</definedName>
    <definedName name="solver_lhs11" localSheetId="8" hidden="1">'4. Infra-year timeslices'!$N$48:$N$49</definedName>
    <definedName name="solver_lhs11" localSheetId="9" hidden="1">'5. Storage (same flow)'!$M$36:$M$40</definedName>
    <definedName name="solver_lhs11" localSheetId="12" hidden="1">'5. Storage V2G sell'!$R$41:$R$45</definedName>
    <definedName name="solver_lhs11" localSheetId="14" hidden="1">'6. Trades'!$F$12</definedName>
    <definedName name="solver_lhs11" localSheetId="15" hidden="1">'6. Trades &amp; transmission'!$F$12</definedName>
    <definedName name="solver_lhs11" localSheetId="16" hidden="1">'6. Trades &amp; transmission RCOT'!#REF!</definedName>
    <definedName name="solver_lhs12" localSheetId="8" hidden="1">'4. Infra-year timeslices'!$L$39:$M$41</definedName>
    <definedName name="solver_lhs12" localSheetId="14" hidden="1">'6. Trades'!$G$11</definedName>
    <definedName name="solver_lhs12" localSheetId="15" hidden="1">'6. Trades &amp; transmission'!$G$11</definedName>
    <definedName name="solver_lhs12" localSheetId="16" hidden="1">'6. Trades &amp; transmission RCOT'!$G$9</definedName>
    <definedName name="solver_lhs13" localSheetId="8" hidden="1">'4. Infra-year timeslices'!$L$43:$M$45</definedName>
    <definedName name="solver_lhs13" localSheetId="14" hidden="1">'6. Trades'!$H$12</definedName>
    <definedName name="solver_lhs13" localSheetId="15" hidden="1">'6. Trades &amp; transmission'!$H$12</definedName>
    <definedName name="solver_lhs13" localSheetId="16" hidden="1">'6. Trades &amp; transmission RCOT'!#REF!</definedName>
    <definedName name="solver_lhs14" localSheetId="8" hidden="1">'4. Infra-year timeslices'!$N$48:$N$49</definedName>
    <definedName name="solver_lhs14" localSheetId="14" hidden="1">'6. Trades'!$I$11</definedName>
    <definedName name="solver_lhs14" localSheetId="15" hidden="1">'6. Trades &amp; transmission'!$I$11</definedName>
    <definedName name="solver_lhs14" localSheetId="16" hidden="1">'6. Trades &amp; transmission RCOT'!$I$9</definedName>
    <definedName name="solver_lhs15" localSheetId="8" hidden="1">'4. Infra-year timeslices'!$L$39:$M$41</definedName>
    <definedName name="solver_lhs15" localSheetId="14" hidden="1">'6. Trades'!$J$11:$K$12</definedName>
    <definedName name="solver_lhs15" localSheetId="15" hidden="1">'6. Trades &amp; transmission'!$J$11:$K$12</definedName>
    <definedName name="solver_lhs15" localSheetId="16" hidden="1">'6. Trades &amp; transmission RCOT'!$J$9:$K$9</definedName>
    <definedName name="solver_lhs16" localSheetId="8" hidden="1">'4. Infra-year timeslices'!$L$43:$M$45</definedName>
    <definedName name="solver_lhs16" localSheetId="14" hidden="1">'6. Trades'!$X$7:$X$12</definedName>
    <definedName name="solver_lhs16" localSheetId="15" hidden="1">'6. Trades &amp; transmission'!$AB$7:$AB$12</definedName>
    <definedName name="solver_lhs16" localSheetId="16" hidden="1">'6. Trades &amp; transmission RCOT'!$AD$7:$AD$9</definedName>
    <definedName name="solver_lhs17" localSheetId="8" hidden="1">'4. Infra-year timeslices'!$L$39:$M$41</definedName>
    <definedName name="solver_lhs17" localSheetId="14" hidden="1">'6. Trades'!$X$14:$X$19</definedName>
    <definedName name="solver_lhs17" localSheetId="15" hidden="1">'6. Trades &amp; transmission'!$AB$14:$AB$19</definedName>
    <definedName name="solver_lhs17" localSheetId="16" hidden="1">'6. Trades &amp; transmission RCOT'!$AD$11:$AD$16</definedName>
    <definedName name="solver_lhs18" localSheetId="8" hidden="1">'4. Infra-year timeslices'!$L$43:$M$45</definedName>
    <definedName name="solver_lhs18" localSheetId="14" hidden="1">'6. Trades'!$H$7</definedName>
    <definedName name="solver_lhs18" localSheetId="15" hidden="1">'6. Trades &amp; transmission'!$M$34:$R$34</definedName>
    <definedName name="solver_lhs18" localSheetId="16" hidden="1">'6. Trades &amp; transmission RCOT'!$M$34:$R$34</definedName>
    <definedName name="solver_lhs19" localSheetId="14" hidden="1">'6. Trades'!$M$29:$R$29</definedName>
    <definedName name="solver_lhs2" localSheetId="2" hidden="1">'1. Multi-products - Opt'!$G$52:$J$52</definedName>
    <definedName name="solver_lhs2" localSheetId="1" hidden="1">'1. Multi-products - Sim'!$G$43:$J$43</definedName>
    <definedName name="solver_lhs2" localSheetId="3" hidden="1">'2. Operation'!$Y$10:$AC$11</definedName>
    <definedName name="solver_lhs2" localSheetId="7" hidden="1">'3. Planning - Discounting'!$F$28:$H$32</definedName>
    <definedName name="solver_lhs2" localSheetId="5" hidden="1">'3. Planning - Disposal'!$F$28:$H$32</definedName>
    <definedName name="solver_lhs2" localSheetId="6" hidden="1">'3. Planning - Disposal (1 shot)'!$F$28:$H$32</definedName>
    <definedName name="solver_lhs2" localSheetId="4" hidden="1">'3. Planning - No disposal'!$G$25:$I$29</definedName>
    <definedName name="solver_lhs2" localSheetId="8" hidden="1">'4. Infra-year timeslices'!$AM$15:$AN$17</definedName>
    <definedName name="solver_lhs2" localSheetId="9" hidden="1">'5. Storage (same flow)'!$Z$11:$AD$12</definedName>
    <definedName name="solver_lhs2" localSheetId="10" hidden="1">'5. Storage BEV'!$AG$14:$AK$17</definedName>
    <definedName name="solver_lhs2" localSheetId="11" hidden="1">'5. Storage V2G'!$AG$14:$AK$17</definedName>
    <definedName name="solver_lhs2" localSheetId="12" hidden="1">'5. Storage V2G sell'!$AH$14:$AL$17</definedName>
    <definedName name="solver_lhs2" localSheetId="14" hidden="1">'6. Trades'!$H$8</definedName>
    <definedName name="solver_lhs2" localSheetId="15" hidden="1">'6. Trades &amp; transmission'!$H$8</definedName>
    <definedName name="solver_lhs2" localSheetId="16" hidden="1">'6. Trades &amp; transmission RCOT'!$AD$7:$AD$9</definedName>
    <definedName name="solver_lhs2" localSheetId="13" hidden="1">'6. Transmissions'!$P$6:$P$7</definedName>
    <definedName name="solver_lhs3" localSheetId="2" hidden="1">'1. Multi-products - Opt'!$AC$44:$AC$45</definedName>
    <definedName name="solver_lhs3" localSheetId="1" hidden="1">'1. Multi-products - Sim'!$AC$35:$AC$36</definedName>
    <definedName name="solver_lhs3" localSheetId="3" hidden="1">'2. Operation'!$J$16:$K$20</definedName>
    <definedName name="solver_lhs3" localSheetId="7" hidden="1">'3. Planning - Discounting'!$J$28:$L$32</definedName>
    <definedName name="solver_lhs3" localSheetId="5" hidden="1">'3. Planning - Disposal'!$J$28:$L$32</definedName>
    <definedName name="solver_lhs3" localSheetId="6" hidden="1">'3. Planning - Disposal (1 shot)'!$J$28:$L$32</definedName>
    <definedName name="solver_lhs3" localSheetId="4" hidden="1">'3. Planning - No disposal'!$K$25:$M$29</definedName>
    <definedName name="solver_lhs3" localSheetId="8" hidden="1">'4. Infra-year timeslices'!$AP$10:$AR$10</definedName>
    <definedName name="solver_lhs3" localSheetId="9" hidden="1">'5. Storage (same flow)'!$K$36:$L$40</definedName>
    <definedName name="solver_lhs3" localSheetId="10" hidden="1">'5. Storage BEV'!$M$41:$O$45</definedName>
    <definedName name="solver_lhs3" localSheetId="11" hidden="1">'5. Storage V2G'!$M$41:$O$45</definedName>
    <definedName name="solver_lhs3" localSheetId="12" hidden="1">'5. Storage V2G sell'!$M$41:$O$45</definedName>
    <definedName name="solver_lhs3" localSheetId="14" hidden="1">'6. Trades'!$I$7</definedName>
    <definedName name="solver_lhs3" localSheetId="15" hidden="1">'6. Trades &amp; transmission'!$I$7</definedName>
    <definedName name="solver_lhs3" localSheetId="16" hidden="1">'6. Trades &amp; transmission RCOT'!$F$7:$G$7</definedName>
    <definedName name="solver_lhs3" localSheetId="13" hidden="1">'6. Transmissions'!$P$6:$P$7</definedName>
    <definedName name="solver_lhs4" localSheetId="2" hidden="1">'1. Multi-products - Opt'!$G$49:$M$49</definedName>
    <definedName name="solver_lhs4" localSheetId="1" hidden="1">'1. Multi-products - Sim'!$G$40:$M$40</definedName>
    <definedName name="solver_lhs4" localSheetId="3" hidden="1">'2. Operation'!#REF!</definedName>
    <definedName name="solver_lhs4" localSheetId="7" hidden="1">'3. Planning - Discounting'!$J$36:$L$40</definedName>
    <definedName name="solver_lhs4" localSheetId="5" hidden="1">'3. Planning - Disposal'!$J$36:$L$40</definedName>
    <definedName name="solver_lhs4" localSheetId="6" hidden="1">'3. Planning - Disposal (1 shot)'!$J$36:$L$40</definedName>
    <definedName name="solver_lhs4" localSheetId="4" hidden="1">'3. Planning - No disposal'!$K$33:$M$37</definedName>
    <definedName name="solver_lhs4" localSheetId="8" hidden="1">'4. Infra-year timeslices'!$AT$10:$AV$10</definedName>
    <definedName name="solver_lhs4" localSheetId="9" hidden="1">'5. Storage (same flow)'!$K$36:$L$40</definedName>
    <definedName name="solver_lhs4" localSheetId="10" hidden="1">'5. Storage BEV'!$M$41:$O$45</definedName>
    <definedName name="solver_lhs4" localSheetId="11" hidden="1">'5. Storage V2G'!$M$41:$O$45</definedName>
    <definedName name="solver_lhs4" localSheetId="12" hidden="1">'5. Storage V2G sell'!$M$41:$O$45</definedName>
    <definedName name="solver_lhs4" localSheetId="14" hidden="1">'6. Trades'!$J$8</definedName>
    <definedName name="solver_lhs4" localSheetId="15" hidden="1">'6. Trades &amp; transmission'!$J$8</definedName>
    <definedName name="solver_lhs4" localSheetId="16" hidden="1">'6. Trades &amp; transmission RCOT'!$H$8:$I$8</definedName>
    <definedName name="solver_lhs4" localSheetId="13" hidden="1">'6. Transmissions'!#REF!</definedName>
    <definedName name="solver_lhs5" localSheetId="2" hidden="1">'1. Multi-products - Opt'!$W$41:$W$45</definedName>
    <definedName name="solver_lhs5" localSheetId="1" hidden="1">'1. Multi-products - Sim'!$W$32:$W$36</definedName>
    <definedName name="solver_lhs5" localSheetId="3" hidden="1">'2. Operation'!#REF!</definedName>
    <definedName name="solver_lhs5" localSheetId="7" hidden="1">'3. Planning - Discounting'!$Z$8:$AD$9</definedName>
    <definedName name="solver_lhs5" localSheetId="5" hidden="1">'3. Planning - Disposal'!$Z$8:$AD$9</definedName>
    <definedName name="solver_lhs5" localSheetId="6" hidden="1">'3. Planning - Disposal (1 shot)'!$AD$8:$AH$9</definedName>
    <definedName name="solver_lhs5" localSheetId="4" hidden="1">'3. Planning - No disposal'!$AA$8:$AE$9</definedName>
    <definedName name="solver_lhs5" localSheetId="8" hidden="1">'4. Infra-year timeslices'!$AP$15:$AR$16</definedName>
    <definedName name="solver_lhs5" localSheetId="9" hidden="1">'5. Storage (same flow)'!$M$43:$M$47</definedName>
    <definedName name="solver_lhs5" localSheetId="10" hidden="1">'5. Storage BEV'!$Q$48:$Q$52</definedName>
    <definedName name="solver_lhs5" localSheetId="11" hidden="1">'5. Storage V2G'!$Q$48:$Q$52</definedName>
    <definedName name="solver_lhs5" localSheetId="12" hidden="1">'5. Storage V2G sell'!$Q$48:$Q$52</definedName>
    <definedName name="solver_lhs5" localSheetId="14" hidden="1">'6. Trades'!$K$7</definedName>
    <definedName name="solver_lhs5" localSheetId="15" hidden="1">'6. Trades &amp; transmission'!$K$7</definedName>
    <definedName name="solver_lhs5" localSheetId="16" hidden="1">'6. Trades &amp; transmission RCOT'!$J$9:$K$9</definedName>
    <definedName name="solver_lhs6" localSheetId="2" hidden="1">'1. Multi-products - Opt'!$W$33:$W$38</definedName>
    <definedName name="solver_lhs6" localSheetId="1" hidden="1">'1. Multi-products - Sim'!$W$24:$W$30</definedName>
    <definedName name="solver_lhs6" localSheetId="7" hidden="1">'3. Planning - Discounting'!$J$28:$L$32</definedName>
    <definedName name="solver_lhs6" localSheetId="5" hidden="1">'3. Planning - Disposal'!$J$28:$L$32</definedName>
    <definedName name="solver_lhs6" localSheetId="6" hidden="1">'3. Planning - Disposal (1 shot)'!$J$28:$L$32</definedName>
    <definedName name="solver_lhs6" localSheetId="4" hidden="1">'3. Planning - No disposal'!$K$25:$M$29</definedName>
    <definedName name="solver_lhs6" localSheetId="8" hidden="1">'4. Infra-year timeslices'!$AT$15:$AV$16</definedName>
    <definedName name="solver_lhs6" localSheetId="9" hidden="1">'5. Storage (same flow)'!$H$36:$I$40</definedName>
    <definedName name="solver_lhs6" localSheetId="10" hidden="1">'5. Storage BEV'!$Q$41:$Q$45</definedName>
    <definedName name="solver_lhs6" localSheetId="11" hidden="1">'5. Storage V2G'!$Q$41:$Q$45</definedName>
    <definedName name="solver_lhs6" localSheetId="12" hidden="1">'5. Storage V2G sell'!$Q$41:$Q$45</definedName>
    <definedName name="solver_lhs6" localSheetId="14" hidden="1">'6. Trades'!$F$10</definedName>
    <definedName name="solver_lhs6" localSheetId="15" hidden="1">'6. Trades &amp; transmission'!$F$10</definedName>
    <definedName name="solver_lhs6" localSheetId="16" hidden="1">'6. Trades &amp; transmission RCOT'!$AF$7:$AF$9</definedName>
    <definedName name="solver_lhs7" localSheetId="8" hidden="1">'4. Infra-year timeslices'!$AX$10:$AY$10</definedName>
    <definedName name="solver_lhs7" localSheetId="9" hidden="1">'5. Storage (same flow)'!$O$30</definedName>
    <definedName name="solver_lhs7" localSheetId="10" hidden="1">'5. Storage BEV'!$Q$41:$Q$45</definedName>
    <definedName name="solver_lhs7" localSheetId="11" hidden="1">'5. Storage V2G'!$Q$41:$Q$45</definedName>
    <definedName name="solver_lhs7" localSheetId="12" hidden="1">'5. Storage V2G sell'!$R$41:$R$45</definedName>
    <definedName name="solver_lhs7" localSheetId="14" hidden="1">'6. Trades'!$G$9</definedName>
    <definedName name="solver_lhs7" localSheetId="15" hidden="1">'6. Trades &amp; transmission'!$G$9</definedName>
    <definedName name="solver_lhs7" localSheetId="16" hidden="1">'6. Trades &amp; transmission RCOT'!$G$8</definedName>
    <definedName name="solver_lhs8" localSheetId="8" hidden="1">'4. Infra-year timeslices'!$AX$15:$AY$16</definedName>
    <definedName name="solver_lhs8" localSheetId="9" hidden="1">'5. Storage (same flow)'!$M$43:$M$47</definedName>
    <definedName name="solver_lhs8" localSheetId="10" hidden="1">'5. Storage BEV'!$H$41:$K$45</definedName>
    <definedName name="solver_lhs8" localSheetId="11" hidden="1">'5. Storage V2G'!$H$41:$K$45</definedName>
    <definedName name="solver_lhs8" localSheetId="12" hidden="1">'5. Storage V2G sell'!$H$41:$K$45</definedName>
    <definedName name="solver_lhs8" localSheetId="14" hidden="1">'6. Trades'!$H$9:$I$10</definedName>
    <definedName name="solver_lhs8" localSheetId="15" hidden="1">'6. Trades &amp; transmission'!$H$9:$I$10</definedName>
    <definedName name="solver_lhs8" localSheetId="16" hidden="1">'6. Trades &amp; transmission RCOT'!$H$8:$I$8</definedName>
    <definedName name="solver_lhs9" localSheetId="8" hidden="1">'4. Infra-year timeslices'!$L$39:$M$41</definedName>
    <definedName name="solver_lhs9" localSheetId="9" hidden="1">'5. Storage (same flow)'!$M$43:$M$47</definedName>
    <definedName name="solver_lhs9" localSheetId="10" hidden="1">'5. Storage BEV'!$Q$48:$Q$52</definedName>
    <definedName name="solver_lhs9" localSheetId="11" hidden="1">'5. Storage V2G'!$Q$48:$Q$52</definedName>
    <definedName name="solver_lhs9" localSheetId="12" hidden="1">'5. Storage V2G sell'!$Q$48:$Q$52</definedName>
    <definedName name="solver_lhs9" localSheetId="14" hidden="1">'6. Trades'!$J$10</definedName>
    <definedName name="solver_lhs9" localSheetId="15" hidden="1">'6. Trades &amp; transmission'!$J$10</definedName>
    <definedName name="solver_lhs9" localSheetId="16" hidden="1">'6. Trades &amp; transmission RCOT'!#REF!</definedName>
    <definedName name="solver_mip" localSheetId="7" hidden="1">2147483647</definedName>
    <definedName name="solver_mip" localSheetId="5" hidden="1">2147483647</definedName>
    <definedName name="solver_mip" localSheetId="6" hidden="1">2147483647</definedName>
    <definedName name="solver_mip" localSheetId="4" hidden="1">2147483647</definedName>
    <definedName name="solver_mip" localSheetId="16" hidden="1">2147483647</definedName>
    <definedName name="solver_mni" localSheetId="7" hidden="1">30</definedName>
    <definedName name="solver_mni" localSheetId="5" hidden="1">30</definedName>
    <definedName name="solver_mni" localSheetId="6" hidden="1">30</definedName>
    <definedName name="solver_mni" localSheetId="4" hidden="1">30</definedName>
    <definedName name="solver_mni" localSheetId="16" hidden="1">30</definedName>
    <definedName name="solver_mrt" localSheetId="7" hidden="1">"""""""""""""""""""""""""""""""""""""""""""""""""""""""""""""""0,075"""""""""""""""""""""""""""""""""""""""""""""""""""""""""""""""</definedName>
    <definedName name="solver_mrt" localSheetId="5" hidden="1">"""""""""""""""""""""""""""""""""""""""""""""""""""""""""""""""0,075"""""""""""""""""""""""""""""""""""""""""""""""""""""""""""""""</definedName>
    <definedName name="solver_mrt" localSheetId="6" hidden="1">"""""""""""""""""""""""""""""""""""""""""""""""""""""""""""""""0,075"""""""""""""""""""""""""""""""""""""""""""""""""""""""""""""""</definedName>
    <definedName name="solver_mrt" localSheetId="4" hidden="1">"""""""""""""""""""""""""""""""""""""""""""""""""""""""""""""""0,075"""""""""""""""""""""""""""""""""""""""""""""""""""""""""""""""</definedName>
    <definedName name="solver_mrt" localSheetId="16" hidden="1">0.075</definedName>
    <definedName name="solver_msl" localSheetId="7" hidden="1">2</definedName>
    <definedName name="solver_msl" localSheetId="5" hidden="1">2</definedName>
    <definedName name="solver_msl" localSheetId="6" hidden="1">2</definedName>
    <definedName name="solver_msl" localSheetId="4" hidden="1">2</definedName>
    <definedName name="solver_msl" localSheetId="16" hidden="1">2</definedName>
    <definedName name="solver_neg" localSheetId="2" hidden="1">0</definedName>
    <definedName name="solver_neg" localSheetId="1" hidden="1">0</definedName>
    <definedName name="solver_neg" localSheetId="3" hidden="1">1</definedName>
    <definedName name="solver_neg" localSheetId="7" hidden="1">1</definedName>
    <definedName name="solver_neg" localSheetId="5" hidden="1">1</definedName>
    <definedName name="solver_neg" localSheetId="6" hidden="1">1</definedName>
    <definedName name="solver_neg" localSheetId="4" hidden="1">1</definedName>
    <definedName name="solver_neg" localSheetId="8" hidden="1">1</definedName>
    <definedName name="solver_neg" localSheetId="9" hidden="1">0</definedName>
    <definedName name="solver_neg" localSheetId="10" hidden="1">0</definedName>
    <definedName name="solver_neg" localSheetId="11" hidden="1">0</definedName>
    <definedName name="solver_neg" localSheetId="12" hidden="1">0</definedName>
    <definedName name="solver_neg" localSheetId="14" hidden="1">1</definedName>
    <definedName name="solver_neg" localSheetId="15" hidden="1">1</definedName>
    <definedName name="solver_neg" localSheetId="16" hidden="1">1</definedName>
    <definedName name="solver_neg" localSheetId="13" hidden="1">1</definedName>
    <definedName name="solver_nod" localSheetId="7" hidden="1">2147483647</definedName>
    <definedName name="solver_nod" localSheetId="5" hidden="1">2147483647</definedName>
    <definedName name="solver_nod" localSheetId="6" hidden="1">2147483647</definedName>
    <definedName name="solver_nod" localSheetId="4" hidden="1">2147483647</definedName>
    <definedName name="solver_nod" localSheetId="16" hidden="1">2147483647</definedName>
    <definedName name="solver_num" localSheetId="2" hidden="1">6</definedName>
    <definedName name="solver_num" localSheetId="1" hidden="1">6</definedName>
    <definedName name="solver_num" localSheetId="3" hidden="1">3</definedName>
    <definedName name="solver_num" localSheetId="7" hidden="1">5</definedName>
    <definedName name="solver_num" localSheetId="5" hidden="1">5</definedName>
    <definedName name="solver_num" localSheetId="6" hidden="1">5</definedName>
    <definedName name="solver_num" localSheetId="4" hidden="1">5</definedName>
    <definedName name="solver_num" localSheetId="8" hidden="1">14</definedName>
    <definedName name="solver_num" localSheetId="9" hidden="1">11</definedName>
    <definedName name="solver_num" localSheetId="10" hidden="1">10</definedName>
    <definedName name="solver_num" localSheetId="11" hidden="1">9</definedName>
    <definedName name="solver_num" localSheetId="12" hidden="1">11</definedName>
    <definedName name="solver_num" localSheetId="14" hidden="1">19</definedName>
    <definedName name="solver_num" localSheetId="15" hidden="1">18</definedName>
    <definedName name="solver_num" localSheetId="16" hidden="1">5</definedName>
    <definedName name="solver_num" localSheetId="13" hidden="1">2</definedName>
    <definedName name="solver_nwt" localSheetId="2" hidden="1">1</definedName>
    <definedName name="solver_nwt" localSheetId="1" hidden="1">1</definedName>
    <definedName name="solver_nwt" localSheetId="3" hidden="1">1</definedName>
    <definedName name="solver_nwt" localSheetId="7" hidden="1">1</definedName>
    <definedName name="solver_nwt" localSheetId="5" hidden="1">1</definedName>
    <definedName name="solver_nwt" localSheetId="6" hidden="1">1</definedName>
    <definedName name="solver_nwt" localSheetId="4" hidden="1">1</definedName>
    <definedName name="solver_nwt" localSheetId="8" hidden="1">1</definedName>
    <definedName name="solver_nwt" localSheetId="9" hidden="1">1</definedName>
    <definedName name="solver_nwt" localSheetId="10" hidden="1">1</definedName>
    <definedName name="solver_nwt" localSheetId="11" hidden="1">1</definedName>
    <definedName name="solver_nwt" localSheetId="12" hidden="1">1</definedName>
    <definedName name="solver_nwt" localSheetId="14" hidden="1">1</definedName>
    <definedName name="solver_nwt" localSheetId="15" hidden="1">1</definedName>
    <definedName name="solver_nwt" localSheetId="16" hidden="1">1</definedName>
    <definedName name="solver_nwt" localSheetId="13" hidden="1">1</definedName>
    <definedName name="solver_opt" localSheetId="2" hidden="1">'1. Multi-products - Opt'!$U$47</definedName>
    <definedName name="solver_opt" localSheetId="1" hidden="1">'1. Multi-products - Sim'!$U$38</definedName>
    <definedName name="solver_opt" localSheetId="3" hidden="1">'2. Operation'!$M$13</definedName>
    <definedName name="solver_opt" localSheetId="7" hidden="1">'3. Planning - Discounting'!$T$15</definedName>
    <definedName name="solver_opt" localSheetId="5" hidden="1">'3. Planning - Disposal'!$T$15</definedName>
    <definedName name="solver_opt" localSheetId="6" hidden="1">'3. Planning - Disposal (1 shot)'!$X$15</definedName>
    <definedName name="solver_opt" localSheetId="4" hidden="1">'3. Planning - No disposal'!$U$15</definedName>
    <definedName name="solver_opt" localSheetId="8" hidden="1">'4. Infra-year timeslices'!$Q$18</definedName>
    <definedName name="solver_opt" localSheetId="9" hidden="1">'5. Storage (same flow)'!$O$13</definedName>
    <definedName name="solver_opt" localSheetId="10" hidden="1">'5. Storage BEV'!$S$15</definedName>
    <definedName name="solver_opt" localSheetId="11" hidden="1">'5. Storage V2G'!$S$15</definedName>
    <definedName name="solver_opt" localSheetId="12" hidden="1">'5. Storage V2G sell'!$T$15</definedName>
    <definedName name="solver_opt" localSheetId="14" hidden="1">'6. Trades'!$T$25</definedName>
    <definedName name="solver_opt" localSheetId="15" hidden="1">'6. Trades &amp; transmission'!$X$30</definedName>
    <definedName name="solver_opt" localSheetId="16" hidden="1">'6. Trades &amp; transmission RCOT'!$V$31</definedName>
    <definedName name="solver_opt" localSheetId="13" hidden="1">'6. Transmissions'!$N$12</definedName>
    <definedName name="solver_pre" localSheetId="7" hidden="1">"""""""""""""""""""""""""""""""""""""""""""""""""""""""""""""""0,000001"""""""""""""""""""""""""""""""""""""""""""""""""""""""""""""""</definedName>
    <definedName name="solver_pre" localSheetId="5" hidden="1">"""""""""""""""""""""""""""""""""""""""""""""""""""""""""""""""0,000001"""""""""""""""""""""""""""""""""""""""""""""""""""""""""""""""</definedName>
    <definedName name="solver_pre" localSheetId="6" hidden="1">"""""""""""""""""""""""""""""""""""""""""""""""""""""""""""""""0,000001"""""""""""""""""""""""""""""""""""""""""""""""""""""""""""""""</definedName>
    <definedName name="solver_pre" localSheetId="4" hidden="1">"""""""""""""""""""""""""""""""""""""""""""""""""""""""""""""""0,000001"""""""""""""""""""""""""""""""""""""""""""""""""""""""""""""""</definedName>
    <definedName name="solver_pre" localSheetId="12" hidden="1">0.000001</definedName>
    <definedName name="solver_pre" localSheetId="16" hidden="1">0.000001</definedName>
    <definedName name="solver_rbv" localSheetId="7" hidden="1">1</definedName>
    <definedName name="solver_rbv" localSheetId="5" hidden="1">1</definedName>
    <definedName name="solver_rbv" localSheetId="6" hidden="1">1</definedName>
    <definedName name="solver_rbv" localSheetId="4" hidden="1">1</definedName>
    <definedName name="solver_rbv" localSheetId="16" hidden="1">1</definedName>
    <definedName name="solver_rel1" localSheetId="2" hidden="1">2</definedName>
    <definedName name="solver_rel1" localSheetId="1" hidden="1">2</definedName>
    <definedName name="solver_rel1" localSheetId="3" hidden="1">2</definedName>
    <definedName name="solver_rel1" localSheetId="7" hidden="1">2</definedName>
    <definedName name="solver_rel1" localSheetId="5" hidden="1">2</definedName>
    <definedName name="solver_rel1" localSheetId="6" hidden="1">2</definedName>
    <definedName name="solver_rel1" localSheetId="4" hidden="1">2</definedName>
    <definedName name="solver_rel1" localSheetId="8" hidden="1">2</definedName>
    <definedName name="solver_rel1" localSheetId="9" hidden="1">2</definedName>
    <definedName name="solver_rel1" localSheetId="10" hidden="1">2</definedName>
    <definedName name="solver_rel1" localSheetId="11" hidden="1">2</definedName>
    <definedName name="solver_rel1" localSheetId="12" hidden="1">2</definedName>
    <definedName name="solver_rel1" localSheetId="14" hidden="1">2</definedName>
    <definedName name="solver_rel1" localSheetId="15" hidden="1">2</definedName>
    <definedName name="solver_rel1" localSheetId="16" hidden="1">2</definedName>
    <definedName name="solver_rel1" localSheetId="13" hidden="1">2</definedName>
    <definedName name="solver_rel10" localSheetId="8" hidden="1">1</definedName>
    <definedName name="solver_rel10" localSheetId="9" hidden="1">3</definedName>
    <definedName name="solver_rel10" localSheetId="10" hidden="1">1</definedName>
    <definedName name="solver_rel10" localSheetId="11" hidden="1">1</definedName>
    <definedName name="solver_rel10" localSheetId="12" hidden="1">1</definedName>
    <definedName name="solver_rel10" localSheetId="14" hidden="1">2</definedName>
    <definedName name="solver_rel10" localSheetId="15" hidden="1">2</definedName>
    <definedName name="solver_rel10" localSheetId="16" hidden="1">2</definedName>
    <definedName name="solver_rel11" localSheetId="8" hidden="1">1</definedName>
    <definedName name="solver_rel11" localSheetId="9" hidden="1">1</definedName>
    <definedName name="solver_rel11" localSheetId="12" hidden="1">3</definedName>
    <definedName name="solver_rel11" localSheetId="14" hidden="1">2</definedName>
    <definedName name="solver_rel11" localSheetId="15" hidden="1">2</definedName>
    <definedName name="solver_rel11" localSheetId="16" hidden="1">2</definedName>
    <definedName name="solver_rel12" localSheetId="8" hidden="1">3</definedName>
    <definedName name="solver_rel12" localSheetId="14" hidden="1">2</definedName>
    <definedName name="solver_rel12" localSheetId="15" hidden="1">2</definedName>
    <definedName name="solver_rel12" localSheetId="16" hidden="1">2</definedName>
    <definedName name="solver_rel13" localSheetId="8" hidden="1">3</definedName>
    <definedName name="solver_rel13" localSheetId="14" hidden="1">2</definedName>
    <definedName name="solver_rel13" localSheetId="15" hidden="1">2</definedName>
    <definedName name="solver_rel13" localSheetId="16" hidden="1">2</definedName>
    <definedName name="solver_rel14" localSheetId="8" hidden="1">3</definedName>
    <definedName name="solver_rel14" localSheetId="14" hidden="1">2</definedName>
    <definedName name="solver_rel14" localSheetId="15" hidden="1">2</definedName>
    <definedName name="solver_rel14" localSheetId="16" hidden="1">2</definedName>
    <definedName name="solver_rel15" localSheetId="8" hidden="1">1</definedName>
    <definedName name="solver_rel15" localSheetId="14" hidden="1">2</definedName>
    <definedName name="solver_rel15" localSheetId="15" hidden="1">2</definedName>
    <definedName name="solver_rel15" localSheetId="16" hidden="1">2</definedName>
    <definedName name="solver_rel16" localSheetId="8" hidden="1">1</definedName>
    <definedName name="solver_rel16" localSheetId="14" hidden="1">2</definedName>
    <definedName name="solver_rel16" localSheetId="15" hidden="1">2</definedName>
    <definedName name="solver_rel16" localSheetId="16" hidden="1">2</definedName>
    <definedName name="solver_rel17" localSheetId="8" hidden="1">3</definedName>
    <definedName name="solver_rel17" localSheetId="14" hidden="1">2</definedName>
    <definedName name="solver_rel17" localSheetId="15" hidden="1">2</definedName>
    <definedName name="solver_rel17" localSheetId="16" hidden="1">2</definedName>
    <definedName name="solver_rel18" localSheetId="8" hidden="1">3</definedName>
    <definedName name="solver_rel18" localSheetId="14" hidden="1">1</definedName>
    <definedName name="solver_rel18" localSheetId="15" hidden="1">3</definedName>
    <definedName name="solver_rel18" localSheetId="16" hidden="1">3</definedName>
    <definedName name="solver_rel19" localSheetId="14" hidden="1">3</definedName>
    <definedName name="solver_rel2" localSheetId="2" hidden="1">2</definedName>
    <definedName name="solver_rel2" localSheetId="1" hidden="1">2</definedName>
    <definedName name="solver_rel2" localSheetId="3" hidden="1">2</definedName>
    <definedName name="solver_rel2" localSheetId="7" hidden="1">3</definedName>
    <definedName name="solver_rel2" localSheetId="5" hidden="1">3</definedName>
    <definedName name="solver_rel2" localSheetId="6" hidden="1">3</definedName>
    <definedName name="solver_rel2" localSheetId="4" hidden="1">3</definedName>
    <definedName name="solver_rel2" localSheetId="8" hidden="1">2</definedName>
    <definedName name="solver_rel2" localSheetId="9" hidden="1">2</definedName>
    <definedName name="solver_rel2" localSheetId="10" hidden="1">2</definedName>
    <definedName name="solver_rel2" localSheetId="11" hidden="1">2</definedName>
    <definedName name="solver_rel2" localSheetId="12" hidden="1">2</definedName>
    <definedName name="solver_rel2" localSheetId="14" hidden="1">2</definedName>
    <definedName name="solver_rel2" localSheetId="15" hidden="1">2</definedName>
    <definedName name="solver_rel2" localSheetId="16" hidden="1">2</definedName>
    <definedName name="solver_rel2" localSheetId="13" hidden="1">2</definedName>
    <definedName name="solver_rel3" localSheetId="2" hidden="1">2</definedName>
    <definedName name="solver_rel3" localSheetId="1" hidden="1">2</definedName>
    <definedName name="solver_rel3" localSheetId="3" hidden="1">1</definedName>
    <definedName name="solver_rel3" localSheetId="7" hidden="1">1</definedName>
    <definedName name="solver_rel3" localSheetId="5" hidden="1">1</definedName>
    <definedName name="solver_rel3" localSheetId="6" hidden="1">1</definedName>
    <definedName name="solver_rel3" localSheetId="4" hidden="1">1</definedName>
    <definedName name="solver_rel3" localSheetId="8" hidden="1">2</definedName>
    <definedName name="solver_rel3" localSheetId="9" hidden="1">3</definedName>
    <definedName name="solver_rel3" localSheetId="10" hidden="1">3</definedName>
    <definedName name="solver_rel3" localSheetId="11" hidden="1">3</definedName>
    <definedName name="solver_rel3" localSheetId="12" hidden="1">3</definedName>
    <definedName name="solver_rel3" localSheetId="14" hidden="1">2</definedName>
    <definedName name="solver_rel3" localSheetId="15" hidden="1">2</definedName>
    <definedName name="solver_rel3" localSheetId="16" hidden="1">2</definedName>
    <definedName name="solver_rel3" localSheetId="13" hidden="1">2</definedName>
    <definedName name="solver_rel4" localSheetId="2" hidden="1">3</definedName>
    <definedName name="solver_rel4" localSheetId="1" hidden="1">3</definedName>
    <definedName name="solver_rel4" localSheetId="3" hidden="1">1</definedName>
    <definedName name="solver_rel4" localSheetId="7" hidden="1">1</definedName>
    <definedName name="solver_rel4" localSheetId="5" hidden="1">1</definedName>
    <definedName name="solver_rel4" localSheetId="6" hidden="1">1</definedName>
    <definedName name="solver_rel4" localSheetId="4" hidden="1">1</definedName>
    <definedName name="solver_rel4" localSheetId="8" hidden="1">2</definedName>
    <definedName name="solver_rel4" localSheetId="9" hidden="1">1</definedName>
    <definedName name="solver_rel4" localSheetId="10" hidden="1">1</definedName>
    <definedName name="solver_rel4" localSheetId="11" hidden="1">1</definedName>
    <definedName name="solver_rel4" localSheetId="12" hidden="1">1</definedName>
    <definedName name="solver_rel4" localSheetId="14" hidden="1">2</definedName>
    <definedName name="solver_rel4" localSheetId="15" hidden="1">2</definedName>
    <definedName name="solver_rel4" localSheetId="16" hidden="1">2</definedName>
    <definedName name="solver_rel4" localSheetId="13" hidden="1">2</definedName>
    <definedName name="solver_rel5" localSheetId="2" hidden="1">3</definedName>
    <definedName name="solver_rel5" localSheetId="1" hidden="1">3</definedName>
    <definedName name="solver_rel5" localSheetId="3" hidden="1">1</definedName>
    <definedName name="solver_rel5" localSheetId="7" hidden="1">2</definedName>
    <definedName name="solver_rel5" localSheetId="5" hidden="1">2</definedName>
    <definedName name="solver_rel5" localSheetId="6" hidden="1">2</definedName>
    <definedName name="solver_rel5" localSheetId="4" hidden="1">2</definedName>
    <definedName name="solver_rel5" localSheetId="8" hidden="1">2</definedName>
    <definedName name="solver_rel5" localSheetId="9" hidden="1">1</definedName>
    <definedName name="solver_rel5" localSheetId="10" hidden="1">1</definedName>
    <definedName name="solver_rel5" localSheetId="11" hidden="1">1</definedName>
    <definedName name="solver_rel5" localSheetId="12" hidden="1">1</definedName>
    <definedName name="solver_rel5" localSheetId="14" hidden="1">2</definedName>
    <definedName name="solver_rel5" localSheetId="15" hidden="1">2</definedName>
    <definedName name="solver_rel5" localSheetId="16" hidden="1">2</definedName>
    <definedName name="solver_rel6" localSheetId="2" hidden="1">3</definedName>
    <definedName name="solver_rel6" localSheetId="1" hidden="1">3</definedName>
    <definedName name="solver_rel6" localSheetId="7" hidden="1">3</definedName>
    <definedName name="solver_rel6" localSheetId="5" hidden="1">3</definedName>
    <definedName name="solver_rel6" localSheetId="6" hidden="1">3</definedName>
    <definedName name="solver_rel6" localSheetId="4" hidden="1">3</definedName>
    <definedName name="solver_rel6" localSheetId="8" hidden="1">2</definedName>
    <definedName name="solver_rel6" localSheetId="9" hidden="1">3</definedName>
    <definedName name="solver_rel6" localSheetId="10" hidden="1">3</definedName>
    <definedName name="solver_rel6" localSheetId="11" hidden="1">3</definedName>
    <definedName name="solver_rel6" localSheetId="12" hidden="1">3</definedName>
    <definedName name="solver_rel6" localSheetId="14" hidden="1">2</definedName>
    <definedName name="solver_rel6" localSheetId="15" hidden="1">2</definedName>
    <definedName name="solver_rel6" localSheetId="16" hidden="1">3</definedName>
    <definedName name="solver_rel7" localSheetId="8" hidden="1">2</definedName>
    <definedName name="solver_rel7" localSheetId="9" hidden="1">2</definedName>
    <definedName name="solver_rel7" localSheetId="10" hidden="1">1</definedName>
    <definedName name="solver_rel7" localSheetId="11" hidden="1">1</definedName>
    <definedName name="solver_rel7" localSheetId="12" hidden="1">1</definedName>
    <definedName name="solver_rel7" localSheetId="14" hidden="1">2</definedName>
    <definedName name="solver_rel7" localSheetId="15" hidden="1">2</definedName>
    <definedName name="solver_rel7" localSheetId="16" hidden="1">2</definedName>
    <definedName name="solver_rel8" localSheetId="8" hidden="1">2</definedName>
    <definedName name="solver_rel8" localSheetId="9" hidden="1">3</definedName>
    <definedName name="solver_rel8" localSheetId="10" hidden="1">3</definedName>
    <definedName name="solver_rel8" localSheetId="11" hidden="1">3</definedName>
    <definedName name="solver_rel8" localSheetId="12" hidden="1">3</definedName>
    <definedName name="solver_rel8" localSheetId="14" hidden="1">2</definedName>
    <definedName name="solver_rel8" localSheetId="15" hidden="1">2</definedName>
    <definedName name="solver_rel8" localSheetId="16" hidden="1">2</definedName>
    <definedName name="solver_rel9" localSheetId="8" hidden="1">1</definedName>
    <definedName name="solver_rel9" localSheetId="9" hidden="1">1</definedName>
    <definedName name="solver_rel9" localSheetId="10" hidden="1">3</definedName>
    <definedName name="solver_rel9" localSheetId="11" hidden="1">3</definedName>
    <definedName name="solver_rel9" localSheetId="12" hidden="1">3</definedName>
    <definedName name="solver_rel9" localSheetId="14" hidden="1">2</definedName>
    <definedName name="solver_rel9" localSheetId="15" hidden="1">2</definedName>
    <definedName name="solver_rel9" localSheetId="16" hidden="1">2</definedName>
    <definedName name="solver_rhs1" localSheetId="2" hidden="1">0</definedName>
    <definedName name="solver_rhs1" localSheetId="1" hidden="1">0</definedName>
    <definedName name="solver_rhs1" localSheetId="3" hidden="1">0</definedName>
    <definedName name="solver_rhs1" localSheetId="7" hidden="1">0</definedName>
    <definedName name="solver_rhs1" localSheetId="5" hidden="1">0</definedName>
    <definedName name="solver_rhs1" localSheetId="6" hidden="1">0</definedName>
    <definedName name="solver_rhs1" localSheetId="4" hidden="1">0</definedName>
    <definedName name="solver_rhs1" localSheetId="8" hidden="1">0</definedName>
    <definedName name="solver_rhs1" localSheetId="9" hidden="1">0</definedName>
    <definedName name="solver_rhs1" localSheetId="10" hidden="1">0</definedName>
    <definedName name="solver_rhs1" localSheetId="11" hidden="1">0</definedName>
    <definedName name="solver_rhs1" localSheetId="12" hidden="1">0</definedName>
    <definedName name="solver_rhs1" localSheetId="14" hidden="1">0</definedName>
    <definedName name="solver_rhs1" localSheetId="15" hidden="1">0</definedName>
    <definedName name="solver_rhs1" localSheetId="16" hidden="1">0</definedName>
    <definedName name="solver_rhs1" localSheetId="13" hidden="1">0</definedName>
    <definedName name="solver_rhs10" localSheetId="8" hidden="1">'4. Infra-year timeslices'!$L$56:$M$58</definedName>
    <definedName name="solver_rhs10" localSheetId="9" hidden="1">'5. Storage (same flow)'!$M$32</definedName>
    <definedName name="solver_rhs10" localSheetId="10" hidden="1">0</definedName>
    <definedName name="solver_rhs10" localSheetId="11" hidden="1">0</definedName>
    <definedName name="solver_rhs10" localSheetId="12" hidden="1">0</definedName>
    <definedName name="solver_rhs10" localSheetId="14" hidden="1">0</definedName>
    <definedName name="solver_rhs10" localSheetId="15" hidden="1">0</definedName>
    <definedName name="solver_rhs10" localSheetId="16" hidden="1">0</definedName>
    <definedName name="solver_rhs11" localSheetId="8" hidden="1">'4. Infra-year timeslices'!$N$59:$N$60</definedName>
    <definedName name="solver_rhs11" localSheetId="9" hidden="1">'5. Storage (same flow)'!$M$33</definedName>
    <definedName name="solver_rhs11" localSheetId="12" hidden="1">0</definedName>
    <definedName name="solver_rhs11" localSheetId="14" hidden="1">0</definedName>
    <definedName name="solver_rhs11" localSheetId="15" hidden="1">0</definedName>
    <definedName name="solver_rhs11" localSheetId="16" hidden="1">0</definedName>
    <definedName name="solver_rhs12" localSheetId="8" hidden="1">'4. Infra-year timeslices'!$L$63:$M$65</definedName>
    <definedName name="solver_rhs12" localSheetId="14" hidden="1">0</definedName>
    <definedName name="solver_rhs12" localSheetId="15" hidden="1">0</definedName>
    <definedName name="solver_rhs12" localSheetId="16" hidden="1">0</definedName>
    <definedName name="solver_rhs13" localSheetId="8" hidden="1">'4. Infra-year timeslices'!$L$67:$M$69</definedName>
    <definedName name="solver_rhs13" localSheetId="14" hidden="1">0</definedName>
    <definedName name="solver_rhs13" localSheetId="15" hidden="1">0</definedName>
    <definedName name="solver_rhs13" localSheetId="16" hidden="1">0</definedName>
    <definedName name="solver_rhs14" localSheetId="8" hidden="1">'4. Infra-year timeslices'!$N$70:$N$71</definedName>
    <definedName name="solver_rhs14" localSheetId="14" hidden="1">0</definedName>
    <definedName name="solver_rhs14" localSheetId="15" hidden="1">0</definedName>
    <definedName name="solver_rhs14" localSheetId="16" hidden="1">0</definedName>
    <definedName name="solver_rhs15" localSheetId="8" hidden="1">'4. Infra-year timeslices'!$L$52:$M$54</definedName>
    <definedName name="solver_rhs15" localSheetId="14" hidden="1">0</definedName>
    <definedName name="solver_rhs15" localSheetId="15" hidden="1">0</definedName>
    <definedName name="solver_rhs15" localSheetId="16" hidden="1">0</definedName>
    <definedName name="solver_rhs16" localSheetId="8" hidden="1">'4. Infra-year timeslices'!$L$56:$M$58</definedName>
    <definedName name="solver_rhs16" localSheetId="14" hidden="1">0</definedName>
    <definedName name="solver_rhs16" localSheetId="15" hidden="1">0</definedName>
    <definedName name="solver_rhs16" localSheetId="16" hidden="1">0</definedName>
    <definedName name="solver_rhs17" localSheetId="8" hidden="1">'4. Infra-year timeslices'!$L$63:$M$65</definedName>
    <definedName name="solver_rhs17" localSheetId="14" hidden="1">0</definedName>
    <definedName name="solver_rhs17" localSheetId="15" hidden="1">0</definedName>
    <definedName name="solver_rhs17" localSheetId="16" hidden="1">0</definedName>
    <definedName name="solver_rhs18" localSheetId="8" hidden="1">'4. Infra-year timeslices'!$L$67:$M$69</definedName>
    <definedName name="solver_rhs18" localSheetId="14" hidden="1">30</definedName>
    <definedName name="solver_rhs18" localSheetId="15" hidden="1">0</definedName>
    <definedName name="solver_rhs18" localSheetId="16" hidden="1">0</definedName>
    <definedName name="solver_rhs19" localSheetId="14" hidden="1">0</definedName>
    <definedName name="solver_rhs2" localSheetId="2" hidden="1">0</definedName>
    <definedName name="solver_rhs2" localSheetId="1" hidden="1">0</definedName>
    <definedName name="solver_rhs2" localSheetId="3" hidden="1">0</definedName>
    <definedName name="solver_rhs2" localSheetId="7" hidden="1">0</definedName>
    <definedName name="solver_rhs2" localSheetId="5" hidden="1">0</definedName>
    <definedName name="solver_rhs2" localSheetId="6" hidden="1">0</definedName>
    <definedName name="solver_rhs2" localSheetId="4" hidden="1">0</definedName>
    <definedName name="solver_rhs2" localSheetId="8" hidden="1">0</definedName>
    <definedName name="solver_rhs2" localSheetId="9" hidden="1">0</definedName>
    <definedName name="solver_rhs2" localSheetId="10" hidden="1">0</definedName>
    <definedName name="solver_rhs2" localSheetId="11" hidden="1">0</definedName>
    <definedName name="solver_rhs2" localSheetId="12" hidden="1">0</definedName>
    <definedName name="solver_rhs2" localSheetId="14" hidden="1">0</definedName>
    <definedName name="solver_rhs2" localSheetId="15" hidden="1">0</definedName>
    <definedName name="solver_rhs2" localSheetId="16" hidden="1">0</definedName>
    <definedName name="solver_rhs2" localSheetId="13" hidden="1">0</definedName>
    <definedName name="solver_rhs3" localSheetId="2" hidden="1">0</definedName>
    <definedName name="solver_rhs3" localSheetId="1" hidden="1">0</definedName>
    <definedName name="solver_rhs3" localSheetId="3" hidden="1">'2. Operation'!$J$23:$K$27</definedName>
    <definedName name="solver_rhs3" localSheetId="7" hidden="1">'3. Planning - Discounting'!$J$44:$L$48</definedName>
    <definedName name="solver_rhs3" localSheetId="5" hidden="1">'3. Planning - Disposal'!$J$44:$L$48</definedName>
    <definedName name="solver_rhs3" localSheetId="6" hidden="1">'3. Planning - Disposal (1 shot)'!$J$44:$L$48</definedName>
    <definedName name="solver_rhs3" localSheetId="4" hidden="1">'3. Planning - No disposal'!$K$41:$M$45</definedName>
    <definedName name="solver_rhs3" localSheetId="8" hidden="1">0</definedName>
    <definedName name="solver_rhs3" localSheetId="9" hidden="1">'5. Storage (same flow)'!$K$50:$L$54</definedName>
    <definedName name="solver_rhs3" localSheetId="10" hidden="1">'5. Storage BEV'!$M$55:$O$59</definedName>
    <definedName name="solver_rhs3" localSheetId="11" hidden="1">'5. Storage V2G'!$M$55:$O$59</definedName>
    <definedName name="solver_rhs3" localSheetId="12" hidden="1">'5. Storage V2G sell'!$M$55:$O$59</definedName>
    <definedName name="solver_rhs3" localSheetId="14" hidden="1">0</definedName>
    <definedName name="solver_rhs3" localSheetId="15" hidden="1">0</definedName>
    <definedName name="solver_rhs3" localSheetId="16" hidden="1">0</definedName>
    <definedName name="solver_rhs3" localSheetId="13" hidden="1">0</definedName>
    <definedName name="solver_rhs4" localSheetId="2" hidden="1">0</definedName>
    <definedName name="solver_rhs4" localSheetId="1" hidden="1">0</definedName>
    <definedName name="solver_rhs4" localSheetId="3" hidden="1">0</definedName>
    <definedName name="solver_rhs4" localSheetId="7" hidden="1">'3. Planning - Discounting'!$J$28:$L$32</definedName>
    <definedName name="solver_rhs4" localSheetId="5" hidden="1">'3. Planning - Disposal'!$J$28:$L$32</definedName>
    <definedName name="solver_rhs4" localSheetId="6" hidden="1">'3. Planning - Disposal (1 shot)'!$J$28:$L$32</definedName>
    <definedName name="solver_rhs4" localSheetId="4" hidden="1">'3. Planning - No disposal'!$K$25:$M$29</definedName>
    <definedName name="solver_rhs4" localSheetId="8" hidden="1">0</definedName>
    <definedName name="solver_rhs4" localSheetId="9" hidden="1">'5. Storage (same flow)'!$K$43:$L$47</definedName>
    <definedName name="solver_rhs4" localSheetId="10" hidden="1">'5. Storage BEV'!$M$48:$O$52</definedName>
    <definedName name="solver_rhs4" localSheetId="11" hidden="1">'5. Storage V2G'!$M$48:$O$52</definedName>
    <definedName name="solver_rhs4" localSheetId="12" hidden="1">'5. Storage V2G sell'!$M$48:$O$52</definedName>
    <definedName name="solver_rhs4" localSheetId="14" hidden="1">0</definedName>
    <definedName name="solver_rhs4" localSheetId="15" hidden="1">0</definedName>
    <definedName name="solver_rhs4" localSheetId="16" hidden="1">0</definedName>
    <definedName name="solver_rhs4" localSheetId="13" hidden="1">1</definedName>
    <definedName name="solver_rhs5" localSheetId="2" hidden="1">0</definedName>
    <definedName name="solver_rhs5" localSheetId="1" hidden="1">0</definedName>
    <definedName name="solver_rhs5" localSheetId="3" hidden="1">0</definedName>
    <definedName name="solver_rhs5" localSheetId="7" hidden="1">0</definedName>
    <definedName name="solver_rhs5" localSheetId="5" hidden="1">0</definedName>
    <definedName name="solver_rhs5" localSheetId="6" hidden="1">0</definedName>
    <definedName name="solver_rhs5" localSheetId="4" hidden="1">0</definedName>
    <definedName name="solver_rhs5" localSheetId="8" hidden="1">0</definedName>
    <definedName name="solver_rhs5" localSheetId="9" hidden="1">'5. Storage (same flow)'!$M$31</definedName>
    <definedName name="solver_rhs5" localSheetId="10" hidden="1">'5. Storage BEV'!$S$33</definedName>
    <definedName name="solver_rhs5" localSheetId="11" hidden="1">'5. Storage V2G'!$S$33</definedName>
    <definedName name="solver_rhs5" localSheetId="12" hidden="1">'5. Storage V2G sell'!$T$33</definedName>
    <definedName name="solver_rhs5" localSheetId="14" hidden="1">0</definedName>
    <definedName name="solver_rhs5" localSheetId="15" hidden="1">0</definedName>
    <definedName name="solver_rhs5" localSheetId="16" hidden="1">0</definedName>
    <definedName name="solver_rhs6" localSheetId="2" hidden="1">0</definedName>
    <definedName name="solver_rhs6" localSheetId="1" hidden="1">0</definedName>
    <definedName name="solver_rhs6" localSheetId="7" hidden="1">0</definedName>
    <definedName name="solver_rhs6" localSheetId="5" hidden="1">0</definedName>
    <definedName name="solver_rhs6" localSheetId="6" hidden="1">0</definedName>
    <definedName name="solver_rhs6" localSheetId="4" hidden="1">0</definedName>
    <definedName name="solver_rhs6" localSheetId="8" hidden="1">0</definedName>
    <definedName name="solver_rhs6" localSheetId="9" hidden="1">0</definedName>
    <definedName name="solver_rhs6" localSheetId="10" hidden="1">'5. Storage BEV'!$Q$37</definedName>
    <definedName name="solver_rhs6" localSheetId="11" hidden="1">'5. Storage V2G'!$Q$37</definedName>
    <definedName name="solver_rhs6" localSheetId="12" hidden="1">'5. Storage V2G sell'!$Q$37</definedName>
    <definedName name="solver_rhs6" localSheetId="14" hidden="1">0</definedName>
    <definedName name="solver_rhs6" localSheetId="15" hidden="1">0</definedName>
    <definedName name="solver_rhs6" localSheetId="16" hidden="1">0</definedName>
    <definedName name="solver_rhs7" localSheetId="8" hidden="1">0</definedName>
    <definedName name="solver_rhs7" localSheetId="9" hidden="1">'5. Storage (same flow)'!$M$47</definedName>
    <definedName name="solver_rhs7" localSheetId="10" hidden="1">'5. Storage BEV'!$Q$38</definedName>
    <definedName name="solver_rhs7" localSheetId="11" hidden="1">'5. Storage V2G'!$Q$38</definedName>
    <definedName name="solver_rhs7" localSheetId="12" hidden="1">'5. Storage V2G sell'!$Q$38</definedName>
    <definedName name="solver_rhs7" localSheetId="14" hidden="1">0</definedName>
    <definedName name="solver_rhs7" localSheetId="15" hidden="1">0</definedName>
    <definedName name="solver_rhs7" localSheetId="16" hidden="1">0</definedName>
    <definedName name="solver_rhs8" localSheetId="8" hidden="1">0</definedName>
    <definedName name="solver_rhs8" localSheetId="9" hidden="1">'5. Storage (same flow)'!$O$27</definedName>
    <definedName name="solver_rhs8" localSheetId="10" hidden="1">0</definedName>
    <definedName name="solver_rhs8" localSheetId="11" hidden="1">0</definedName>
    <definedName name="solver_rhs8" localSheetId="12" hidden="1">0</definedName>
    <definedName name="solver_rhs8" localSheetId="14" hidden="1">0</definedName>
    <definedName name="solver_rhs8" localSheetId="15" hidden="1">0</definedName>
    <definedName name="solver_rhs8" localSheetId="16" hidden="1">0</definedName>
    <definedName name="solver_rhs9" localSheetId="8" hidden="1">'4. Infra-year timeslices'!$L$52:$M$54</definedName>
    <definedName name="solver_rhs9" localSheetId="9" hidden="1">'5. Storage (same flow)'!$O$28</definedName>
    <definedName name="solver_rhs9" localSheetId="10" hidden="1">'5. Storage BEV'!$S$32</definedName>
    <definedName name="solver_rhs9" localSheetId="11" hidden="1">'5. Storage V2G'!$S$32</definedName>
    <definedName name="solver_rhs9" localSheetId="12" hidden="1">'5. Storage V2G sell'!$T$32</definedName>
    <definedName name="solver_rhs9" localSheetId="14" hidden="1">0</definedName>
    <definedName name="solver_rhs9" localSheetId="15" hidden="1">0</definedName>
    <definedName name="solver_rhs9" localSheetId="16" hidden="1">0</definedName>
    <definedName name="solver_rlx" localSheetId="2" hidden="1">2</definedName>
    <definedName name="solver_rlx" localSheetId="1" hidden="1">2</definedName>
    <definedName name="solver_rlx" localSheetId="3" hidden="1">2</definedName>
    <definedName name="solver_rlx" localSheetId="7" hidden="1">2</definedName>
    <definedName name="solver_rlx" localSheetId="5" hidden="1">2</definedName>
    <definedName name="solver_rlx" localSheetId="6" hidden="1">2</definedName>
    <definedName name="solver_rlx" localSheetId="4" hidden="1">2</definedName>
    <definedName name="solver_rlx" localSheetId="8" hidden="1">2</definedName>
    <definedName name="solver_rlx" localSheetId="9" hidden="1">2</definedName>
    <definedName name="solver_rlx" localSheetId="10" hidden="1">2</definedName>
    <definedName name="solver_rlx" localSheetId="11" hidden="1">2</definedName>
    <definedName name="solver_rlx" localSheetId="12" hidden="1">2</definedName>
    <definedName name="solver_rlx" localSheetId="14" hidden="1">2</definedName>
    <definedName name="solver_rlx" localSheetId="15" hidden="1">2</definedName>
    <definedName name="solver_rlx" localSheetId="16" hidden="1">2</definedName>
    <definedName name="solver_rlx" localSheetId="13" hidden="1">2</definedName>
    <definedName name="solver_rsd" localSheetId="7" hidden="1">0</definedName>
    <definedName name="solver_rsd" localSheetId="5" hidden="1">0</definedName>
    <definedName name="solver_rsd" localSheetId="6" hidden="1">0</definedName>
    <definedName name="solver_rsd" localSheetId="4" hidden="1">0</definedName>
    <definedName name="solver_rsd" localSheetId="16" hidden="1">0</definedName>
    <definedName name="solver_scl" localSheetId="2" hidden="1">2</definedName>
    <definedName name="solver_scl" localSheetId="1" hidden="1">2</definedName>
    <definedName name="solver_scl" localSheetId="3" hidden="1">2</definedName>
    <definedName name="solver_scl" localSheetId="7" hidden="1">2</definedName>
    <definedName name="solver_scl" localSheetId="5" hidden="1">2</definedName>
    <definedName name="solver_scl" localSheetId="6" hidden="1">2</definedName>
    <definedName name="solver_scl" localSheetId="4" hidden="1">2</definedName>
    <definedName name="solver_scl" localSheetId="8" hidden="1">2</definedName>
    <definedName name="solver_scl" localSheetId="9" hidden="1">2</definedName>
    <definedName name="solver_scl" localSheetId="10" hidden="1">2</definedName>
    <definedName name="solver_scl" localSheetId="11" hidden="1">2</definedName>
    <definedName name="solver_scl" localSheetId="12" hidden="1">2</definedName>
    <definedName name="solver_scl" localSheetId="14" hidden="1">2</definedName>
    <definedName name="solver_scl" localSheetId="15" hidden="1">2</definedName>
    <definedName name="solver_scl" localSheetId="16" hidden="1">1</definedName>
    <definedName name="solver_scl" localSheetId="13" hidden="1">2</definedName>
    <definedName name="solver_sho" localSheetId="2" hidden="1">0</definedName>
    <definedName name="solver_sho" localSheetId="1" hidden="1">0</definedName>
    <definedName name="solver_sho" localSheetId="3" hidden="1">0</definedName>
    <definedName name="solver_sho" localSheetId="7" hidden="1">2</definedName>
    <definedName name="solver_sho" localSheetId="5" hidden="1">2</definedName>
    <definedName name="solver_sho" localSheetId="6" hidden="1">2</definedName>
    <definedName name="solver_sho" localSheetId="4" hidden="1">2</definedName>
    <definedName name="solver_sho" localSheetId="8" hidden="1">0</definedName>
    <definedName name="solver_sho" localSheetId="9" hidden="1">0</definedName>
    <definedName name="solver_sho" localSheetId="10" hidden="1">0</definedName>
    <definedName name="solver_sho" localSheetId="11" hidden="1">0</definedName>
    <definedName name="solver_sho" localSheetId="12" hidden="1">0</definedName>
    <definedName name="solver_sho" localSheetId="14" hidden="1">0</definedName>
    <definedName name="solver_sho" localSheetId="15" hidden="1">0</definedName>
    <definedName name="solver_sho" localSheetId="16" hidden="1">2</definedName>
    <definedName name="solver_sho" localSheetId="13" hidden="1">0</definedName>
    <definedName name="solver_ssz" localSheetId="7" hidden="1">100</definedName>
    <definedName name="solver_ssz" localSheetId="5" hidden="1">100</definedName>
    <definedName name="solver_ssz" localSheetId="6" hidden="1">100</definedName>
    <definedName name="solver_ssz" localSheetId="4" hidden="1">100</definedName>
    <definedName name="solver_ssz" localSheetId="16" hidden="1">100</definedName>
    <definedName name="solver_tim" localSheetId="2" hidden="1">2147483647</definedName>
    <definedName name="solver_tim" localSheetId="1" hidden="1">2147483647</definedName>
    <definedName name="solver_tim" localSheetId="3" hidden="1">2147483647</definedName>
    <definedName name="solver_tim" localSheetId="7" hidden="1">2147483647</definedName>
    <definedName name="solver_tim" localSheetId="5" hidden="1">2147483647</definedName>
    <definedName name="solver_tim" localSheetId="6" hidden="1">2147483647</definedName>
    <definedName name="solver_tim" localSheetId="4" hidden="1">2147483647</definedName>
    <definedName name="solver_tim" localSheetId="8" hidden="1">2147483647</definedName>
    <definedName name="solver_tim" localSheetId="9" hidden="1">2147483647</definedName>
    <definedName name="solver_tim" localSheetId="10" hidden="1">2147483647</definedName>
    <definedName name="solver_tim" localSheetId="11" hidden="1">2147483647</definedName>
    <definedName name="solver_tim" localSheetId="12" hidden="1">2147483647</definedName>
    <definedName name="solver_tim" localSheetId="14" hidden="1">2147483647</definedName>
    <definedName name="solver_tim" localSheetId="15" hidden="1">2147483647</definedName>
    <definedName name="solver_tim" localSheetId="16" hidden="1">2147483647</definedName>
    <definedName name="solver_tim" localSheetId="13" hidden="1">2147483647</definedName>
    <definedName name="solver_tol" localSheetId="2" hidden="1">0.05</definedName>
    <definedName name="solver_tol" localSheetId="1" hidden="1">0.05</definedName>
    <definedName name="solver_tol" localSheetId="3" hidden="1">0.05</definedName>
    <definedName name="solver_tol" localSheetId="7" hidden="1">5</definedName>
    <definedName name="solver_tol" localSheetId="5" hidden="1">5</definedName>
    <definedName name="solver_tol" localSheetId="6" hidden="1">5</definedName>
    <definedName name="solver_tol" localSheetId="4" hidden="1">5</definedName>
    <definedName name="solver_tol" localSheetId="8" hidden="1">0.05</definedName>
    <definedName name="solver_tol" localSheetId="9" hidden="1">0.05</definedName>
    <definedName name="solver_tol" localSheetId="10" hidden="1">0.05</definedName>
    <definedName name="solver_tol" localSheetId="11" hidden="1">0.05</definedName>
    <definedName name="solver_tol" localSheetId="12" hidden="1">0.05</definedName>
    <definedName name="solver_tol" localSheetId="14" hidden="1">0.05</definedName>
    <definedName name="solver_tol" localSheetId="15" hidden="1">0.05</definedName>
    <definedName name="solver_tol" localSheetId="16" hidden="1">0.01</definedName>
    <definedName name="solver_tol" localSheetId="13" hidden="1">0.05</definedName>
    <definedName name="solver_typ" localSheetId="2" hidden="1">2</definedName>
    <definedName name="solver_typ" localSheetId="1" hidden="1">2</definedName>
    <definedName name="solver_typ" localSheetId="3" hidden="1">2</definedName>
    <definedName name="solver_typ" localSheetId="7" hidden="1">2</definedName>
    <definedName name="solver_typ" localSheetId="5" hidden="1">2</definedName>
    <definedName name="solver_typ" localSheetId="6" hidden="1">2</definedName>
    <definedName name="solver_typ" localSheetId="4" hidden="1">2</definedName>
    <definedName name="solver_typ" localSheetId="8" hidden="1">2</definedName>
    <definedName name="solver_typ" localSheetId="9" hidden="1">2</definedName>
    <definedName name="solver_typ" localSheetId="10" hidden="1">2</definedName>
    <definedName name="solver_typ" localSheetId="11" hidden="1">2</definedName>
    <definedName name="solver_typ" localSheetId="12" hidden="1">2</definedName>
    <definedName name="solver_typ" localSheetId="14" hidden="1">2</definedName>
    <definedName name="solver_typ" localSheetId="15" hidden="1">2</definedName>
    <definedName name="solver_typ" localSheetId="16" hidden="1">2</definedName>
    <definedName name="solver_typ" localSheetId="13" hidden="1">2</definedName>
    <definedName name="solver_val" localSheetId="2" hidden="1">0</definedName>
    <definedName name="solver_val" localSheetId="1" hidden="1">0</definedName>
    <definedName name="solver_val" localSheetId="3" hidden="1">0</definedName>
    <definedName name="solver_val" localSheetId="7" hidden="1">0</definedName>
    <definedName name="solver_val" localSheetId="5" hidden="1">0</definedName>
    <definedName name="solver_val" localSheetId="6" hidden="1">0</definedName>
    <definedName name="solver_val" localSheetId="4" hidden="1">0</definedName>
    <definedName name="solver_val" localSheetId="8" hidden="1">0</definedName>
    <definedName name="solver_val" localSheetId="9" hidden="1">0</definedName>
    <definedName name="solver_val" localSheetId="10" hidden="1">0</definedName>
    <definedName name="solver_val" localSheetId="11" hidden="1">0</definedName>
    <definedName name="solver_val" localSheetId="12" hidden="1">0</definedName>
    <definedName name="solver_val" localSheetId="14" hidden="1">0</definedName>
    <definedName name="solver_val" localSheetId="15" hidden="1">0</definedName>
    <definedName name="solver_val" localSheetId="16" hidden="1">0</definedName>
    <definedName name="solver_val" localSheetId="13" hidden="1">0</definedName>
    <definedName name="solver_ver" localSheetId="7" hidden="1">3</definedName>
    <definedName name="solver_ver" localSheetId="5" hidden="1">3</definedName>
    <definedName name="solver_ver" localSheetId="6" hidden="1">3</definedName>
    <definedName name="solver_ver" localSheetId="4" hidden="1">3</definedName>
    <definedName name="solver_ver" localSheetId="16" hidd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E10" i="20" l="1" a="1"/>
  <c r="AE10" i="20" s="1"/>
  <c r="AH36" i="36" a="1"/>
  <c r="AH36" i="36" s="1"/>
  <c r="F26" i="36" a="1"/>
  <c r="F26" i="36" s="1"/>
  <c r="V7" i="36" a="1"/>
  <c r="V7" i="36" s="1"/>
  <c r="AB7" i="36" a="1"/>
  <c r="AB7" i="36" s="1"/>
  <c r="E25" i="29" a="1"/>
  <c r="E25" i="29" s="1"/>
  <c r="AD11" i="36" l="1" a="1"/>
  <c r="AD11" i="36" s="1"/>
  <c r="X7" i="36" a="1"/>
  <c r="X7" i="36" s="1"/>
  <c r="M30" i="36" a="1"/>
  <c r="M30" i="36" s="1"/>
  <c r="AO7" i="36" a="1"/>
  <c r="AO7" i="36" s="1"/>
  <c r="AB14" i="34" a="1"/>
  <c r="AB14" i="34" s="1"/>
  <c r="AF7" i="36" l="1" a="1"/>
  <c r="AF7" i="36" s="1"/>
  <c r="F34" i="36" a="1"/>
  <c r="F34" i="36" s="1"/>
  <c r="F22" i="36" s="1" a="1"/>
  <c r="F22" i="36" s="1"/>
  <c r="V31" i="36" s="1"/>
  <c r="Z7" i="36" a="1"/>
  <c r="Z7" i="36" s="1"/>
  <c r="AD7" i="36" s="1" a="1"/>
  <c r="AD7" i="36" s="1"/>
  <c r="AF7" i="34" l="1" a="1"/>
  <c r="AF7" i="34" s="1"/>
  <c r="M30" i="34" l="1" a="1"/>
  <c r="M30" i="34" s="1"/>
  <c r="K26" i="34"/>
  <c r="J26" i="34"/>
  <c r="I26" i="34"/>
  <c r="H26" i="34"/>
  <c r="G26" i="34"/>
  <c r="F26" i="34"/>
  <c r="Z12" i="34"/>
  <c r="Z11" i="34"/>
  <c r="Z10" i="34"/>
  <c r="Z9" i="34"/>
  <c r="Z8" i="34"/>
  <c r="Z7" i="34"/>
  <c r="M25" i="30" a="1"/>
  <c r="M25" i="30" s="1"/>
  <c r="T25" i="30" s="1"/>
  <c r="X14" i="30" a="1"/>
  <c r="X14" i="30" s="1"/>
  <c r="G21" i="30"/>
  <c r="H21" i="30"/>
  <c r="I21" i="30"/>
  <c r="J21" i="30"/>
  <c r="K21" i="30"/>
  <c r="F21" i="30"/>
  <c r="V9" i="30"/>
  <c r="V10" i="30"/>
  <c r="V11" i="30"/>
  <c r="V12" i="30"/>
  <c r="V8" i="30"/>
  <c r="V7" i="30"/>
  <c r="E22" i="29" a="1"/>
  <c r="E22" i="29" s="1"/>
  <c r="H19" i="29" a="1"/>
  <c r="H19" i="29" s="1"/>
  <c r="H17" i="29" a="1"/>
  <c r="H17" i="29" s="1"/>
  <c r="P9" i="29" a="1"/>
  <c r="P9" i="29" s="1"/>
  <c r="P6" i="29" a="1"/>
  <c r="P6" i="29" s="1"/>
  <c r="Y24" i="27" a="1"/>
  <c r="Y24" i="27" s="1"/>
  <c r="W19" i="27"/>
  <c r="W18" i="27"/>
  <c r="W17" i="27"/>
  <c r="W16" i="27"/>
  <c r="W15" i="27"/>
  <c r="W13" i="27"/>
  <c r="W12" i="27"/>
  <c r="W11" i="27"/>
  <c r="W10" i="27"/>
  <c r="W9" i="27"/>
  <c r="W8" i="27"/>
  <c r="W7" i="27"/>
  <c r="M34" i="34" l="1" a="1"/>
  <c r="M34" i="34" s="1"/>
  <c r="F34" i="34" a="1"/>
  <c r="F34" i="34" s="1"/>
  <c r="F22" i="34" s="1" a="1"/>
  <c r="F22" i="34" s="1"/>
  <c r="X30" i="34" s="1"/>
  <c r="AB7" i="34" a="1"/>
  <c r="AB7" i="34" s="1"/>
  <c r="M29" i="30" a="1"/>
  <c r="M29" i="30" s="1"/>
  <c r="X7" i="30" a="1"/>
  <c r="X7" i="30" s="1"/>
  <c r="Z15" i="27" a="1"/>
  <c r="Z15" i="27" s="1"/>
  <c r="AH21" i="27" a="1"/>
  <c r="AH21" i="27" s="1"/>
  <c r="AN7" i="27" a="1"/>
  <c r="AO10" i="27" s="1"/>
  <c r="AH7" i="27" a="1"/>
  <c r="AH7" i="27" s="1"/>
  <c r="Y28" i="27"/>
  <c r="Y27" i="27"/>
  <c r="Y30" i="27"/>
  <c r="Y29" i="27"/>
  <c r="Y26" i="27"/>
  <c r="Y25" i="27"/>
  <c r="AF19" i="27"/>
  <c r="AB18" i="27"/>
  <c r="AD16" i="27"/>
  <c r="AC16" i="27"/>
  <c r="AE19" i="27"/>
  <c r="AA16" i="27"/>
  <c r="AC19" i="27"/>
  <c r="AD17" i="27"/>
  <c r="AL21" i="27"/>
  <c r="AB16" i="27"/>
  <c r="AF17" i="27"/>
  <c r="AE17" i="27"/>
  <c r="AF15" i="27"/>
  <c r="AC17" i="27"/>
  <c r="AC15" i="27"/>
  <c r="AJ21" i="27"/>
  <c r="AE18" i="27"/>
  <c r="Z17" i="27"/>
  <c r="AB15" i="27"/>
  <c r="Z18" i="27"/>
  <c r="AD19" i="27"/>
  <c r="Z16" i="27"/>
  <c r="AB19" i="27"/>
  <c r="AA19" i="27"/>
  <c r="AE15" i="27"/>
  <c r="AF18" i="27"/>
  <c r="AI21" i="27"/>
  <c r="AD18" i="27"/>
  <c r="AF16" i="27"/>
  <c r="AA15" i="27"/>
  <c r="AD15" i="27"/>
  <c r="AK21" i="27"/>
  <c r="AA17" i="27"/>
  <c r="AC18" i="27"/>
  <c r="AE16" i="27"/>
  <c r="AB17" i="27" l="1"/>
  <c r="Z19" i="27"/>
  <c r="AA18" i="27"/>
  <c r="AH11" i="27"/>
  <c r="AJ9" i="27"/>
  <c r="AJ7" i="27"/>
  <c r="AJ12" i="27"/>
  <c r="AK13" i="27"/>
  <c r="AJ11" i="27"/>
  <c r="AK11" i="27"/>
  <c r="AK12" i="27"/>
  <c r="AK10" i="27"/>
  <c r="AI13" i="27"/>
  <c r="AP8" i="27"/>
  <c r="AQ12" i="27"/>
  <c r="AI9" i="27"/>
  <c r="AH9" i="27"/>
  <c r="AR9" i="27"/>
  <c r="AP12" i="27"/>
  <c r="AK7" i="27"/>
  <c r="AO12" i="27"/>
  <c r="AN9" i="27"/>
  <c r="AR10" i="27"/>
  <c r="AK9" i="27"/>
  <c r="AN13" i="27"/>
  <c r="AQ7" i="27"/>
  <c r="AR8" i="27"/>
  <c r="AO7" i="27"/>
  <c r="AQ10" i="27"/>
  <c r="AP7" i="27"/>
  <c r="AQ13" i="27"/>
  <c r="AN8" i="27"/>
  <c r="AP13" i="27"/>
  <c r="AN12" i="27"/>
  <c r="AN7" i="27"/>
  <c r="AP10" i="27"/>
  <c r="AQ8" i="27"/>
  <c r="AR7" i="27"/>
  <c r="AO13" i="27"/>
  <c r="AN10" i="27"/>
  <c r="AR12" i="27"/>
  <c r="AO9" i="27"/>
  <c r="AQ9" i="27"/>
  <c r="AP9" i="27"/>
  <c r="AR11" i="27"/>
  <c r="AO11" i="27"/>
  <c r="AN11" i="27"/>
  <c r="AP11" i="27"/>
  <c r="AQ11" i="27"/>
  <c r="AL8" i="27"/>
  <c r="AO8" i="27"/>
  <c r="AL11" i="27"/>
  <c r="AR13" i="27"/>
  <c r="AL13" i="27"/>
  <c r="AI12" i="27"/>
  <c r="AH12" i="27"/>
  <c r="AK8" i="27"/>
  <c r="AI10" i="27"/>
  <c r="AL10" i="27"/>
  <c r="AI7" i="27"/>
  <c r="AJ10" i="27"/>
  <c r="AJ8" i="27"/>
  <c r="AJ13" i="27"/>
  <c r="AH10" i="27"/>
  <c r="AH8" i="27"/>
  <c r="AL9" i="27"/>
  <c r="AI11" i="27"/>
  <c r="AL12" i="27"/>
  <c r="AL7" i="27"/>
  <c r="AI8" i="27"/>
  <c r="AH13" i="27"/>
  <c r="O38" i="27" a="1"/>
  <c r="K35" i="27" a="1"/>
  <c r="AC35" i="27" a="1"/>
  <c r="G32" i="27" l="1" a="1"/>
  <c r="G32" i="27" s="1"/>
  <c r="G43" i="27" a="1"/>
  <c r="I43" i="27" s="1"/>
  <c r="O24" i="27" a="1"/>
  <c r="R27" i="27" s="1"/>
  <c r="AC24" i="27" a="1"/>
  <c r="R38" i="27"/>
  <c r="Q38" i="27"/>
  <c r="P38" i="27"/>
  <c r="S38" i="27"/>
  <c r="O38" i="27"/>
  <c r="AC36" i="27"/>
  <c r="AC35" i="27"/>
  <c r="M35" i="27"/>
  <c r="L36" i="27"/>
  <c r="K36" i="27"/>
  <c r="L35" i="27"/>
  <c r="M36" i="27"/>
  <c r="K35" i="27"/>
  <c r="I32" i="27" l="1"/>
  <c r="J32" i="27"/>
  <c r="I33" i="27"/>
  <c r="H32" i="27"/>
  <c r="G33" i="27"/>
  <c r="H33" i="27"/>
  <c r="J33" i="27"/>
  <c r="G34" i="27"/>
  <c r="H34" i="27"/>
  <c r="I34" i="27"/>
  <c r="J34" i="27"/>
  <c r="S30" i="27"/>
  <c r="R28" i="27"/>
  <c r="R29" i="27"/>
  <c r="S28" i="27"/>
  <c r="O24" i="27"/>
  <c r="R30" i="27"/>
  <c r="S27" i="27"/>
  <c r="O27" i="27"/>
  <c r="P28" i="27"/>
  <c r="Q29" i="27"/>
  <c r="P30" i="27"/>
  <c r="S24" i="27"/>
  <c r="P25" i="27"/>
  <c r="O25" i="27"/>
  <c r="P24" i="27"/>
  <c r="R26" i="27"/>
  <c r="Q28" i="27"/>
  <c r="Q25" i="27"/>
  <c r="O28" i="27"/>
  <c r="P29" i="27"/>
  <c r="O29" i="27"/>
  <c r="S26" i="27"/>
  <c r="P27" i="27"/>
  <c r="Q30" i="27"/>
  <c r="O26" i="27"/>
  <c r="Q26" i="27"/>
  <c r="R24" i="27"/>
  <c r="Q27" i="27"/>
  <c r="Q24" i="27"/>
  <c r="J43" i="27"/>
  <c r="O30" i="27"/>
  <c r="S29" i="27"/>
  <c r="S25" i="27"/>
  <c r="R25" i="27"/>
  <c r="G43" i="27"/>
  <c r="H43" i="27"/>
  <c r="P26" i="27"/>
  <c r="AC29" i="27"/>
  <c r="AC24" i="27"/>
  <c r="AC30" i="27"/>
  <c r="AC25" i="27"/>
  <c r="AC27" i="27"/>
  <c r="AC28" i="27"/>
  <c r="AC26" i="27"/>
  <c r="U33" i="26" a="1"/>
  <c r="U33" i="26" s="1"/>
  <c r="Y33" i="26" a="1"/>
  <c r="W20" i="26"/>
  <c r="W19" i="26"/>
  <c r="W18" i="26"/>
  <c r="W17" i="26"/>
  <c r="W16" i="26"/>
  <c r="W14" i="26"/>
  <c r="W13" i="26"/>
  <c r="W12" i="26"/>
  <c r="W11" i="26"/>
  <c r="W10" i="26"/>
  <c r="W9" i="26"/>
  <c r="W8" i="26"/>
  <c r="AH8" i="26" l="1" a="1"/>
  <c r="AI9" i="26" s="1"/>
  <c r="Z16" i="26" a="1"/>
  <c r="Z17" i="26" s="1"/>
  <c r="Y33" i="26"/>
  <c r="Y38" i="26"/>
  <c r="Y37" i="26"/>
  <c r="AN8" i="26" a="1"/>
  <c r="AH22" i="26" a="1"/>
  <c r="Y35" i="26"/>
  <c r="Y34" i="26"/>
  <c r="Y36" i="26"/>
  <c r="AI8" i="26" l="1"/>
  <c r="AK12" i="26"/>
  <c r="AH10" i="26"/>
  <c r="AK11" i="26"/>
  <c r="AJ12" i="26"/>
  <c r="AJ9" i="26"/>
  <c r="AH8" i="26"/>
  <c r="AL10" i="26"/>
  <c r="AL11" i="26"/>
  <c r="AJ10" i="26"/>
  <c r="AI11" i="26"/>
  <c r="AH14" i="26"/>
  <c r="AI14" i="26"/>
  <c r="AL12" i="26"/>
  <c r="AK10" i="26"/>
  <c r="AK9" i="26"/>
  <c r="AH11" i="26"/>
  <c r="AL13" i="26"/>
  <c r="AH12" i="26"/>
  <c r="AI10" i="26"/>
  <c r="AJ14" i="26"/>
  <c r="AK13" i="26"/>
  <c r="AH9" i="26"/>
  <c r="AL9" i="26"/>
  <c r="AJ13" i="26"/>
  <c r="AJ11" i="26"/>
  <c r="AL14" i="26"/>
  <c r="AH13" i="26"/>
  <c r="AL8" i="26"/>
  <c r="AI12" i="26"/>
  <c r="AI13" i="26"/>
  <c r="AJ8" i="26"/>
  <c r="AK8" i="26"/>
  <c r="AK14" i="26"/>
  <c r="AE18" i="26"/>
  <c r="AF16" i="26"/>
  <c r="AA19" i="26"/>
  <c r="Z18" i="26"/>
  <c r="AE20" i="26"/>
  <c r="AD17" i="26"/>
  <c r="AA18" i="26"/>
  <c r="AF18" i="26"/>
  <c r="AB17" i="26"/>
  <c r="AB19" i="26"/>
  <c r="AF19" i="26"/>
  <c r="Z16" i="26"/>
  <c r="AA20" i="26"/>
  <c r="AE19" i="26"/>
  <c r="AC20" i="26"/>
  <c r="AC16" i="26"/>
  <c r="AD16" i="26"/>
  <c r="AD18" i="26"/>
  <c r="AD20" i="26"/>
  <c r="AE17" i="26"/>
  <c r="AB18" i="26"/>
  <c r="AC19" i="26"/>
  <c r="Z20" i="26"/>
  <c r="AC17" i="26"/>
  <c r="AA16" i="26"/>
  <c r="AE16" i="26"/>
  <c r="AA17" i="26"/>
  <c r="AB20" i="26"/>
  <c r="AF17" i="26"/>
  <c r="AC18" i="26"/>
  <c r="AD19" i="26"/>
  <c r="AF20" i="26"/>
  <c r="Z19" i="26"/>
  <c r="AB16" i="26"/>
  <c r="AR12" i="26"/>
  <c r="AP10" i="26"/>
  <c r="AN8" i="26"/>
  <c r="AQ12" i="26"/>
  <c r="AO10" i="26"/>
  <c r="AR14" i="26"/>
  <c r="AP12" i="26"/>
  <c r="AN10" i="26"/>
  <c r="AQ14" i="26"/>
  <c r="AO12" i="26"/>
  <c r="AR9" i="26"/>
  <c r="AP14" i="26"/>
  <c r="AN12" i="26"/>
  <c r="AQ9" i="26"/>
  <c r="AO14" i="26"/>
  <c r="AR11" i="26"/>
  <c r="AP9" i="26"/>
  <c r="AP13" i="26"/>
  <c r="AQ8" i="26"/>
  <c r="AO13" i="26"/>
  <c r="AP8" i="26"/>
  <c r="AO9" i="26"/>
  <c r="AN9" i="26"/>
  <c r="AN13" i="26"/>
  <c r="AO8" i="26"/>
  <c r="AQ11" i="26"/>
  <c r="AP11" i="26"/>
  <c r="AO11" i="26"/>
  <c r="AR10" i="26"/>
  <c r="AQ10" i="26"/>
  <c r="AN14" i="26"/>
  <c r="AR13" i="26"/>
  <c r="AQ13" i="26"/>
  <c r="AR8" i="26"/>
  <c r="AN11" i="26"/>
  <c r="AK22" i="26"/>
  <c r="AI22" i="26"/>
  <c r="AH22" i="26"/>
  <c r="AJ22" i="26"/>
  <c r="AL22" i="26"/>
  <c r="O25" i="26" l="1" a="1"/>
  <c r="S27" i="26" s="1"/>
  <c r="AC44" i="26" a="1"/>
  <c r="AC44" i="26" s="1"/>
  <c r="K44" i="26" a="1"/>
  <c r="L44" i="26" s="1"/>
  <c r="G52" i="26" a="1"/>
  <c r="G41" i="26" a="1"/>
  <c r="O47" i="26" a="1"/>
  <c r="U47" i="26" a="1"/>
  <c r="U47" i="26" s="1"/>
  <c r="P27" i="26" l="1"/>
  <c r="Q30" i="26"/>
  <c r="O29" i="26"/>
  <c r="P30" i="26"/>
  <c r="R30" i="26"/>
  <c r="S26" i="26"/>
  <c r="O26" i="26"/>
  <c r="P29" i="26"/>
  <c r="R27" i="26"/>
  <c r="O27" i="26"/>
  <c r="Q28" i="26"/>
  <c r="Q29" i="26"/>
  <c r="S30" i="26"/>
  <c r="P25" i="26"/>
  <c r="R29" i="26"/>
  <c r="O30" i="26"/>
  <c r="P26" i="26"/>
  <c r="O25" i="26"/>
  <c r="R25" i="26"/>
  <c r="R28" i="26"/>
  <c r="Q27" i="26"/>
  <c r="S25" i="26"/>
  <c r="Q26" i="26"/>
  <c r="S29" i="26"/>
  <c r="O28" i="26"/>
  <c r="S28" i="26"/>
  <c r="Q25" i="26"/>
  <c r="P28" i="26"/>
  <c r="R26" i="26"/>
  <c r="M44" i="26"/>
  <c r="K45" i="26"/>
  <c r="L45" i="26"/>
  <c r="M45" i="26"/>
  <c r="AC45" i="26"/>
  <c r="K44" i="26"/>
  <c r="S47" i="26"/>
  <c r="R47" i="26"/>
  <c r="Q47" i="26"/>
  <c r="P47" i="26"/>
  <c r="O47" i="26"/>
  <c r="I43" i="26"/>
  <c r="G43" i="26"/>
  <c r="J42" i="26"/>
  <c r="I42" i="26"/>
  <c r="H42" i="26"/>
  <c r="G42" i="26"/>
  <c r="J41" i="26"/>
  <c r="I41" i="26"/>
  <c r="H41" i="26"/>
  <c r="G41" i="26"/>
  <c r="J43" i="26"/>
  <c r="H43" i="26"/>
  <c r="J52" i="26"/>
  <c r="H52" i="26"/>
  <c r="G52" i="26"/>
  <c r="I52" i="26"/>
  <c r="O33" i="26" l="1" a="1"/>
  <c r="S36" i="26" s="1"/>
  <c r="AC33" i="26" a="1"/>
  <c r="AC34" i="26" s="1"/>
  <c r="P38" i="26" l="1"/>
  <c r="O36" i="26"/>
  <c r="Q35" i="26"/>
  <c r="P37" i="26"/>
  <c r="R34" i="26"/>
  <c r="P33" i="26"/>
  <c r="O34" i="26"/>
  <c r="O35" i="26"/>
  <c r="R35" i="26"/>
  <c r="Q36" i="26"/>
  <c r="R36" i="26"/>
  <c r="O38" i="26"/>
  <c r="S38" i="26"/>
  <c r="S34" i="26"/>
  <c r="P34" i="26"/>
  <c r="R33" i="26"/>
  <c r="P35" i="26"/>
  <c r="R37" i="26"/>
  <c r="O33" i="26"/>
  <c r="S33" i="26"/>
  <c r="P36" i="26"/>
  <c r="S37" i="26"/>
  <c r="Q33" i="26"/>
  <c r="Q34" i="26"/>
  <c r="Q38" i="26"/>
  <c r="R38" i="26"/>
  <c r="O37" i="26"/>
  <c r="Q37" i="26"/>
  <c r="S35" i="26"/>
  <c r="AC35" i="26"/>
  <c r="AC36" i="26"/>
  <c r="AC38" i="26"/>
  <c r="AC37" i="26"/>
  <c r="AC33" i="26"/>
  <c r="Y10" i="25" a="1"/>
  <c r="Y10" i="25" s="1"/>
  <c r="J30" i="25" a="1"/>
  <c r="K30" i="25" s="1"/>
  <c r="S8" i="25" a="1"/>
  <c r="W8" i="25" s="1"/>
  <c r="AC11" i="25" l="1"/>
  <c r="AB11" i="25"/>
  <c r="AA11" i="25"/>
  <c r="Z11" i="25"/>
  <c r="Y11" i="25"/>
  <c r="AC10" i="25"/>
  <c r="AB10" i="25"/>
  <c r="AA10" i="25"/>
  <c r="Z10" i="25"/>
  <c r="J30" i="25"/>
  <c r="K34" i="25"/>
  <c r="J34" i="25"/>
  <c r="K33" i="25"/>
  <c r="J33" i="25"/>
  <c r="K32" i="25"/>
  <c r="J32" i="25"/>
  <c r="K31" i="25"/>
  <c r="J31" i="25"/>
  <c r="S8" i="25"/>
  <c r="T8" i="25"/>
  <c r="U8" i="25"/>
  <c r="V8" i="25"/>
  <c r="M13" i="25" l="1"/>
  <c r="Y8" i="25" a="1"/>
  <c r="AA8" i="25" l="1"/>
  <c r="Z8" i="25"/>
  <c r="Y8" i="25"/>
  <c r="AC8" i="25"/>
  <c r="AB8" i="25"/>
  <c r="W36" i="23"/>
  <c r="W37" i="23" s="1"/>
  <c r="W38" i="23" s="1"/>
  <c r="W39" i="23" s="1"/>
  <c r="W40" i="23" s="1"/>
  <c r="AR36" i="24"/>
  <c r="AR37" i="24" s="1"/>
  <c r="AR38" i="24" s="1"/>
  <c r="AR39" i="24" s="1"/>
  <c r="AR40" i="24" s="1"/>
  <c r="AK36" i="24"/>
  <c r="AK37" i="24" s="1"/>
  <c r="AD36" i="24"/>
  <c r="R36" i="24" a="1"/>
  <c r="T40" i="24" s="1"/>
  <c r="AS32" i="24"/>
  <c r="AL32" i="24"/>
  <c r="AE32" i="24"/>
  <c r="AS31" i="24"/>
  <c r="AT32" i="24" s="1"/>
  <c r="AL31" i="24"/>
  <c r="AM32" i="24" s="1"/>
  <c r="AE31" i="24"/>
  <c r="AF32" i="24" s="1"/>
  <c r="AS30" i="24"/>
  <c r="AT31" i="24" s="1"/>
  <c r="AU32" i="24" s="1"/>
  <c r="AL30" i="24"/>
  <c r="AM31" i="24" s="1"/>
  <c r="AN32" i="24" s="1"/>
  <c r="AG30" i="24"/>
  <c r="AH31" i="24" s="1"/>
  <c r="AI32" i="24" s="1"/>
  <c r="AE30" i="24"/>
  <c r="AF31" i="24" s="1"/>
  <c r="AG32" i="24" s="1"/>
  <c r="AS29" i="24"/>
  <c r="AT30" i="24" s="1"/>
  <c r="AU31" i="24" s="1"/>
  <c r="AV32" i="24" s="1"/>
  <c r="AL29" i="24"/>
  <c r="AM30" i="24" s="1"/>
  <c r="AN31" i="24" s="1"/>
  <c r="AO32" i="24" s="1"/>
  <c r="AE29" i="24"/>
  <c r="AF30" i="24" s="1"/>
  <c r="AG31" i="24" s="1"/>
  <c r="AH32" i="24" s="1"/>
  <c r="AS28" i="24"/>
  <c r="AT29" i="24" s="1"/>
  <c r="AL28" i="24"/>
  <c r="AE28" i="24"/>
  <c r="AF29" i="24" s="1"/>
  <c r="R28" i="24" a="1"/>
  <c r="T29" i="24" s="1"/>
  <c r="Z11" i="24" a="1"/>
  <c r="T8" i="24" a="1"/>
  <c r="W9" i="24" s="1"/>
  <c r="AK36" i="23"/>
  <c r="AD36" i="23"/>
  <c r="AD37" i="23" s="1"/>
  <c r="AD38" i="23" s="1"/>
  <c r="AD39" i="23" s="1"/>
  <c r="AD40" i="23" s="1"/>
  <c r="R36" i="23" a="1"/>
  <c r="T40" i="23" s="1"/>
  <c r="AL32" i="23"/>
  <c r="AE32" i="23"/>
  <c r="X32" i="23"/>
  <c r="AL31" i="23"/>
  <c r="AM32" i="23" s="1"/>
  <c r="AE31" i="23"/>
  <c r="AF32" i="23" s="1"/>
  <c r="X31" i="23"/>
  <c r="Y32" i="23" s="1"/>
  <c r="AL30" i="23"/>
  <c r="AM31" i="23" s="1"/>
  <c r="AN32" i="23" s="1"/>
  <c r="AE30" i="23"/>
  <c r="AF31" i="23" s="1"/>
  <c r="AG32" i="23" s="1"/>
  <c r="X30" i="23"/>
  <c r="Y31" i="23" s="1"/>
  <c r="Z32" i="23" s="1"/>
  <c r="AL29" i="23"/>
  <c r="AM30" i="23" s="1"/>
  <c r="AN31" i="23" s="1"/>
  <c r="AO32" i="23" s="1"/>
  <c r="AE29" i="23"/>
  <c r="AF30" i="23" s="1"/>
  <c r="AG31" i="23" s="1"/>
  <c r="AH32" i="23" s="1"/>
  <c r="X29" i="23"/>
  <c r="Y30" i="23" s="1"/>
  <c r="Z31" i="23" s="1"/>
  <c r="AA32" i="23" s="1"/>
  <c r="AL28" i="23"/>
  <c r="AM29" i="23" s="1"/>
  <c r="AE28" i="23"/>
  <c r="X28" i="23"/>
  <c r="R28" i="23" a="1"/>
  <c r="S32" i="23" s="1"/>
  <c r="Z11" i="23" a="1"/>
  <c r="AA12" i="23" s="1"/>
  <c r="T8" i="23" a="1"/>
  <c r="X8" i="23" s="1"/>
  <c r="P62" i="22" a="1"/>
  <c r="P62" i="22" s="1"/>
  <c r="O57" i="22" a="1"/>
  <c r="O57" i="22" s="1"/>
  <c r="N52" i="22" a="1"/>
  <c r="N52" i="22" s="1"/>
  <c r="AL40" i="22"/>
  <c r="AE40" i="22"/>
  <c r="X40" i="22"/>
  <c r="AL39" i="22"/>
  <c r="AE39" i="22"/>
  <c r="X39" i="22"/>
  <c r="AL38" i="22"/>
  <c r="AE38" i="22"/>
  <c r="X38" i="22"/>
  <c r="AL37" i="22"/>
  <c r="AE37" i="22"/>
  <c r="X37" i="22"/>
  <c r="AL36" i="22"/>
  <c r="AK36" i="22"/>
  <c r="AK37" i="22" s="1"/>
  <c r="AK38" i="22" s="1"/>
  <c r="AK39" i="22" s="1"/>
  <c r="AK40" i="22" s="1"/>
  <c r="AE36" i="22"/>
  <c r="AD36" i="22"/>
  <c r="AD37" i="22" s="1"/>
  <c r="AD38" i="22" s="1"/>
  <c r="AD39" i="22" s="1"/>
  <c r="AD40" i="22" s="1"/>
  <c r="X36" i="22"/>
  <c r="W36" i="22"/>
  <c r="W37" i="22" s="1"/>
  <c r="W38" i="22" s="1"/>
  <c r="W39" i="22" s="1"/>
  <c r="W40" i="22" s="1"/>
  <c r="R36" i="22" a="1"/>
  <c r="R37" i="22" s="1"/>
  <c r="AL32" i="22"/>
  <c r="AE32" i="22"/>
  <c r="X32" i="22"/>
  <c r="AL31" i="22"/>
  <c r="AM32" i="22" s="1"/>
  <c r="AF31" i="22"/>
  <c r="AG32" i="22" s="1"/>
  <c r="AE31" i="22"/>
  <c r="AF32" i="22" s="1"/>
  <c r="X31" i="22"/>
  <c r="Y32" i="22" s="1"/>
  <c r="AL30" i="22"/>
  <c r="AM31" i="22" s="1"/>
  <c r="AN32" i="22" s="1"/>
  <c r="AE30" i="22"/>
  <c r="X30" i="22"/>
  <c r="Y31" i="22" s="1"/>
  <c r="Z32" i="22" s="1"/>
  <c r="AL29" i="22"/>
  <c r="AM30" i="22" s="1"/>
  <c r="AN31" i="22" s="1"/>
  <c r="AO32" i="22" s="1"/>
  <c r="AE29" i="22"/>
  <c r="X29" i="22"/>
  <c r="Y30" i="22" s="1"/>
  <c r="Z31" i="22" s="1"/>
  <c r="AA32" i="22" s="1"/>
  <c r="AL28" i="22"/>
  <c r="AM29" i="22" s="1"/>
  <c r="AN30" i="22" s="1"/>
  <c r="AO31" i="22" s="1"/>
  <c r="AP32" i="22" s="1"/>
  <c r="AE28" i="22"/>
  <c r="AF29" i="22" s="1"/>
  <c r="AG30" i="22" s="1"/>
  <c r="AH31" i="22" s="1"/>
  <c r="AI32" i="22" s="1"/>
  <c r="X28" i="22"/>
  <c r="Y29" i="22" s="1"/>
  <c r="R28" i="22" a="1"/>
  <c r="T29" i="22" s="1"/>
  <c r="AD11" i="22" a="1"/>
  <c r="AD13" i="22" s="1"/>
  <c r="X8" i="22" a="1"/>
  <c r="AA9" i="22" s="1"/>
  <c r="S33" i="21" a="1"/>
  <c r="O33" i="21" a="1"/>
  <c r="P36" i="21" s="1"/>
  <c r="S25" i="21" a="1"/>
  <c r="S27" i="21" s="1"/>
  <c r="AA11" i="21" a="1"/>
  <c r="AB13" i="21" s="1"/>
  <c r="U8" i="21" a="1"/>
  <c r="Y9" i="21" s="1"/>
  <c r="S30" i="24" l="1"/>
  <c r="T30" i="24"/>
  <c r="R30" i="24"/>
  <c r="S40" i="24"/>
  <c r="R31" i="24"/>
  <c r="S31" i="24"/>
  <c r="S36" i="24"/>
  <c r="R37" i="24"/>
  <c r="S37" i="24"/>
  <c r="T37" i="24"/>
  <c r="R38" i="24"/>
  <c r="S38" i="24"/>
  <c r="T38" i="24"/>
  <c r="R39" i="24"/>
  <c r="X9" i="24"/>
  <c r="T40" i="22"/>
  <c r="T28" i="23"/>
  <c r="S29" i="23"/>
  <c r="S30" i="23"/>
  <c r="T32" i="23"/>
  <c r="T29" i="23"/>
  <c r="R30" i="23"/>
  <c r="T9" i="23"/>
  <c r="W9" i="23"/>
  <c r="U9" i="23"/>
  <c r="V9" i="23"/>
  <c r="X9" i="23"/>
  <c r="S35" i="21"/>
  <c r="U35" i="21"/>
  <c r="T35" i="21"/>
  <c r="Z13" i="24"/>
  <c r="AD12" i="24"/>
  <c r="AC11" i="24"/>
  <c r="AC13" i="24"/>
  <c r="Z11" i="24"/>
  <c r="AC12" i="24"/>
  <c r="AB12" i="24"/>
  <c r="AD11" i="24"/>
  <c r="AA12" i="24"/>
  <c r="Z12" i="24"/>
  <c r="AD13" i="24"/>
  <c r="AB11" i="24"/>
  <c r="AA11" i="24"/>
  <c r="AB13" i="24"/>
  <c r="AU30" i="24"/>
  <c r="AV31" i="24" s="1"/>
  <c r="AW32" i="24" s="1"/>
  <c r="AA13" i="24"/>
  <c r="AS40" i="24"/>
  <c r="AK38" i="24"/>
  <c r="AK39" i="24" s="1"/>
  <c r="AK40" i="24" s="1"/>
  <c r="AL37" i="24"/>
  <c r="AA11" i="21"/>
  <c r="N36" i="24" a="1"/>
  <c r="AS37" i="24"/>
  <c r="AS39" i="24"/>
  <c r="AB9" i="22"/>
  <c r="S37" i="23"/>
  <c r="S37" i="22"/>
  <c r="AU36" i="22" a="1"/>
  <c r="AU36" i="22" s="1"/>
  <c r="AB12" i="23"/>
  <c r="T37" i="23"/>
  <c r="W8" i="24"/>
  <c r="R28" i="24"/>
  <c r="R32" i="24"/>
  <c r="AC13" i="21"/>
  <c r="R30" i="22"/>
  <c r="R38" i="22"/>
  <c r="AC12" i="23"/>
  <c r="R38" i="23"/>
  <c r="X8" i="24"/>
  <c r="S28" i="24"/>
  <c r="S32" i="24"/>
  <c r="AM29" i="24"/>
  <c r="AN30" i="24" s="1"/>
  <c r="AO31" i="24" s="1"/>
  <c r="AP32" i="24" s="1"/>
  <c r="S39" i="24"/>
  <c r="AL36" i="24"/>
  <c r="AS36" i="22" a="1"/>
  <c r="AS36" i="22" s="1"/>
  <c r="AB11" i="21"/>
  <c r="V8" i="24"/>
  <c r="AE36" i="24"/>
  <c r="AD13" i="21"/>
  <c r="S30" i="22"/>
  <c r="AD12" i="23"/>
  <c r="S38" i="23"/>
  <c r="T9" i="24"/>
  <c r="T28" i="24"/>
  <c r="T32" i="24"/>
  <c r="T39" i="24"/>
  <c r="T31" i="24"/>
  <c r="AA13" i="21"/>
  <c r="T38" i="22"/>
  <c r="AE13" i="21"/>
  <c r="R39" i="22"/>
  <c r="T38" i="23"/>
  <c r="U9" i="24"/>
  <c r="R29" i="24"/>
  <c r="R36" i="24"/>
  <c r="R40" i="24"/>
  <c r="AS36" i="24"/>
  <c r="AS38" i="24"/>
  <c r="T8" i="24"/>
  <c r="AC11" i="21"/>
  <c r="R36" i="22"/>
  <c r="R37" i="23"/>
  <c r="AD11" i="21"/>
  <c r="T36" i="22"/>
  <c r="S39" i="22"/>
  <c r="AD37" i="24"/>
  <c r="AD38" i="24" s="1"/>
  <c r="AD39" i="24" s="1"/>
  <c r="AD40" i="24" s="1"/>
  <c r="AT36" i="22" a="1"/>
  <c r="AT36" i="22" s="1"/>
  <c r="U8" i="24"/>
  <c r="V9" i="24"/>
  <c r="S29" i="24"/>
  <c r="R40" i="22"/>
  <c r="U8" i="23"/>
  <c r="R29" i="23"/>
  <c r="T36" i="24"/>
  <c r="AN30" i="23"/>
  <c r="AO31" i="23" s="1"/>
  <c r="AP32" i="23" s="1"/>
  <c r="AE40" i="23"/>
  <c r="AE37" i="23"/>
  <c r="AE39" i="23"/>
  <c r="AA11" i="23"/>
  <c r="AC13" i="23"/>
  <c r="T30" i="23"/>
  <c r="R39" i="23"/>
  <c r="T8" i="23"/>
  <c r="AB11" i="23"/>
  <c r="AD13" i="23"/>
  <c r="R31" i="23"/>
  <c r="AF29" i="23"/>
  <c r="AG30" i="23" s="1"/>
  <c r="AH31" i="23" s="1"/>
  <c r="AI32" i="23" s="1"/>
  <c r="S39" i="23"/>
  <c r="X36" i="23"/>
  <c r="AE36" i="23"/>
  <c r="AT36" i="23" s="1" a="1"/>
  <c r="AT36" i="23" s="1"/>
  <c r="Z11" i="23"/>
  <c r="Y29" i="23"/>
  <c r="Z30" i="23" s="1"/>
  <c r="AA31" i="23" s="1"/>
  <c r="AB32" i="23" s="1"/>
  <c r="T39" i="23"/>
  <c r="Z13" i="23"/>
  <c r="S31" i="23"/>
  <c r="AB13" i="23"/>
  <c r="AL36" i="23"/>
  <c r="T31" i="23"/>
  <c r="R40" i="23"/>
  <c r="AE38" i="23"/>
  <c r="W8" i="23"/>
  <c r="Z12" i="23"/>
  <c r="R28" i="23"/>
  <c r="R32" i="23"/>
  <c r="S36" i="23"/>
  <c r="S40" i="23"/>
  <c r="AA13" i="23"/>
  <c r="AK37" i="23"/>
  <c r="AK38" i="23" s="1"/>
  <c r="AK39" i="23" s="1"/>
  <c r="AK40" i="23" s="1"/>
  <c r="AC11" i="23"/>
  <c r="V8" i="23"/>
  <c r="AD11" i="23"/>
  <c r="R36" i="23"/>
  <c r="S28" i="23"/>
  <c r="T36" i="23"/>
  <c r="Z30" i="22"/>
  <c r="AA31" i="22" s="1"/>
  <c r="AB32" i="22" s="1"/>
  <c r="T37" i="22"/>
  <c r="Y8" i="22"/>
  <c r="AG11" i="22"/>
  <c r="S31" i="22"/>
  <c r="BC28" i="22" a="1"/>
  <c r="BC28" i="22" s="1"/>
  <c r="AF30" i="22"/>
  <c r="AG31" i="22" s="1"/>
  <c r="AH32" i="22" s="1"/>
  <c r="S38" i="22"/>
  <c r="AE13" i="22"/>
  <c r="AD11" i="22"/>
  <c r="T31" i="22"/>
  <c r="AA8" i="22"/>
  <c r="AD12" i="22"/>
  <c r="R28" i="22"/>
  <c r="R32" i="22"/>
  <c r="AF13" i="22"/>
  <c r="X8" i="22"/>
  <c r="AF11" i="22"/>
  <c r="AH13" i="22"/>
  <c r="R31" i="22"/>
  <c r="Z8" i="22"/>
  <c r="AH11" i="22"/>
  <c r="AB8" i="22"/>
  <c r="AE12" i="22"/>
  <c r="S28" i="22"/>
  <c r="S32" i="22"/>
  <c r="T39" i="22"/>
  <c r="S36" i="22"/>
  <c r="S40" i="22"/>
  <c r="AE11" i="22"/>
  <c r="AG13" i="22"/>
  <c r="T30" i="22"/>
  <c r="X9" i="22"/>
  <c r="AF12" i="22"/>
  <c r="T28" i="22"/>
  <c r="T32" i="22"/>
  <c r="Y9" i="22"/>
  <c r="AG12" i="22"/>
  <c r="R29" i="22"/>
  <c r="Z9" i="22"/>
  <c r="AH12" i="22"/>
  <c r="S29" i="22"/>
  <c r="U28" i="21"/>
  <c r="O34" i="21"/>
  <c r="X8" i="21"/>
  <c r="AA12" i="21"/>
  <c r="S29" i="21"/>
  <c r="P34" i="21"/>
  <c r="S33" i="21"/>
  <c r="S37" i="21"/>
  <c r="Y8" i="21"/>
  <c r="AB12" i="21"/>
  <c r="T25" i="21"/>
  <c r="T29" i="21"/>
  <c r="Q34" i="21"/>
  <c r="U9" i="21"/>
  <c r="AC12" i="21"/>
  <c r="U25" i="21"/>
  <c r="U29" i="21"/>
  <c r="O35" i="21"/>
  <c r="U33" i="21"/>
  <c r="U37" i="21"/>
  <c r="S25" i="21"/>
  <c r="T37" i="21"/>
  <c r="V9" i="21"/>
  <c r="AD12" i="21"/>
  <c r="S26" i="21"/>
  <c r="P35" i="21"/>
  <c r="S34" i="21"/>
  <c r="O33" i="21"/>
  <c r="U8" i="21"/>
  <c r="S28" i="21"/>
  <c r="P33" i="21"/>
  <c r="P37" i="21"/>
  <c r="S36" i="21"/>
  <c r="V8" i="21"/>
  <c r="T28" i="21"/>
  <c r="Q33" i="21"/>
  <c r="Q37" i="21"/>
  <c r="T36" i="21"/>
  <c r="W8" i="21"/>
  <c r="AE11" i="21"/>
  <c r="U36" i="21"/>
  <c r="T33" i="21"/>
  <c r="W9" i="21"/>
  <c r="AE12" i="21"/>
  <c r="T26" i="21"/>
  <c r="Q35" i="21"/>
  <c r="T34" i="21"/>
  <c r="T27" i="21"/>
  <c r="Q36" i="21"/>
  <c r="U27" i="21"/>
  <c r="O37" i="21"/>
  <c r="X9" i="21"/>
  <c r="U26" i="21"/>
  <c r="O36" i="21"/>
  <c r="U34" i="21"/>
  <c r="AE37" i="24" l="1"/>
  <c r="AL40" i="24"/>
  <c r="N36" i="23" a="1"/>
  <c r="N38" i="23" s="1"/>
  <c r="X37" i="23"/>
  <c r="X40" i="23"/>
  <c r="X38" i="23"/>
  <c r="K41" i="21" a="1"/>
  <c r="K41" i="21" s="1"/>
  <c r="K33" i="21" a="1"/>
  <c r="K33" i="21" s="1"/>
  <c r="AE40" i="24"/>
  <c r="P36" i="24" a="1"/>
  <c r="AL39" i="23"/>
  <c r="Z8" i="24" a="1"/>
  <c r="AE38" i="24"/>
  <c r="AL37" i="23"/>
  <c r="P44" i="24" a="1"/>
  <c r="N37" i="24"/>
  <c r="N38" i="24"/>
  <c r="N40" i="24"/>
  <c r="N39" i="24"/>
  <c r="N36" i="24"/>
  <c r="AL38" i="24"/>
  <c r="O44" i="24" s="1" a="1"/>
  <c r="U15" i="21"/>
  <c r="V36" i="24" a="1"/>
  <c r="V28" i="24" a="1"/>
  <c r="P36" i="23" a="1"/>
  <c r="P37" i="23" s="1"/>
  <c r="AE39" i="24"/>
  <c r="AS28" i="22" a="1"/>
  <c r="AS28" i="22" s="1"/>
  <c r="AL39" i="24"/>
  <c r="O36" i="24" a="1"/>
  <c r="AL38" i="23"/>
  <c r="Z8" i="23" a="1"/>
  <c r="T15" i="23"/>
  <c r="X39" i="23"/>
  <c r="AL40" i="23"/>
  <c r="O36" i="23" a="1"/>
  <c r="AD8" i="22" a="1"/>
  <c r="X15" i="22"/>
  <c r="AX28" i="22" a="1"/>
  <c r="AX28" i="22" s="1"/>
  <c r="AA8" i="21" a="1"/>
  <c r="N44" i="24" l="1" a="1"/>
  <c r="N45" i="24" s="1"/>
  <c r="AU36" i="23" a="1"/>
  <c r="AU36" i="23" s="1"/>
  <c r="N40" i="23"/>
  <c r="N37" i="23"/>
  <c r="N39" i="23"/>
  <c r="N36" i="23"/>
  <c r="AS36" i="23" a="1"/>
  <c r="AS36" i="23" s="1"/>
  <c r="P40" i="23"/>
  <c r="P36" i="23"/>
  <c r="P39" i="23"/>
  <c r="O46" i="24"/>
  <c r="O47" i="24"/>
  <c r="O45" i="24"/>
  <c r="O44" i="24"/>
  <c r="O48" i="24"/>
  <c r="P44" i="24"/>
  <c r="P46" i="24"/>
  <c r="P45" i="24"/>
  <c r="P48" i="24"/>
  <c r="P47" i="24"/>
  <c r="N36" i="22" a="1"/>
  <c r="P37" i="22" s="1"/>
  <c r="P38" i="23"/>
  <c r="W32" i="24"/>
  <c r="W28" i="24"/>
  <c r="V32" i="24"/>
  <c r="V28" i="24"/>
  <c r="V29" i="24"/>
  <c r="X31" i="24"/>
  <c r="W30" i="24"/>
  <c r="W31" i="24"/>
  <c r="V31" i="24"/>
  <c r="X30" i="24"/>
  <c r="V30" i="24"/>
  <c r="X29" i="24"/>
  <c r="W29" i="24"/>
  <c r="X32" i="24"/>
  <c r="X28" i="24"/>
  <c r="AD9" i="24"/>
  <c r="AC9" i="24"/>
  <c r="AB8" i="24"/>
  <c r="AB9" i="24"/>
  <c r="Z8" i="24"/>
  <c r="AA9" i="24"/>
  <c r="AA8" i="24"/>
  <c r="Z9" i="24"/>
  <c r="AD8" i="24"/>
  <c r="AC8" i="24"/>
  <c r="O38" i="24"/>
  <c r="O37" i="24"/>
  <c r="O36" i="24"/>
  <c r="O40" i="24"/>
  <c r="O39" i="24"/>
  <c r="W39" i="24"/>
  <c r="W40" i="24"/>
  <c r="W36" i="24"/>
  <c r="V39" i="24"/>
  <c r="X38" i="24"/>
  <c r="W37" i="24"/>
  <c r="X36" i="24"/>
  <c r="W38" i="24"/>
  <c r="V38" i="24"/>
  <c r="X37" i="24"/>
  <c r="V37" i="24"/>
  <c r="X40" i="24"/>
  <c r="V40" i="24"/>
  <c r="V36" i="24"/>
  <c r="X39" i="24"/>
  <c r="P37" i="24"/>
  <c r="P40" i="24"/>
  <c r="P39" i="24"/>
  <c r="P38" i="24"/>
  <c r="P36" i="24"/>
  <c r="O38" i="23"/>
  <c r="O40" i="23"/>
  <c r="O37" i="23"/>
  <c r="O36" i="23"/>
  <c r="O39" i="23"/>
  <c r="Z9" i="23"/>
  <c r="AC8" i="23"/>
  <c r="AC9" i="23"/>
  <c r="AB9" i="23"/>
  <c r="AA9" i="23"/>
  <c r="AD8" i="23"/>
  <c r="AB8" i="23"/>
  <c r="AA8" i="23"/>
  <c r="Z8" i="23"/>
  <c r="AD9" i="23"/>
  <c r="AH9" i="22"/>
  <c r="AG9" i="22"/>
  <c r="AF9" i="22"/>
  <c r="AE9" i="22"/>
  <c r="AD8" i="22"/>
  <c r="AD9" i="22"/>
  <c r="AG8" i="22"/>
  <c r="AE8" i="22"/>
  <c r="AH8" i="22"/>
  <c r="AF8" i="22"/>
  <c r="AE9" i="21"/>
  <c r="AA8" i="21"/>
  <c r="AD9" i="21"/>
  <c r="AD8" i="21"/>
  <c r="AC8" i="21"/>
  <c r="AB8" i="21"/>
  <c r="AC9" i="21"/>
  <c r="AB9" i="21"/>
  <c r="AA9" i="21"/>
  <c r="AE8" i="21"/>
  <c r="N44" i="24" l="1"/>
  <c r="N47" i="24"/>
  <c r="N48" i="24"/>
  <c r="N46" i="24"/>
  <c r="P39" i="22"/>
  <c r="P36" i="22"/>
  <c r="P40" i="22"/>
  <c r="N37" i="22"/>
  <c r="O37" i="22"/>
  <c r="N38" i="22"/>
  <c r="N39" i="22"/>
  <c r="O38" i="22"/>
  <c r="P38" i="22"/>
  <c r="N36" i="22"/>
  <c r="N40" i="22"/>
  <c r="O36" i="22"/>
  <c r="O39" i="22"/>
  <c r="N44" i="23" a="1"/>
  <c r="N47" i="23" s="1"/>
  <c r="T15" i="24"/>
  <c r="O40" i="22"/>
  <c r="P47" i="23" l="1"/>
  <c r="O46" i="23"/>
  <c r="N44" i="23"/>
  <c r="N52" i="24" a="1"/>
  <c r="P54" i="24" s="1"/>
  <c r="N44" i="22" a="1"/>
  <c r="P48" i="23"/>
  <c r="N45" i="23"/>
  <c r="O45" i="23"/>
  <c r="P45" i="23"/>
  <c r="P46" i="23"/>
  <c r="O47" i="23"/>
  <c r="O44" i="23"/>
  <c r="N48" i="23"/>
  <c r="O48" i="23"/>
  <c r="N46" i="23"/>
  <c r="P44" i="23"/>
  <c r="N53" i="24" l="1"/>
  <c r="O56" i="24"/>
  <c r="O52" i="24"/>
  <c r="O54" i="24"/>
  <c r="N56" i="24"/>
  <c r="O55" i="24"/>
  <c r="N52" i="24"/>
  <c r="N55" i="24"/>
  <c r="P55" i="24"/>
  <c r="P56" i="24"/>
  <c r="N54" i="24"/>
  <c r="P52" i="24"/>
  <c r="J36" i="24" s="1" a="1"/>
  <c r="N52" i="23" a="1"/>
  <c r="O55" i="23" s="1"/>
  <c r="O53" i="24"/>
  <c r="P53" i="24"/>
  <c r="N44" i="22"/>
  <c r="P47" i="22"/>
  <c r="O47" i="22"/>
  <c r="P45" i="22"/>
  <c r="P44" i="22"/>
  <c r="O45" i="22"/>
  <c r="N48" i="22"/>
  <c r="N45" i="22"/>
  <c r="N47" i="22"/>
  <c r="N46" i="22"/>
  <c r="O44" i="22"/>
  <c r="P48" i="22"/>
  <c r="P46" i="22"/>
  <c r="O46" i="22"/>
  <c r="O48" i="22"/>
  <c r="P55" i="23" l="1"/>
  <c r="P56" i="23"/>
  <c r="L48" i="23" s="1"/>
  <c r="N52" i="23"/>
  <c r="P54" i="23"/>
  <c r="L46" i="23" s="1"/>
  <c r="P52" i="23"/>
  <c r="L44" i="23" s="1"/>
  <c r="P53" i="23"/>
  <c r="L45" i="23" s="1"/>
  <c r="N55" i="23"/>
  <c r="J47" i="23" s="1"/>
  <c r="N56" i="23"/>
  <c r="J48" i="23" s="1"/>
  <c r="N54" i="23"/>
  <c r="J38" i="23" s="1"/>
  <c r="N53" i="23"/>
  <c r="J45" i="23" s="1"/>
  <c r="O54" i="23"/>
  <c r="K46" i="23" s="1"/>
  <c r="O53" i="23"/>
  <c r="K45" i="23" s="1"/>
  <c r="O56" i="23"/>
  <c r="O52" i="23"/>
  <c r="K44" i="23" s="1"/>
  <c r="J44" i="24" a="1"/>
  <c r="L44" i="24" s="1"/>
  <c r="J44" i="23" a="1"/>
  <c r="K47" i="23" s="1"/>
  <c r="J36" i="23" a="1"/>
  <c r="K39" i="23" s="1"/>
  <c r="J44" i="22" a="1"/>
  <c r="J46" i="22" s="1"/>
  <c r="J36" i="22" a="1"/>
  <c r="J39" i="22"/>
  <c r="J36" i="24"/>
  <c r="K39" i="24"/>
  <c r="K40" i="24"/>
  <c r="K36" i="24"/>
  <c r="K37" i="24"/>
  <c r="L37" i="24"/>
  <c r="J38" i="24"/>
  <c r="K38" i="24"/>
  <c r="L38" i="24"/>
  <c r="J39" i="24"/>
  <c r="L39" i="24"/>
  <c r="L40" i="24"/>
  <c r="L36" i="24"/>
  <c r="J40" i="24"/>
  <c r="J37" i="24"/>
  <c r="J38" i="22"/>
  <c r="K44" i="22"/>
  <c r="K36" i="22"/>
  <c r="K39" i="22"/>
  <c r="L40" i="22"/>
  <c r="K38" i="22"/>
  <c r="K46" i="22"/>
  <c r="J44" i="22"/>
  <c r="J36" i="22"/>
  <c r="K37" i="22"/>
  <c r="L46" i="22"/>
  <c r="L38" i="22"/>
  <c r="J37" i="22"/>
  <c r="L37" i="22"/>
  <c r="J40" i="22"/>
  <c r="L36" i="22"/>
  <c r="L44" i="22"/>
  <c r="K40" i="22"/>
  <c r="L47" i="22"/>
  <c r="L39" i="22"/>
  <c r="J36" i="23"/>
  <c r="J44" i="23"/>
  <c r="L39" i="23"/>
  <c r="L47" i="23"/>
  <c r="K48" i="23"/>
  <c r="K40" i="23"/>
  <c r="L40" i="23" l="1"/>
  <c r="J37" i="23"/>
  <c r="J46" i="23"/>
  <c r="J40" i="23"/>
  <c r="L38" i="23"/>
  <c r="L48" i="24"/>
  <c r="J46" i="24"/>
  <c r="L47" i="24"/>
  <c r="J48" i="22"/>
  <c r="J47" i="24"/>
  <c r="J45" i="24"/>
  <c r="L45" i="22"/>
  <c r="J48" i="24"/>
  <c r="L46" i="24"/>
  <c r="L48" i="22"/>
  <c r="K47" i="24"/>
  <c r="J44" i="24"/>
  <c r="J39" i="23"/>
  <c r="K36" i="23"/>
  <c r="K44" i="24"/>
  <c r="K37" i="23"/>
  <c r="J45" i="22"/>
  <c r="K47" i="22"/>
  <c r="K48" i="24"/>
  <c r="J47" i="22"/>
  <c r="K38" i="23"/>
  <c r="L37" i="23"/>
  <c r="K46" i="24"/>
  <c r="K45" i="24"/>
  <c r="K48" i="22"/>
  <c r="L45" i="24"/>
  <c r="L36" i="23"/>
  <c r="K45" i="22"/>
  <c r="L92" i="20" a="1"/>
  <c r="L92" i="20" s="1"/>
  <c r="L90" i="20" a="1"/>
  <c r="L90" i="20" s="1"/>
  <c r="L86" i="20" a="1"/>
  <c r="L86" i="20" s="1"/>
  <c r="L82" i="20" a="1"/>
  <c r="L82" i="20" s="1"/>
  <c r="L78" i="20" a="1"/>
  <c r="N59" i="20" s="1" a="1"/>
  <c r="N59" i="20" s="1"/>
  <c r="N35" i="20"/>
  <c r="N34" i="20"/>
  <c r="N33" i="20"/>
  <c r="AY16" i="20"/>
  <c r="AX16" i="20"/>
  <c r="AY15" i="20"/>
  <c r="AX15" i="20"/>
  <c r="AT15" i="20" a="1"/>
  <c r="AT15" i="20" s="1"/>
  <c r="AP15" i="20" a="1"/>
  <c r="AP15" i="20" s="1"/>
  <c r="AM15" i="20" a="1"/>
  <c r="AM15" i="20" s="1"/>
  <c r="AI10" i="20" a="1"/>
  <c r="AI10" i="20" s="1"/>
  <c r="AB10" i="20" a="1"/>
  <c r="AB10" i="20" s="1"/>
  <c r="X10" i="20" a="1"/>
  <c r="X10" i="20" s="1"/>
  <c r="T10" i="20" a="1"/>
  <c r="T10" i="20" s="1"/>
  <c r="L56" i="20" l="1" a="1"/>
  <c r="M58" i="20" s="1"/>
  <c r="N70" i="20" a="1"/>
  <c r="N70" i="20" s="1"/>
  <c r="Q18" i="20"/>
  <c r="AT10" i="20" a="1"/>
  <c r="AT10" i="20" s="1"/>
  <c r="AM10" i="20" a="1"/>
  <c r="AM10" i="20" s="1"/>
  <c r="AX10" i="20"/>
  <c r="AP10" i="20" a="1"/>
  <c r="AP10" i="20" s="1"/>
  <c r="L56" i="20"/>
  <c r="AY10" i="20"/>
  <c r="M56" i="20"/>
  <c r="L78" i="20"/>
  <c r="L57" i="20"/>
  <c r="M57" i="20"/>
  <c r="L67" i="20" a="1"/>
  <c r="L58" i="20"/>
  <c r="M69" i="20" l="1"/>
  <c r="L69" i="20"/>
  <c r="M68" i="20"/>
  <c r="L68" i="20"/>
  <c r="M67" i="20"/>
  <c r="L67" i="20"/>
  <c r="L63" i="20" a="1"/>
  <c r="L52" i="20" a="1"/>
  <c r="L54" i="20" l="1"/>
  <c r="M53" i="20"/>
  <c r="M54" i="20"/>
  <c r="L53" i="20"/>
  <c r="M52" i="20"/>
  <c r="L52" i="20"/>
  <c r="L63" i="20"/>
  <c r="M64" i="20"/>
  <c r="M63" i="20"/>
  <c r="M65" i="20"/>
  <c r="L65" i="20"/>
  <c r="L64" i="20"/>
  <c r="M55" i="19" l="1" a="1"/>
  <c r="M55" i="19" s="1"/>
  <c r="M48" i="19" a="1"/>
  <c r="M48" i="19" s="1"/>
  <c r="T34" i="19"/>
  <c r="Q48" i="19" s="1" a="1"/>
  <c r="T33" i="19"/>
  <c r="T32" i="19"/>
  <c r="AB18" i="19" a="1"/>
  <c r="AB18" i="19" s="1"/>
  <c r="AH14" i="19" a="1"/>
  <c r="AH14" i="19" s="1"/>
  <c r="AB14" i="19" a="1"/>
  <c r="AB14" i="19" s="1"/>
  <c r="T15" i="19" a="1"/>
  <c r="T15" i="19" s="1"/>
  <c r="AB10" i="19" a="1"/>
  <c r="AB10" i="19" s="1"/>
  <c r="M55" i="18" a="1"/>
  <c r="M55" i="18" s="1"/>
  <c r="M48" i="18" a="1"/>
  <c r="M48" i="18" s="1"/>
  <c r="S34" i="18"/>
  <c r="Q48" i="18" s="1" a="1"/>
  <c r="Q48" i="18" s="1"/>
  <c r="S33" i="18"/>
  <c r="S32" i="18"/>
  <c r="AA18" i="18" a="1"/>
  <c r="AA18" i="18" s="1"/>
  <c r="AG14" i="18" a="1"/>
  <c r="AG14" i="18" s="1"/>
  <c r="AA14" i="18" a="1"/>
  <c r="AA14" i="18" s="1"/>
  <c r="S15" i="18" a="1"/>
  <c r="S15" i="18" s="1"/>
  <c r="AA10" i="18" a="1"/>
  <c r="AA10" i="18" s="1"/>
  <c r="M55" i="17" a="1"/>
  <c r="M55" i="17" s="1"/>
  <c r="M48" i="17" a="1"/>
  <c r="M48" i="17" s="1"/>
  <c r="S34" i="17"/>
  <c r="Q48" i="17" s="1" a="1"/>
  <c r="Q48" i="17" s="1"/>
  <c r="S33" i="17"/>
  <c r="S32" i="17"/>
  <c r="AA18" i="17" a="1"/>
  <c r="AA18" i="17" s="1"/>
  <c r="AG14" i="17" a="1"/>
  <c r="AG14" i="17" s="1"/>
  <c r="AA14" i="17" a="1"/>
  <c r="AA14" i="17" s="1"/>
  <c r="S15" i="17" a="1"/>
  <c r="S15" i="17" s="1"/>
  <c r="AA10" i="17" a="1"/>
  <c r="AA10" i="17" s="1"/>
  <c r="K50" i="16" a="1"/>
  <c r="K50" i="16" s="1"/>
  <c r="K43" i="16" a="1"/>
  <c r="K43" i="16" s="1"/>
  <c r="O30" i="16"/>
  <c r="O29" i="16"/>
  <c r="M43" i="16" s="1" a="1"/>
  <c r="M43" i="16" s="1"/>
  <c r="O28" i="16"/>
  <c r="O27" i="16"/>
  <c r="Q13" i="16" a="1"/>
  <c r="Q13" i="16" s="1"/>
  <c r="O13" i="16" a="1"/>
  <c r="O13" i="16" s="1"/>
  <c r="Z11" i="16" a="1"/>
  <c r="Z11" i="16" s="1"/>
  <c r="Q11" i="16" a="1"/>
  <c r="Q11" i="16" s="1"/>
  <c r="Q9" i="16" a="1"/>
  <c r="Q9" i="16" s="1"/>
  <c r="AH10" i="19" l="1" a="1"/>
  <c r="AH10" i="19" s="1"/>
  <c r="AG10" i="17" a="1"/>
  <c r="AG10" i="17" s="1"/>
  <c r="Z9" i="16" a="1"/>
  <c r="Z9" i="16" s="1"/>
  <c r="Q52" i="19"/>
  <c r="Q51" i="19"/>
  <c r="Q50" i="19"/>
  <c r="Q49" i="19"/>
  <c r="Q48" i="19"/>
  <c r="AG10" i="18" a="1"/>
  <c r="AG10" i="18"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<sst xmlns="http://schemas.openxmlformats.org/spreadsheetml/2006/main" count="2034" uniqueCount="370">
  <si>
    <t>flows</t>
  </si>
  <si>
    <t>techs</t>
  </si>
  <si>
    <t>name</t>
  </si>
  <si>
    <t>f.1</t>
  </si>
  <si>
    <t>f.2</t>
  </si>
  <si>
    <t>u</t>
  </si>
  <si>
    <t>d</t>
  </si>
  <si>
    <t>t.1</t>
  </si>
  <si>
    <t>Final demand</t>
  </si>
  <si>
    <t>t.2</t>
  </si>
  <si>
    <t>t.3</t>
  </si>
  <si>
    <t>f.1a</t>
  </si>
  <si>
    <t>f.1b</t>
  </si>
  <si>
    <t>Obj</t>
  </si>
  <si>
    <t>Y</t>
  </si>
  <si>
    <t>c_om</t>
  </si>
  <si>
    <t>year</t>
  </si>
  <si>
    <t>PV</t>
  </si>
  <si>
    <t>Coal</t>
  </si>
  <si>
    <t>EE</t>
  </si>
  <si>
    <t>d.1</t>
  </si>
  <si>
    <t>h.1</t>
  </si>
  <si>
    <t>h.2</t>
  </si>
  <si>
    <t>h.3</t>
  </si>
  <si>
    <t>Q_h</t>
  </si>
  <si>
    <t>X_h</t>
  </si>
  <si>
    <t>dispatch</t>
  </si>
  <si>
    <t>hour</t>
  </si>
  <si>
    <t>I_ff</t>
  </si>
  <si>
    <t>slices</t>
  </si>
  <si>
    <t>State of charge</t>
  </si>
  <si>
    <t>Costs</t>
  </si>
  <si>
    <t>SOC</t>
  </si>
  <si>
    <t>Thh</t>
  </si>
  <si>
    <t>EE by Coal</t>
  </si>
  <si>
    <t>EE by PV</t>
  </si>
  <si>
    <t>h.4</t>
  </si>
  <si>
    <t>h.5</t>
  </si>
  <si>
    <t>LF max</t>
  </si>
  <si>
    <t>LF min</t>
  </si>
  <si>
    <t>soc min</t>
  </si>
  <si>
    <t>soc max</t>
  </si>
  <si>
    <t>soc start</t>
  </si>
  <si>
    <t>dp</t>
  </si>
  <si>
    <t>X max</t>
  </si>
  <si>
    <t>C_start</t>
  </si>
  <si>
    <t>X min</t>
  </si>
  <si>
    <t>Q_agg</t>
  </si>
  <si>
    <t>U=u*X_h'</t>
  </si>
  <si>
    <t>Y_h</t>
  </si>
  <si>
    <t>Qagg-U-Y_h==0</t>
  </si>
  <si>
    <t>soc end</t>
  </si>
  <si>
    <t>SOC start</t>
  </si>
  <si>
    <t>SOC end</t>
  </si>
  <si>
    <t>SOC max</t>
  </si>
  <si>
    <t>SOC min</t>
  </si>
  <si>
    <t>Storage</t>
  </si>
  <si>
    <t>X_h'-d*Q_h' == 0</t>
  </si>
  <si>
    <t>max charge rate</t>
  </si>
  <si>
    <t>max discharge rate</t>
  </si>
  <si>
    <t>regions</t>
  </si>
  <si>
    <t>r.1</t>
  </si>
  <si>
    <t>LNG</t>
  </si>
  <si>
    <t>Natural gas</t>
  </si>
  <si>
    <t>r.2</t>
  </si>
  <si>
    <t>Liquefaction plant</t>
  </si>
  <si>
    <t>Regassification plant</t>
  </si>
  <si>
    <t>tr.1</t>
  </si>
  <si>
    <t>tr.2</t>
  </si>
  <si>
    <t>Distribution lines</t>
  </si>
  <si>
    <t>Sea shipping</t>
  </si>
  <si>
    <t>Q</t>
  </si>
  <si>
    <t>X</t>
  </si>
  <si>
    <t>X'-d_i*Q' = 0</t>
  </si>
  <si>
    <t>C_om_tot = X*diag(c_om)</t>
  </si>
  <si>
    <t>Q' -u*X'-Y=0</t>
  </si>
  <si>
    <t>V</t>
  </si>
  <si>
    <t>U</t>
  </si>
  <si>
    <t>f.1s</t>
  </si>
  <si>
    <t>t.3 eng</t>
  </si>
  <si>
    <t>t.3 s</t>
  </si>
  <si>
    <t>EE coal</t>
  </si>
  <si>
    <t>EE PV</t>
  </si>
  <si>
    <t>BEV battery</t>
  </si>
  <si>
    <t>EE BEV</t>
  </si>
  <si>
    <t>Transport</t>
  </si>
  <si>
    <t>BEV</t>
  </si>
  <si>
    <t>BEV engine</t>
  </si>
  <si>
    <t>X_max</t>
  </si>
  <si>
    <t>X_min</t>
  </si>
  <si>
    <t>t.3 sch</t>
  </si>
  <si>
    <t>t.3 sdch</t>
  </si>
  <si>
    <t>y.1</t>
  </si>
  <si>
    <t>y.2</t>
  </si>
  <si>
    <t>f2</t>
  </si>
  <si>
    <t>EE Coal</t>
  </si>
  <si>
    <t>Y_h = Y * dp.d' /n_periods</t>
  </si>
  <si>
    <t>Q_agg_y=I_ff*Q_y'</t>
  </si>
  <si>
    <t>Q_agg_h=I_ff_h*Q_h'</t>
  </si>
  <si>
    <t>Q_agg_y - Y - u*X_y' = 0</t>
  </si>
  <si>
    <t>Q_agg_h - Y_h'-u_h*X_h' - u_y*X_y'*dp.t_y'/n_periods = 0</t>
  </si>
  <si>
    <t>Q_agg_y - sum(Q_agg_h)*n_periods = 0</t>
  </si>
  <si>
    <t>n_periods</t>
  </si>
  <si>
    <t>n_slices</t>
  </si>
  <si>
    <t>X_y' -d*Q_y' = 0</t>
  </si>
  <si>
    <t>X_h'-d_h*Q_h' = 0</t>
  </si>
  <si>
    <t>X_y - sum(X_h)*n_periods = 0</t>
  </si>
  <si>
    <t>Coal pp</t>
  </si>
  <si>
    <t>Mining</t>
  </si>
  <si>
    <t>Cost inv</t>
  </si>
  <si>
    <t>c_inv</t>
  </si>
  <si>
    <t>Cost o&amp;m</t>
  </si>
  <si>
    <t>Load factors max</t>
  </si>
  <si>
    <t>lf_max_h</t>
  </si>
  <si>
    <t>lf_max_y</t>
  </si>
  <si>
    <t>Load factors min</t>
  </si>
  <si>
    <t>lf_min_h</t>
  </si>
  <si>
    <t>lf_min_y</t>
  </si>
  <si>
    <t>dp.t</t>
  </si>
  <si>
    <t>dp.d</t>
  </si>
  <si>
    <t>Demand profiles</t>
  </si>
  <si>
    <t>Q_y</t>
  </si>
  <si>
    <t>X_y</t>
  </si>
  <si>
    <t>X_max_h = lf_max_h * diag(Cap_op_h)</t>
  </si>
  <si>
    <t>X_max_y = lf_max_y * diag(Cap_op_y) * n_periods * n_slices</t>
  </si>
  <si>
    <t>X_min_h = lf_min_h * diag(Cap_op_h)</t>
  </si>
  <si>
    <t>X_min_y = lf_min_y * diag(Cap_op_y) * n_periods * n_slices</t>
  </si>
  <si>
    <t>Cap_new</t>
  </si>
  <si>
    <t>Tyy</t>
  </si>
  <si>
    <t>Cap_op = Tyy * Cap_new</t>
  </si>
  <si>
    <t>C_inv = Cap_new * diag(c_inv)</t>
  </si>
  <si>
    <t>C_om = X_y * diag(c_om)</t>
  </si>
  <si>
    <t>U = u * X_y</t>
  </si>
  <si>
    <t>time</t>
  </si>
  <si>
    <t>y.3</t>
  </si>
  <si>
    <t>y.4</t>
  </si>
  <si>
    <t>y.5</t>
  </si>
  <si>
    <t>unit</t>
  </si>
  <si>
    <t>Iff</t>
  </si>
  <si>
    <t>Q_agg - u*X' - Y == 0</t>
  </si>
  <si>
    <t>X' - d*Q' == 0</t>
  </si>
  <si>
    <t>Investment costs</t>
  </si>
  <si>
    <t>ci</t>
  </si>
  <si>
    <t>O&amp;M costs</t>
  </si>
  <si>
    <t>co</t>
  </si>
  <si>
    <t>CO2 emissions</t>
  </si>
  <si>
    <t>et</t>
  </si>
  <si>
    <t>Load factors</t>
  </si>
  <si>
    <t>min</t>
  </si>
  <si>
    <t>max</t>
  </si>
  <si>
    <t>Initial capacity</t>
  </si>
  <si>
    <t>Xmax</t>
  </si>
  <si>
    <t>emiss</t>
  </si>
  <si>
    <t>lf_min</t>
  </si>
  <si>
    <t>lf_max</t>
  </si>
  <si>
    <t>Initial capacity residual lifetime</t>
  </si>
  <si>
    <t>res_lt</t>
  </si>
  <si>
    <t>Average lifetime</t>
  </si>
  <si>
    <t>lt_avg</t>
  </si>
  <si>
    <t>Shape factor</t>
  </si>
  <si>
    <t>weib_shape</t>
  </si>
  <si>
    <t>weibull t.1 new</t>
  </si>
  <si>
    <t>weibull t.2 new</t>
  </si>
  <si>
    <t>weibull t.3 new</t>
  </si>
  <si>
    <t>weibull concat</t>
  </si>
  <si>
    <t>year of installation within time horizon</t>
  </si>
  <si>
    <t>year of lifetime</t>
  </si>
  <si>
    <t>weibull start concat</t>
  </si>
  <si>
    <t>Cap_new_diag</t>
  </si>
  <si>
    <t>lt</t>
  </si>
  <si>
    <t>shape</t>
  </si>
  <si>
    <t>weib t.1 new</t>
  </si>
  <si>
    <t>weib t.2 new</t>
  </si>
  <si>
    <t>weib t.3 new</t>
  </si>
  <si>
    <t>Xmin = Cap_op * diag(lf_min) * 8760</t>
  </si>
  <si>
    <t>Cap_disp_new_t = weib_t * Cap_new_t</t>
  </si>
  <si>
    <t>weib_start t.1</t>
  </si>
  <si>
    <t>weib_start t.2</t>
  </si>
  <si>
    <t>weib_start t.3</t>
  </si>
  <si>
    <t>Xmin = Cap_op * diag(lf_max) * 8760</t>
  </si>
  <si>
    <t>Cap_op = c_start + Tyy*Cap_new + Tyy*Cap_disp_new + Tyy*Cap_disp_start</t>
  </si>
  <si>
    <t>dr</t>
  </si>
  <si>
    <t>C_inv_y = C_inv/(1+dr)^(years-1)</t>
  </si>
  <si>
    <t>C_om_y = C_om/(1+dr)^(years-1)</t>
  </si>
  <si>
    <t>Fossil PP</t>
  </si>
  <si>
    <t>RES PP</t>
  </si>
  <si>
    <t>EE Fossil</t>
  </si>
  <si>
    <t>EE RES</t>
  </si>
  <si>
    <t>FD</t>
  </si>
  <si>
    <t>e</t>
  </si>
  <si>
    <t>C_inv = Cap_new * diag(ci)</t>
  </si>
  <si>
    <t>C_om = X * diag(co)</t>
  </si>
  <si>
    <t xml:space="preserve">Xmin = Cap_op * diag(lf_min) </t>
  </si>
  <si>
    <t>Xmax = Cap_op * diag(lf_max)</t>
  </si>
  <si>
    <t>Xmin = Cap_op * diag(lf_min)</t>
  </si>
  <si>
    <t>Cap_disp_new_t=weib_t*Cap_new_t</t>
  </si>
  <si>
    <t>Xmin = Cap_op * diag(lf_max)</t>
  </si>
  <si>
    <t>Cap_disp = weibull concat * Cap_new_diag + weibull start concat * C_start</t>
  </si>
  <si>
    <t>Cap_op=C_start-Tyy*(Cap_disp-Cap_new)</t>
  </si>
  <si>
    <t>Min(sum( C_inv,C_om))</t>
  </si>
  <si>
    <t>Cap_disp_start_t = C_start_t * weib_start_t</t>
  </si>
  <si>
    <t>Cap_disp_start = C_start*  weib_concat</t>
  </si>
  <si>
    <t>Min(sum(C_inv,C_om))</t>
  </si>
  <si>
    <t>Cap_op = C_start+ Tyy*Cap_new</t>
  </si>
  <si>
    <t>Min(sum( C_inv_y,C_om_y))</t>
  </si>
  <si>
    <t>gas power plant</t>
  </si>
  <si>
    <t>photovoltaic plant</t>
  </si>
  <si>
    <t>Q_agg == I_ff * Q'</t>
  </si>
  <si>
    <t>Q_agg - u*X - Y == 0</t>
  </si>
  <si>
    <t>electricity</t>
  </si>
  <si>
    <t>MWh</t>
  </si>
  <si>
    <t>c</t>
  </si>
  <si>
    <t>EE gas</t>
  </si>
  <si>
    <t>tech</t>
  </si>
  <si>
    <t>t.4</t>
  </si>
  <si>
    <t>t.5</t>
  </si>
  <si>
    <t>fuel A</t>
  </si>
  <si>
    <t>fuel B</t>
  </si>
  <si>
    <t>heat</t>
  </si>
  <si>
    <t>electricity chp</t>
  </si>
  <si>
    <t>electricity pv</t>
  </si>
  <si>
    <t>product A</t>
  </si>
  <si>
    <t>product B</t>
  </si>
  <si>
    <t>oil refinery</t>
  </si>
  <si>
    <t>boiler</t>
  </si>
  <si>
    <t>chp engine</t>
  </si>
  <si>
    <t>pv plant</t>
  </si>
  <si>
    <t>industry</t>
  </si>
  <si>
    <t>u=U*inv(diag(X))</t>
  </si>
  <si>
    <t>c=V'*inv(diag(X))</t>
  </si>
  <si>
    <t>ton</t>
  </si>
  <si>
    <t>d=V*inv(diag(Q)</t>
  </si>
  <si>
    <t>R</t>
  </si>
  <si>
    <t>r=R*inv(diag(X))</t>
  </si>
  <si>
    <t>operative cost</t>
  </si>
  <si>
    <t>Q'</t>
  </si>
  <si>
    <t>V=d*diag(Q)+(c*diag(X))'</t>
  </si>
  <si>
    <t>X_it-d*Q_it'=0</t>
  </si>
  <si>
    <t>R=r*diag(X)</t>
  </si>
  <si>
    <t>(c*X_pt)'-Q_pt=0</t>
  </si>
  <si>
    <t>Q=sum(U,Y)</t>
  </si>
  <si>
    <t>X=sum(V)</t>
  </si>
  <si>
    <t>f.3</t>
  </si>
  <si>
    <t>f.4</t>
  </si>
  <si>
    <t>f.5</t>
  </si>
  <si>
    <t>f.6</t>
  </si>
  <si>
    <t>f.4a</t>
  </si>
  <si>
    <t>f.4b</t>
  </si>
  <si>
    <t>Min(r*X)</t>
  </si>
  <si>
    <t>u_agg=Iff*u</t>
  </si>
  <si>
    <t>U_agg=u_agg*diag(X)</t>
  </si>
  <si>
    <t>Q_agg-u_agg*X-Y-Y_C=0</t>
  </si>
  <si>
    <t>Y_agg</t>
  </si>
  <si>
    <t>Y_agg,C</t>
  </si>
  <si>
    <t>Q_agg=I_pp*Q'</t>
  </si>
  <si>
    <t>assumption</t>
  </si>
  <si>
    <t>it</t>
  </si>
  <si>
    <t>pt</t>
  </si>
  <si>
    <t>U=u*diag(X)</t>
  </si>
  <si>
    <t>Y,C</t>
  </si>
  <si>
    <t>Q-u*X-Y-Y_C=0</t>
  </si>
  <si>
    <t>1. Multi-products - Sim</t>
  </si>
  <si>
    <t>Color legends</t>
  </si>
  <si>
    <t>Sheets colors</t>
  </si>
  <si>
    <t>Simulation problems</t>
  </si>
  <si>
    <t>Optimization problems</t>
  </si>
  <si>
    <t>Operators colors</t>
  </si>
  <si>
    <t>Exogenous variables</t>
  </si>
  <si>
    <t>Constants</t>
  </si>
  <si>
    <t>Y_h=Y dp'</t>
  </si>
  <si>
    <t>Derived endogenous variables</t>
  </si>
  <si>
    <t>Endogenous decision variables</t>
  </si>
  <si>
    <t>Objective function</t>
  </si>
  <si>
    <t>Min(sum(X*diag(c_om))</t>
  </si>
  <si>
    <t>This spreadsheet contains a series of conceptual models showing how to model different phenomena, typically encountered when modelling physical systems. 
All models are defined as optimization models, however those classified under "simulation problems" are determined (only one solution is possible)</t>
  </si>
  <si>
    <t>1. Multi-products - Opt</t>
  </si>
  <si>
    <t>3. Planning - No disposal</t>
  </si>
  <si>
    <t>3. Planning - Disposal</t>
  </si>
  <si>
    <t>3. Planning - Disposal (1 shot)</t>
  </si>
  <si>
    <t>3. Planning - Discounting</t>
  </si>
  <si>
    <t>4. Infra-year timeslices</t>
  </si>
  <si>
    <t>5. Storage (same flow)</t>
  </si>
  <si>
    <t>5. Storage BEV</t>
  </si>
  <si>
    <t>5. Storage V2G</t>
  </si>
  <si>
    <t>5. Storage V2G sell</t>
  </si>
  <si>
    <t>Back to contents</t>
  </si>
  <si>
    <t>Phenomenon</t>
  </si>
  <si>
    <t>Multi-products management</t>
  </si>
  <si>
    <t>Operation</t>
  </si>
  <si>
    <t>Planning</t>
  </si>
  <si>
    <t>Infra-year timeslices</t>
  </si>
  <si>
    <t>Storage technologies</t>
  </si>
  <si>
    <t>Transmission lines &amp; trades</t>
  </si>
  <si>
    <t>Description</t>
  </si>
  <si>
    <t>Models to handle technologies supplying multiple flows or sharing the production of the same flow</t>
  </si>
  <si>
    <t>2. Operation</t>
  </si>
  <si>
    <t>Modelling flows dispatching without dealing with capacity expansion</t>
  </si>
  <si>
    <t>Modelling flows dispatching over time, envisaging capacity expansion</t>
  </si>
  <si>
    <t>Purpose</t>
  </si>
  <si>
    <t>Conceptual model</t>
  </si>
  <si>
    <t>Handling joint-, co-, by- and subsidiary-products in a simulation model</t>
  </si>
  <si>
    <t>Handling joint-, co-, by- and subsidiary-products in an optimization model.</t>
  </si>
  <si>
    <t>Capacity expansion model. Capacity is never dismissed and replaced.</t>
  </si>
  <si>
    <t>Capacity expansion model, with disposal. Capacity is dismissed according to a Weibull function determining the probability of each unit of capacity of reaching its end-of-life in a given year</t>
  </si>
  <si>
    <t>Capacity expansion model, including cost discounting</t>
  </si>
  <si>
    <t>Modelling multiple time-resolutions</t>
  </si>
  <si>
    <t xml:space="preserve">This model allow to define flows which are to be dispatched according to infra-year time-slices and others to be dispatched just yearly.  </t>
  </si>
  <si>
    <t>Modelling storage technologies</t>
  </si>
  <si>
    <t>Conceptual model for a storage technology charging and discharging only one flow (e.g. stationary batteries)</t>
  </si>
  <si>
    <t>Conceptual model for a storage technology charging one flow and discharging another (e.g. electric vehicles)</t>
  </si>
  <si>
    <t>Conceptual model for a vehicle-to-grid technology</t>
  </si>
  <si>
    <t>Conceptual model for a vehicle-to-grid technology, allowing for reselling electricity to main grid</t>
  </si>
  <si>
    <t>Models for transmission lines and trades</t>
  </si>
  <si>
    <t>Conceptual models</t>
  </si>
  <si>
    <t>6. Transmissions</t>
  </si>
  <si>
    <t>Simulation model exchanging flows exploiting different transmission lines at different costs</t>
  </si>
  <si>
    <t>E</t>
  </si>
  <si>
    <t>M</t>
  </si>
  <si>
    <t>Imports</t>
  </si>
  <si>
    <t>r.3</t>
  </si>
  <si>
    <t>Q'+M'-u*X'-Y-E=0</t>
  </si>
  <si>
    <t>Fossil plants</t>
  </si>
  <si>
    <t>RES plants</t>
  </si>
  <si>
    <t>Exports</t>
  </si>
  <si>
    <t>IE</t>
  </si>
  <si>
    <t>X'-d*Q' = 0</t>
  </si>
  <si>
    <t>C_om</t>
  </si>
  <si>
    <t>Min(sum(C_om))</t>
  </si>
  <si>
    <t>Production</t>
  </si>
  <si>
    <t>d_dom</t>
  </si>
  <si>
    <t>X-E'&gt;=0</t>
  </si>
  <si>
    <t>c_tr</t>
  </si>
  <si>
    <t>Min(sum(C_om)+sum(C_tr))</t>
  </si>
  <si>
    <t>X-(I'*E)'&gt;=0</t>
  </si>
  <si>
    <t>I/E</t>
  </si>
  <si>
    <t>EE grid</t>
  </si>
  <si>
    <t>f</t>
  </si>
  <si>
    <t>Q_agg+M_agg-u*X'-Y-E=0</t>
  </si>
  <si>
    <t>I_ft</t>
  </si>
  <si>
    <t>Q+M</t>
  </si>
  <si>
    <t>C_tr=c_tr'*diag(Q+M)</t>
  </si>
  <si>
    <t>6. Trades</t>
  </si>
  <si>
    <t>6. Trades &amp; transmission</t>
  </si>
  <si>
    <t>6. Trades &amp; transmission RCOT</t>
  </si>
  <si>
    <t>Model with endogenous trades</t>
  </si>
  <si>
    <t>Model with endogenous trades + transmission costs</t>
  </si>
  <si>
    <t>Model with endogenous trades + transmission costs + domestic production mix optimization</t>
  </si>
  <si>
    <t>C_tr = c_tr' *diag(Q)</t>
  </si>
  <si>
    <t>Q_agg=I_ff*Q'</t>
  </si>
  <si>
    <t>M_agg=I_ff*M'</t>
  </si>
  <si>
    <t>I_tf</t>
  </si>
  <si>
    <t>Xagg-E&gt;=0</t>
  </si>
  <si>
    <t>X_agg = (X*I_tf*I_ff')'</t>
  </si>
  <si>
    <t>v_fa</t>
  </si>
  <si>
    <t>v_f</t>
  </si>
  <si>
    <t>E=I/E*v_f'</t>
  </si>
  <si>
    <t>M = v_fa'*I/E</t>
  </si>
  <si>
    <t>V=d*diag(Q)</t>
  </si>
  <si>
    <t>costs</t>
  </si>
  <si>
    <t>C_tot == X * diag(c)</t>
  </si>
  <si>
    <t>Min(sum(C_tot))</t>
  </si>
  <si>
    <t>km</t>
  </si>
  <si>
    <t>€</t>
  </si>
  <si>
    <t>chi fa cosa</t>
  </si>
  <si>
    <t>fatto</t>
  </si>
  <si>
    <t>deprecated</t>
  </si>
  <si>
    <t>LR</t>
  </si>
  <si>
    <t>fatto (da aggiustare come funziona in pyesm, LR)</t>
  </si>
  <si>
    <t>AV, VB</t>
  </si>
  <si>
    <t>Invertire segni dello storage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</si>
</sst>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000"/>
    <numFmt numFmtId="165" formatCode="0.0"/>
    <numFmt numFmtId="166" formatCode="0.00000"/>
    <numFmt numFmtId="167" formatCode="0.0000"/>
    <numFmt numFmtId="168" formatCode="0E+00"/>
    <numFmt numFmtId="169" formatCode="0;\-0;\-"/>
    <numFmt numFmtId="170" formatCode="0.0;\-0.0;\-"/>
  </numFmts>
  <fonts count="12" x14ac:knownFonts="1">
    <font>
      <sz val="11"/>
      <color theme="1"/>
      <name val="Calibri"/>
      <family val="2"/>
      <scheme val="minor"/>
    </font>
    <font>
      <sz val="11"/>
      <color rgb="FFFF0000"/>
      <name val="Calibri"/>
      <family val="2"/>
      <scheme val="minor"/>
    </font>
    <font>
      <b/>
      <sz val="11"/>
      <color theme="1"/>
      <name val="Calibri"/>
      <family val="2"/>
      <scheme val="minor"/>
    </font>
    <font>
      <i/>
      <sz val="11"/>
      <color theme="1"/>
      <name val="Calibri"/>
      <family val="2"/>
      <scheme val="minor"/>
    </font>
    <font>
      <sz val="11"/>
      <name val="Calibri"/>
      <family val="2"/>
      <scheme val="minor"/>
    </font>
    <font>
      <u/>
      <sz val="11"/>
      <color theme="1"/>
      <name val="Calibri"/>
      <family val="2"/>
      <scheme val="minor"/>
    </font>
    <font>
      <sz val="11"/>
      <color theme="0" tint="-0.499984740745262"/>
      <name val="Calibri"/>
      <family val="2"/>
      <scheme val="minor"/>
    </font>
    <font>
      <sz val="8"/>
      <name val="Calibri"/>
      <family val="2"/>
      <scheme val="minor"/>
    </font>
    <font>
      <u/>
      <sz val="11"/>
      <color theme="10"/>
      <name val="Calibri"/>
      <family val="2"/>
      <scheme val="minor"/>
    </font>
    <font>
      <sz val="11"/>
      <color theme="9" tint="0.79998168889431442"/>
      <name val="Calibri"/>
      <family val="2"/>
      <scheme val="minor"/>
    </font>
    <font>
      <b/>
      <u/>
      <sz val="11"/>
      <color theme="1"/>
      <name val="Calibri"/>
      <family val="2"/>
      <scheme val="minor"/>
    </font>
    <font>
      <b/>
      <sz val="11"/>
      <color rgb="FFFF0000"/>
      <name val="Calibri"/>
      <family val="2"/>
      <scheme val="minor"/>
    </font>
  </fonts>
  <fills count="11">
    <fill>
      <patternFill patternType="none"/>
    </fill>
    <fill>
      <patternFill patternType="gray125"/>
    </fill>
    <fill>
      <patternFill patternType="solid">
        <fgColor theme="2" tint="-9.9978637043366805E-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9" tint="0.79998168889431442"/>
        <bgColor indexed="64"/>
      </patternFill>
    </fill>
  </fills>
  <borders count="1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right/>
      <top/>
      <bottom style="hair">
        <color indexed="64"/>
      </bottom>
      <diagonal/>
    </border>
    <border>
      <left/>
      <right style="thin">
        <color indexed="64"/>
      </right>
      <top/>
      <bottom style="hair">
        <color indexed="64"/>
      </bottom>
      <diagonal/>
    </border>
    <border>
      <left style="thin">
        <color indexed="64"/>
      </left>
      <right/>
      <top/>
      <bottom style="hair">
        <color indexed="64"/>
      </bottom>
      <diagonal/>
    </border>
  </borders>
  <cellStyleXfs count="2">
    <xf numFmtId="0" fontId="0" fillId="0" borderId="0"/>
    <xf numFmtId="0" fontId="8" fillId="0" borderId="0" applyNumberFormat="0" applyFill="0" applyBorder="0" applyAlignment="0" applyProtection="0"/>
  </cellStyleXfs>
  <cellXfs count="164">
    <xf numFmtId="0" fontId="0" fillId="0" borderId="0" xfId="0"/>
    <xf numFmtId="0" fontId="0" fillId="2" borderId="0" xfId="0" applyFill="1"/>
    <xf numFmtId="0" fontId="0" fillId="0" borderId="7" xfId="0" applyBorder="1"/>
    <xf numFmtId="0" fontId="2" fillId="0" borderId="0" xfId="0" applyFont="1"/>
    <xf numFmtId="0" fontId="2" fillId="0" borderId="0" xfId="0" applyFont="1" applyAlignment="1">
      <alignment horizontal="right"/>
    </xf>
    <xf numFmtId="0" fontId="3" fillId="0" borderId="0" xfId="0" applyFont="1"/>
    <xf numFmtId="0" fontId="0" fillId="3" borderId="0" xfId="0" applyFill="1"/>
    <xf numFmtId="0" fontId="0" fillId="4" borderId="0" xfId="0" applyFill="1"/>
    <xf numFmtId="0" fontId="0" fillId="0" borderId="8" xfId="0" applyBorder="1"/>
    <xf numFmtId="0" fontId="0" fillId="0" borderId="9" xfId="0" applyBorder="1"/>
    <xf numFmtId="0" fontId="0" fillId="0" borderId="10" xfId="0" applyBorder="1"/>
    <xf numFmtId="164" fontId="4" fillId="4" borderId="0" xfId="0" applyNumberFormat="1" applyFont="1" applyFill="1"/>
    <xf numFmtId="165" fontId="0" fillId="0" borderId="1" xfId="0" applyNumberFormat="1" applyBorder="1"/>
    <xf numFmtId="165" fontId="0" fillId="0" borderId="2" xfId="0" applyNumberFormat="1" applyBorder="1"/>
    <xf numFmtId="165" fontId="0" fillId="0" borderId="3" xfId="0" applyNumberFormat="1" applyBorder="1"/>
    <xf numFmtId="165" fontId="0" fillId="0" borderId="4" xfId="0" applyNumberFormat="1" applyBorder="1"/>
    <xf numFmtId="165" fontId="0" fillId="0" borderId="5" xfId="0" applyNumberFormat="1" applyBorder="1"/>
    <xf numFmtId="165" fontId="0" fillId="0" borderId="6" xfId="0" applyNumberFormat="1" applyBorder="1"/>
    <xf numFmtId="0" fontId="2" fillId="0" borderId="0" xfId="0" applyFont="1" applyAlignment="1">
      <alignment horizontal="left"/>
    </xf>
    <xf numFmtId="165" fontId="4" fillId="4" borderId="0" xfId="0" applyNumberFormat="1" applyFont="1" applyFill="1"/>
    <xf numFmtId="165" fontId="4" fillId="4" borderId="7" xfId="0" applyNumberFormat="1" applyFont="1" applyFill="1" applyBorder="1"/>
    <xf numFmtId="0" fontId="0" fillId="0" borderId="0" xfId="0" applyAlignment="1">
      <alignment horizontal="right"/>
    </xf>
    <xf numFmtId="165" fontId="0" fillId="4" borderId="0" xfId="0" applyNumberFormat="1" applyFill="1"/>
    <xf numFmtId="0" fontId="4" fillId="2" borderId="0" xfId="0" applyFont="1" applyFill="1"/>
    <xf numFmtId="0" fontId="4" fillId="3" borderId="0" xfId="0" applyFont="1" applyFill="1"/>
    <xf numFmtId="0" fontId="4" fillId="4" borderId="0" xfId="0" applyFont="1" applyFill="1"/>
    <xf numFmtId="1" fontId="0" fillId="0" borderId="11" xfId="0" applyNumberFormat="1" applyBorder="1"/>
    <xf numFmtId="0" fontId="0" fillId="0" borderId="12" xfId="0" applyBorder="1"/>
    <xf numFmtId="0" fontId="0" fillId="0" borderId="13" xfId="0" applyBorder="1"/>
    <xf numFmtId="165" fontId="0" fillId="0" borderId="11" xfId="0" applyNumberFormat="1" applyBorder="1"/>
    <xf numFmtId="0" fontId="0" fillId="0" borderId="1" xfId="0" applyBorder="1"/>
    <xf numFmtId="0" fontId="0" fillId="0" borderId="2" xfId="0" applyBorder="1"/>
    <xf numFmtId="0" fontId="0" fillId="0" borderId="3" xfId="0" applyBorder="1"/>
    <xf numFmtId="0" fontId="0" fillId="0" borderId="14" xfId="0" applyBorder="1"/>
    <xf numFmtId="0" fontId="0" fillId="0" borderId="4" xfId="0" applyBorder="1"/>
    <xf numFmtId="0" fontId="0" fillId="0" borderId="5" xfId="0" applyBorder="1"/>
    <xf numFmtId="0" fontId="0" fillId="0" borderId="6" xfId="0" applyBorder="1"/>
    <xf numFmtId="0" fontId="0" fillId="0" borderId="15" xfId="0" applyBorder="1"/>
    <xf numFmtId="3" fontId="0" fillId="2" borderId="0" xfId="0" applyNumberFormat="1" applyFill="1"/>
    <xf numFmtId="2" fontId="0" fillId="2" borderId="0" xfId="0" applyNumberFormat="1" applyFill="1"/>
    <xf numFmtId="164" fontId="0" fillId="0" borderId="0" xfId="0" applyNumberFormat="1"/>
    <xf numFmtId="0" fontId="1" fillId="0" borderId="0" xfId="0" applyFont="1"/>
    <xf numFmtId="166" fontId="0" fillId="0" borderId="0" xfId="0" applyNumberFormat="1"/>
    <xf numFmtId="1" fontId="0" fillId="2" borderId="0" xfId="0" applyNumberFormat="1" applyFill="1"/>
    <xf numFmtId="167" fontId="0" fillId="4" borderId="0" xfId="0" applyNumberFormat="1" applyFill="1"/>
    <xf numFmtId="0" fontId="0" fillId="0" borderId="0" xfId="0" applyAlignment="1">
      <alignment textRotation="90" wrapText="1"/>
    </xf>
    <xf numFmtId="168" fontId="0" fillId="2" borderId="0" xfId="0" applyNumberFormat="1" applyFill="1"/>
    <xf numFmtId="168" fontId="0" fillId="0" borderId="1" xfId="0" applyNumberFormat="1" applyBorder="1"/>
    <xf numFmtId="0" fontId="5" fillId="0" borderId="0" xfId="0" applyFont="1"/>
    <xf numFmtId="0" fontId="5" fillId="0" borderId="0" xfId="0" applyFont="1" applyAlignment="1">
      <alignment horizontal="right"/>
    </xf>
    <xf numFmtId="0" fontId="2" fillId="0" borderId="0" xfId="0" applyFont="1" applyAlignment="1">
      <alignment horizontal="left" wrapText="1"/>
    </xf>
    <xf numFmtId="164" fontId="0" fillId="4" borderId="0" xfId="0" applyNumberFormat="1" applyFill="1"/>
    <xf numFmtId="0" fontId="0" fillId="0" borderId="0" xfId="0" applyAlignment="1">
      <alignment horizontal="left"/>
    </xf>
    <xf numFmtId="0" fontId="0" fillId="3" borderId="14" xfId="0" applyFill="1" applyBorder="1"/>
    <xf numFmtId="0" fontId="0" fillId="3" borderId="1" xfId="0" applyFill="1" applyBorder="1"/>
    <xf numFmtId="0" fontId="0" fillId="0" borderId="0" xfId="0" applyAlignment="1">
      <alignment vertical="top"/>
    </xf>
    <xf numFmtId="0" fontId="2" fillId="0" borderId="0" xfId="0" applyFont="1" applyAlignment="1">
      <alignment vertical="top"/>
    </xf>
    <xf numFmtId="0" fontId="0" fillId="0" borderId="5" xfId="0" applyBorder="1" applyAlignment="1">
      <alignment vertical="top"/>
    </xf>
    <xf numFmtId="0" fontId="0" fillId="0" borderId="0" xfId="0" applyAlignment="1">
      <alignment horizontal="left" wrapText="1"/>
    </xf>
    <xf numFmtId="2" fontId="0" fillId="4" borderId="0" xfId="0" applyNumberFormat="1" applyFill="1"/>
    <xf numFmtId="0" fontId="0" fillId="5" borderId="0" xfId="0" applyFill="1"/>
    <xf numFmtId="1" fontId="0" fillId="5" borderId="0" xfId="0" applyNumberFormat="1" applyFill="1"/>
    <xf numFmtId="1" fontId="0" fillId="0" borderId="8" xfId="0" applyNumberFormat="1" applyBorder="1"/>
    <xf numFmtId="1" fontId="0" fillId="0" borderId="9" xfId="0" applyNumberFormat="1" applyBorder="1"/>
    <xf numFmtId="1" fontId="0" fillId="0" borderId="10" xfId="0" applyNumberFormat="1" applyBorder="1"/>
    <xf numFmtId="1" fontId="0" fillId="6" borderId="0" xfId="0" applyNumberFormat="1" applyFill="1"/>
    <xf numFmtId="0" fontId="0" fillId="6" borderId="0" xfId="0" applyFill="1"/>
    <xf numFmtId="1" fontId="0" fillId="0" borderId="0" xfId="0" applyNumberFormat="1"/>
    <xf numFmtId="169" fontId="0" fillId="0" borderId="0" xfId="0" applyNumberFormat="1"/>
    <xf numFmtId="169" fontId="0" fillId="0" borderId="0" xfId="0" applyNumberFormat="1" applyAlignment="1">
      <alignment textRotation="90" wrapText="1"/>
    </xf>
    <xf numFmtId="169" fontId="0" fillId="0" borderId="7" xfId="0" applyNumberFormat="1" applyBorder="1"/>
    <xf numFmtId="169" fontId="0" fillId="6" borderId="0" xfId="0" applyNumberFormat="1" applyFill="1"/>
    <xf numFmtId="169" fontId="0" fillId="6" borderId="7" xfId="0" applyNumberFormat="1" applyFill="1" applyBorder="1"/>
    <xf numFmtId="169" fontId="0" fillId="6" borderId="2" xfId="0" applyNumberFormat="1" applyFill="1" applyBorder="1"/>
    <xf numFmtId="169" fontId="0" fillId="6" borderId="3" xfId="0" applyNumberFormat="1" applyFill="1" applyBorder="1"/>
    <xf numFmtId="169" fontId="0" fillId="0" borderId="2" xfId="0" applyNumberFormat="1" applyBorder="1" applyAlignment="1">
      <alignment textRotation="90" wrapText="1"/>
    </xf>
    <xf numFmtId="169" fontId="0" fillId="0" borderId="2" xfId="0" applyNumberFormat="1" applyBorder="1"/>
    <xf numFmtId="169" fontId="0" fillId="0" borderId="11" xfId="0" applyNumberFormat="1" applyBorder="1"/>
    <xf numFmtId="169" fontId="0" fillId="0" borderId="12" xfId="0" applyNumberFormat="1" applyBorder="1"/>
    <xf numFmtId="169" fontId="0" fillId="0" borderId="13" xfId="0" applyNumberFormat="1" applyBorder="1"/>
    <xf numFmtId="169" fontId="0" fillId="0" borderId="8" xfId="0" applyNumberFormat="1" applyBorder="1"/>
    <xf numFmtId="169" fontId="0" fillId="0" borderId="9" xfId="0" applyNumberFormat="1" applyBorder="1"/>
    <xf numFmtId="169" fontId="0" fillId="0" borderId="10" xfId="0" applyNumberFormat="1" applyBorder="1"/>
    <xf numFmtId="169" fontId="2" fillId="0" borderId="0" xfId="0" applyNumberFormat="1" applyFont="1"/>
    <xf numFmtId="169" fontId="0" fillId="3" borderId="0" xfId="0" applyNumberFormat="1" applyFill="1"/>
    <xf numFmtId="169" fontId="0" fillId="3" borderId="7" xfId="0" applyNumberFormat="1" applyFill="1" applyBorder="1"/>
    <xf numFmtId="169" fontId="2" fillId="0" borderId="0" xfId="0" applyNumberFormat="1" applyFont="1" applyAlignment="1">
      <alignment horizontal="left"/>
    </xf>
    <xf numFmtId="169" fontId="0" fillId="0" borderId="5" xfId="0" applyNumberFormat="1" applyBorder="1"/>
    <xf numFmtId="169" fontId="0" fillId="4" borderId="0" xfId="0" applyNumberFormat="1" applyFill="1"/>
    <xf numFmtId="170" fontId="0" fillId="4" borderId="0" xfId="0" applyNumberFormat="1" applyFill="1"/>
    <xf numFmtId="169" fontId="0" fillId="4" borderId="2" xfId="0" applyNumberFormat="1" applyFill="1" applyBorder="1"/>
    <xf numFmtId="1" fontId="0" fillId="4" borderId="0" xfId="0" applyNumberFormat="1" applyFill="1"/>
    <xf numFmtId="169" fontId="0" fillId="4" borderId="7" xfId="0" applyNumberFormat="1" applyFill="1" applyBorder="1"/>
    <xf numFmtId="169" fontId="4" fillId="4" borderId="0" xfId="0" applyNumberFormat="1" applyFont="1" applyFill="1"/>
    <xf numFmtId="169" fontId="4" fillId="4" borderId="2" xfId="0" applyNumberFormat="1" applyFont="1" applyFill="1" applyBorder="1"/>
    <xf numFmtId="169" fontId="4" fillId="4" borderId="3" xfId="0" applyNumberFormat="1" applyFont="1" applyFill="1" applyBorder="1"/>
    <xf numFmtId="169" fontId="4" fillId="4" borderId="7" xfId="0" applyNumberFormat="1" applyFont="1" applyFill="1" applyBorder="1"/>
    <xf numFmtId="0" fontId="8" fillId="0" borderId="0" xfId="1"/>
    <xf numFmtId="0" fontId="0" fillId="9" borderId="0" xfId="0" applyFill="1"/>
    <xf numFmtId="169" fontId="0" fillId="9" borderId="0" xfId="0" applyNumberFormat="1" applyFill="1"/>
    <xf numFmtId="1" fontId="0" fillId="9" borderId="0" xfId="0" applyNumberFormat="1" applyFill="1"/>
    <xf numFmtId="0" fontId="2" fillId="9" borderId="0" xfId="0" applyFont="1" applyFill="1"/>
    <xf numFmtId="169" fontId="8" fillId="0" borderId="0" xfId="1" applyNumberFormat="1"/>
    <xf numFmtId="0" fontId="3" fillId="0" borderId="0" xfId="0" applyFont="1" applyAlignment="1">
      <alignment vertical="top"/>
    </xf>
    <xf numFmtId="0" fontId="0" fillId="8" borderId="0" xfId="0" applyFill="1" applyAlignment="1">
      <alignment vertical="top"/>
    </xf>
    <xf numFmtId="0" fontId="0" fillId="2" borderId="0" xfId="0" applyFill="1" applyAlignment="1">
      <alignment vertical="top"/>
    </xf>
    <xf numFmtId="0" fontId="0" fillId="7" borderId="0" xfId="0" applyFill="1" applyAlignment="1">
      <alignment vertical="top"/>
    </xf>
    <xf numFmtId="0" fontId="0" fillId="3" borderId="0" xfId="0" applyFill="1" applyAlignment="1">
      <alignment vertical="top"/>
    </xf>
    <xf numFmtId="0" fontId="9" fillId="8" borderId="0" xfId="0" applyFont="1" applyFill="1" applyAlignment="1">
      <alignment vertical="top"/>
    </xf>
    <xf numFmtId="0" fontId="4" fillId="0" borderId="0" xfId="0" applyFont="1" applyAlignment="1">
      <alignment vertical="top"/>
    </xf>
    <xf numFmtId="0" fontId="4" fillId="4" borderId="0" xfId="0" applyFont="1" applyFill="1" applyAlignment="1">
      <alignment vertical="top"/>
    </xf>
    <xf numFmtId="0" fontId="0" fillId="9" borderId="0" xfId="0" applyFill="1" applyAlignment="1">
      <alignment vertical="top"/>
    </xf>
    <xf numFmtId="0" fontId="2" fillId="0" borderId="0" xfId="0" applyFont="1" applyAlignment="1">
      <alignment horizontal="left" vertical="top"/>
    </xf>
    <xf numFmtId="0" fontId="2" fillId="0" borderId="7" xfId="0" applyFont="1" applyBorder="1" applyAlignment="1">
      <alignment horizontal="left" vertical="top"/>
    </xf>
    <xf numFmtId="0" fontId="0" fillId="0" borderId="7" xfId="0" applyBorder="1" applyAlignment="1">
      <alignment vertical="top"/>
    </xf>
    <xf numFmtId="0" fontId="8" fillId="0" borderId="0" xfId="1" applyBorder="1" applyAlignment="1">
      <alignment horizontal="left" vertical="top"/>
    </xf>
    <xf numFmtId="0" fontId="2" fillId="0" borderId="4" xfId="0" applyFont="1" applyBorder="1" applyAlignment="1">
      <alignment vertical="top"/>
    </xf>
    <xf numFmtId="0" fontId="0" fillId="0" borderId="0" xfId="0" applyAlignment="1">
      <alignment vertical="top" wrapText="1"/>
    </xf>
    <xf numFmtId="0" fontId="0" fillId="0" borderId="6" xfId="0" applyBorder="1" applyAlignment="1">
      <alignment vertical="top"/>
    </xf>
    <xf numFmtId="0" fontId="0" fillId="0" borderId="14" xfId="0" applyBorder="1" applyAlignment="1">
      <alignment vertical="top"/>
    </xf>
    <xf numFmtId="0" fontId="0" fillId="0" borderId="16" xfId="0" applyBorder="1" applyAlignment="1">
      <alignment vertical="top"/>
    </xf>
    <xf numFmtId="0" fontId="0" fillId="0" borderId="17" xfId="0" applyBorder="1" applyAlignment="1">
      <alignment vertical="top"/>
    </xf>
    <xf numFmtId="0" fontId="0" fillId="0" borderId="18" xfId="0" applyBorder="1" applyAlignment="1">
      <alignment vertical="top"/>
    </xf>
    <xf numFmtId="0" fontId="8" fillId="0" borderId="16" xfId="1" applyBorder="1" applyAlignment="1">
      <alignment horizontal="left" vertical="top"/>
    </xf>
    <xf numFmtId="0" fontId="10" fillId="0" borderId="0" xfId="0" applyFont="1" applyAlignment="1">
      <alignment vertical="top"/>
    </xf>
    <xf numFmtId="0" fontId="2" fillId="0" borderId="5" xfId="0" applyFont="1" applyBorder="1" applyAlignment="1">
      <alignment vertical="top"/>
    </xf>
    <xf numFmtId="0" fontId="8" fillId="0" borderId="7" xfId="1" applyBorder="1" applyAlignment="1">
      <alignment horizontal="left" vertical="top"/>
    </xf>
    <xf numFmtId="0" fontId="8" fillId="0" borderId="17" xfId="1" applyBorder="1" applyAlignment="1">
      <alignment horizontal="left" vertical="top"/>
    </xf>
    <xf numFmtId="0" fontId="8" fillId="0" borderId="14" xfId="1" applyBorder="1" applyAlignment="1">
      <alignment horizontal="left" vertical="top"/>
    </xf>
    <xf numFmtId="0" fontId="8" fillId="0" borderId="18" xfId="1" applyBorder="1" applyAlignment="1">
      <alignment horizontal="left" vertical="top"/>
    </xf>
    <xf numFmtId="1" fontId="4" fillId="2" borderId="0" xfId="0" applyNumberFormat="1" applyFont="1" applyFill="1"/>
    <xf numFmtId="1" fontId="4" fillId="10" borderId="0" xfId="0" applyNumberFormat="1" applyFont="1" applyFill="1"/>
    <xf numFmtId="0" fontId="4" fillId="10" borderId="0" xfId="0" applyFont="1" applyFill="1"/>
    <xf numFmtId="164" fontId="4" fillId="10" borderId="0" xfId="0" applyNumberFormat="1" applyFont="1" applyFill="1"/>
    <xf numFmtId="167" fontId="4" fillId="10" borderId="0" xfId="0" applyNumberFormat="1" applyFont="1" applyFill="1"/>
    <xf numFmtId="165" fontId="4" fillId="10" borderId="0" xfId="0" applyNumberFormat="1" applyFont="1" applyFill="1"/>
    <xf numFmtId="0" fontId="0" fillId="0" borderId="11" xfId="0" applyBorder="1"/>
    <xf numFmtId="1" fontId="4" fillId="3" borderId="0" xfId="0" applyNumberFormat="1" applyFont="1" applyFill="1"/>
    <xf numFmtId="1" fontId="0" fillId="0" borderId="13" xfId="0" applyNumberFormat="1" applyBorder="1"/>
    <xf numFmtId="0" fontId="4" fillId="0" borderId="0" xfId="0" applyFont="1"/>
    <xf numFmtId="165" fontId="4" fillId="2" borderId="0" xfId="0" applyNumberFormat="1" applyFont="1" applyFill="1"/>
    <xf numFmtId="169" fontId="4" fillId="10" borderId="0" xfId="0" applyNumberFormat="1" applyFont="1" applyFill="1"/>
    <xf numFmtId="169" fontId="4" fillId="10" borderId="7" xfId="0" applyNumberFormat="1" applyFont="1" applyFill="1" applyBorder="1"/>
    <xf numFmtId="169" fontId="4" fillId="10" borderId="2" xfId="0" applyNumberFormat="1" applyFont="1" applyFill="1" applyBorder="1"/>
    <xf numFmtId="169" fontId="3" fillId="0" borderId="0" xfId="0" applyNumberFormat="1" applyFont="1"/>
    <xf numFmtId="0" fontId="6" fillId="0" borderId="0" xfId="0" applyFont="1" applyAlignment="1">
      <alignment horizontal="left"/>
    </xf>
    <xf numFmtId="0" fontId="0" fillId="0" borderId="0" xfId="0" applyAlignment="1">
      <alignment horizontal="left" textRotation="90" wrapText="1"/>
    </xf>
    <xf numFmtId="0" fontId="8" fillId="0" borderId="14" xfId="1" applyBorder="1" applyAlignment="1">
      <alignment horizontal="left" vertical="top"/>
    </xf>
    <xf numFmtId="0" fontId="8" fillId="0" borderId="0" xfId="1" applyBorder="1" applyAlignment="1">
      <alignment horizontal="left" vertical="top"/>
    </xf>
    <xf numFmtId="0" fontId="8" fillId="0" borderId="7" xfId="1" applyBorder="1" applyAlignment="1">
      <alignment horizontal="left" vertical="top"/>
    </xf>
    <xf numFmtId="0" fontId="0" fillId="0" borderId="14" xfId="0" applyBorder="1" applyAlignment="1">
      <alignment horizontal="left" vertical="top" wrapText="1"/>
    </xf>
    <xf numFmtId="0" fontId="0" fillId="0" borderId="0" xfId="0" applyAlignment="1">
      <alignment horizontal="left" vertical="top" wrapText="1"/>
    </xf>
    <xf numFmtId="0" fontId="0" fillId="0" borderId="7" xfId="0" applyBorder="1" applyAlignment="1">
      <alignment horizontal="left" vertical="top" wrapText="1"/>
    </xf>
    <xf numFmtId="0" fontId="2" fillId="0" borderId="5" xfId="0" applyFont="1" applyBorder="1" applyAlignment="1">
      <alignment horizontal="left" vertical="top"/>
    </xf>
    <xf numFmtId="0" fontId="2" fillId="0" borderId="6" xfId="0" applyFont="1" applyBorder="1" applyAlignment="1">
      <alignment horizontal="left" vertical="top"/>
    </xf>
    <xf numFmtId="0" fontId="2" fillId="0" borderId="4" xfId="0" applyFont="1" applyBorder="1" applyAlignment="1">
      <alignment horizontal="left" vertical="top"/>
    </xf>
    <xf numFmtId="0" fontId="1" fillId="0" borderId="0" xfId="0" applyFont="1" applyAlignment="1">
      <alignment horizontal="left" vertical="top" wrapText="1"/>
    </xf>
    <xf numFmtId="0" fontId="2" fillId="0" borderId="0" xfId="0" applyFont="1" applyAlignment="1">
      <alignment horizontal="left" vertical="top" wrapText="1"/>
    </xf>
    <xf numFmtId="0" fontId="2" fillId="0" borderId="0" xfId="0" applyFont="1" applyAlignment="1">
      <alignment horizontal="left" wrapText="1"/>
    </xf>
    <xf numFmtId="0" fontId="0" fillId="0" borderId="0" xfId="0" applyAlignment="1">
      <alignment horizontal="center"/>
    </xf>
    <xf numFmtId="0" fontId="2" fillId="0" borderId="0" xfId="0" applyFont="1" applyAlignment="1">
      <alignment horizontal="center" textRotation="90" wrapText="1"/>
    </xf>
    <xf numFmtId="0" fontId="2" fillId="0" borderId="0" xfId="0" applyFont="1" applyAlignment="1">
      <alignment horizontal="center" textRotation="90"/>
    </xf>
    <xf numFmtId="0" fontId="2" fillId="0" borderId="5" xfId="0" applyFont="1" applyBorder="1" applyAlignment="1">
      <alignment horizontal="center" textRotation="90" wrapText="1"/>
    </xf>
    <xf numFmtId="0" fontId="11"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12</xdr:col>
      <xdr:colOff>395309</xdr:colOff>
      <xdr:row>1</xdr:row>
      <xdr:rowOff>57150</xdr:rowOff>
    </xdr:to>
    <xdr:pic>
      <xdr:nvPicPr>
        <xdr:cNvPr id="9" name="Picture 8">
          <a:extLst>
            <a:ext uri="{FF2B5EF4-FFF2-40B4-BE49-F238E27FC236}">
              <a16:creationId xmlns:a16="http://schemas.microsoft.com/office/drawing/2014/main" id="{6EE4D0F9-A2A0-DF5E-2B5E-0861293901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4948259" cy="1695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46</xdr:col>
      <xdr:colOff>276225</xdr:colOff>
      <xdr:row>30</xdr:row>
      <xdr:rowOff>104775</xdr:rowOff>
    </xdr:from>
    <xdr:to>
      <xdr:col>61</xdr:col>
      <xdr:colOff>284194</xdr:colOff>
      <xdr:row>46</xdr:row>
      <xdr:rowOff>31708</xdr:rowOff>
    </xdr:to>
    <xdr:pic>
      <xdr:nvPicPr>
        <xdr:cNvPr id="2" name="Picture 1">
          <a:extLst>
            <a:ext uri="{FF2B5EF4-FFF2-40B4-BE49-F238E27FC236}">
              <a16:creationId xmlns:a16="http://schemas.microsoft.com/office/drawing/2014/main" id="{E61A67D1-7E42-4C5C-9A84-E543FCB20B73}"/>
            </a:ext>
          </a:extLst>
        </xdr:cNvPr>
        <xdr:cNvPicPr>
          <a:picLocks noChangeAspect="1"/>
        </xdr:cNvPicPr>
      </xdr:nvPicPr>
      <xdr:blipFill>
        <a:blip xmlns:r="http://schemas.openxmlformats.org/officeDocument/2006/relationships" r:embed="rId1"/>
        <a:stretch>
          <a:fillRect/>
        </a:stretch>
      </xdr:blipFill>
      <xdr:spPr>
        <a:xfrm>
          <a:off x="15335250" y="5819775"/>
          <a:ext cx="7161244" cy="2974933"/>
        </a:xfrm>
        <a:prstGeom prst="rect">
          <a:avLst/>
        </a:prstGeom>
      </xdr:spPr>
    </xdr:pic>
    <xdr:clientData/>
  </xdr:twoCellAnchor>
  <xdr:twoCellAnchor>
    <xdr:from>
      <xdr:col>47</xdr:col>
      <xdr:colOff>0</xdr:colOff>
      <xdr:row>4</xdr:row>
      <xdr:rowOff>190499</xdr:rowOff>
    </xdr:from>
    <xdr:to>
      <xdr:col>60</xdr:col>
      <xdr:colOff>447675</xdr:colOff>
      <xdr:row>26</xdr:row>
      <xdr:rowOff>104774</xdr:rowOff>
    </xdr:to>
    <xdr:sp macro="" textlink="">
      <xdr:nvSpPr>
        <xdr:cNvPr id="3" name="TextBox 2">
          <a:extLst>
            <a:ext uri="{FF2B5EF4-FFF2-40B4-BE49-F238E27FC236}">
              <a16:creationId xmlns:a16="http://schemas.microsoft.com/office/drawing/2014/main" id="{8ABBD97C-A479-4368-9784-A44D1262005C}"/>
            </a:ext>
          </a:extLst>
        </xdr:cNvPr>
        <xdr:cNvSpPr txBox="1"/>
      </xdr:nvSpPr>
      <xdr:spPr>
        <a:xfrm>
          <a:off x="15373350" y="952499"/>
          <a:ext cx="6667500" cy="41052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000" b="1"/>
            <a:t>General co-product management in</a:t>
          </a:r>
          <a:r>
            <a:rPr lang="it-IT" sz="1000" b="1" baseline="0"/>
            <a:t> a supply-use</a:t>
          </a:r>
          <a:r>
            <a:rPr lang="it-IT" sz="1000" b="1"/>
            <a:t> system with mixed recruitment</a:t>
          </a:r>
        </a:p>
        <a:p>
          <a:endParaRPr lang="it-IT" sz="1000" b="1"/>
        </a:p>
        <a:p>
          <a:r>
            <a:rPr lang="it-IT" sz="1000" b="0"/>
            <a:t>The</a:t>
          </a:r>
          <a:r>
            <a:rPr lang="it-IT" sz="1000" b="0" baseline="0"/>
            <a:t> model shows how to handle different types of technologies supplying one or multiple products.</a:t>
          </a:r>
        </a:p>
        <a:p>
          <a:endParaRPr lang="it-IT" sz="1000" b="0" baseline="0"/>
        </a:p>
        <a:p>
          <a:r>
            <a:rPr lang="it-IT" sz="1000" b="1" baseline="0"/>
            <a:t>Single-product technologies </a:t>
          </a:r>
          <a:r>
            <a:rPr lang="it-IT" sz="1000" b="0" baseline="0"/>
            <a:t>provide one unique useful product (e.g. the </a:t>
          </a:r>
          <a:r>
            <a:rPr lang="it-IT" sz="1000" b="0" i="1" baseline="0"/>
            <a:t>boiler</a:t>
          </a:r>
          <a:r>
            <a:rPr lang="it-IT" sz="1000" b="0" baseline="0"/>
            <a:t> in this example)</a:t>
          </a:r>
        </a:p>
        <a:p>
          <a:r>
            <a:rPr lang="it-IT" sz="1000" b="1" baseline="0"/>
            <a:t>Multi-product technoliges </a:t>
          </a:r>
          <a:r>
            <a:rPr lang="it-IT" sz="1000" b="0" baseline="0"/>
            <a:t>provide multiple useful products:</a:t>
          </a:r>
        </a:p>
        <a:p>
          <a:pPr marL="171450" indent="-171450">
            <a:buFont typeface="Arial" panose="020B0604020202020204" pitchFamily="34" charset="0"/>
            <a:buChar char="•"/>
          </a:pPr>
          <a:r>
            <a:rPr lang="it-IT" sz="1000" b="0" baseline="0"/>
            <a:t>a primary product as the main output</a:t>
          </a:r>
        </a:p>
        <a:p>
          <a:pPr marL="171450" indent="-171450">
            <a:buFont typeface="Arial" panose="020B0604020202020204" pitchFamily="34" charset="0"/>
            <a:buChar char="•"/>
          </a:pPr>
          <a:r>
            <a:rPr lang="it-IT" sz="1000" b="0" baseline="0"/>
            <a:t>secondary products, which may be independent on the primary (</a:t>
          </a:r>
          <a:r>
            <a:rPr lang="it-IT" sz="1000" b="1" baseline="0"/>
            <a:t>subisidary products</a:t>
          </a:r>
          <a:r>
            <a:rPr lang="it-IT" sz="1000" b="0" baseline="0"/>
            <a:t>, e.g. </a:t>
          </a:r>
          <a:r>
            <a:rPr lang="it-IT" sz="1000" b="0" i="1" baseline="0"/>
            <a:t>industry </a:t>
          </a:r>
          <a:r>
            <a:rPr lang="it-IT" sz="1000" b="0" i="0" baseline="0"/>
            <a:t>supplying </a:t>
          </a:r>
          <a:r>
            <a:rPr lang="it-IT" sz="1000" b="0" i="1" baseline="0"/>
            <a:t>product A </a:t>
          </a:r>
          <a:r>
            <a:rPr lang="it-IT" sz="1000" b="0" i="0" baseline="0"/>
            <a:t>and </a:t>
          </a:r>
          <a:r>
            <a:rPr lang="it-IT" sz="1000" b="0" i="1" baseline="0"/>
            <a:t>product B</a:t>
          </a:r>
          <a:r>
            <a:rPr lang="it-IT" sz="1000" b="0" baseline="0"/>
            <a:t>)</a:t>
          </a:r>
          <a:r>
            <a:rPr lang="it-IT" sz="1000" b="0" i="1" baseline="0"/>
            <a:t> </a:t>
          </a:r>
          <a:r>
            <a:rPr lang="it-IT" sz="1000" b="0" i="0" baseline="0"/>
            <a:t>or dependent on the primary product. These may be classified as:</a:t>
          </a:r>
        </a:p>
        <a:p>
          <a:pPr marL="288000" indent="-171450">
            <a:buFont typeface="Wingdings" panose="05000000000000000000" pitchFamily="2" charset="2"/>
            <a:buChar char="Ø"/>
          </a:pPr>
          <a:r>
            <a:rPr lang="it-IT" sz="1000" b="1" i="0" baseline="0"/>
            <a:t>by-products</a:t>
          </a:r>
          <a:r>
            <a:rPr lang="it-IT" sz="1000" b="0" i="0" baseline="0"/>
            <a:t>, in case another technology produces them as primary (</a:t>
          </a:r>
          <a:r>
            <a:rPr lang="it-IT" sz="1000" b="0" i="1" baseline="0"/>
            <a:t>electricity</a:t>
          </a:r>
          <a:r>
            <a:rPr lang="it-IT" sz="1000" b="0" i="0" baseline="0"/>
            <a:t> for the </a:t>
          </a:r>
          <a:r>
            <a:rPr lang="it-IT" sz="1000" b="0" i="1" baseline="0"/>
            <a:t>chp engine</a:t>
          </a:r>
          <a:r>
            <a:rPr lang="it-IT" sz="1000" b="0" i="0" baseline="0"/>
            <a:t>, since </a:t>
          </a:r>
          <a:r>
            <a:rPr lang="it-IT" sz="1000" b="0" i="1" baseline="0"/>
            <a:t>electricity</a:t>
          </a:r>
          <a:r>
            <a:rPr lang="it-IT" sz="1000" b="0" i="0" baseline="0"/>
            <a:t> is supplied as primary by the </a:t>
          </a:r>
          <a:r>
            <a:rPr lang="it-IT" sz="1000" b="0" i="1" baseline="0"/>
            <a:t>pv plant</a:t>
          </a:r>
          <a:r>
            <a:rPr lang="it-IT" sz="1000" b="0" i="0" baseline="0"/>
            <a:t>)</a:t>
          </a:r>
        </a:p>
        <a:p>
          <a:pPr marL="288000" indent="-171450">
            <a:buFont typeface="Wingdings" panose="05000000000000000000" pitchFamily="2" charset="2"/>
            <a:buChar char="Ø"/>
          </a:pPr>
          <a:r>
            <a:rPr lang="it-IT" sz="1000" b="1" i="0" baseline="0"/>
            <a:t>joint-products</a:t>
          </a:r>
          <a:r>
            <a:rPr lang="it-IT" sz="1000" b="0" i="0" baseline="0"/>
            <a:t>, in case they are not the primary product of any other technology (e.g. </a:t>
          </a:r>
          <a:r>
            <a:rPr lang="it-IT" sz="1000" b="0" i="1" baseline="0"/>
            <a:t>fuel A </a:t>
          </a:r>
          <a:r>
            <a:rPr lang="it-IT" sz="1000" b="0" i="0" baseline="0"/>
            <a:t>and </a:t>
          </a:r>
          <a:r>
            <a:rPr lang="it-IT" sz="1000" b="0" i="1" baseline="0"/>
            <a:t>fuel B</a:t>
          </a:r>
          <a:r>
            <a:rPr lang="it-IT" sz="1000" b="0" i="0" baseline="0"/>
            <a:t> are supplied only by </a:t>
          </a:r>
          <a:r>
            <a:rPr lang="it-IT" sz="1000" b="0" i="1" baseline="0"/>
            <a:t>oil refinery</a:t>
          </a:r>
          <a:r>
            <a:rPr lang="it-IT" sz="1000" b="0" i="0" baseline="0"/>
            <a:t>). </a:t>
          </a:r>
        </a:p>
        <a:p>
          <a:pPr marL="0" indent="0">
            <a:buFont typeface="Wingdings" panose="05000000000000000000" pitchFamily="2" charset="2"/>
            <a:buNone/>
          </a:pPr>
          <a:endParaRPr lang="it-IT" sz="1000" b="1" i="1" baseline="0"/>
        </a:p>
        <a:p>
          <a:pPr marL="0" indent="0">
            <a:buFont typeface="Wingdings" panose="05000000000000000000" pitchFamily="2" charset="2"/>
            <a:buNone/>
          </a:pPr>
          <a:r>
            <a:rPr lang="it-IT" sz="1000" b="0" i="0" baseline="0"/>
            <a:t>Starting from a supply-use table it is possible to arrange a model allowing to account for </a:t>
          </a:r>
          <a:r>
            <a:rPr lang="it-IT" sz="1000" b="1" i="0" baseline="0"/>
            <a:t>hybrid technology assumptions</a:t>
          </a:r>
          <a:r>
            <a:rPr lang="it-IT" sz="1000" b="0" i="0" baseline="0"/>
            <a:t>: </a:t>
          </a:r>
        </a:p>
        <a:p>
          <a:pPr marL="171450" indent="-171450">
            <a:buFont typeface="Arial" panose="020B0604020202020204" pitchFamily="34" charset="0"/>
            <a:buChar char="•"/>
          </a:pPr>
          <a:r>
            <a:rPr lang="it-IT" sz="1000" b="1" i="0" baseline="0"/>
            <a:t>Industry-based technology assumption (it)</a:t>
          </a:r>
          <a:r>
            <a:rPr lang="it-IT" sz="1000" b="0" i="0" baseline="0"/>
            <a:t>: each product is produced by technologies with fixed shares. </a:t>
          </a:r>
          <a:r>
            <a:rPr lang="it-IT" sz="1000" b="0" i="0" u="none" baseline="0"/>
            <a:t>Every time a product is delivered for intermediate or final use, technologies are activated in proportion with values in columns of market share matrix 𝐝 (e.g. </a:t>
          </a:r>
          <a:r>
            <a:rPr lang="it-IT" sz="1000" b="0" i="1" u="none" baseline="0"/>
            <a:t>industry</a:t>
          </a:r>
          <a:r>
            <a:rPr lang="it-IT" sz="1000" b="0" i="0" u="none" baseline="0"/>
            <a:t>).  </a:t>
          </a:r>
          <a:endParaRPr lang="it-IT" sz="1000" b="0" i="0" baseline="0"/>
        </a:p>
        <a:p>
          <a:pPr marL="171450" indent="-171450">
            <a:buFont typeface="Arial" panose="020B0604020202020204" pitchFamily="34" charset="0"/>
            <a:buChar char="•"/>
          </a:pPr>
          <a:r>
            <a:rPr lang="it-IT" sz="1000" b="1" i="0" baseline="0"/>
            <a:t>Product-based technology assumption (pt)</a:t>
          </a:r>
          <a:r>
            <a:rPr lang="it-IT" sz="1000" b="0" i="0" baseline="0"/>
            <a:t>: every technology supplies a fixed mix of products. Every time a tecnology is activated, it produces a mix of products with a sharte in columns of the product mix matrix </a:t>
          </a:r>
          <a:r>
            <a:rPr lang="it-IT" sz="1000" b="1" i="0" baseline="0"/>
            <a:t>c </a:t>
          </a:r>
          <a:r>
            <a:rPr lang="it-IT" sz="1000" b="0" i="0" baseline="0"/>
            <a:t>(i.e the </a:t>
          </a:r>
          <a:r>
            <a:rPr lang="it-IT" sz="1000" b="0" i="1" baseline="0"/>
            <a:t>oil refinery </a:t>
          </a:r>
          <a:r>
            <a:rPr lang="it-IT" sz="1000" b="0" i="0" baseline="0"/>
            <a:t>and </a:t>
          </a:r>
          <a:r>
            <a:rPr lang="it-IT" sz="1000" b="0" i="1" baseline="0"/>
            <a:t>chp engine</a:t>
          </a:r>
          <a:r>
            <a:rPr lang="it-IT" sz="1000" b="0" i="0" baseline="0"/>
            <a:t>). </a:t>
          </a:r>
        </a:p>
        <a:p>
          <a:pPr marL="0" indent="0">
            <a:buFont typeface="Arial" panose="020B0604020202020204" pitchFamily="34" charset="0"/>
            <a:buNone/>
          </a:pPr>
          <a:r>
            <a:rPr lang="it-IT" sz="1000" b="1" i="0" baseline="0"/>
            <a:t>Single-product technologies </a:t>
          </a:r>
          <a:r>
            <a:rPr lang="it-IT" sz="1000" b="0" i="0" baseline="0"/>
            <a:t>can be alternatively represented under any of these assumptions.</a:t>
          </a:r>
          <a:endParaRPr lang="it-IT" sz="1000" b="1" i="0" baseline="0"/>
        </a:p>
        <a:p>
          <a:endParaRPr lang="it-IT" sz="1000" b="0" i="1" baseline="0"/>
        </a:p>
        <a:p>
          <a:endParaRPr lang="it-IT" sz="1000" b="1" baseline="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44</xdr:col>
      <xdr:colOff>31492</xdr:colOff>
      <xdr:row>29</xdr:row>
      <xdr:rowOff>68036</xdr:rowOff>
    </xdr:from>
    <xdr:to>
      <xdr:col>60</xdr:col>
      <xdr:colOff>13607</xdr:colOff>
      <xdr:row>44</xdr:row>
      <xdr:rowOff>185469</xdr:rowOff>
    </xdr:to>
    <xdr:pic>
      <xdr:nvPicPr>
        <xdr:cNvPr id="2" name="Picture 1">
          <a:extLst>
            <a:ext uri="{FF2B5EF4-FFF2-40B4-BE49-F238E27FC236}">
              <a16:creationId xmlns:a16="http://schemas.microsoft.com/office/drawing/2014/main" id="{9ABF29E8-E6E4-45B3-95EB-2C073FEC6FE5}"/>
            </a:ext>
          </a:extLst>
        </xdr:cNvPr>
        <xdr:cNvPicPr>
          <a:picLocks noChangeAspect="1"/>
        </xdr:cNvPicPr>
      </xdr:nvPicPr>
      <xdr:blipFill>
        <a:blip xmlns:r="http://schemas.openxmlformats.org/officeDocument/2006/relationships" r:embed="rId1"/>
        <a:stretch>
          <a:fillRect/>
        </a:stretch>
      </xdr:blipFill>
      <xdr:spPr>
        <a:xfrm>
          <a:off x="14414242" y="5402036"/>
          <a:ext cx="7180294" cy="2974933"/>
        </a:xfrm>
        <a:prstGeom prst="rect">
          <a:avLst/>
        </a:prstGeom>
      </xdr:spPr>
    </xdr:pic>
    <xdr:clientData/>
  </xdr:twoCellAnchor>
  <xdr:twoCellAnchor>
    <xdr:from>
      <xdr:col>45</xdr:col>
      <xdr:colOff>217715</xdr:colOff>
      <xdr:row>7</xdr:row>
      <xdr:rowOff>0</xdr:rowOff>
    </xdr:from>
    <xdr:to>
      <xdr:col>60</xdr:col>
      <xdr:colOff>0</xdr:colOff>
      <xdr:row>28</xdr:row>
      <xdr:rowOff>104775</xdr:rowOff>
    </xdr:to>
    <xdr:sp macro="" textlink="">
      <xdr:nvSpPr>
        <xdr:cNvPr id="4" name="TextBox 3">
          <a:extLst>
            <a:ext uri="{FF2B5EF4-FFF2-40B4-BE49-F238E27FC236}">
              <a16:creationId xmlns:a16="http://schemas.microsoft.com/office/drawing/2014/main" id="{4F9D8FE0-7F4E-493A-9615-D75501D067D6}"/>
            </a:ext>
          </a:extLst>
        </xdr:cNvPr>
        <xdr:cNvSpPr txBox="1"/>
      </xdr:nvSpPr>
      <xdr:spPr>
        <a:xfrm>
          <a:off x="14913429" y="1143000"/>
          <a:ext cx="6667500" cy="41052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000" b="1"/>
            <a:t>General co-product management in</a:t>
          </a:r>
          <a:r>
            <a:rPr lang="it-IT" sz="1000" b="1" baseline="0"/>
            <a:t> a supply-use</a:t>
          </a:r>
          <a:r>
            <a:rPr lang="it-IT" sz="1000" b="1"/>
            <a:t> system with mixed recruitment</a:t>
          </a:r>
        </a:p>
        <a:p>
          <a:endParaRPr lang="it-IT" sz="1000" b="1"/>
        </a:p>
        <a:p>
          <a:r>
            <a:rPr lang="it-IT" sz="1000" b="0"/>
            <a:t>The</a:t>
          </a:r>
          <a:r>
            <a:rPr lang="it-IT" sz="1000" b="0" baseline="0"/>
            <a:t> model shows how to handle different types of technologies supplying one or multiple products.</a:t>
          </a:r>
        </a:p>
        <a:p>
          <a:endParaRPr lang="it-IT" sz="1000" b="0" baseline="0"/>
        </a:p>
        <a:p>
          <a:r>
            <a:rPr lang="it-IT" sz="1000" b="1" baseline="0"/>
            <a:t>Single-product technologies </a:t>
          </a:r>
          <a:r>
            <a:rPr lang="it-IT" sz="1000" b="0" baseline="0"/>
            <a:t>provide one unique useful product (e.g. the </a:t>
          </a:r>
          <a:r>
            <a:rPr lang="it-IT" sz="1000" b="0" i="1" baseline="0"/>
            <a:t>boiler</a:t>
          </a:r>
          <a:r>
            <a:rPr lang="it-IT" sz="1000" b="0" baseline="0"/>
            <a:t> in this example)</a:t>
          </a:r>
        </a:p>
        <a:p>
          <a:r>
            <a:rPr lang="it-IT" sz="1000" b="1" baseline="0"/>
            <a:t>Multi-product technoliges </a:t>
          </a:r>
          <a:r>
            <a:rPr lang="it-IT" sz="1000" b="0" baseline="0"/>
            <a:t>provide multiple useful products:</a:t>
          </a:r>
        </a:p>
        <a:p>
          <a:pPr marL="171450" indent="-171450">
            <a:buFont typeface="Arial" panose="020B0604020202020204" pitchFamily="34" charset="0"/>
            <a:buChar char="•"/>
          </a:pPr>
          <a:r>
            <a:rPr lang="it-IT" sz="1000" b="0" baseline="0"/>
            <a:t>a primary product as the main output</a:t>
          </a:r>
        </a:p>
        <a:p>
          <a:pPr marL="171450" indent="-171450">
            <a:buFont typeface="Arial" panose="020B0604020202020204" pitchFamily="34" charset="0"/>
            <a:buChar char="•"/>
          </a:pPr>
          <a:r>
            <a:rPr lang="it-IT" sz="1000" b="0" baseline="0"/>
            <a:t>secondary products, which may be independent on the primary (</a:t>
          </a:r>
          <a:r>
            <a:rPr lang="it-IT" sz="1000" b="1" baseline="0"/>
            <a:t>subisidary products</a:t>
          </a:r>
          <a:r>
            <a:rPr lang="it-IT" sz="1000" b="0" baseline="0"/>
            <a:t>, e.g. </a:t>
          </a:r>
          <a:r>
            <a:rPr lang="it-IT" sz="1000" b="0" i="1" baseline="0"/>
            <a:t>industry </a:t>
          </a:r>
          <a:r>
            <a:rPr lang="it-IT" sz="1000" b="0" i="0" baseline="0"/>
            <a:t>supplying </a:t>
          </a:r>
          <a:r>
            <a:rPr lang="it-IT" sz="1000" b="0" i="1" baseline="0"/>
            <a:t>product A </a:t>
          </a:r>
          <a:r>
            <a:rPr lang="it-IT" sz="1000" b="0" i="0" baseline="0"/>
            <a:t>and </a:t>
          </a:r>
          <a:r>
            <a:rPr lang="it-IT" sz="1000" b="0" i="1" baseline="0"/>
            <a:t>product B</a:t>
          </a:r>
          <a:r>
            <a:rPr lang="it-IT" sz="1000" b="0" baseline="0"/>
            <a:t>)</a:t>
          </a:r>
          <a:r>
            <a:rPr lang="it-IT" sz="1000" b="0" i="1" baseline="0"/>
            <a:t> </a:t>
          </a:r>
          <a:r>
            <a:rPr lang="it-IT" sz="1000" b="0" i="0" baseline="0"/>
            <a:t>or dependent on the primary product. These may be classified as:</a:t>
          </a:r>
        </a:p>
        <a:p>
          <a:pPr marL="288000" indent="-171450">
            <a:buFont typeface="Wingdings" panose="05000000000000000000" pitchFamily="2" charset="2"/>
            <a:buChar char="Ø"/>
          </a:pPr>
          <a:r>
            <a:rPr lang="it-IT" sz="1000" b="1" i="0" baseline="0"/>
            <a:t>by-products</a:t>
          </a:r>
          <a:r>
            <a:rPr lang="it-IT" sz="1000" b="0" i="0" baseline="0"/>
            <a:t>, in case another technology produces them as primary (</a:t>
          </a:r>
          <a:r>
            <a:rPr lang="it-IT" sz="1000" b="0" i="1" baseline="0"/>
            <a:t>electricity</a:t>
          </a:r>
          <a:r>
            <a:rPr lang="it-IT" sz="1000" b="0" i="0" baseline="0"/>
            <a:t> for the </a:t>
          </a:r>
          <a:r>
            <a:rPr lang="it-IT" sz="1000" b="0" i="1" baseline="0"/>
            <a:t>chp engine</a:t>
          </a:r>
          <a:r>
            <a:rPr lang="it-IT" sz="1000" b="0" i="0" baseline="0"/>
            <a:t>, since </a:t>
          </a:r>
          <a:r>
            <a:rPr lang="it-IT" sz="1000" b="0" i="1" baseline="0"/>
            <a:t>electricity</a:t>
          </a:r>
          <a:r>
            <a:rPr lang="it-IT" sz="1000" b="0" i="0" baseline="0"/>
            <a:t> is supplied as primary by the </a:t>
          </a:r>
          <a:r>
            <a:rPr lang="it-IT" sz="1000" b="0" i="1" baseline="0"/>
            <a:t>pv plant</a:t>
          </a:r>
          <a:r>
            <a:rPr lang="it-IT" sz="1000" b="0" i="0" baseline="0"/>
            <a:t>)</a:t>
          </a:r>
        </a:p>
        <a:p>
          <a:pPr marL="288000" indent="-171450">
            <a:buFont typeface="Wingdings" panose="05000000000000000000" pitchFamily="2" charset="2"/>
            <a:buChar char="Ø"/>
          </a:pPr>
          <a:r>
            <a:rPr lang="it-IT" sz="1000" b="1" i="0" baseline="0"/>
            <a:t>joint-products</a:t>
          </a:r>
          <a:r>
            <a:rPr lang="it-IT" sz="1000" b="0" i="0" baseline="0"/>
            <a:t>, in case they are not the primary product of any other technology (e.g. </a:t>
          </a:r>
          <a:r>
            <a:rPr lang="it-IT" sz="1000" b="0" i="1" baseline="0"/>
            <a:t>fuel A </a:t>
          </a:r>
          <a:r>
            <a:rPr lang="it-IT" sz="1000" b="0" i="0" baseline="0"/>
            <a:t>and </a:t>
          </a:r>
          <a:r>
            <a:rPr lang="it-IT" sz="1000" b="0" i="1" baseline="0"/>
            <a:t>fuel B</a:t>
          </a:r>
          <a:r>
            <a:rPr lang="it-IT" sz="1000" b="0" i="0" baseline="0"/>
            <a:t> are supplied only by </a:t>
          </a:r>
          <a:r>
            <a:rPr lang="it-IT" sz="1000" b="0" i="1" baseline="0"/>
            <a:t>oil refinery</a:t>
          </a:r>
          <a:r>
            <a:rPr lang="it-IT" sz="1000" b="0" i="0" baseline="0"/>
            <a:t>). </a:t>
          </a:r>
        </a:p>
        <a:p>
          <a:pPr marL="0" indent="0">
            <a:buFont typeface="Wingdings" panose="05000000000000000000" pitchFamily="2" charset="2"/>
            <a:buNone/>
          </a:pPr>
          <a:endParaRPr lang="it-IT" sz="1000" b="1" i="1" baseline="0"/>
        </a:p>
        <a:p>
          <a:pPr marL="0" indent="0">
            <a:buFont typeface="Wingdings" panose="05000000000000000000" pitchFamily="2" charset="2"/>
            <a:buNone/>
          </a:pPr>
          <a:r>
            <a:rPr lang="it-IT" sz="1000" b="0" i="0" baseline="0"/>
            <a:t>Starting from a supply-use table it is possible to arrange a model allowing to account for </a:t>
          </a:r>
          <a:r>
            <a:rPr lang="it-IT" sz="1000" b="1" i="0" baseline="0"/>
            <a:t>hybrid technology assumptions</a:t>
          </a:r>
          <a:r>
            <a:rPr lang="it-IT" sz="1000" b="0" i="0" baseline="0"/>
            <a:t>: </a:t>
          </a:r>
        </a:p>
        <a:p>
          <a:pPr marL="171450" indent="-171450">
            <a:buFont typeface="Arial" panose="020B0604020202020204" pitchFamily="34" charset="0"/>
            <a:buChar char="•"/>
          </a:pPr>
          <a:r>
            <a:rPr lang="it-IT" sz="1000" b="1" i="0" baseline="0"/>
            <a:t>Industry-based technology assumption (it)</a:t>
          </a:r>
          <a:r>
            <a:rPr lang="it-IT" sz="1000" b="0" i="0" baseline="0"/>
            <a:t>: each product is produced by technologies with fixed shares. </a:t>
          </a:r>
          <a:r>
            <a:rPr lang="it-IT" sz="1000" b="0" i="0" u="none" baseline="0"/>
            <a:t>Every time a product is delivered for intermediate or final use, technologies are activated in proportion with values in columns of market share matrix 𝐝 (e.g. </a:t>
          </a:r>
          <a:r>
            <a:rPr lang="it-IT" sz="1000" b="0" i="1" u="none" baseline="0"/>
            <a:t>industry</a:t>
          </a:r>
          <a:r>
            <a:rPr lang="it-IT" sz="1000" b="0" i="0" u="none" baseline="0"/>
            <a:t>).  </a:t>
          </a:r>
          <a:endParaRPr lang="it-IT" sz="1000" b="0" i="0" baseline="0"/>
        </a:p>
        <a:p>
          <a:pPr marL="171450" indent="-171450">
            <a:buFont typeface="Arial" panose="020B0604020202020204" pitchFamily="34" charset="0"/>
            <a:buChar char="•"/>
          </a:pPr>
          <a:r>
            <a:rPr lang="it-IT" sz="1000" b="1" i="0" baseline="0"/>
            <a:t>Product-based technology assumption (pt)</a:t>
          </a:r>
          <a:r>
            <a:rPr lang="it-IT" sz="1000" b="0" i="0" baseline="0"/>
            <a:t>: every technology supplies a fixed mix of products. Every time a tecnology is activated, it produces a mix of products with a sharte in columns of the product mix matrix </a:t>
          </a:r>
          <a:r>
            <a:rPr lang="it-IT" sz="1000" b="1" i="0" baseline="0"/>
            <a:t>c </a:t>
          </a:r>
          <a:r>
            <a:rPr lang="it-IT" sz="1000" b="0" i="0" baseline="0"/>
            <a:t>(i.e the </a:t>
          </a:r>
          <a:r>
            <a:rPr lang="it-IT" sz="1000" b="0" i="1" baseline="0"/>
            <a:t>oil refinery </a:t>
          </a:r>
          <a:r>
            <a:rPr lang="it-IT" sz="1000" b="0" i="0" baseline="0"/>
            <a:t>and </a:t>
          </a:r>
          <a:r>
            <a:rPr lang="it-IT" sz="1000" b="0" i="1" baseline="0"/>
            <a:t>chp engine</a:t>
          </a:r>
          <a:r>
            <a:rPr lang="it-IT" sz="1000" b="0" i="0" baseline="0"/>
            <a:t>). </a:t>
          </a:r>
        </a:p>
        <a:p>
          <a:pPr marL="0" indent="0">
            <a:buFont typeface="Arial" panose="020B0604020202020204" pitchFamily="34" charset="0"/>
            <a:buNone/>
          </a:pPr>
          <a:r>
            <a:rPr lang="it-IT" sz="1000" b="1" i="0" baseline="0"/>
            <a:t>Single-product technologies </a:t>
          </a:r>
          <a:r>
            <a:rPr lang="it-IT" sz="1000" b="0" i="0" baseline="0"/>
            <a:t>can be alternatively represented under any of these assumptions.</a:t>
          </a:r>
          <a:endParaRPr lang="it-IT" sz="1000" b="1" i="0" baseline="0"/>
        </a:p>
        <a:p>
          <a:endParaRPr lang="it-IT" sz="1000" b="0" i="1" baseline="0"/>
        </a:p>
        <a:p>
          <a:endParaRPr lang="it-IT" sz="1000" b="1" baseline="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21</xdr:col>
      <xdr:colOff>333375</xdr:colOff>
      <xdr:row>13</xdr:row>
      <xdr:rowOff>0</xdr:rowOff>
    </xdr:from>
    <xdr:to>
      <xdr:col>30</xdr:col>
      <xdr:colOff>371475</xdr:colOff>
      <xdr:row>19</xdr:row>
      <xdr:rowOff>66675</xdr:rowOff>
    </xdr:to>
    <xdr:sp macro="" textlink="">
      <xdr:nvSpPr>
        <xdr:cNvPr id="2" name="TextBox 1">
          <a:extLst>
            <a:ext uri="{FF2B5EF4-FFF2-40B4-BE49-F238E27FC236}">
              <a16:creationId xmlns:a16="http://schemas.microsoft.com/office/drawing/2014/main" id="{0E69EB3E-8236-4131-8AD0-C289E1DF4830}"/>
            </a:ext>
          </a:extLst>
        </xdr:cNvPr>
        <xdr:cNvSpPr txBox="1"/>
      </xdr:nvSpPr>
      <xdr:spPr>
        <a:xfrm>
          <a:off x="9639300" y="2476500"/>
          <a:ext cx="3724275" cy="12096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000" b="1"/>
            <a:t>Supply-use</a:t>
          </a:r>
          <a:r>
            <a:rPr lang="it-IT" sz="1000" b="1" baseline="0"/>
            <a:t> operation optimization </a:t>
          </a:r>
          <a:r>
            <a:rPr lang="it-IT" sz="1000" b="1"/>
            <a:t>model</a:t>
          </a:r>
        </a:p>
        <a:p>
          <a:endParaRPr lang="it-IT" sz="1000" b="1"/>
        </a:p>
        <a:p>
          <a:r>
            <a:rPr lang="it-IT" sz="1000" b="0"/>
            <a:t>The</a:t>
          </a:r>
          <a:r>
            <a:rPr lang="it-IT" sz="1000" b="0" baseline="0"/>
            <a:t> model shows how to deal with time-evolving demand of goods (</a:t>
          </a:r>
          <a:r>
            <a:rPr lang="it-IT" sz="1000" b="0" i="1" baseline="0"/>
            <a:t>EE</a:t>
          </a:r>
          <a:r>
            <a:rPr lang="it-IT" sz="1000" b="0" i="0" baseline="0"/>
            <a:t>) supplied by two technologies </a:t>
          </a:r>
          <a:r>
            <a:rPr lang="it-IT" sz="1100" b="0" i="0" baseline="0">
              <a:solidFill>
                <a:schemeClr val="dk1"/>
              </a:solidFill>
              <a:effectLst/>
              <a:latin typeface="+mn-lt"/>
              <a:ea typeface="+mn-ea"/>
              <a:cs typeface="+mn-cs"/>
            </a:rPr>
            <a:t>in competition </a:t>
          </a:r>
          <a:r>
            <a:rPr lang="it-IT" sz="1000" b="0" i="0" baseline="0"/>
            <a:t>(</a:t>
          </a:r>
          <a:r>
            <a:rPr lang="it-IT" sz="1000" b="0" i="1" baseline="0"/>
            <a:t>gas </a:t>
          </a:r>
          <a:r>
            <a:rPr lang="it-IT" sz="1000" b="0" i="0" baseline="0"/>
            <a:t>and</a:t>
          </a:r>
          <a:r>
            <a:rPr lang="it-IT" sz="1000" b="0" i="1" baseline="0"/>
            <a:t> photovoltaic power plants</a:t>
          </a:r>
          <a:r>
            <a:rPr lang="it-IT" sz="1000" b="0" i="0" baseline="0"/>
            <a:t>).</a:t>
          </a:r>
        </a:p>
        <a:p>
          <a:r>
            <a:rPr lang="it-IT" sz="1000" b="0" i="0" baseline="0"/>
            <a:t>The model minimizes the total cost of technologies production.</a:t>
          </a:r>
        </a:p>
        <a:p>
          <a:endParaRPr lang="it-IT" sz="1000" b="1" baseline="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681C7C-8F5B-4B30-9E64-BCC56A7C6A44}">
  <sheetPr>
    <tabColor theme="1"/>
  </sheetPr>
  <dimension ref="B1:Y57"/>
  <sheetViews>
    <sheetView showGridLines="0" tabSelected="1" topLeftCell="A2" zoomScale="115" zoomScaleNormal="115" workbookViewId="0">
      <selection activeCell="Y58" sqref="Y58"/>
    </sheetView>
  </sheetViews>
  <sheetFormatPr defaultColWidth="9.140625" defaultRowHeight="15" x14ac:dyDescent="0.25"/>
  <cols>
    <col min="1" max="1" width="2" style="55" customWidth="1"/>
    <col min="2" max="2" width="2.85546875" style="55" customWidth="1"/>
    <col min="3" max="3" width="0.5703125" style="55" customWidth="1"/>
    <col min="4" max="5" width="9.140625" style="55"/>
    <col min="6" max="6" width="9.140625" style="114"/>
    <col min="7" max="7" width="2.85546875" style="119" customWidth="1"/>
    <col min="8" max="8" width="0.5703125" style="55" customWidth="1"/>
    <col min="9" max="10" width="9.140625" style="55"/>
    <col min="11" max="11" width="6.5703125" style="55" customWidth="1"/>
    <col min="12" max="12" width="7.140625" style="55" customWidth="1"/>
    <col min="13" max="13" width="10.5703125" style="114" customWidth="1"/>
    <col min="14" max="14" width="9.140625" style="119"/>
    <col min="15" max="15" width="9.140625" style="55"/>
    <col min="16" max="16" width="10.140625" style="114" customWidth="1"/>
    <col min="17" max="17" width="9.140625" style="55"/>
    <col min="18" max="18" width="2.85546875" style="55" customWidth="1"/>
    <col min="19" max="21" width="9.140625" style="55"/>
    <col min="22" max="22" width="2.85546875" style="55" customWidth="1"/>
    <col min="23" max="23" width="9.140625" style="55"/>
    <col min="24" max="24" width="19.140625" style="55" customWidth="1"/>
    <col min="25" max="16384" width="9.140625" style="55"/>
  </cols>
  <sheetData>
    <row r="1" spans="2:23" ht="129" customHeight="1" x14ac:dyDescent="0.25">
      <c r="F1" s="55"/>
      <c r="G1" s="55"/>
      <c r="M1" s="55"/>
      <c r="N1" s="55"/>
      <c r="P1" s="55"/>
    </row>
    <row r="2" spans="2:23" ht="7.5" customHeight="1" x14ac:dyDescent="0.25">
      <c r="F2" s="55"/>
      <c r="G2" s="55"/>
      <c r="M2" s="55"/>
      <c r="N2" s="55"/>
      <c r="P2" s="55"/>
    </row>
    <row r="3" spans="2:23" ht="7.5" customHeight="1" x14ac:dyDescent="0.25">
      <c r="F3" s="55"/>
      <c r="G3" s="55"/>
      <c r="M3" s="55"/>
      <c r="N3" s="55"/>
      <c r="P3" s="55"/>
    </row>
    <row r="4" spans="2:23" x14ac:dyDescent="0.25">
      <c r="B4" s="124" t="s">
        <v>313</v>
      </c>
      <c r="F4" s="55"/>
      <c r="G4" s="55"/>
      <c r="M4" s="55"/>
      <c r="N4" s="55"/>
      <c r="P4" s="55"/>
    </row>
    <row r="5" spans="2:23" x14ac:dyDescent="0.25">
      <c r="F5" s="55"/>
      <c r="G5" s="55"/>
      <c r="M5" s="55"/>
      <c r="N5" s="55"/>
      <c r="P5" s="55"/>
      <c r="R5" s="56" t="s">
        <v>262</v>
      </c>
    </row>
    <row r="6" spans="2:23" ht="17.25" customHeight="1" x14ac:dyDescent="0.25">
      <c r="B6" s="151" t="s">
        <v>274</v>
      </c>
      <c r="C6" s="151"/>
      <c r="D6" s="151"/>
      <c r="E6" s="151"/>
      <c r="F6" s="151"/>
      <c r="G6" s="151"/>
      <c r="H6" s="151"/>
      <c r="I6" s="151"/>
      <c r="J6" s="151"/>
      <c r="K6" s="151"/>
      <c r="L6" s="151"/>
      <c r="M6" s="151"/>
      <c r="N6" s="151"/>
      <c r="O6" s="151"/>
      <c r="P6" s="55"/>
      <c r="R6" s="103" t="s">
        <v>263</v>
      </c>
      <c r="V6" s="103" t="s">
        <v>266</v>
      </c>
    </row>
    <row r="7" spans="2:23" x14ac:dyDescent="0.25">
      <c r="B7" s="151"/>
      <c r="C7" s="151"/>
      <c r="D7" s="151"/>
      <c r="E7" s="151"/>
      <c r="F7" s="151"/>
      <c r="G7" s="151"/>
      <c r="H7" s="151"/>
      <c r="I7" s="151"/>
      <c r="J7" s="151"/>
      <c r="K7" s="151"/>
      <c r="L7" s="151"/>
      <c r="M7" s="151"/>
      <c r="N7" s="151"/>
      <c r="O7" s="151"/>
      <c r="P7" s="55"/>
      <c r="R7" s="104"/>
      <c r="S7" s="55" t="s">
        <v>264</v>
      </c>
      <c r="V7" s="105"/>
      <c r="W7" s="55" t="s">
        <v>267</v>
      </c>
    </row>
    <row r="8" spans="2:23" ht="3.75" customHeight="1" x14ac:dyDescent="0.25">
      <c r="B8" s="151"/>
      <c r="C8" s="151"/>
      <c r="D8" s="151"/>
      <c r="E8" s="151"/>
      <c r="F8" s="151"/>
      <c r="G8" s="151"/>
      <c r="H8" s="151"/>
      <c r="I8" s="151"/>
      <c r="J8" s="151"/>
      <c r="K8" s="151"/>
      <c r="L8" s="151"/>
      <c r="M8" s="151"/>
      <c r="N8" s="151"/>
      <c r="O8" s="151"/>
      <c r="P8" s="55"/>
    </row>
    <row r="9" spans="2:23" x14ac:dyDescent="0.25">
      <c r="B9" s="151"/>
      <c r="C9" s="151"/>
      <c r="D9" s="151"/>
      <c r="E9" s="151"/>
      <c r="F9" s="151"/>
      <c r="G9" s="151"/>
      <c r="H9" s="151"/>
      <c r="I9" s="151"/>
      <c r="J9" s="151"/>
      <c r="K9" s="151"/>
      <c r="L9" s="151"/>
      <c r="M9" s="151"/>
      <c r="N9" s="151"/>
      <c r="O9" s="151"/>
      <c r="P9" s="55"/>
      <c r="R9" s="106"/>
      <c r="S9" s="55" t="s">
        <v>265</v>
      </c>
      <c r="V9" s="107"/>
      <c r="W9" s="55" t="s">
        <v>268</v>
      </c>
    </row>
    <row r="10" spans="2:23" ht="3.75" customHeight="1" x14ac:dyDescent="0.25">
      <c r="B10" s="151"/>
      <c r="C10" s="151"/>
      <c r="D10" s="151"/>
      <c r="E10" s="151"/>
      <c r="F10" s="151"/>
      <c r="G10" s="151"/>
      <c r="H10" s="151"/>
      <c r="I10" s="151"/>
      <c r="J10" s="151"/>
      <c r="K10" s="151"/>
      <c r="L10" s="151"/>
      <c r="M10" s="151"/>
      <c r="N10" s="151"/>
      <c r="O10" s="151"/>
      <c r="P10" s="55"/>
    </row>
    <row r="11" spans="2:23" x14ac:dyDescent="0.25">
      <c r="B11" s="151"/>
      <c r="C11" s="151"/>
      <c r="D11" s="151"/>
      <c r="E11" s="151"/>
      <c r="F11" s="151"/>
      <c r="G11" s="151"/>
      <c r="H11" s="151"/>
      <c r="I11" s="151"/>
      <c r="J11" s="151"/>
      <c r="K11" s="151"/>
      <c r="L11" s="151"/>
      <c r="M11" s="151"/>
      <c r="N11" s="151"/>
      <c r="O11" s="151"/>
      <c r="P11" s="55"/>
      <c r="V11" s="108"/>
      <c r="W11" s="109" t="s">
        <v>271</v>
      </c>
    </row>
    <row r="12" spans="2:23" ht="3.75" customHeight="1" x14ac:dyDescent="0.25">
      <c r="F12" s="55"/>
      <c r="G12" s="55"/>
      <c r="M12" s="55"/>
      <c r="N12" s="55"/>
      <c r="P12" s="55"/>
      <c r="V12" s="109"/>
    </row>
    <row r="13" spans="2:23" x14ac:dyDescent="0.25">
      <c r="F13" s="55"/>
      <c r="G13" s="55"/>
      <c r="M13" s="55"/>
      <c r="N13" s="55"/>
      <c r="P13" s="55"/>
      <c r="V13" s="110"/>
      <c r="W13" s="109" t="s">
        <v>270</v>
      </c>
    </row>
    <row r="14" spans="2:23" ht="3.75" customHeight="1" x14ac:dyDescent="0.25">
      <c r="B14" s="56"/>
      <c r="F14" s="55"/>
      <c r="G14" s="55"/>
      <c r="M14" s="55"/>
      <c r="N14" s="55"/>
      <c r="P14" s="55"/>
    </row>
    <row r="15" spans="2:23" x14ac:dyDescent="0.25">
      <c r="F15" s="55"/>
      <c r="G15" s="55"/>
      <c r="M15" s="55"/>
      <c r="N15" s="55"/>
      <c r="P15" s="55"/>
      <c r="V15" s="111"/>
      <c r="W15" s="55" t="s">
        <v>272</v>
      </c>
    </row>
    <row r="16" spans="2:23" ht="3.75" customHeight="1" x14ac:dyDescent="0.25">
      <c r="B16" s="103"/>
      <c r="F16" s="55"/>
      <c r="G16" s="55"/>
      <c r="M16" s="55"/>
      <c r="N16" s="55"/>
      <c r="P16" s="55"/>
    </row>
    <row r="17" spans="2:25" x14ac:dyDescent="0.25">
      <c r="F17" s="55"/>
      <c r="G17" s="55"/>
      <c r="M17" s="55"/>
      <c r="N17" s="55"/>
      <c r="P17" s="55"/>
    </row>
    <row r="18" spans="2:25" ht="3.75" customHeight="1" x14ac:dyDescent="0.25">
      <c r="F18" s="55"/>
      <c r="G18" s="55"/>
      <c r="M18" s="55"/>
      <c r="N18" s="55"/>
      <c r="P18" s="55"/>
    </row>
    <row r="19" spans="2:25" x14ac:dyDescent="0.25">
      <c r="F19" s="55"/>
      <c r="G19" s="55"/>
      <c r="M19" s="55"/>
      <c r="N19" s="55"/>
      <c r="P19" s="55"/>
    </row>
    <row r="20" spans="2:25" x14ac:dyDescent="0.25">
      <c r="B20" s="153" t="s">
        <v>286</v>
      </c>
      <c r="C20" s="153"/>
      <c r="D20" s="153"/>
      <c r="E20" s="153"/>
      <c r="F20" s="154"/>
      <c r="G20" s="116" t="s">
        <v>298</v>
      </c>
      <c r="H20" s="57"/>
      <c r="I20" s="57"/>
      <c r="J20" s="57"/>
      <c r="K20" s="57"/>
      <c r="L20" s="57"/>
      <c r="M20" s="118"/>
      <c r="N20" s="155" t="s">
        <v>299</v>
      </c>
      <c r="O20" s="153"/>
      <c r="P20" s="154"/>
      <c r="Q20" s="125" t="s">
        <v>293</v>
      </c>
      <c r="R20" s="57"/>
      <c r="S20" s="57"/>
      <c r="T20" s="57"/>
      <c r="U20" s="57"/>
      <c r="V20" s="57"/>
      <c r="W20" s="57"/>
      <c r="X20" s="57"/>
      <c r="Y20" s="56" t="s">
        <v>363</v>
      </c>
    </row>
    <row r="21" spans="2:25" ht="3.75" customHeight="1" x14ac:dyDescent="0.25">
      <c r="B21" s="112"/>
      <c r="C21" s="112"/>
      <c r="D21" s="112"/>
      <c r="E21" s="112"/>
      <c r="F21" s="113"/>
    </row>
    <row r="22" spans="2:25" x14ac:dyDescent="0.25">
      <c r="B22" s="55" t="s">
        <v>287</v>
      </c>
      <c r="G22" s="150" t="s">
        <v>294</v>
      </c>
      <c r="H22" s="151"/>
      <c r="I22" s="151"/>
      <c r="J22" s="151"/>
      <c r="K22" s="151"/>
      <c r="L22" s="151"/>
      <c r="M22" s="152"/>
      <c r="N22" s="147" t="s">
        <v>261</v>
      </c>
      <c r="O22" s="148"/>
      <c r="P22" s="149"/>
      <c r="Q22" s="55" t="s">
        <v>300</v>
      </c>
    </row>
    <row r="23" spans="2:25" ht="3.75" customHeight="1" x14ac:dyDescent="0.25">
      <c r="G23" s="150"/>
      <c r="H23" s="151"/>
      <c r="I23" s="151"/>
      <c r="J23" s="151"/>
      <c r="K23" s="151"/>
      <c r="L23" s="151"/>
      <c r="M23" s="152"/>
      <c r="N23" s="128"/>
      <c r="O23" s="115"/>
      <c r="P23" s="126"/>
    </row>
    <row r="24" spans="2:25" x14ac:dyDescent="0.25">
      <c r="G24" s="150"/>
      <c r="H24" s="151"/>
      <c r="I24" s="151"/>
      <c r="J24" s="151"/>
      <c r="K24" s="151"/>
      <c r="L24" s="151"/>
      <c r="M24" s="152"/>
      <c r="N24" s="147" t="s">
        <v>275</v>
      </c>
      <c r="O24" s="148"/>
      <c r="P24" s="149"/>
      <c r="Q24" s="55" t="s">
        <v>301</v>
      </c>
    </row>
    <row r="25" spans="2:25" ht="3.75" customHeight="1" x14ac:dyDescent="0.25">
      <c r="B25" s="120"/>
      <c r="C25" s="120"/>
      <c r="D25" s="120"/>
      <c r="E25" s="120"/>
      <c r="F25" s="121"/>
      <c r="G25" s="122"/>
      <c r="H25" s="120"/>
      <c r="I25" s="120"/>
      <c r="J25" s="120"/>
      <c r="K25" s="120"/>
      <c r="L25" s="120"/>
      <c r="M25" s="121"/>
      <c r="N25" s="129"/>
      <c r="O25" s="123"/>
      <c r="P25" s="127"/>
      <c r="Q25" s="120"/>
      <c r="R25" s="120"/>
      <c r="S25" s="120"/>
      <c r="T25" s="120"/>
      <c r="U25" s="120"/>
      <c r="V25" s="120"/>
      <c r="W25" s="120"/>
      <c r="X25" s="120"/>
    </row>
    <row r="26" spans="2:25" ht="3.75" customHeight="1" x14ac:dyDescent="0.25">
      <c r="N26" s="128"/>
      <c r="O26" s="115"/>
      <c r="P26" s="126"/>
    </row>
    <row r="27" spans="2:25" ht="33.75" customHeight="1" x14ac:dyDescent="0.25">
      <c r="B27" s="55" t="s">
        <v>288</v>
      </c>
      <c r="G27" s="150" t="s">
        <v>296</v>
      </c>
      <c r="H27" s="151"/>
      <c r="I27" s="151"/>
      <c r="J27" s="151"/>
      <c r="K27" s="151"/>
      <c r="L27" s="151"/>
      <c r="M27" s="152"/>
      <c r="N27" s="147" t="s">
        <v>295</v>
      </c>
      <c r="O27" s="148"/>
      <c r="P27" s="149"/>
      <c r="Y27" s="55" t="s">
        <v>364</v>
      </c>
    </row>
    <row r="28" spans="2:25" ht="3.75" customHeight="1" x14ac:dyDescent="0.25">
      <c r="B28" s="120"/>
      <c r="C28" s="120"/>
      <c r="D28" s="120"/>
      <c r="E28" s="120"/>
      <c r="F28" s="121"/>
      <c r="G28" s="122"/>
      <c r="H28" s="120"/>
      <c r="I28" s="120"/>
      <c r="J28" s="120"/>
      <c r="K28" s="120"/>
      <c r="L28" s="120"/>
      <c r="M28" s="121"/>
      <c r="N28" s="129"/>
      <c r="O28" s="123"/>
      <c r="P28" s="127"/>
      <c r="Q28" s="120"/>
      <c r="R28" s="120"/>
      <c r="S28" s="120"/>
      <c r="T28" s="120"/>
      <c r="U28" s="120"/>
      <c r="V28" s="120"/>
      <c r="W28" s="120"/>
      <c r="X28" s="120"/>
    </row>
    <row r="29" spans="2:25" ht="3.75" customHeight="1" x14ac:dyDescent="0.25">
      <c r="N29" s="128"/>
      <c r="O29" s="115"/>
      <c r="P29" s="126"/>
    </row>
    <row r="30" spans="2:25" ht="15" customHeight="1" x14ac:dyDescent="0.25">
      <c r="B30" s="55" t="s">
        <v>289</v>
      </c>
      <c r="G30" s="150" t="s">
        <v>297</v>
      </c>
      <c r="H30" s="151"/>
      <c r="I30" s="151"/>
      <c r="J30" s="151"/>
      <c r="K30" s="151"/>
      <c r="L30" s="151"/>
      <c r="M30" s="152"/>
      <c r="N30" s="147" t="s">
        <v>276</v>
      </c>
      <c r="O30" s="148"/>
      <c r="P30" s="149"/>
      <c r="Q30" s="55" t="s">
        <v>302</v>
      </c>
    </row>
    <row r="31" spans="2:25" ht="3.75" customHeight="1" x14ac:dyDescent="0.25">
      <c r="G31" s="150"/>
      <c r="H31" s="151"/>
      <c r="I31" s="151"/>
      <c r="J31" s="151"/>
      <c r="K31" s="151"/>
      <c r="L31" s="151"/>
      <c r="M31" s="152"/>
      <c r="N31" s="128"/>
      <c r="O31" s="115"/>
      <c r="P31" s="126"/>
    </row>
    <row r="32" spans="2:25" ht="21.75" customHeight="1" x14ac:dyDescent="0.25">
      <c r="G32" s="150"/>
      <c r="H32" s="151"/>
      <c r="I32" s="151"/>
      <c r="J32" s="151"/>
      <c r="K32" s="151"/>
      <c r="L32" s="151"/>
      <c r="M32" s="152"/>
      <c r="N32" s="147" t="s">
        <v>277</v>
      </c>
      <c r="O32" s="148"/>
      <c r="P32" s="149"/>
      <c r="Q32" s="151" t="s">
        <v>303</v>
      </c>
      <c r="R32" s="151"/>
      <c r="S32" s="151"/>
      <c r="T32" s="151"/>
      <c r="U32" s="151"/>
      <c r="V32" s="151"/>
      <c r="W32" s="151"/>
      <c r="X32" s="151"/>
      <c r="Y32" s="55" t="s">
        <v>367</v>
      </c>
    </row>
    <row r="33" spans="2:25" ht="5.25" customHeight="1" x14ac:dyDescent="0.25">
      <c r="G33" s="150"/>
      <c r="H33" s="151"/>
      <c r="I33" s="151"/>
      <c r="J33" s="151"/>
      <c r="K33" s="151"/>
      <c r="L33" s="151"/>
      <c r="M33" s="152"/>
      <c r="N33" s="128"/>
      <c r="O33" s="115"/>
      <c r="P33" s="126"/>
      <c r="Q33" s="151"/>
      <c r="R33" s="151"/>
      <c r="S33" s="151"/>
      <c r="T33" s="151"/>
      <c r="U33" s="151"/>
      <c r="V33" s="151"/>
      <c r="W33" s="151"/>
      <c r="X33" s="151"/>
      <c r="Y33" s="117"/>
    </row>
    <row r="34" spans="2:25" ht="21.75" customHeight="1" x14ac:dyDescent="0.25">
      <c r="G34" s="150"/>
      <c r="H34" s="151"/>
      <c r="I34" s="151"/>
      <c r="J34" s="151"/>
      <c r="K34" s="151"/>
      <c r="L34" s="151"/>
      <c r="M34" s="152"/>
      <c r="N34" s="147" t="s">
        <v>278</v>
      </c>
      <c r="O34" s="148"/>
      <c r="P34" s="149"/>
      <c r="Q34" s="151"/>
      <c r="R34" s="151"/>
      <c r="S34" s="151"/>
      <c r="T34" s="151"/>
      <c r="U34" s="151"/>
      <c r="V34" s="151"/>
      <c r="W34" s="151"/>
      <c r="X34" s="151"/>
      <c r="Y34" s="117" t="s">
        <v>365</v>
      </c>
    </row>
    <row r="35" spans="2:25" ht="3.75" customHeight="1" x14ac:dyDescent="0.25">
      <c r="G35" s="150"/>
      <c r="H35" s="151"/>
      <c r="I35" s="151"/>
      <c r="J35" s="151"/>
      <c r="K35" s="151"/>
      <c r="L35" s="151"/>
      <c r="M35" s="152"/>
      <c r="N35" s="128"/>
      <c r="O35" s="115"/>
      <c r="P35" s="126"/>
      <c r="Q35" s="117"/>
      <c r="R35" s="117"/>
      <c r="S35" s="117"/>
      <c r="T35" s="117"/>
      <c r="U35" s="117"/>
      <c r="V35" s="117"/>
      <c r="W35" s="117"/>
      <c r="X35" s="117"/>
      <c r="Y35" s="117"/>
    </row>
    <row r="36" spans="2:25" x14ac:dyDescent="0.25">
      <c r="G36" s="150"/>
      <c r="H36" s="151"/>
      <c r="I36" s="151"/>
      <c r="J36" s="151"/>
      <c r="K36" s="151"/>
      <c r="L36" s="151"/>
      <c r="M36" s="152"/>
      <c r="N36" s="147" t="s">
        <v>279</v>
      </c>
      <c r="O36" s="148"/>
      <c r="P36" s="149"/>
      <c r="Q36" s="55" t="s">
        <v>304</v>
      </c>
      <c r="Y36" s="55" t="s">
        <v>366</v>
      </c>
    </row>
    <row r="37" spans="2:25" ht="3.75" customHeight="1" x14ac:dyDescent="0.25">
      <c r="B37" s="120"/>
      <c r="C37" s="120"/>
      <c r="D37" s="120"/>
      <c r="E37" s="120"/>
      <c r="F37" s="121"/>
      <c r="G37" s="122"/>
      <c r="H37" s="120"/>
      <c r="I37" s="120"/>
      <c r="J37" s="120"/>
      <c r="K37" s="120"/>
      <c r="L37" s="120"/>
      <c r="M37" s="121"/>
      <c r="N37" s="129"/>
      <c r="O37" s="123"/>
      <c r="P37" s="127"/>
      <c r="Q37" s="120"/>
      <c r="R37" s="120"/>
      <c r="S37" s="120"/>
      <c r="T37" s="120"/>
      <c r="U37" s="120"/>
      <c r="V37" s="120"/>
      <c r="W37" s="120"/>
      <c r="X37" s="120"/>
    </row>
    <row r="38" spans="2:25" ht="3.75" customHeight="1" x14ac:dyDescent="0.25">
      <c r="N38" s="128"/>
      <c r="O38" s="115"/>
      <c r="P38" s="126"/>
    </row>
    <row r="39" spans="2:25" ht="30" customHeight="1" x14ac:dyDescent="0.25">
      <c r="B39" s="55" t="s">
        <v>290</v>
      </c>
      <c r="G39" s="119" t="s">
        <v>305</v>
      </c>
      <c r="N39" s="147" t="s">
        <v>280</v>
      </c>
      <c r="O39" s="148"/>
      <c r="P39" s="149"/>
      <c r="Q39" s="151" t="s">
        <v>306</v>
      </c>
      <c r="R39" s="151"/>
      <c r="S39" s="151"/>
      <c r="T39" s="151"/>
      <c r="U39" s="151"/>
      <c r="V39" s="151"/>
      <c r="W39" s="151"/>
      <c r="X39" s="151"/>
      <c r="Y39" s="55" t="s">
        <v>368</v>
      </c>
    </row>
    <row r="40" spans="2:25" ht="3.75" customHeight="1" x14ac:dyDescent="0.25">
      <c r="B40" s="120"/>
      <c r="C40" s="120"/>
      <c r="D40" s="120"/>
      <c r="E40" s="120"/>
      <c r="F40" s="121"/>
      <c r="G40" s="122"/>
      <c r="H40" s="120"/>
      <c r="I40" s="120"/>
      <c r="J40" s="120"/>
      <c r="K40" s="120"/>
      <c r="L40" s="120"/>
      <c r="M40" s="121"/>
      <c r="N40" s="129"/>
      <c r="O40" s="123"/>
      <c r="P40" s="127"/>
      <c r="Q40" s="120"/>
      <c r="R40" s="120"/>
      <c r="S40" s="120"/>
      <c r="T40" s="120"/>
      <c r="U40" s="120"/>
      <c r="V40" s="120"/>
      <c r="W40" s="120"/>
      <c r="X40" s="120"/>
    </row>
    <row r="41" spans="2:25" ht="3.75" customHeight="1" x14ac:dyDescent="0.25">
      <c r="N41" s="128"/>
      <c r="O41" s="115"/>
      <c r="P41" s="126"/>
    </row>
    <row r="42" spans="2:25" ht="30" customHeight="1" x14ac:dyDescent="0.25">
      <c r="B42" s="55" t="s">
        <v>291</v>
      </c>
      <c r="G42" s="119" t="s">
        <v>307</v>
      </c>
      <c r="N42" s="147" t="s">
        <v>281</v>
      </c>
      <c r="O42" s="148"/>
      <c r="P42" s="149"/>
      <c r="Q42" s="151" t="s">
        <v>308</v>
      </c>
      <c r="R42" s="151"/>
      <c r="S42" s="151"/>
      <c r="T42" s="151"/>
      <c r="U42" s="151"/>
      <c r="V42" s="151"/>
      <c r="W42" s="151"/>
      <c r="X42" s="151"/>
      <c r="Y42" s="55" t="s">
        <v>366</v>
      </c>
    </row>
    <row r="43" spans="2:25" ht="3.75" customHeight="1" x14ac:dyDescent="0.25">
      <c r="N43" s="128"/>
      <c r="O43" s="115"/>
      <c r="P43" s="126"/>
    </row>
    <row r="44" spans="2:25" ht="30" customHeight="1" x14ac:dyDescent="0.25">
      <c r="N44" s="147" t="s">
        <v>282</v>
      </c>
      <c r="O44" s="148"/>
      <c r="P44" s="149"/>
      <c r="Q44" s="156" t="s">
        <v>309</v>
      </c>
      <c r="R44" s="156"/>
      <c r="S44" s="156"/>
      <c r="T44" s="156"/>
      <c r="U44" s="156"/>
      <c r="V44" s="156"/>
      <c r="W44" s="156"/>
      <c r="X44" s="156"/>
      <c r="Y44" s="55" t="s">
        <v>366</v>
      </c>
    </row>
    <row r="45" spans="2:25" ht="3.75" customHeight="1" x14ac:dyDescent="0.25">
      <c r="N45" s="128"/>
      <c r="O45" s="115"/>
      <c r="P45" s="126"/>
    </row>
    <row r="46" spans="2:25" x14ac:dyDescent="0.25">
      <c r="N46" s="147" t="s">
        <v>283</v>
      </c>
      <c r="O46" s="148"/>
      <c r="P46" s="149"/>
      <c r="Q46" s="151" t="s">
        <v>310</v>
      </c>
      <c r="R46" s="151"/>
      <c r="S46" s="151"/>
      <c r="T46" s="151"/>
      <c r="U46" s="151"/>
      <c r="V46" s="151"/>
      <c r="W46" s="151"/>
      <c r="X46" s="151"/>
      <c r="Y46" s="55" t="s">
        <v>366</v>
      </c>
    </row>
    <row r="47" spans="2:25" ht="3.75" customHeight="1" x14ac:dyDescent="0.25">
      <c r="N47" s="128"/>
      <c r="O47" s="115"/>
      <c r="P47" s="126"/>
    </row>
    <row r="48" spans="2:25" ht="30" customHeight="1" x14ac:dyDescent="0.25">
      <c r="N48" s="147" t="s">
        <v>284</v>
      </c>
      <c r="O48" s="148"/>
      <c r="P48" s="149"/>
      <c r="Q48" s="151" t="s">
        <v>311</v>
      </c>
      <c r="R48" s="151"/>
      <c r="S48" s="151"/>
      <c r="T48" s="151"/>
      <c r="U48" s="151"/>
      <c r="V48" s="151"/>
      <c r="W48" s="151"/>
      <c r="X48" s="151"/>
      <c r="Y48" s="55" t="s">
        <v>366</v>
      </c>
    </row>
    <row r="49" spans="2:25" ht="3.75" customHeight="1" x14ac:dyDescent="0.25">
      <c r="B49" s="120"/>
      <c r="C49" s="120"/>
      <c r="D49" s="120"/>
      <c r="E49" s="120"/>
      <c r="F49" s="121"/>
      <c r="G49" s="122"/>
      <c r="H49" s="120"/>
      <c r="I49" s="120"/>
      <c r="J49" s="120"/>
      <c r="K49" s="120"/>
      <c r="L49" s="120"/>
      <c r="M49" s="121"/>
      <c r="N49" s="129"/>
      <c r="O49" s="123"/>
      <c r="P49" s="127"/>
      <c r="Q49" s="120"/>
      <c r="R49" s="120"/>
      <c r="S49" s="120"/>
      <c r="T49" s="120"/>
      <c r="U49" s="120"/>
      <c r="V49" s="120"/>
      <c r="W49" s="120"/>
      <c r="X49" s="120"/>
    </row>
    <row r="50" spans="2:25" ht="3.75" customHeight="1" x14ac:dyDescent="0.25">
      <c r="N50" s="128"/>
      <c r="O50" s="115"/>
      <c r="P50" s="126"/>
    </row>
    <row r="51" spans="2:25" ht="30" customHeight="1" x14ac:dyDescent="0.25">
      <c r="B51" s="55" t="s">
        <v>292</v>
      </c>
      <c r="G51" s="119" t="s">
        <v>312</v>
      </c>
      <c r="N51" s="147" t="s">
        <v>314</v>
      </c>
      <c r="O51" s="148"/>
      <c r="P51" s="149"/>
      <c r="Q51" s="151" t="s">
        <v>315</v>
      </c>
      <c r="R51" s="151"/>
      <c r="S51" s="151"/>
      <c r="T51" s="151"/>
      <c r="U51" s="151"/>
      <c r="V51" s="151"/>
      <c r="W51" s="151"/>
      <c r="X51" s="151"/>
      <c r="Y51" s="55" t="s">
        <v>368</v>
      </c>
    </row>
    <row r="52" spans="2:25" ht="3.75" customHeight="1" x14ac:dyDescent="0.25"/>
    <row r="53" spans="2:25" x14ac:dyDescent="0.25">
      <c r="N53" s="147" t="s">
        <v>341</v>
      </c>
      <c r="O53" s="148"/>
      <c r="P53" s="149"/>
      <c r="Q53" s="151" t="s">
        <v>344</v>
      </c>
      <c r="R53" s="151"/>
      <c r="S53" s="151"/>
      <c r="T53" s="151"/>
      <c r="U53" s="151"/>
      <c r="V53" s="151"/>
      <c r="W53" s="151"/>
      <c r="X53" s="151"/>
      <c r="Y53" s="55" t="s">
        <v>368</v>
      </c>
    </row>
    <row r="54" spans="2:25" ht="3.75" customHeight="1" x14ac:dyDescent="0.25"/>
    <row r="55" spans="2:25" x14ac:dyDescent="0.25">
      <c r="N55" s="147" t="s">
        <v>342</v>
      </c>
      <c r="O55" s="148"/>
      <c r="P55" s="149"/>
      <c r="Q55" s="151" t="s">
        <v>345</v>
      </c>
      <c r="R55" s="151"/>
      <c r="S55" s="151"/>
      <c r="T55" s="151"/>
      <c r="U55" s="151"/>
      <c r="V55" s="151"/>
      <c r="W55" s="151"/>
      <c r="X55" s="151"/>
      <c r="Y55" s="55" t="s">
        <v>368</v>
      </c>
    </row>
    <row r="56" spans="2:25" ht="3.75" customHeight="1" x14ac:dyDescent="0.25"/>
    <row r="57" spans="2:25" ht="30" customHeight="1" x14ac:dyDescent="0.25">
      <c r="N57" s="147" t="s">
        <v>343</v>
      </c>
      <c r="O57" s="148"/>
      <c r="P57" s="149"/>
      <c r="Q57" s="151" t="s">
        <v>346</v>
      </c>
      <c r="R57" s="151"/>
      <c r="S57" s="151"/>
      <c r="T57" s="151"/>
      <c r="U57" s="151"/>
      <c r="V57" s="151"/>
      <c r="W57" s="151"/>
      <c r="X57" s="151"/>
      <c r="Y57" s="55" t="s">
        <v>368</v>
      </c>
    </row>
  </sheetData>
  <mergeCells count="32">
    <mergeCell ref="N53:P53"/>
    <mergeCell ref="Q53:X53"/>
    <mergeCell ref="N55:P55"/>
    <mergeCell ref="Q55:X55"/>
    <mergeCell ref="N57:P57"/>
    <mergeCell ref="Q57:X57"/>
    <mergeCell ref="Q39:X39"/>
    <mergeCell ref="Q42:X42"/>
    <mergeCell ref="Q44:X44"/>
    <mergeCell ref="Q46:X46"/>
    <mergeCell ref="Q48:X48"/>
    <mergeCell ref="Q51:X51"/>
    <mergeCell ref="N46:P46"/>
    <mergeCell ref="N48:P48"/>
    <mergeCell ref="N51:P51"/>
    <mergeCell ref="B20:F20"/>
    <mergeCell ref="G22:M24"/>
    <mergeCell ref="N20:P20"/>
    <mergeCell ref="G27:M27"/>
    <mergeCell ref="N32:P32"/>
    <mergeCell ref="N34:P34"/>
    <mergeCell ref="N36:P36"/>
    <mergeCell ref="N39:P39"/>
    <mergeCell ref="N42:P42"/>
    <mergeCell ref="N44:P44"/>
    <mergeCell ref="N22:P22"/>
    <mergeCell ref="N24:P24"/>
    <mergeCell ref="N27:P27"/>
    <mergeCell ref="N30:P30"/>
    <mergeCell ref="G30:M36"/>
    <mergeCell ref="Q32:X34"/>
    <mergeCell ref="B6:O11"/>
  </mergeCells>
  <hyperlinks>
    <hyperlink ref="N22" location="'1. Multi-products - Sim'!A1" display="1. Multi-products - Sim" xr:uid="{CB3B2FDF-B836-44DF-AFBF-20DAD3AAF32A}"/>
    <hyperlink ref="N51:P51" location="'6. Transmissions'!A1" display="6. Transmissions" xr:uid="{71260F74-5682-4E42-B637-C22E49A690B7}"/>
    <hyperlink ref="N48:P48" location="'5. Storage V2G sell'!A1" display="5. Storage V2G sell" xr:uid="{A4B0E0EE-ED7C-4F94-84AC-0925E6698F45}"/>
    <hyperlink ref="N46:P46" location="'5. Storage V2G'!A1" display="5. Storage V2G" xr:uid="{663D1592-916E-45BC-9282-17879BC6ED15}"/>
    <hyperlink ref="N44:P44" location="'5. Storage BEV'!A1" display="5. Storage BEV" xr:uid="{B3A039F2-8C08-4171-9C77-A4614F41CAD6}"/>
    <hyperlink ref="N42:P42" location="'5. Storage (same flow)'!A1" display="5. Storage (same flow)" xr:uid="{A315834A-89F1-48E2-AE7E-ABA7DDEB0750}"/>
    <hyperlink ref="N39:P39" location="'4. Infra-year timeslices'!A1" display="4. Infra-year timeslices" xr:uid="{BBD51C14-6DBE-49AF-A4AA-5E7F96C159E2}"/>
    <hyperlink ref="N36:P36" location="'3. Planning - Discounting'!A1" display="3. Planning - Discounting" xr:uid="{F71FD75C-87AE-47AC-9DF2-E7E9A94F1A93}"/>
    <hyperlink ref="N34:P34" location="'3. Planning - Disposal (1 shot)'!A1" display="3. Planning - Disposal (1 shot)" xr:uid="{6FDE6D5A-A0C7-4D82-9BA1-725BEC2267B7}"/>
    <hyperlink ref="N32:P32" location="'3. Planning - Disposal'!A1" display="3. Planning - Disposal" xr:uid="{6D143F1E-4412-4EA8-A1EF-A0224FDA62B1}"/>
    <hyperlink ref="N30:P30" location="'3. Planning - No disposal'!A1" display="3. Planning - No disposal" xr:uid="{4DCC349D-D908-4BE8-A547-D2ADF6DA1A1B}"/>
    <hyperlink ref="N27:P27" location="'2. Operation'!A1" display="2. Operation" xr:uid="{DE9E7564-489F-4E60-BCAB-FDCE24DB8EED}"/>
    <hyperlink ref="N24:P24" location="'1. Multi-products - Opt'!A1" display="1. Multi-products - Opt" xr:uid="{13EAAB1D-2A91-41C6-9F70-1BEA0A11E76B}"/>
    <hyperlink ref="N53:P53" location="'6. Trades'!A1" display="6. Trades" xr:uid="{2E61E9E7-58FB-47B4-BAC0-B21FEF04AD9E}"/>
    <hyperlink ref="N55:P55" location="'6. Trades &amp; transmission'!A1" display="6. Trades &amp; transmission" xr:uid="{B8EE045A-4E59-4226-ABE3-0766962B768F}"/>
    <hyperlink ref="N57:P57" location="'6. Trades &amp; transmission RCOT'!A1" display="6. Trades &amp; transmission RCOT" xr:uid="{74676987-7E1A-49E7-A071-3C74481EBA6E}"/>
  </hyperlink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075FC3-B751-4997-861E-AF8021A6B24F}">
  <sheetPr>
    <tabColor theme="9" tint="0.59999389629810485"/>
  </sheetPr>
  <dimension ref="A1:AR43"/>
  <sheetViews>
    <sheetView showGridLines="0" zoomScaleNormal="100" workbookViewId="0">
      <pane xSplit="5" ySplit="5" topLeftCell="F6" activePane="bottomRight" state="frozen"/>
      <selection pane="topRight"/>
      <selection pane="bottomLeft"/>
      <selection pane="bottomRight" activeCell="W27" sqref="W27"/>
    </sheetView>
  </sheetViews>
  <sheetFormatPr defaultColWidth="9.28515625" defaultRowHeight="15" x14ac:dyDescent="0.25"/>
  <cols>
    <col min="1" max="1" width="4.7109375" style="68" customWidth="1"/>
    <col min="2" max="2" width="5.140625" style="68" customWidth="1"/>
    <col min="3" max="3" width="4.85546875" style="68" bestFit="1" customWidth="1"/>
    <col min="4" max="4" width="13.7109375" style="68" bestFit="1" customWidth="1"/>
    <col min="5" max="5" width="5.7109375" style="68" bestFit="1" customWidth="1"/>
    <col min="6" max="6" width="3.5703125" style="68" customWidth="1"/>
    <col min="7" max="9" width="4.7109375" style="68" customWidth="1"/>
    <col min="10" max="10" width="4.28515625" style="68" bestFit="1" customWidth="1"/>
    <col min="11" max="53" width="4.7109375" style="68" customWidth="1"/>
    <col min="54" max="16384" width="9.28515625" style="68"/>
  </cols>
  <sheetData>
    <row r="1" spans="1:44" x14ac:dyDescent="0.25">
      <c r="A1" s="102" t="s">
        <v>285</v>
      </c>
    </row>
    <row r="2" spans="1:44" x14ac:dyDescent="0.25">
      <c r="A2" s="68" t="s">
        <v>255</v>
      </c>
      <c r="G2" s="68" t="s">
        <v>257</v>
      </c>
      <c r="K2" s="68" t="s">
        <v>256</v>
      </c>
    </row>
    <row r="3" spans="1:44" x14ac:dyDescent="0.25">
      <c r="B3" s="68" t="s">
        <v>0</v>
      </c>
      <c r="G3" s="68" t="s">
        <v>3</v>
      </c>
      <c r="H3" s="68" t="s">
        <v>4</v>
      </c>
      <c r="I3" s="68" t="s">
        <v>242</v>
      </c>
      <c r="J3" s="68" t="s">
        <v>246</v>
      </c>
      <c r="K3" s="68" t="s">
        <v>247</v>
      </c>
      <c r="L3" s="68" t="s">
        <v>244</v>
      </c>
      <c r="M3" s="68" t="s">
        <v>245</v>
      </c>
      <c r="Z3" s="68" t="s">
        <v>3</v>
      </c>
      <c r="AA3" s="68" t="s">
        <v>4</v>
      </c>
      <c r="AB3" s="68" t="s">
        <v>242</v>
      </c>
      <c r="AC3" s="68" t="s">
        <v>246</v>
      </c>
      <c r="AD3" s="68" t="s">
        <v>247</v>
      </c>
      <c r="AE3" s="68" t="s">
        <v>244</v>
      </c>
      <c r="AF3" s="68" t="s">
        <v>245</v>
      </c>
    </row>
    <row r="4" spans="1:44" x14ac:dyDescent="0.25">
      <c r="C4" s="68" t="s">
        <v>213</v>
      </c>
      <c r="O4" s="68" t="s">
        <v>7</v>
      </c>
      <c r="P4" s="68" t="s">
        <v>9</v>
      </c>
      <c r="Q4" s="68" t="s">
        <v>10</v>
      </c>
      <c r="R4" s="68" t="s">
        <v>214</v>
      </c>
      <c r="S4" s="68" t="s">
        <v>215</v>
      </c>
      <c r="U4" s="68" t="s">
        <v>20</v>
      </c>
      <c r="AH4" s="68" t="s">
        <v>7</v>
      </c>
      <c r="AI4" s="68" t="s">
        <v>9</v>
      </c>
      <c r="AJ4" s="68" t="s">
        <v>10</v>
      </c>
      <c r="AK4" s="68" t="s">
        <v>214</v>
      </c>
      <c r="AL4" s="68" t="s">
        <v>215</v>
      </c>
      <c r="AN4" s="68" t="s">
        <v>7</v>
      </c>
      <c r="AO4" s="68" t="s">
        <v>9</v>
      </c>
      <c r="AP4" s="68" t="s">
        <v>10</v>
      </c>
      <c r="AQ4" s="68" t="s">
        <v>214</v>
      </c>
      <c r="AR4" s="68" t="s">
        <v>215</v>
      </c>
    </row>
    <row r="5" spans="1:44" x14ac:dyDescent="0.25">
      <c r="D5" s="68" t="s">
        <v>2</v>
      </c>
      <c r="E5" s="68" t="s">
        <v>137</v>
      </c>
      <c r="G5" s="69"/>
      <c r="H5" s="69"/>
      <c r="I5" s="69"/>
      <c r="J5" s="69"/>
      <c r="K5" s="69"/>
      <c r="L5" s="69"/>
      <c r="M5" s="69"/>
      <c r="N5" s="69"/>
      <c r="O5" s="69"/>
      <c r="P5" s="69"/>
      <c r="Q5" s="69"/>
      <c r="R5" s="69"/>
      <c r="S5" s="69"/>
      <c r="U5" s="68" t="s">
        <v>188</v>
      </c>
      <c r="Z5" s="69"/>
      <c r="AA5" s="69"/>
      <c r="AB5" s="69"/>
      <c r="AC5" s="69"/>
      <c r="AD5" s="69"/>
      <c r="AE5" s="69"/>
      <c r="AF5" s="69"/>
      <c r="AG5" s="69"/>
      <c r="AH5" s="69"/>
      <c r="AI5" s="69"/>
      <c r="AJ5" s="69"/>
      <c r="AK5" s="69"/>
      <c r="AL5" s="69"/>
      <c r="AM5" s="69"/>
      <c r="AN5" s="69"/>
      <c r="AO5" s="69"/>
      <c r="AP5" s="69"/>
      <c r="AQ5" s="69"/>
      <c r="AR5" s="69"/>
    </row>
    <row r="6" spans="1:44" x14ac:dyDescent="0.25">
      <c r="N6" s="69"/>
      <c r="O6" s="83" t="s">
        <v>77</v>
      </c>
      <c r="U6" s="83" t="s">
        <v>14</v>
      </c>
      <c r="W6" s="83" t="s">
        <v>240</v>
      </c>
      <c r="AH6" s="83" t="s">
        <v>228</v>
      </c>
      <c r="AN6" s="83" t="s">
        <v>229</v>
      </c>
    </row>
    <row r="7" spans="1:44" x14ac:dyDescent="0.25">
      <c r="B7" s="68" t="s">
        <v>3</v>
      </c>
      <c r="D7" s="68" t="s">
        <v>216</v>
      </c>
      <c r="E7" s="68" t="s">
        <v>210</v>
      </c>
      <c r="N7" s="69"/>
      <c r="O7" s="71">
        <v>0</v>
      </c>
      <c r="P7" s="71">
        <v>50</v>
      </c>
      <c r="Q7" s="71">
        <v>100</v>
      </c>
      <c r="R7" s="71">
        <v>0</v>
      </c>
      <c r="S7" s="71">
        <v>0</v>
      </c>
      <c r="U7" s="71">
        <v>0</v>
      </c>
      <c r="W7" s="88">
        <f>SUM(O7:S7,U7)</f>
        <v>150</v>
      </c>
      <c r="AH7" s="89">
        <f t="array" ref="AH7:AL13">MMULT(O7:S13,MINVERSE(W15:W19*_xlfn.MUNIT(5)))</f>
        <v>0</v>
      </c>
      <c r="AI7" s="89">
        <v>1.25</v>
      </c>
      <c r="AJ7" s="89">
        <v>2</v>
      </c>
      <c r="AK7" s="89">
        <v>0</v>
      </c>
      <c r="AL7" s="89">
        <v>0</v>
      </c>
      <c r="AN7" s="89">
        <f t="array" ref="AN7:AR13">MMULT(TRANSPOSE(G15:M19),MINVERSE(W15:W19*_xlfn.MUNIT(5)))</f>
        <v>0.88235294117647056</v>
      </c>
      <c r="AO7" s="89">
        <v>0</v>
      </c>
      <c r="AP7" s="89">
        <v>0</v>
      </c>
      <c r="AQ7" s="89">
        <v>0</v>
      </c>
      <c r="AR7" s="89">
        <v>0</v>
      </c>
    </row>
    <row r="8" spans="1:44" x14ac:dyDescent="0.25">
      <c r="B8" s="68" t="s">
        <v>4</v>
      </c>
      <c r="D8" s="68" t="s">
        <v>217</v>
      </c>
      <c r="E8" s="68" t="s">
        <v>210</v>
      </c>
      <c r="N8" s="69"/>
      <c r="O8" s="71">
        <v>0</v>
      </c>
      <c r="P8" s="71">
        <v>0</v>
      </c>
      <c r="Q8" s="71">
        <v>0</v>
      </c>
      <c r="R8" s="71">
        <v>0</v>
      </c>
      <c r="S8" s="71">
        <v>0</v>
      </c>
      <c r="U8" s="71">
        <v>20</v>
      </c>
      <c r="W8" s="88">
        <f t="shared" ref="W8:W13" si="0">SUM(O8:S8,U8)</f>
        <v>20</v>
      </c>
      <c r="AH8" s="89">
        <v>0</v>
      </c>
      <c r="AI8" s="89">
        <v>0</v>
      </c>
      <c r="AJ8" s="89">
        <v>0</v>
      </c>
      <c r="AK8" s="89">
        <v>0</v>
      </c>
      <c r="AL8" s="89">
        <v>0</v>
      </c>
      <c r="AN8" s="89">
        <v>0.11764705882352941</v>
      </c>
      <c r="AO8" s="89">
        <v>0</v>
      </c>
      <c r="AP8" s="89">
        <v>0</v>
      </c>
      <c r="AQ8" s="89">
        <v>0</v>
      </c>
      <c r="AR8" s="89">
        <v>0</v>
      </c>
    </row>
    <row r="9" spans="1:44" x14ac:dyDescent="0.25">
      <c r="B9" s="68" t="s">
        <v>242</v>
      </c>
      <c r="D9" s="68" t="s">
        <v>218</v>
      </c>
      <c r="E9" s="68" t="s">
        <v>210</v>
      </c>
      <c r="N9" s="69"/>
      <c r="O9" s="71">
        <v>0</v>
      </c>
      <c r="P9" s="71">
        <v>0</v>
      </c>
      <c r="Q9" s="71">
        <v>0</v>
      </c>
      <c r="R9" s="71">
        <v>0</v>
      </c>
      <c r="S9" s="71">
        <v>0</v>
      </c>
      <c r="U9" s="71">
        <v>50</v>
      </c>
      <c r="W9" s="88">
        <f t="shared" si="0"/>
        <v>50</v>
      </c>
      <c r="AH9" s="89">
        <v>0</v>
      </c>
      <c r="AI9" s="89">
        <v>0</v>
      </c>
      <c r="AJ9" s="89">
        <v>0</v>
      </c>
      <c r="AK9" s="89">
        <v>0</v>
      </c>
      <c r="AL9" s="89">
        <v>0</v>
      </c>
      <c r="AN9" s="89">
        <v>0</v>
      </c>
      <c r="AO9" s="89">
        <v>1</v>
      </c>
      <c r="AP9" s="89">
        <v>0.2</v>
      </c>
      <c r="AQ9" s="89">
        <v>0</v>
      </c>
      <c r="AR9" s="89">
        <v>0</v>
      </c>
    </row>
    <row r="10" spans="1:44" x14ac:dyDescent="0.25">
      <c r="B10" s="68" t="s">
        <v>246</v>
      </c>
      <c r="D10" s="68" t="s">
        <v>219</v>
      </c>
      <c r="E10" s="68" t="s">
        <v>210</v>
      </c>
      <c r="N10" s="69"/>
      <c r="O10" s="71">
        <v>0</v>
      </c>
      <c r="P10" s="71">
        <v>0</v>
      </c>
      <c r="Q10" s="71">
        <v>0</v>
      </c>
      <c r="R10" s="71">
        <v>0</v>
      </c>
      <c r="S10" s="71">
        <v>40</v>
      </c>
      <c r="U10" s="71">
        <v>0</v>
      </c>
      <c r="W10" s="88">
        <f t="shared" si="0"/>
        <v>40</v>
      </c>
      <c r="AH10" s="89">
        <v>0</v>
      </c>
      <c r="AI10" s="89">
        <v>0</v>
      </c>
      <c r="AJ10" s="89">
        <v>0</v>
      </c>
      <c r="AK10" s="89">
        <v>0</v>
      </c>
      <c r="AL10" s="89">
        <v>2</v>
      </c>
      <c r="AN10" s="89">
        <v>0</v>
      </c>
      <c r="AO10" s="89">
        <v>0</v>
      </c>
      <c r="AP10" s="89">
        <v>0.8</v>
      </c>
      <c r="AQ10" s="89">
        <v>0</v>
      </c>
      <c r="AR10" s="89">
        <v>0</v>
      </c>
    </row>
    <row r="11" spans="1:44" x14ac:dyDescent="0.25">
      <c r="B11" s="68" t="s">
        <v>247</v>
      </c>
      <c r="D11" s="68" t="s">
        <v>220</v>
      </c>
      <c r="E11" s="68" t="s">
        <v>210</v>
      </c>
      <c r="N11" s="69"/>
      <c r="O11" s="71">
        <v>0</v>
      </c>
      <c r="P11" s="71">
        <v>0</v>
      </c>
      <c r="Q11" s="71">
        <v>0</v>
      </c>
      <c r="R11" s="71">
        <v>0</v>
      </c>
      <c r="S11" s="71">
        <v>30</v>
      </c>
      <c r="U11" s="71">
        <v>0</v>
      </c>
      <c r="W11" s="88">
        <f t="shared" si="0"/>
        <v>30</v>
      </c>
      <c r="AH11" s="89">
        <v>0</v>
      </c>
      <c r="AI11" s="89">
        <v>0</v>
      </c>
      <c r="AJ11" s="89">
        <v>0</v>
      </c>
      <c r="AK11" s="89">
        <v>0</v>
      </c>
      <c r="AL11" s="89">
        <v>1.5</v>
      </c>
      <c r="AN11" s="89">
        <v>0</v>
      </c>
      <c r="AO11" s="89">
        <v>0</v>
      </c>
      <c r="AP11" s="89">
        <v>0</v>
      </c>
      <c r="AQ11" s="89">
        <v>1</v>
      </c>
      <c r="AR11" s="89">
        <v>0</v>
      </c>
    </row>
    <row r="12" spans="1:44" x14ac:dyDescent="0.25">
      <c r="B12" s="68" t="s">
        <v>244</v>
      </c>
      <c r="D12" s="68" t="s">
        <v>221</v>
      </c>
      <c r="E12" s="68" t="s">
        <v>230</v>
      </c>
      <c r="N12" s="69"/>
      <c r="O12" s="71">
        <v>0</v>
      </c>
      <c r="P12" s="71">
        <v>0</v>
      </c>
      <c r="Q12" s="71">
        <v>0</v>
      </c>
      <c r="R12" s="71">
        <v>0</v>
      </c>
      <c r="S12" s="71">
        <v>0</v>
      </c>
      <c r="U12" s="71">
        <v>15</v>
      </c>
      <c r="W12" s="88">
        <f t="shared" si="0"/>
        <v>15</v>
      </c>
      <c r="AH12" s="89">
        <v>0</v>
      </c>
      <c r="AI12" s="89">
        <v>0</v>
      </c>
      <c r="AJ12" s="89">
        <v>0</v>
      </c>
      <c r="AK12" s="89">
        <v>0</v>
      </c>
      <c r="AL12" s="89">
        <v>0</v>
      </c>
      <c r="AN12" s="89">
        <v>0</v>
      </c>
      <c r="AO12" s="89">
        <v>0</v>
      </c>
      <c r="AP12" s="89">
        <v>0</v>
      </c>
      <c r="AQ12" s="89">
        <v>0</v>
      </c>
      <c r="AR12" s="89">
        <v>0.75</v>
      </c>
    </row>
    <row r="13" spans="1:44" x14ac:dyDescent="0.25">
      <c r="B13" s="68" t="s">
        <v>245</v>
      </c>
      <c r="D13" s="68" t="s">
        <v>222</v>
      </c>
      <c r="E13" s="68" t="s">
        <v>230</v>
      </c>
      <c r="N13" s="69"/>
      <c r="O13" s="71">
        <v>0</v>
      </c>
      <c r="P13" s="71">
        <v>0</v>
      </c>
      <c r="Q13" s="71">
        <v>0</v>
      </c>
      <c r="R13" s="71">
        <v>0</v>
      </c>
      <c r="S13" s="71">
        <v>0</v>
      </c>
      <c r="U13" s="71">
        <v>5</v>
      </c>
      <c r="W13" s="88">
        <f t="shared" si="0"/>
        <v>5</v>
      </c>
      <c r="AH13" s="89">
        <v>0</v>
      </c>
      <c r="AI13" s="89">
        <v>0</v>
      </c>
      <c r="AJ13" s="89">
        <v>0</v>
      </c>
      <c r="AK13" s="89">
        <v>0</v>
      </c>
      <c r="AL13" s="89">
        <v>0</v>
      </c>
      <c r="AN13" s="89">
        <v>0</v>
      </c>
      <c r="AO13" s="89">
        <v>0</v>
      </c>
      <c r="AP13" s="89">
        <v>0</v>
      </c>
      <c r="AQ13" s="89">
        <v>0</v>
      </c>
      <c r="AR13" s="89">
        <v>0.25</v>
      </c>
    </row>
    <row r="14" spans="1:44" x14ac:dyDescent="0.25">
      <c r="G14" s="83" t="s">
        <v>76</v>
      </c>
      <c r="J14" s="70"/>
      <c r="N14" s="69"/>
      <c r="W14" s="83" t="s">
        <v>241</v>
      </c>
      <c r="Z14" s="83" t="s">
        <v>231</v>
      </c>
    </row>
    <row r="15" spans="1:44" x14ac:dyDescent="0.25">
      <c r="A15" s="68" t="s">
        <v>257</v>
      </c>
      <c r="C15" s="68" t="s">
        <v>7</v>
      </c>
      <c r="D15" s="68" t="s">
        <v>223</v>
      </c>
      <c r="E15" s="68" t="s">
        <v>210</v>
      </c>
      <c r="G15" s="71">
        <v>150</v>
      </c>
      <c r="H15" s="71">
        <v>20</v>
      </c>
      <c r="I15" s="71">
        <v>0</v>
      </c>
      <c r="J15" s="72">
        <v>0</v>
      </c>
      <c r="K15" s="71">
        <v>0</v>
      </c>
      <c r="L15" s="71">
        <v>0</v>
      </c>
      <c r="M15" s="71">
        <v>0</v>
      </c>
      <c r="N15" s="69"/>
      <c r="W15" s="88">
        <f>SUM(G15:M15)</f>
        <v>170</v>
      </c>
      <c r="Z15" s="89">
        <f t="array" ref="Z15:AF19">MMULT(G15:M19,MINVERSE(W7:W13*_xlfn.MUNIT(7)))</f>
        <v>1</v>
      </c>
      <c r="AA15" s="89">
        <v>1</v>
      </c>
      <c r="AB15" s="89">
        <v>0</v>
      </c>
      <c r="AC15" s="89">
        <v>0</v>
      </c>
      <c r="AD15" s="89">
        <v>0</v>
      </c>
      <c r="AE15" s="89">
        <v>0</v>
      </c>
      <c r="AF15" s="89">
        <v>0</v>
      </c>
    </row>
    <row r="16" spans="1:44" x14ac:dyDescent="0.25">
      <c r="C16" s="68" t="s">
        <v>9</v>
      </c>
      <c r="D16" s="68" t="s">
        <v>224</v>
      </c>
      <c r="E16" s="68" t="s">
        <v>210</v>
      </c>
      <c r="G16" s="71">
        <v>0</v>
      </c>
      <c r="H16" s="71">
        <v>0</v>
      </c>
      <c r="I16" s="71">
        <v>40</v>
      </c>
      <c r="J16" s="72">
        <v>0</v>
      </c>
      <c r="K16" s="71">
        <v>0</v>
      </c>
      <c r="L16" s="71">
        <v>0</v>
      </c>
      <c r="M16" s="71">
        <v>0</v>
      </c>
      <c r="N16" s="69"/>
      <c r="W16" s="88">
        <f t="shared" ref="W16:W19" si="1">SUM(G16:M16)</f>
        <v>40</v>
      </c>
      <c r="Z16" s="89">
        <v>0</v>
      </c>
      <c r="AA16" s="89">
        <v>0</v>
      </c>
      <c r="AB16" s="89">
        <v>0.8</v>
      </c>
      <c r="AC16" s="89">
        <v>0</v>
      </c>
      <c r="AD16" s="89">
        <v>0</v>
      </c>
      <c r="AE16" s="89">
        <v>0</v>
      </c>
      <c r="AF16" s="89">
        <v>0</v>
      </c>
    </row>
    <row r="17" spans="1:38" x14ac:dyDescent="0.25">
      <c r="C17" s="68" t="s">
        <v>10</v>
      </c>
      <c r="D17" s="68" t="s">
        <v>225</v>
      </c>
      <c r="E17" s="68" t="s">
        <v>210</v>
      </c>
      <c r="G17" s="71">
        <v>0</v>
      </c>
      <c r="H17" s="71">
        <v>0</v>
      </c>
      <c r="I17" s="71">
        <v>10</v>
      </c>
      <c r="J17" s="72">
        <v>40</v>
      </c>
      <c r="K17" s="71">
        <v>0</v>
      </c>
      <c r="L17" s="71">
        <v>0</v>
      </c>
      <c r="M17" s="71">
        <v>0</v>
      </c>
      <c r="N17" s="69"/>
      <c r="W17" s="88">
        <f t="shared" si="1"/>
        <v>50</v>
      </c>
      <c r="X17" s="87"/>
      <c r="Z17" s="89">
        <v>0</v>
      </c>
      <c r="AA17" s="89">
        <v>0</v>
      </c>
      <c r="AB17" s="89">
        <v>0.2</v>
      </c>
      <c r="AC17" s="89">
        <v>1</v>
      </c>
      <c r="AD17" s="89">
        <v>0</v>
      </c>
      <c r="AE17" s="89">
        <v>0</v>
      </c>
      <c r="AF17" s="89">
        <v>0</v>
      </c>
    </row>
    <row r="18" spans="1:38" x14ac:dyDescent="0.25">
      <c r="A18" s="68" t="s">
        <v>256</v>
      </c>
      <c r="C18" s="68" t="s">
        <v>214</v>
      </c>
      <c r="D18" s="68" t="s">
        <v>226</v>
      </c>
      <c r="E18" s="68" t="s">
        <v>210</v>
      </c>
      <c r="G18" s="73">
        <v>0</v>
      </c>
      <c r="H18" s="73">
        <v>0</v>
      </c>
      <c r="I18" s="73">
        <v>0</v>
      </c>
      <c r="J18" s="74">
        <v>0</v>
      </c>
      <c r="K18" s="73">
        <v>30</v>
      </c>
      <c r="L18" s="73">
        <v>0</v>
      </c>
      <c r="M18" s="73">
        <v>0</v>
      </c>
      <c r="N18" s="75"/>
      <c r="V18" s="76"/>
      <c r="W18" s="90">
        <f t="shared" si="1"/>
        <v>30</v>
      </c>
      <c r="Z18" s="89">
        <v>0</v>
      </c>
      <c r="AA18" s="89">
        <v>0</v>
      </c>
      <c r="AB18" s="89">
        <v>0</v>
      </c>
      <c r="AC18" s="89">
        <v>0</v>
      </c>
      <c r="AD18" s="89">
        <v>1</v>
      </c>
      <c r="AE18" s="89">
        <v>0</v>
      </c>
      <c r="AF18" s="89">
        <v>0</v>
      </c>
    </row>
    <row r="19" spans="1:38" x14ac:dyDescent="0.25">
      <c r="C19" s="68" t="s">
        <v>215</v>
      </c>
      <c r="D19" s="68" t="s">
        <v>227</v>
      </c>
      <c r="E19" s="68" t="s">
        <v>230</v>
      </c>
      <c r="G19" s="71">
        <v>0</v>
      </c>
      <c r="H19" s="71">
        <v>0</v>
      </c>
      <c r="I19" s="71">
        <v>0</v>
      </c>
      <c r="J19" s="72">
        <v>0</v>
      </c>
      <c r="K19" s="71">
        <v>0</v>
      </c>
      <c r="L19" s="71">
        <v>15</v>
      </c>
      <c r="M19" s="71">
        <v>5</v>
      </c>
      <c r="N19" s="69"/>
      <c r="W19" s="88">
        <f t="shared" si="1"/>
        <v>20</v>
      </c>
      <c r="Z19" s="89">
        <v>0</v>
      </c>
      <c r="AA19" s="89">
        <v>0</v>
      </c>
      <c r="AB19" s="89">
        <v>0</v>
      </c>
      <c r="AC19" s="89">
        <v>0</v>
      </c>
      <c r="AD19" s="89">
        <v>0</v>
      </c>
      <c r="AE19" s="89">
        <v>1</v>
      </c>
      <c r="AF19" s="89">
        <v>1</v>
      </c>
    </row>
    <row r="20" spans="1:38" x14ac:dyDescent="0.25">
      <c r="J20" s="70"/>
      <c r="N20" s="69"/>
      <c r="O20" s="83" t="s">
        <v>232</v>
      </c>
      <c r="AH20" s="83" t="s">
        <v>233</v>
      </c>
    </row>
    <row r="21" spans="1:38" x14ac:dyDescent="0.25">
      <c r="D21" s="68" t="s">
        <v>234</v>
      </c>
      <c r="N21" s="69"/>
      <c r="O21" s="71">
        <v>15</v>
      </c>
      <c r="P21" s="71">
        <v>7</v>
      </c>
      <c r="Q21" s="71">
        <v>12</v>
      </c>
      <c r="R21" s="71">
        <v>0</v>
      </c>
      <c r="S21" s="71">
        <v>10</v>
      </c>
      <c r="AH21" s="89">
        <f t="array" ref="AH21:AL21">MMULT(O21:S21,MINVERSE(W15:W19*_xlfn.MUNIT(5)))</f>
        <v>8.8235294117647051E-2</v>
      </c>
      <c r="AI21" s="89">
        <v>0.17500000000000002</v>
      </c>
      <c r="AJ21" s="89">
        <v>0.24</v>
      </c>
      <c r="AK21" s="89">
        <v>0</v>
      </c>
      <c r="AL21" s="89">
        <v>0.5</v>
      </c>
    </row>
    <row r="23" spans="1:38" x14ac:dyDescent="0.25">
      <c r="O23" s="3" t="s">
        <v>258</v>
      </c>
      <c r="W23" s="83" t="s">
        <v>259</v>
      </c>
      <c r="Y23" s="83" t="s">
        <v>235</v>
      </c>
      <c r="AC23" s="86" t="s">
        <v>260</v>
      </c>
    </row>
    <row r="24" spans="1:38" x14ac:dyDescent="0.25">
      <c r="B24" s="68" t="s">
        <v>3</v>
      </c>
      <c r="D24" s="68" t="s">
        <v>216</v>
      </c>
      <c r="E24" s="68" t="s">
        <v>210</v>
      </c>
      <c r="O24" s="88">
        <f t="array" ref="O24:S30">MMULT(AH7:AL13,W32:W36*_xlfn.MUNIT(5))</f>
        <v>0</v>
      </c>
      <c r="P24" s="88">
        <v>0</v>
      </c>
      <c r="Q24" s="88">
        <v>500</v>
      </c>
      <c r="R24" s="88">
        <v>0</v>
      </c>
      <c r="S24" s="88">
        <v>0</v>
      </c>
      <c r="W24" s="141">
        <v>0</v>
      </c>
      <c r="Y24" s="88">
        <f t="array" ref="Y24:Y30">TRANSPOSE(G40:M40)</f>
        <v>500</v>
      </c>
      <c r="AC24" s="77">
        <f t="array" ref="AC24:AC30">Y24:Y30-MMULT(AH7:AL13,W32:W36)-U7:U13-W24:W30</f>
        <v>0</v>
      </c>
    </row>
    <row r="25" spans="1:38" x14ac:dyDescent="0.25">
      <c r="B25" s="68" t="s">
        <v>4</v>
      </c>
      <c r="D25" s="68" t="s">
        <v>217</v>
      </c>
      <c r="E25" s="68" t="s">
        <v>210</v>
      </c>
      <c r="O25" s="88">
        <v>0</v>
      </c>
      <c r="P25" s="88">
        <v>0</v>
      </c>
      <c r="Q25" s="88">
        <v>0</v>
      </c>
      <c r="R25" s="88">
        <v>0</v>
      </c>
      <c r="S25" s="88">
        <v>0</v>
      </c>
      <c r="W25" s="141">
        <v>46.666666999999997</v>
      </c>
      <c r="Y25" s="88">
        <v>66.666667000000004</v>
      </c>
      <c r="AC25" s="78">
        <v>0</v>
      </c>
    </row>
    <row r="26" spans="1:38" x14ac:dyDescent="0.25">
      <c r="B26" s="68" t="s">
        <v>242</v>
      </c>
      <c r="D26" s="68" t="s">
        <v>218</v>
      </c>
      <c r="E26" s="68" t="s">
        <v>210</v>
      </c>
      <c r="O26" s="88">
        <v>0</v>
      </c>
      <c r="P26" s="88">
        <v>0</v>
      </c>
      <c r="Q26" s="88">
        <v>0</v>
      </c>
      <c r="R26" s="88">
        <v>0</v>
      </c>
      <c r="S26" s="88">
        <v>0</v>
      </c>
      <c r="W26" s="141">
        <v>0</v>
      </c>
      <c r="Y26" s="88">
        <v>50</v>
      </c>
      <c r="AC26" s="78">
        <v>0</v>
      </c>
    </row>
    <row r="27" spans="1:38" x14ac:dyDescent="0.25">
      <c r="B27" s="68" t="s">
        <v>246</v>
      </c>
      <c r="D27" s="68" t="s">
        <v>219</v>
      </c>
      <c r="E27" s="68" t="s">
        <v>210</v>
      </c>
      <c r="O27" s="88">
        <v>0</v>
      </c>
      <c r="P27" s="88">
        <v>0</v>
      </c>
      <c r="Q27" s="88">
        <v>0</v>
      </c>
      <c r="R27" s="88">
        <v>0</v>
      </c>
      <c r="S27" s="88">
        <v>40</v>
      </c>
      <c r="W27" s="141">
        <v>160</v>
      </c>
      <c r="Y27" s="88">
        <v>200</v>
      </c>
      <c r="AC27" s="78">
        <v>0</v>
      </c>
    </row>
    <row r="28" spans="1:38" x14ac:dyDescent="0.25">
      <c r="B28" s="68" t="s">
        <v>247</v>
      </c>
      <c r="D28" s="68" t="s">
        <v>220</v>
      </c>
      <c r="E28" s="68" t="s">
        <v>210</v>
      </c>
      <c r="O28" s="88">
        <v>0</v>
      </c>
      <c r="P28" s="88">
        <v>0</v>
      </c>
      <c r="Q28" s="88">
        <v>0</v>
      </c>
      <c r="R28" s="88">
        <v>0</v>
      </c>
      <c r="S28" s="88">
        <v>30</v>
      </c>
      <c r="W28" s="141">
        <v>0</v>
      </c>
      <c r="Y28" s="88">
        <v>30</v>
      </c>
      <c r="AC28" s="78">
        <v>0</v>
      </c>
    </row>
    <row r="29" spans="1:38" x14ac:dyDescent="0.25">
      <c r="B29" s="68" t="s">
        <v>244</v>
      </c>
      <c r="D29" s="68" t="s">
        <v>221</v>
      </c>
      <c r="E29" s="68" t="s">
        <v>230</v>
      </c>
      <c r="O29" s="88">
        <v>0</v>
      </c>
      <c r="P29" s="88">
        <v>0</v>
      </c>
      <c r="Q29" s="88">
        <v>0</v>
      </c>
      <c r="R29" s="88">
        <v>0</v>
      </c>
      <c r="S29" s="88">
        <v>0</v>
      </c>
      <c r="W29" s="141">
        <v>0</v>
      </c>
      <c r="Y29" s="88">
        <v>15</v>
      </c>
      <c r="AC29" s="78">
        <v>0</v>
      </c>
    </row>
    <row r="30" spans="1:38" x14ac:dyDescent="0.25">
      <c r="B30" s="68" t="s">
        <v>245</v>
      </c>
      <c r="D30" s="68" t="s">
        <v>222</v>
      </c>
      <c r="E30" s="68" t="s">
        <v>230</v>
      </c>
      <c r="J30" s="70"/>
      <c r="O30" s="88">
        <v>0</v>
      </c>
      <c r="P30" s="88">
        <v>0</v>
      </c>
      <c r="Q30" s="88">
        <v>0</v>
      </c>
      <c r="R30" s="88">
        <v>0</v>
      </c>
      <c r="S30" s="88">
        <v>0</v>
      </c>
      <c r="W30" s="141">
        <v>0</v>
      </c>
      <c r="Y30" s="88">
        <v>5</v>
      </c>
      <c r="AC30" s="79">
        <v>0</v>
      </c>
    </row>
    <row r="31" spans="1:38" x14ac:dyDescent="0.25">
      <c r="G31" s="83" t="s">
        <v>236</v>
      </c>
      <c r="J31" s="70"/>
      <c r="W31" s="83" t="s">
        <v>72</v>
      </c>
    </row>
    <row r="32" spans="1:38" x14ac:dyDescent="0.25">
      <c r="A32" s="68" t="s">
        <v>257</v>
      </c>
      <c r="C32" s="68" t="s">
        <v>7</v>
      </c>
      <c r="D32" s="68" t="s">
        <v>223</v>
      </c>
      <c r="E32" s="68" t="s">
        <v>210</v>
      </c>
      <c r="G32" s="88">
        <f t="array" ref="G32:J34">TRANSPOSE(MMULT(AN7:AP10,W32:W34*_xlfn.MUNIT(3)))</f>
        <v>500.00000294117643</v>
      </c>
      <c r="H32" s="88">
        <v>66.666667058823521</v>
      </c>
      <c r="I32" s="88">
        <v>0</v>
      </c>
      <c r="J32" s="92">
        <v>0</v>
      </c>
      <c r="K32" s="93">
        <v>0</v>
      </c>
      <c r="L32" s="93">
        <v>0</v>
      </c>
      <c r="M32" s="93">
        <v>0</v>
      </c>
      <c r="W32" s="141">
        <v>566.66666999999995</v>
      </c>
    </row>
    <row r="33" spans="1:29" x14ac:dyDescent="0.25">
      <c r="C33" s="68" t="s">
        <v>9</v>
      </c>
      <c r="D33" s="68" t="s">
        <v>224</v>
      </c>
      <c r="E33" s="68" t="s">
        <v>210</v>
      </c>
      <c r="G33" s="88">
        <v>0</v>
      </c>
      <c r="H33" s="88">
        <v>0</v>
      </c>
      <c r="I33" s="88">
        <v>0</v>
      </c>
      <c r="J33" s="92">
        <v>0</v>
      </c>
      <c r="K33" s="93">
        <v>0</v>
      </c>
      <c r="L33" s="93">
        <v>0</v>
      </c>
      <c r="M33" s="93">
        <v>0</v>
      </c>
      <c r="W33" s="141">
        <v>0</v>
      </c>
    </row>
    <row r="34" spans="1:29" x14ac:dyDescent="0.25">
      <c r="C34" s="68" t="s">
        <v>10</v>
      </c>
      <c r="D34" s="68" t="s">
        <v>225</v>
      </c>
      <c r="E34" s="68" t="s">
        <v>210</v>
      </c>
      <c r="G34" s="88">
        <v>0</v>
      </c>
      <c r="H34" s="88">
        <v>0</v>
      </c>
      <c r="I34" s="88">
        <v>50</v>
      </c>
      <c r="J34" s="92">
        <v>200</v>
      </c>
      <c r="K34" s="93">
        <v>0</v>
      </c>
      <c r="L34" s="93">
        <v>0</v>
      </c>
      <c r="M34" s="93">
        <v>0</v>
      </c>
      <c r="W34" s="141">
        <v>250</v>
      </c>
      <c r="X34" s="87"/>
      <c r="AC34" s="83" t="s">
        <v>237</v>
      </c>
    </row>
    <row r="35" spans="1:29" x14ac:dyDescent="0.25">
      <c r="A35" s="68" t="s">
        <v>256</v>
      </c>
      <c r="C35" s="68" t="s">
        <v>214</v>
      </c>
      <c r="D35" s="68" t="s">
        <v>226</v>
      </c>
      <c r="E35" s="68" t="s">
        <v>210</v>
      </c>
      <c r="G35" s="94">
        <v>0</v>
      </c>
      <c r="H35" s="94">
        <v>0</v>
      </c>
      <c r="I35" s="94">
        <v>0</v>
      </c>
      <c r="J35" s="95">
        <v>0</v>
      </c>
      <c r="K35" s="90">
        <f t="array" ref="K35:M36">MMULT(AD18:AF19,K40:M40*_xlfn.MUNIT(3))</f>
        <v>30</v>
      </c>
      <c r="L35" s="90">
        <v>0</v>
      </c>
      <c r="M35" s="90">
        <v>0</v>
      </c>
      <c r="N35" s="76"/>
      <c r="V35" s="76"/>
      <c r="W35" s="143">
        <v>30</v>
      </c>
      <c r="AC35" s="77">
        <f t="array" ref="AC35:AC36">W35:W36-MMULT(AD18:AF19,TRANSPOSE(K40:M40))</f>
        <v>0</v>
      </c>
    </row>
    <row r="36" spans="1:29" x14ac:dyDescent="0.25">
      <c r="C36" s="68" t="s">
        <v>215</v>
      </c>
      <c r="D36" s="68" t="s">
        <v>227</v>
      </c>
      <c r="E36" s="68" t="s">
        <v>230</v>
      </c>
      <c r="G36" s="93">
        <v>0</v>
      </c>
      <c r="H36" s="93">
        <v>0</v>
      </c>
      <c r="I36" s="93">
        <v>0</v>
      </c>
      <c r="J36" s="96">
        <v>0</v>
      </c>
      <c r="K36" s="88">
        <v>0</v>
      </c>
      <c r="L36" s="88">
        <v>15</v>
      </c>
      <c r="M36" s="88">
        <v>5</v>
      </c>
      <c r="W36" s="141">
        <v>20</v>
      </c>
      <c r="AC36" s="79">
        <v>0</v>
      </c>
    </row>
    <row r="37" spans="1:29" x14ac:dyDescent="0.25">
      <c r="J37" s="70"/>
      <c r="O37" s="3" t="s">
        <v>238</v>
      </c>
      <c r="U37" s="83"/>
    </row>
    <row r="38" spans="1:29" x14ac:dyDescent="0.25">
      <c r="D38" s="68" t="s">
        <v>234</v>
      </c>
      <c r="O38" s="88">
        <f t="array" ref="O38:S38">MMULT(AH21:AL21,W32:W36*_xlfn.MUNIT(5))</f>
        <v>50.00000029411764</v>
      </c>
      <c r="P38" s="88">
        <v>0</v>
      </c>
      <c r="Q38" s="88">
        <v>60</v>
      </c>
      <c r="R38" s="88">
        <v>0</v>
      </c>
      <c r="S38" s="88">
        <v>10</v>
      </c>
      <c r="U38" s="99">
        <v>1</v>
      </c>
    </row>
    <row r="39" spans="1:29" x14ac:dyDescent="0.25">
      <c r="G39" s="83" t="s">
        <v>71</v>
      </c>
      <c r="J39" s="70"/>
    </row>
    <row r="40" spans="1:29" x14ac:dyDescent="0.25">
      <c r="G40" s="141">
        <v>500</v>
      </c>
      <c r="H40" s="141">
        <v>66.666667000000004</v>
      </c>
      <c r="I40" s="141">
        <v>50</v>
      </c>
      <c r="J40" s="142">
        <v>200</v>
      </c>
      <c r="K40" s="141">
        <v>30</v>
      </c>
      <c r="L40" s="141">
        <v>15</v>
      </c>
      <c r="M40" s="141">
        <v>5</v>
      </c>
    </row>
    <row r="42" spans="1:29" x14ac:dyDescent="0.25">
      <c r="G42" s="83" t="s">
        <v>239</v>
      </c>
    </row>
    <row r="43" spans="1:29" x14ac:dyDescent="0.25">
      <c r="G43" s="80">
        <f t="array" ref="G43:J43">TRANSPOSE(MMULT(AN7:AP10,W32:W34))-G40:J40</f>
        <v>2.9411764330689039E-6</v>
      </c>
      <c r="H43" s="81">
        <v>5.8823516724260116E-8</v>
      </c>
      <c r="I43" s="81">
        <v>0</v>
      </c>
      <c r="J43" s="82">
        <v>0</v>
      </c>
    </row>
  </sheetData>
  <hyperlinks>
    <hyperlink ref="A1" location="Contents!A1" display="Back to contents" xr:uid="{725849CC-A0D5-4451-9B43-15A481182AEC}"/>
  </hyperlink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2032C0-D6CC-428E-A362-8FF09D74A479}">
  <sheetPr>
    <tabColor theme="8" tint="0.59999389629810485"/>
  </sheetPr>
  <dimension ref="A1:AR52"/>
  <sheetViews>
    <sheetView showGridLines="0" zoomScaleNormal="100" workbookViewId="0">
      <pane xSplit="5" ySplit="6" topLeftCell="W7" activePane="bottomRight" state="frozen"/>
      <selection pane="topRight" activeCell="F1" sqref="F1"/>
      <selection pane="bottomLeft" activeCell="A7" sqref="A7"/>
      <selection pane="bottomRight" activeCell="AT28" sqref="AT28"/>
    </sheetView>
  </sheetViews>
  <sheetFormatPr defaultColWidth="9.28515625" defaultRowHeight="15" x14ac:dyDescent="0.25"/>
  <cols>
    <col min="1" max="1" width="4.7109375" style="68" customWidth="1"/>
    <col min="2" max="2" width="5.140625" style="68" customWidth="1"/>
    <col min="3" max="3" width="4.85546875" style="68" bestFit="1" customWidth="1"/>
    <col min="4" max="4" width="13.7109375" style="68" bestFit="1" customWidth="1"/>
    <col min="5" max="5" width="5.7109375" style="68" bestFit="1" customWidth="1"/>
    <col min="6" max="6" width="3.5703125" style="68" customWidth="1"/>
    <col min="7" max="9" width="4.7109375" style="68" customWidth="1"/>
    <col min="10" max="10" width="4.28515625" style="68" bestFit="1" customWidth="1"/>
    <col min="11" max="53" width="4.7109375" style="68" customWidth="1"/>
    <col min="54" max="16384" width="9.28515625" style="68"/>
  </cols>
  <sheetData>
    <row r="1" spans="1:44" x14ac:dyDescent="0.25">
      <c r="A1" s="102" t="s">
        <v>285</v>
      </c>
    </row>
    <row r="2" spans="1:44" x14ac:dyDescent="0.25">
      <c r="A2" s="144" t="s">
        <v>255</v>
      </c>
      <c r="B2" s="144"/>
      <c r="C2" s="144"/>
      <c r="D2" s="144"/>
      <c r="E2" s="144"/>
      <c r="G2" s="68" t="s">
        <v>257</v>
      </c>
      <c r="K2" s="68" t="s">
        <v>256</v>
      </c>
    </row>
    <row r="3" spans="1:44" x14ac:dyDescent="0.25">
      <c r="A3" s="144"/>
      <c r="B3" s="144" t="s">
        <v>0</v>
      </c>
      <c r="C3" s="144"/>
      <c r="D3" s="144"/>
      <c r="E3" s="144"/>
      <c r="G3" s="68" t="s">
        <v>3</v>
      </c>
      <c r="H3" s="68" t="s">
        <v>4</v>
      </c>
      <c r="I3" s="68" t="s">
        <v>242</v>
      </c>
      <c r="J3" s="68" t="s">
        <v>246</v>
      </c>
      <c r="K3" s="68" t="s">
        <v>247</v>
      </c>
      <c r="L3" s="68" t="s">
        <v>244</v>
      </c>
      <c r="M3" s="68" t="s">
        <v>245</v>
      </c>
      <c r="Z3" s="68" t="s">
        <v>3</v>
      </c>
      <c r="AA3" s="68" t="s">
        <v>4</v>
      </c>
      <c r="AB3" s="68" t="s">
        <v>242</v>
      </c>
      <c r="AC3" s="68" t="s">
        <v>246</v>
      </c>
      <c r="AD3" s="68" t="s">
        <v>247</v>
      </c>
      <c r="AE3" s="68" t="s">
        <v>244</v>
      </c>
      <c r="AF3" s="68" t="s">
        <v>245</v>
      </c>
    </row>
    <row r="4" spans="1:44" x14ac:dyDescent="0.25">
      <c r="A4" s="144"/>
      <c r="B4" s="144"/>
      <c r="C4" s="144" t="s">
        <v>213</v>
      </c>
      <c r="D4" s="144"/>
      <c r="E4" s="144"/>
      <c r="O4" s="68" t="s">
        <v>7</v>
      </c>
      <c r="P4" s="68" t="s">
        <v>9</v>
      </c>
      <c r="Q4" s="68" t="s">
        <v>10</v>
      </c>
      <c r="R4" s="68" t="s">
        <v>214</v>
      </c>
      <c r="S4" s="68" t="s">
        <v>215</v>
      </c>
      <c r="U4" s="68" t="s">
        <v>20</v>
      </c>
      <c r="AH4" s="68" t="s">
        <v>7</v>
      </c>
      <c r="AI4" s="68" t="s">
        <v>9</v>
      </c>
      <c r="AJ4" s="68" t="s">
        <v>10</v>
      </c>
      <c r="AK4" s="68" t="s">
        <v>214</v>
      </c>
      <c r="AL4" s="68" t="s">
        <v>215</v>
      </c>
      <c r="AN4" s="68" t="s">
        <v>7</v>
      </c>
      <c r="AO4" s="68" t="s">
        <v>9</v>
      </c>
      <c r="AP4" s="68" t="s">
        <v>10</v>
      </c>
      <c r="AQ4" s="68" t="s">
        <v>214</v>
      </c>
      <c r="AR4" s="68" t="s">
        <v>215</v>
      </c>
    </row>
    <row r="5" spans="1:44" x14ac:dyDescent="0.25">
      <c r="A5" s="144"/>
      <c r="B5" s="144"/>
      <c r="C5" s="144"/>
      <c r="D5" s="144" t="s">
        <v>2</v>
      </c>
      <c r="G5" s="69"/>
      <c r="H5" s="69"/>
      <c r="I5" s="69"/>
      <c r="J5" s="69"/>
      <c r="K5" s="69"/>
      <c r="L5" s="69"/>
      <c r="M5" s="69"/>
      <c r="N5" s="69"/>
      <c r="O5" s="69"/>
      <c r="P5" s="69"/>
      <c r="Q5" s="69"/>
      <c r="R5" s="69"/>
      <c r="S5" s="69"/>
      <c r="U5" s="68" t="s">
        <v>188</v>
      </c>
      <c r="Z5" s="69"/>
      <c r="AA5" s="69"/>
      <c r="AB5" s="69"/>
      <c r="AC5" s="69"/>
      <c r="AD5" s="69"/>
      <c r="AE5" s="69"/>
      <c r="AF5" s="69"/>
      <c r="AG5" s="69"/>
      <c r="AH5" s="69"/>
      <c r="AI5" s="69"/>
      <c r="AJ5" s="69"/>
      <c r="AK5" s="69"/>
      <c r="AL5" s="69"/>
      <c r="AM5" s="69"/>
      <c r="AN5" s="69"/>
      <c r="AO5" s="69"/>
      <c r="AP5" s="69"/>
      <c r="AQ5" s="69"/>
      <c r="AR5" s="69"/>
    </row>
    <row r="6" spans="1:44" x14ac:dyDescent="0.25">
      <c r="A6" s="144"/>
      <c r="B6" s="144"/>
      <c r="C6" s="144"/>
      <c r="D6" s="144"/>
      <c r="E6" s="144" t="s">
        <v>137</v>
      </c>
      <c r="G6" s="69"/>
      <c r="H6" s="69"/>
      <c r="I6" s="69"/>
      <c r="J6" s="69"/>
      <c r="K6" s="69"/>
      <c r="L6" s="69"/>
      <c r="M6" s="69"/>
      <c r="N6" s="69"/>
      <c r="O6" s="69"/>
      <c r="P6" s="69"/>
      <c r="Q6" s="69"/>
      <c r="R6" s="69"/>
      <c r="S6" s="69"/>
      <c r="Z6" s="69"/>
      <c r="AA6" s="69"/>
      <c r="AB6" s="69"/>
      <c r="AC6" s="69"/>
      <c r="AD6" s="69"/>
      <c r="AE6" s="69"/>
      <c r="AF6" s="69"/>
      <c r="AG6" s="69"/>
      <c r="AH6" s="69"/>
      <c r="AI6" s="69"/>
      <c r="AJ6" s="69"/>
      <c r="AK6" s="69"/>
      <c r="AL6" s="69"/>
      <c r="AM6" s="69"/>
      <c r="AN6" s="69"/>
      <c r="AO6" s="69"/>
      <c r="AP6" s="69"/>
      <c r="AQ6" s="69"/>
      <c r="AR6" s="69"/>
    </row>
    <row r="7" spans="1:44" x14ac:dyDescent="0.25">
      <c r="N7" s="69"/>
      <c r="O7" s="83" t="s">
        <v>77</v>
      </c>
      <c r="U7" s="83" t="s">
        <v>14</v>
      </c>
      <c r="W7" s="83" t="s">
        <v>240</v>
      </c>
      <c r="AH7" s="83" t="s">
        <v>228</v>
      </c>
      <c r="AN7" s="83" t="s">
        <v>229</v>
      </c>
    </row>
    <row r="8" spans="1:44" x14ac:dyDescent="0.25">
      <c r="B8" s="68" t="s">
        <v>3</v>
      </c>
      <c r="D8" s="68" t="s">
        <v>216</v>
      </c>
      <c r="E8" s="68" t="s">
        <v>210</v>
      </c>
      <c r="N8" s="69"/>
      <c r="O8" s="71">
        <v>0</v>
      </c>
      <c r="P8" s="71">
        <v>50</v>
      </c>
      <c r="Q8" s="71">
        <v>100</v>
      </c>
      <c r="R8" s="71">
        <v>0</v>
      </c>
      <c r="S8" s="71">
        <v>0</v>
      </c>
      <c r="U8" s="71">
        <v>0</v>
      </c>
      <c r="W8" s="88">
        <f>SUM(O8:S8,U8)</f>
        <v>150</v>
      </c>
      <c r="AH8" s="89">
        <f t="array" ref="AH8:AL14">MMULT(O8:S14,MINVERSE(W16:W20*_xlfn.MUNIT(5)))</f>
        <v>0</v>
      </c>
      <c r="AI8" s="89">
        <v>1.25</v>
      </c>
      <c r="AJ8" s="89">
        <v>2</v>
      </c>
      <c r="AK8" s="89">
        <v>0</v>
      </c>
      <c r="AL8" s="89">
        <v>0</v>
      </c>
      <c r="AN8" s="89">
        <f t="array" ref="AN8:AR14">MMULT(TRANSPOSE(G16:M20),MINVERSE(W16:W20*_xlfn.MUNIT(5)))</f>
        <v>0.88235294117647056</v>
      </c>
      <c r="AO8" s="89">
        <v>0</v>
      </c>
      <c r="AP8" s="89">
        <v>0</v>
      </c>
      <c r="AQ8" s="89">
        <v>0</v>
      </c>
      <c r="AR8" s="89">
        <v>0</v>
      </c>
    </row>
    <row r="9" spans="1:44" x14ac:dyDescent="0.25">
      <c r="B9" s="68" t="s">
        <v>4</v>
      </c>
      <c r="D9" s="68" t="s">
        <v>217</v>
      </c>
      <c r="E9" s="68" t="s">
        <v>210</v>
      </c>
      <c r="N9" s="69"/>
      <c r="O9" s="71">
        <v>0</v>
      </c>
      <c r="P9" s="71">
        <v>0</v>
      </c>
      <c r="Q9" s="71">
        <v>0</v>
      </c>
      <c r="R9" s="71">
        <v>0</v>
      </c>
      <c r="S9" s="71">
        <v>0</v>
      </c>
      <c r="U9" s="71">
        <v>20</v>
      </c>
      <c r="W9" s="88">
        <f t="shared" ref="W9:W14" si="0">SUM(O9:S9,U9)</f>
        <v>20</v>
      </c>
      <c r="AH9" s="89">
        <v>0</v>
      </c>
      <c r="AI9" s="89">
        <v>0</v>
      </c>
      <c r="AJ9" s="89">
        <v>0</v>
      </c>
      <c r="AK9" s="89">
        <v>0</v>
      </c>
      <c r="AL9" s="89">
        <v>0</v>
      </c>
      <c r="AN9" s="89">
        <v>0.11764705882352941</v>
      </c>
      <c r="AO9" s="89">
        <v>0</v>
      </c>
      <c r="AP9" s="89">
        <v>0</v>
      </c>
      <c r="AQ9" s="89">
        <v>0</v>
      </c>
      <c r="AR9" s="89">
        <v>0</v>
      </c>
    </row>
    <row r="10" spans="1:44" x14ac:dyDescent="0.25">
      <c r="B10" s="68" t="s">
        <v>242</v>
      </c>
      <c r="D10" s="68" t="s">
        <v>218</v>
      </c>
      <c r="E10" s="68" t="s">
        <v>210</v>
      </c>
      <c r="N10" s="69"/>
      <c r="O10" s="71">
        <v>0</v>
      </c>
      <c r="P10" s="71">
        <v>0</v>
      </c>
      <c r="Q10" s="71">
        <v>0</v>
      </c>
      <c r="R10" s="71">
        <v>0</v>
      </c>
      <c r="S10" s="71">
        <v>0</v>
      </c>
      <c r="U10" s="71">
        <v>50</v>
      </c>
      <c r="W10" s="88">
        <f t="shared" si="0"/>
        <v>50</v>
      </c>
      <c r="AH10" s="89">
        <v>0</v>
      </c>
      <c r="AI10" s="89">
        <v>0</v>
      </c>
      <c r="AJ10" s="89">
        <v>0</v>
      </c>
      <c r="AK10" s="89">
        <v>0</v>
      </c>
      <c r="AL10" s="89">
        <v>0</v>
      </c>
      <c r="AN10" s="89">
        <v>0</v>
      </c>
      <c r="AO10" s="89">
        <v>1</v>
      </c>
      <c r="AP10" s="89">
        <v>0.2</v>
      </c>
      <c r="AQ10" s="89">
        <v>0</v>
      </c>
      <c r="AR10" s="89">
        <v>0</v>
      </c>
    </row>
    <row r="11" spans="1:44" x14ac:dyDescent="0.25">
      <c r="B11" s="68" t="s">
        <v>246</v>
      </c>
      <c r="D11" s="68" t="s">
        <v>219</v>
      </c>
      <c r="E11" s="68" t="s">
        <v>210</v>
      </c>
      <c r="N11" s="69"/>
      <c r="O11" s="71">
        <v>0</v>
      </c>
      <c r="P11" s="71">
        <v>0</v>
      </c>
      <c r="Q11" s="71">
        <v>0</v>
      </c>
      <c r="R11" s="71">
        <v>0</v>
      </c>
      <c r="S11" s="71">
        <v>40</v>
      </c>
      <c r="U11" s="71">
        <v>0</v>
      </c>
      <c r="W11" s="88">
        <f t="shared" si="0"/>
        <v>40</v>
      </c>
      <c r="AH11" s="89">
        <v>0</v>
      </c>
      <c r="AI11" s="89">
        <v>0</v>
      </c>
      <c r="AJ11" s="89">
        <v>0</v>
      </c>
      <c r="AK11" s="89">
        <v>0</v>
      </c>
      <c r="AL11" s="89">
        <v>2</v>
      </c>
      <c r="AN11" s="89">
        <v>0</v>
      </c>
      <c r="AO11" s="89">
        <v>0</v>
      </c>
      <c r="AP11" s="89">
        <v>0.8</v>
      </c>
      <c r="AQ11" s="89">
        <v>0</v>
      </c>
      <c r="AR11" s="89">
        <v>0</v>
      </c>
    </row>
    <row r="12" spans="1:44" x14ac:dyDescent="0.25">
      <c r="B12" s="68" t="s">
        <v>247</v>
      </c>
      <c r="D12" s="68" t="s">
        <v>220</v>
      </c>
      <c r="E12" s="68" t="s">
        <v>210</v>
      </c>
      <c r="N12" s="69"/>
      <c r="O12" s="71">
        <v>0</v>
      </c>
      <c r="P12" s="71">
        <v>0</v>
      </c>
      <c r="Q12" s="71">
        <v>0</v>
      </c>
      <c r="R12" s="71">
        <v>0</v>
      </c>
      <c r="S12" s="71">
        <v>30</v>
      </c>
      <c r="U12" s="71">
        <v>0</v>
      </c>
      <c r="W12" s="88">
        <f t="shared" si="0"/>
        <v>30</v>
      </c>
      <c r="AH12" s="89">
        <v>0</v>
      </c>
      <c r="AI12" s="89">
        <v>0</v>
      </c>
      <c r="AJ12" s="89">
        <v>0</v>
      </c>
      <c r="AK12" s="89">
        <v>0</v>
      </c>
      <c r="AL12" s="89">
        <v>1.5</v>
      </c>
      <c r="AN12" s="89">
        <v>0</v>
      </c>
      <c r="AO12" s="89">
        <v>0</v>
      </c>
      <c r="AP12" s="89">
        <v>0</v>
      </c>
      <c r="AQ12" s="89">
        <v>1</v>
      </c>
      <c r="AR12" s="89">
        <v>0</v>
      </c>
    </row>
    <row r="13" spans="1:44" x14ac:dyDescent="0.25">
      <c r="B13" s="68" t="s">
        <v>244</v>
      </c>
      <c r="D13" s="68" t="s">
        <v>221</v>
      </c>
      <c r="E13" s="68" t="s">
        <v>230</v>
      </c>
      <c r="N13" s="69"/>
      <c r="O13" s="71">
        <v>0</v>
      </c>
      <c r="P13" s="71">
        <v>0</v>
      </c>
      <c r="Q13" s="71">
        <v>0</v>
      </c>
      <c r="R13" s="71">
        <v>0</v>
      </c>
      <c r="S13" s="71">
        <v>0</v>
      </c>
      <c r="U13" s="71">
        <v>15</v>
      </c>
      <c r="W13" s="88">
        <f t="shared" si="0"/>
        <v>15</v>
      </c>
      <c r="AH13" s="89">
        <v>0</v>
      </c>
      <c r="AI13" s="89">
        <v>0</v>
      </c>
      <c r="AJ13" s="89">
        <v>0</v>
      </c>
      <c r="AK13" s="89">
        <v>0</v>
      </c>
      <c r="AL13" s="89">
        <v>0</v>
      </c>
      <c r="AN13" s="89">
        <v>0</v>
      </c>
      <c r="AO13" s="89">
        <v>0</v>
      </c>
      <c r="AP13" s="89">
        <v>0</v>
      </c>
      <c r="AQ13" s="89">
        <v>0</v>
      </c>
      <c r="AR13" s="89">
        <v>0.75</v>
      </c>
    </row>
    <row r="14" spans="1:44" x14ac:dyDescent="0.25">
      <c r="B14" s="68" t="s">
        <v>245</v>
      </c>
      <c r="D14" s="68" t="s">
        <v>222</v>
      </c>
      <c r="E14" s="68" t="s">
        <v>230</v>
      </c>
      <c r="N14" s="69"/>
      <c r="O14" s="71">
        <v>0</v>
      </c>
      <c r="P14" s="71">
        <v>0</v>
      </c>
      <c r="Q14" s="71">
        <v>0</v>
      </c>
      <c r="R14" s="71">
        <v>0</v>
      </c>
      <c r="S14" s="71">
        <v>0</v>
      </c>
      <c r="U14" s="71">
        <v>5</v>
      </c>
      <c r="W14" s="88">
        <f t="shared" si="0"/>
        <v>5</v>
      </c>
      <c r="AH14" s="89">
        <v>0</v>
      </c>
      <c r="AI14" s="89">
        <v>0</v>
      </c>
      <c r="AJ14" s="89">
        <v>0</v>
      </c>
      <c r="AK14" s="89">
        <v>0</v>
      </c>
      <c r="AL14" s="89">
        <v>0</v>
      </c>
      <c r="AN14" s="89">
        <v>0</v>
      </c>
      <c r="AO14" s="89">
        <v>0</v>
      </c>
      <c r="AP14" s="89">
        <v>0</v>
      </c>
      <c r="AQ14" s="89">
        <v>0</v>
      </c>
      <c r="AR14" s="89">
        <v>0.25</v>
      </c>
    </row>
    <row r="15" spans="1:44" x14ac:dyDescent="0.25">
      <c r="G15" s="83" t="s">
        <v>76</v>
      </c>
      <c r="J15" s="70"/>
      <c r="N15" s="69"/>
      <c r="W15" s="83" t="s">
        <v>241</v>
      </c>
      <c r="Z15" s="83" t="s">
        <v>231</v>
      </c>
    </row>
    <row r="16" spans="1:44" x14ac:dyDescent="0.25">
      <c r="A16" s="68" t="s">
        <v>257</v>
      </c>
      <c r="C16" s="68" t="s">
        <v>7</v>
      </c>
      <c r="D16" s="68" t="s">
        <v>223</v>
      </c>
      <c r="E16" s="68" t="s">
        <v>210</v>
      </c>
      <c r="G16" s="71">
        <v>150</v>
      </c>
      <c r="H16" s="71">
        <v>20</v>
      </c>
      <c r="I16" s="71">
        <v>0</v>
      </c>
      <c r="J16" s="72">
        <v>0</v>
      </c>
      <c r="K16" s="71">
        <v>0</v>
      </c>
      <c r="L16" s="71">
        <v>0</v>
      </c>
      <c r="M16" s="71">
        <v>0</v>
      </c>
      <c r="N16" s="69"/>
      <c r="W16" s="88">
        <f>SUM(G16:M16)</f>
        <v>170</v>
      </c>
      <c r="Z16" s="89">
        <f t="array" ref="Z16:AF20">MMULT(G16:M20,MINVERSE(W8:W14*_xlfn.MUNIT(7)))</f>
        <v>1</v>
      </c>
      <c r="AA16" s="89">
        <v>1</v>
      </c>
      <c r="AB16" s="89">
        <v>0</v>
      </c>
      <c r="AC16" s="89">
        <v>0</v>
      </c>
      <c r="AD16" s="89">
        <v>0</v>
      </c>
      <c r="AE16" s="89">
        <v>0</v>
      </c>
      <c r="AF16" s="89">
        <v>0</v>
      </c>
    </row>
    <row r="17" spans="1:38" x14ac:dyDescent="0.25">
      <c r="C17" s="68" t="s">
        <v>9</v>
      </c>
      <c r="D17" s="68" t="s">
        <v>224</v>
      </c>
      <c r="E17" s="68" t="s">
        <v>210</v>
      </c>
      <c r="G17" s="71">
        <v>0</v>
      </c>
      <c r="H17" s="71">
        <v>0</v>
      </c>
      <c r="I17" s="71">
        <v>40</v>
      </c>
      <c r="J17" s="72">
        <v>0</v>
      </c>
      <c r="K17" s="71">
        <v>0</v>
      </c>
      <c r="L17" s="71">
        <v>0</v>
      </c>
      <c r="M17" s="71">
        <v>0</v>
      </c>
      <c r="N17" s="69"/>
      <c r="W17" s="88">
        <f t="shared" ref="W17:W20" si="1">SUM(G17:M17)</f>
        <v>40</v>
      </c>
      <c r="Z17" s="89">
        <v>0</v>
      </c>
      <c r="AA17" s="89">
        <v>0</v>
      </c>
      <c r="AB17" s="89">
        <v>0.8</v>
      </c>
      <c r="AC17" s="89">
        <v>0</v>
      </c>
      <c r="AD17" s="89">
        <v>0</v>
      </c>
      <c r="AE17" s="89">
        <v>0</v>
      </c>
      <c r="AF17" s="89">
        <v>0</v>
      </c>
    </row>
    <row r="18" spans="1:38" x14ac:dyDescent="0.25">
      <c r="A18" s="68" t="s">
        <v>256</v>
      </c>
      <c r="C18" s="68" t="s">
        <v>10</v>
      </c>
      <c r="D18" s="68" t="s">
        <v>225</v>
      </c>
      <c r="E18" s="68" t="s">
        <v>210</v>
      </c>
      <c r="G18" s="71">
        <v>0</v>
      </c>
      <c r="H18" s="71">
        <v>0</v>
      </c>
      <c r="I18" s="71">
        <v>10</v>
      </c>
      <c r="J18" s="72">
        <v>40</v>
      </c>
      <c r="K18" s="71">
        <v>0</v>
      </c>
      <c r="L18" s="71">
        <v>0</v>
      </c>
      <c r="M18" s="71">
        <v>0</v>
      </c>
      <c r="N18" s="69"/>
      <c r="W18" s="88">
        <f t="shared" si="1"/>
        <v>50</v>
      </c>
      <c r="X18" s="87"/>
      <c r="Z18" s="89">
        <v>0</v>
      </c>
      <c r="AA18" s="89">
        <v>0</v>
      </c>
      <c r="AB18" s="89">
        <v>0.2</v>
      </c>
      <c r="AC18" s="89">
        <v>1</v>
      </c>
      <c r="AD18" s="89">
        <v>0</v>
      </c>
      <c r="AE18" s="89">
        <v>0</v>
      </c>
      <c r="AF18" s="89">
        <v>0</v>
      </c>
    </row>
    <row r="19" spans="1:38" x14ac:dyDescent="0.25">
      <c r="C19" s="68" t="s">
        <v>214</v>
      </c>
      <c r="D19" s="68" t="s">
        <v>226</v>
      </c>
      <c r="E19" s="68" t="s">
        <v>210</v>
      </c>
      <c r="G19" s="73">
        <v>0</v>
      </c>
      <c r="H19" s="73">
        <v>0</v>
      </c>
      <c r="I19" s="73">
        <v>0</v>
      </c>
      <c r="J19" s="74">
        <v>0</v>
      </c>
      <c r="K19" s="73">
        <v>30</v>
      </c>
      <c r="L19" s="73">
        <v>0</v>
      </c>
      <c r="M19" s="73">
        <v>0</v>
      </c>
      <c r="N19" s="75"/>
      <c r="V19" s="76"/>
      <c r="W19" s="90">
        <f t="shared" si="1"/>
        <v>30</v>
      </c>
      <c r="Z19" s="89">
        <v>0</v>
      </c>
      <c r="AA19" s="89">
        <v>0</v>
      </c>
      <c r="AB19" s="89">
        <v>0</v>
      </c>
      <c r="AC19" s="89">
        <v>0</v>
      </c>
      <c r="AD19" s="89">
        <v>1</v>
      </c>
      <c r="AE19" s="89">
        <v>0</v>
      </c>
      <c r="AF19" s="89">
        <v>0</v>
      </c>
    </row>
    <row r="20" spans="1:38" x14ac:dyDescent="0.25">
      <c r="C20" s="68" t="s">
        <v>215</v>
      </c>
      <c r="D20" s="68" t="s">
        <v>227</v>
      </c>
      <c r="E20" s="68" t="s">
        <v>230</v>
      </c>
      <c r="G20" s="71">
        <v>0</v>
      </c>
      <c r="H20" s="71">
        <v>0</v>
      </c>
      <c r="I20" s="71">
        <v>0</v>
      </c>
      <c r="J20" s="72">
        <v>0</v>
      </c>
      <c r="K20" s="71">
        <v>0</v>
      </c>
      <c r="L20" s="71">
        <v>15</v>
      </c>
      <c r="M20" s="71">
        <v>5</v>
      </c>
      <c r="N20" s="69"/>
      <c r="W20" s="88">
        <f t="shared" si="1"/>
        <v>20</v>
      </c>
      <c r="Z20" s="89">
        <v>0</v>
      </c>
      <c r="AA20" s="89">
        <v>0</v>
      </c>
      <c r="AB20" s="89">
        <v>0</v>
      </c>
      <c r="AC20" s="89">
        <v>0</v>
      </c>
      <c r="AD20" s="89">
        <v>0</v>
      </c>
      <c r="AE20" s="89">
        <v>1</v>
      </c>
      <c r="AF20" s="89">
        <v>1</v>
      </c>
    </row>
    <row r="21" spans="1:38" x14ac:dyDescent="0.25">
      <c r="J21" s="70"/>
      <c r="N21" s="69"/>
      <c r="O21" s="83" t="s">
        <v>232</v>
      </c>
      <c r="AH21" s="83" t="s">
        <v>233</v>
      </c>
    </row>
    <row r="22" spans="1:38" x14ac:dyDescent="0.25">
      <c r="D22" s="68" t="s">
        <v>234</v>
      </c>
      <c r="N22" s="69"/>
      <c r="O22" s="71">
        <v>15</v>
      </c>
      <c r="P22" s="71">
        <v>7</v>
      </c>
      <c r="Q22" s="71">
        <v>12</v>
      </c>
      <c r="R22" s="71">
        <v>0</v>
      </c>
      <c r="S22" s="71">
        <v>10</v>
      </c>
      <c r="AH22" s="89">
        <f t="array" ref="AH22:AL22">MMULT(O22:S22,MINVERSE(W16:W20*_xlfn.MUNIT(5)))</f>
        <v>8.8235294117647051E-2</v>
      </c>
      <c r="AI22" s="89">
        <v>0.17500000000000002</v>
      </c>
      <c r="AJ22" s="89">
        <v>0.24</v>
      </c>
      <c r="AK22" s="89">
        <v>0</v>
      </c>
      <c r="AL22" s="89">
        <v>0.5</v>
      </c>
    </row>
    <row r="24" spans="1:38" x14ac:dyDescent="0.25">
      <c r="G24" s="83" t="s">
        <v>138</v>
      </c>
      <c r="J24" s="70"/>
      <c r="O24" s="83" t="s">
        <v>249</v>
      </c>
    </row>
    <row r="25" spans="1:38" x14ac:dyDescent="0.25">
      <c r="B25" s="68" t="s">
        <v>3</v>
      </c>
      <c r="D25" s="68" t="s">
        <v>216</v>
      </c>
      <c r="E25" s="68" t="s">
        <v>210</v>
      </c>
      <c r="G25" s="84">
        <v>1</v>
      </c>
      <c r="H25" s="84">
        <v>0</v>
      </c>
      <c r="I25" s="84">
        <v>0</v>
      </c>
      <c r="J25" s="85">
        <v>0</v>
      </c>
      <c r="K25" s="84">
        <v>0</v>
      </c>
      <c r="L25" s="84">
        <v>0</v>
      </c>
      <c r="M25" s="84">
        <v>0</v>
      </c>
      <c r="O25" s="89">
        <f t="array" ref="O25:S30">MMULT(G25:M30,AH8:AL14)</f>
        <v>0</v>
      </c>
      <c r="P25" s="89">
        <v>1.25</v>
      </c>
      <c r="Q25" s="89">
        <v>2</v>
      </c>
      <c r="R25" s="89">
        <v>0</v>
      </c>
      <c r="S25" s="89">
        <v>0</v>
      </c>
    </row>
    <row r="26" spans="1:38" x14ac:dyDescent="0.25">
      <c r="B26" s="68" t="s">
        <v>4</v>
      </c>
      <c r="D26" s="68" t="s">
        <v>217</v>
      </c>
      <c r="E26" s="68" t="s">
        <v>210</v>
      </c>
      <c r="G26" s="84">
        <v>0</v>
      </c>
      <c r="H26" s="84">
        <v>1</v>
      </c>
      <c r="I26" s="84">
        <v>0</v>
      </c>
      <c r="J26" s="85">
        <v>0</v>
      </c>
      <c r="K26" s="84">
        <v>0</v>
      </c>
      <c r="L26" s="84">
        <v>0</v>
      </c>
      <c r="M26" s="84">
        <v>0</v>
      </c>
      <c r="O26" s="89">
        <v>0</v>
      </c>
      <c r="P26" s="89">
        <v>0</v>
      </c>
      <c r="Q26" s="89">
        <v>0</v>
      </c>
      <c r="R26" s="89">
        <v>0</v>
      </c>
      <c r="S26" s="89">
        <v>0</v>
      </c>
    </row>
    <row r="27" spans="1:38" x14ac:dyDescent="0.25">
      <c r="B27" s="68" t="s">
        <v>242</v>
      </c>
      <c r="D27" s="68" t="s">
        <v>218</v>
      </c>
      <c r="E27" s="68" t="s">
        <v>210</v>
      </c>
      <c r="G27" s="84">
        <v>0</v>
      </c>
      <c r="H27" s="84">
        <v>0</v>
      </c>
      <c r="I27" s="84">
        <v>1</v>
      </c>
      <c r="J27" s="85">
        <v>0</v>
      </c>
      <c r="K27" s="84">
        <v>0</v>
      </c>
      <c r="L27" s="84">
        <v>0</v>
      </c>
      <c r="M27" s="84">
        <v>0</v>
      </c>
      <c r="O27" s="89">
        <v>0</v>
      </c>
      <c r="P27" s="89">
        <v>0</v>
      </c>
      <c r="Q27" s="89">
        <v>0</v>
      </c>
      <c r="R27" s="89">
        <v>0</v>
      </c>
      <c r="S27" s="89">
        <v>0</v>
      </c>
    </row>
    <row r="28" spans="1:38" x14ac:dyDescent="0.25">
      <c r="B28" s="68" t="s">
        <v>243</v>
      </c>
      <c r="D28" s="68" t="s">
        <v>209</v>
      </c>
      <c r="E28" s="68" t="s">
        <v>210</v>
      </c>
      <c r="G28" s="84">
        <v>0</v>
      </c>
      <c r="H28" s="84">
        <v>0</v>
      </c>
      <c r="I28" s="84">
        <v>0</v>
      </c>
      <c r="J28" s="85">
        <v>1</v>
      </c>
      <c r="K28" s="84">
        <v>1</v>
      </c>
      <c r="L28" s="84">
        <v>0</v>
      </c>
      <c r="M28" s="84">
        <v>0</v>
      </c>
      <c r="O28" s="89">
        <v>0</v>
      </c>
      <c r="P28" s="89">
        <v>0</v>
      </c>
      <c r="Q28" s="89">
        <v>0</v>
      </c>
      <c r="R28" s="89">
        <v>0</v>
      </c>
      <c r="S28" s="89">
        <v>3.5</v>
      </c>
    </row>
    <row r="29" spans="1:38" x14ac:dyDescent="0.25">
      <c r="B29" s="68" t="s">
        <v>244</v>
      </c>
      <c r="D29" s="68" t="s">
        <v>221</v>
      </c>
      <c r="E29" s="68" t="s">
        <v>230</v>
      </c>
      <c r="G29" s="84">
        <v>0</v>
      </c>
      <c r="H29" s="84">
        <v>0</v>
      </c>
      <c r="I29" s="84">
        <v>0</v>
      </c>
      <c r="J29" s="85">
        <v>0</v>
      </c>
      <c r="K29" s="84">
        <v>0</v>
      </c>
      <c r="L29" s="84">
        <v>1</v>
      </c>
      <c r="M29" s="84">
        <v>0</v>
      </c>
      <c r="O29" s="89">
        <v>0</v>
      </c>
      <c r="P29" s="89">
        <v>0</v>
      </c>
      <c r="Q29" s="89">
        <v>0</v>
      </c>
      <c r="R29" s="89">
        <v>0</v>
      </c>
      <c r="S29" s="89">
        <v>0</v>
      </c>
    </row>
    <row r="30" spans="1:38" x14ac:dyDescent="0.25">
      <c r="B30" s="68" t="s">
        <v>245</v>
      </c>
      <c r="D30" s="68" t="s">
        <v>222</v>
      </c>
      <c r="E30" s="68" t="s">
        <v>230</v>
      </c>
      <c r="G30" s="84">
        <v>0</v>
      </c>
      <c r="H30" s="84">
        <v>0</v>
      </c>
      <c r="I30" s="84">
        <v>0</v>
      </c>
      <c r="J30" s="85">
        <v>0</v>
      </c>
      <c r="K30" s="84">
        <v>0</v>
      </c>
      <c r="L30" s="84">
        <v>0</v>
      </c>
      <c r="M30" s="84">
        <v>1</v>
      </c>
      <c r="O30" s="89">
        <v>0</v>
      </c>
      <c r="P30" s="89">
        <v>0</v>
      </c>
      <c r="Q30" s="89">
        <v>0</v>
      </c>
      <c r="R30" s="89">
        <v>0</v>
      </c>
      <c r="S30" s="89">
        <v>0</v>
      </c>
    </row>
    <row r="31" spans="1:38" x14ac:dyDescent="0.25">
      <c r="J31" s="70"/>
    </row>
    <row r="32" spans="1:38" x14ac:dyDescent="0.25">
      <c r="O32" s="3" t="s">
        <v>250</v>
      </c>
      <c r="U32" s="83" t="s">
        <v>252</v>
      </c>
      <c r="W32" s="83" t="s">
        <v>253</v>
      </c>
      <c r="Y32" s="83" t="s">
        <v>254</v>
      </c>
      <c r="AC32" s="86" t="s">
        <v>251</v>
      </c>
    </row>
    <row r="33" spans="1:29" x14ac:dyDescent="0.25">
      <c r="B33" s="68" t="s">
        <v>3</v>
      </c>
      <c r="D33" s="68" t="s">
        <v>216</v>
      </c>
      <c r="E33" s="68" t="s">
        <v>210</v>
      </c>
      <c r="O33" s="88">
        <f t="array" ref="O33:S38">MMULT(O25:S30,W41:W45*_xlfn.MUNIT(5))</f>
        <v>0</v>
      </c>
      <c r="P33" s="88">
        <v>62.5</v>
      </c>
      <c r="Q33" s="88">
        <v>0</v>
      </c>
      <c r="R33" s="88">
        <v>0</v>
      </c>
      <c r="S33" s="88">
        <v>0</v>
      </c>
      <c r="U33" s="88" cm="1">
        <f t="array" ref="U33:U38">MMULT(G25:M30,U8:U14)</f>
        <v>0</v>
      </c>
      <c r="W33" s="141">
        <v>87.5</v>
      </c>
      <c r="Y33" s="88">
        <f t="array" ref="Y33:Y38">MMULT(G25:M30,TRANSPOSE(G49:M49))</f>
        <v>150</v>
      </c>
      <c r="AC33" s="77">
        <f t="array" ref="AC33:AC38">Y33:Y38-MMULT(O25:S30,W41:W45)-U33:U38-W33:W38</f>
        <v>0</v>
      </c>
    </row>
    <row r="34" spans="1:29" x14ac:dyDescent="0.25">
      <c r="B34" s="68" t="s">
        <v>4</v>
      </c>
      <c r="D34" s="68" t="s">
        <v>217</v>
      </c>
      <c r="E34" s="68" t="s">
        <v>210</v>
      </c>
      <c r="O34" s="88">
        <v>0</v>
      </c>
      <c r="P34" s="88">
        <v>0</v>
      </c>
      <c r="Q34" s="88">
        <v>0</v>
      </c>
      <c r="R34" s="88">
        <v>0</v>
      </c>
      <c r="S34" s="88">
        <v>0</v>
      </c>
      <c r="U34" s="88">
        <v>20</v>
      </c>
      <c r="W34" s="141">
        <v>0</v>
      </c>
      <c r="Y34" s="88">
        <v>20</v>
      </c>
      <c r="AC34" s="78">
        <v>0</v>
      </c>
    </row>
    <row r="35" spans="1:29" x14ac:dyDescent="0.25">
      <c r="B35" s="68" t="s">
        <v>242</v>
      </c>
      <c r="D35" s="68" t="s">
        <v>218</v>
      </c>
      <c r="E35" s="68" t="s">
        <v>210</v>
      </c>
      <c r="O35" s="88">
        <v>0</v>
      </c>
      <c r="P35" s="88">
        <v>0</v>
      </c>
      <c r="Q35" s="88">
        <v>0</v>
      </c>
      <c r="R35" s="88">
        <v>0</v>
      </c>
      <c r="S35" s="88">
        <v>0</v>
      </c>
      <c r="U35" s="88">
        <v>50</v>
      </c>
      <c r="W35" s="141">
        <v>0</v>
      </c>
      <c r="Y35" s="88">
        <v>50</v>
      </c>
      <c r="AC35" s="78">
        <v>0</v>
      </c>
    </row>
    <row r="36" spans="1:29" x14ac:dyDescent="0.25">
      <c r="B36" s="68" t="s">
        <v>243</v>
      </c>
      <c r="D36" s="68" t="s">
        <v>209</v>
      </c>
      <c r="E36" s="68" t="s">
        <v>210</v>
      </c>
      <c r="O36" s="88">
        <v>0</v>
      </c>
      <c r="P36" s="88">
        <v>0</v>
      </c>
      <c r="Q36" s="88">
        <v>0</v>
      </c>
      <c r="R36" s="88">
        <v>0</v>
      </c>
      <c r="S36" s="88">
        <v>70</v>
      </c>
      <c r="U36" s="88">
        <v>0</v>
      </c>
      <c r="W36" s="141">
        <v>0</v>
      </c>
      <c r="Y36" s="88">
        <v>70</v>
      </c>
      <c r="AC36" s="78">
        <v>0</v>
      </c>
    </row>
    <row r="37" spans="1:29" x14ac:dyDescent="0.25">
      <c r="B37" s="68" t="s">
        <v>244</v>
      </c>
      <c r="D37" s="68" t="s">
        <v>221</v>
      </c>
      <c r="E37" s="68" t="s">
        <v>230</v>
      </c>
      <c r="O37" s="88">
        <v>0</v>
      </c>
      <c r="P37" s="88">
        <v>0</v>
      </c>
      <c r="Q37" s="88">
        <v>0</v>
      </c>
      <c r="R37" s="88">
        <v>0</v>
      </c>
      <c r="S37" s="88">
        <v>0</v>
      </c>
      <c r="U37" s="88">
        <v>15</v>
      </c>
      <c r="W37" s="141">
        <v>0</v>
      </c>
      <c r="Y37" s="88">
        <v>15</v>
      </c>
      <c r="AC37" s="78">
        <v>0</v>
      </c>
    </row>
    <row r="38" spans="1:29" x14ac:dyDescent="0.25">
      <c r="B38" s="68" t="s">
        <v>245</v>
      </c>
      <c r="D38" s="68" t="s">
        <v>222</v>
      </c>
      <c r="E38" s="68" t="s">
        <v>230</v>
      </c>
      <c r="O38" s="88">
        <v>0</v>
      </c>
      <c r="P38" s="88">
        <v>0</v>
      </c>
      <c r="Q38" s="88">
        <v>0</v>
      </c>
      <c r="R38" s="88">
        <v>0</v>
      </c>
      <c r="S38" s="88">
        <v>0</v>
      </c>
      <c r="U38" s="88">
        <v>5</v>
      </c>
      <c r="W38" s="141">
        <v>0</v>
      </c>
      <c r="Y38" s="88">
        <v>5</v>
      </c>
      <c r="AC38" s="79">
        <v>0</v>
      </c>
    </row>
    <row r="39" spans="1:29" x14ac:dyDescent="0.25">
      <c r="J39" s="70"/>
    </row>
    <row r="40" spans="1:29" x14ac:dyDescent="0.25">
      <c r="G40" s="83" t="s">
        <v>236</v>
      </c>
      <c r="J40" s="70"/>
      <c r="W40" s="83" t="s">
        <v>72</v>
      </c>
    </row>
    <row r="41" spans="1:29" x14ac:dyDescent="0.25">
      <c r="A41" s="68" t="s">
        <v>257</v>
      </c>
      <c r="C41" s="68" t="s">
        <v>7</v>
      </c>
      <c r="D41" s="68" t="s">
        <v>223</v>
      </c>
      <c r="E41" s="68" t="s">
        <v>210</v>
      </c>
      <c r="G41" s="88">
        <f t="array" ref="G41:J43">TRANSPOSE(MMULT(AN8:AP11,W41:W43*_xlfn.MUNIT(3)))</f>
        <v>150</v>
      </c>
      <c r="H41" s="88">
        <v>20</v>
      </c>
      <c r="I41" s="88">
        <v>0</v>
      </c>
      <c r="J41" s="92">
        <v>0</v>
      </c>
      <c r="K41" s="93">
        <v>0</v>
      </c>
      <c r="L41" s="93">
        <v>0</v>
      </c>
      <c r="M41" s="93">
        <v>0</v>
      </c>
      <c r="W41" s="141">
        <v>170</v>
      </c>
    </row>
    <row r="42" spans="1:29" x14ac:dyDescent="0.25">
      <c r="C42" s="68" t="s">
        <v>9</v>
      </c>
      <c r="D42" s="68" t="s">
        <v>224</v>
      </c>
      <c r="E42" s="68" t="s">
        <v>210</v>
      </c>
      <c r="G42" s="88">
        <v>0</v>
      </c>
      <c r="H42" s="88">
        <v>0</v>
      </c>
      <c r="I42" s="88">
        <v>50</v>
      </c>
      <c r="J42" s="92">
        <v>0</v>
      </c>
      <c r="K42" s="93">
        <v>0</v>
      </c>
      <c r="L42" s="93">
        <v>0</v>
      </c>
      <c r="M42" s="93">
        <v>0</v>
      </c>
      <c r="W42" s="141">
        <v>50</v>
      </c>
    </row>
    <row r="43" spans="1:29" x14ac:dyDescent="0.25">
      <c r="C43" s="68" t="s">
        <v>10</v>
      </c>
      <c r="D43" s="68" t="s">
        <v>225</v>
      </c>
      <c r="E43" s="68" t="s">
        <v>210</v>
      </c>
      <c r="G43" s="88">
        <v>0</v>
      </c>
      <c r="H43" s="88">
        <v>0</v>
      </c>
      <c r="I43" s="88">
        <v>0</v>
      </c>
      <c r="J43" s="92">
        <v>0</v>
      </c>
      <c r="K43" s="93">
        <v>0</v>
      </c>
      <c r="L43" s="93">
        <v>0</v>
      </c>
      <c r="M43" s="93">
        <v>0</v>
      </c>
      <c r="W43" s="141">
        <v>0</v>
      </c>
      <c r="X43" s="87"/>
      <c r="AC43" s="83" t="s">
        <v>237</v>
      </c>
    </row>
    <row r="44" spans="1:29" x14ac:dyDescent="0.25">
      <c r="A44" s="68" t="s">
        <v>256</v>
      </c>
      <c r="C44" s="68" t="s">
        <v>214</v>
      </c>
      <c r="D44" s="68" t="s">
        <v>226</v>
      </c>
      <c r="E44" s="68" t="s">
        <v>210</v>
      </c>
      <c r="G44" s="94">
        <v>0</v>
      </c>
      <c r="H44" s="94">
        <v>0</v>
      </c>
      <c r="I44" s="94">
        <v>0</v>
      </c>
      <c r="J44" s="95">
        <v>0</v>
      </c>
      <c r="K44" s="90">
        <f t="array" ref="K44:M45">MMULT(AD19:AF20,K49:M49*_xlfn.MUNIT(3))</f>
        <v>70</v>
      </c>
      <c r="L44" s="90">
        <v>0</v>
      </c>
      <c r="M44" s="90">
        <v>0</v>
      </c>
      <c r="N44" s="76"/>
      <c r="V44" s="76"/>
      <c r="W44" s="143">
        <v>70</v>
      </c>
      <c r="AC44" s="77">
        <f t="array" ref="AC44:AC45">W44:W45-MMULT(AD19:AF20,TRANSPOSE(K49:M49))</f>
        <v>0</v>
      </c>
    </row>
    <row r="45" spans="1:29" x14ac:dyDescent="0.25">
      <c r="C45" s="68" t="s">
        <v>215</v>
      </c>
      <c r="D45" s="68" t="s">
        <v>227</v>
      </c>
      <c r="E45" s="68" t="s">
        <v>230</v>
      </c>
      <c r="G45" s="93">
        <v>0</v>
      </c>
      <c r="H45" s="93">
        <v>0</v>
      </c>
      <c r="I45" s="93">
        <v>0</v>
      </c>
      <c r="J45" s="96">
        <v>0</v>
      </c>
      <c r="K45" s="88">
        <v>0</v>
      </c>
      <c r="L45" s="88">
        <v>15</v>
      </c>
      <c r="M45" s="88">
        <v>5</v>
      </c>
      <c r="W45" s="141">
        <v>20</v>
      </c>
      <c r="AC45" s="79">
        <v>0</v>
      </c>
    </row>
    <row r="46" spans="1:29" x14ac:dyDescent="0.25">
      <c r="J46" s="70"/>
      <c r="O46" s="3" t="s">
        <v>238</v>
      </c>
      <c r="U46" s="83" t="s">
        <v>248</v>
      </c>
    </row>
    <row r="47" spans="1:29" x14ac:dyDescent="0.25">
      <c r="D47" s="68" t="s">
        <v>234</v>
      </c>
      <c r="O47" s="88">
        <f t="array" ref="O47:S47">MMULT(AH22:AL22,W41:W45*_xlfn.MUNIT(5))</f>
        <v>14.999999999999998</v>
      </c>
      <c r="P47" s="88">
        <v>8.75</v>
      </c>
      <c r="Q47" s="88">
        <v>0</v>
      </c>
      <c r="R47" s="88">
        <v>0</v>
      </c>
      <c r="S47" s="88">
        <v>10</v>
      </c>
      <c r="U47" s="99">
        <f t="array" ref="U47">MMULT(AH22:AL22,W41:W45)</f>
        <v>33.75</v>
      </c>
    </row>
    <row r="48" spans="1:29" x14ac:dyDescent="0.25">
      <c r="G48" s="83" t="s">
        <v>71</v>
      </c>
      <c r="J48" s="70"/>
    </row>
    <row r="49" spans="7:13" x14ac:dyDescent="0.25">
      <c r="G49" s="141">
        <v>150</v>
      </c>
      <c r="H49" s="141">
        <v>20</v>
      </c>
      <c r="I49" s="141">
        <v>50</v>
      </c>
      <c r="J49" s="142">
        <v>0</v>
      </c>
      <c r="K49" s="141">
        <v>70</v>
      </c>
      <c r="L49" s="141">
        <v>15</v>
      </c>
      <c r="M49" s="141">
        <v>5</v>
      </c>
    </row>
    <row r="51" spans="7:13" x14ac:dyDescent="0.25">
      <c r="G51" s="83" t="s">
        <v>239</v>
      </c>
    </row>
    <row r="52" spans="7:13" x14ac:dyDescent="0.25">
      <c r="G52" s="80">
        <f t="array" ref="G52:J52">TRANSPOSE(MMULT(AN8:AP11,W41:W43))-G49:J49</f>
        <v>0</v>
      </c>
      <c r="H52" s="81">
        <v>0</v>
      </c>
      <c r="I52" s="81">
        <v>0</v>
      </c>
      <c r="J52" s="82">
        <v>0</v>
      </c>
    </row>
  </sheetData>
  <phoneticPr fontId="7" type="noConversion"/>
  <hyperlinks>
    <hyperlink ref="A1" location="Contents!A1" display="Back to contents" xr:uid="{60E69EDC-3C0A-4D07-93A2-83C2D5D294DF}"/>
  </hyperlink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6A2860-343C-4800-9CCD-5E71DA993920}">
  <sheetPr>
    <tabColor theme="8" tint="0.59999389629810485"/>
  </sheetPr>
  <dimension ref="A1:AD34"/>
  <sheetViews>
    <sheetView showGridLines="0" zoomScaleNormal="100" workbookViewId="0">
      <pane xSplit="5" ySplit="6" topLeftCell="G7" activePane="bottomRight" state="frozen"/>
      <selection pane="topRight"/>
      <selection pane="bottomLeft"/>
      <selection pane="bottomRight" activeCell="AC30" sqref="AC30"/>
    </sheetView>
  </sheetViews>
  <sheetFormatPr defaultRowHeight="15" x14ac:dyDescent="0.25"/>
  <cols>
    <col min="1" max="1" width="5.140625" bestFit="1" customWidth="1"/>
    <col min="2" max="3" width="6.5703125" customWidth="1"/>
    <col min="4" max="4" width="17.42578125" bestFit="1" customWidth="1"/>
    <col min="5" max="5" width="7.5703125" customWidth="1"/>
    <col min="6" max="6" width="3.7109375" customWidth="1"/>
    <col min="7" max="12" width="6.140625" customWidth="1"/>
    <col min="13" max="13" width="6.5703125" customWidth="1"/>
    <col min="14" max="47" width="6.140625" customWidth="1"/>
  </cols>
  <sheetData>
    <row r="1" spans="1:30" x14ac:dyDescent="0.25">
      <c r="A1" s="97" t="s">
        <v>285</v>
      </c>
      <c r="G1" s="52"/>
      <c r="H1" s="52"/>
      <c r="I1" s="52"/>
      <c r="J1" s="52"/>
      <c r="K1" s="52"/>
      <c r="L1" s="52"/>
      <c r="M1" s="52"/>
      <c r="N1" s="52"/>
      <c r="O1" s="52"/>
      <c r="P1" s="52"/>
      <c r="Q1" s="52"/>
      <c r="R1" s="52"/>
      <c r="S1" s="52"/>
      <c r="T1" s="52"/>
      <c r="U1" s="52"/>
      <c r="V1" s="52"/>
      <c r="W1" s="52"/>
      <c r="X1" s="52"/>
      <c r="Y1" s="52"/>
      <c r="Z1" s="52"/>
      <c r="AA1" s="52"/>
      <c r="AB1" s="52"/>
      <c r="AC1" s="52"/>
      <c r="AD1" s="52"/>
    </row>
    <row r="2" spans="1:30" x14ac:dyDescent="0.25">
      <c r="A2" s="5" t="s">
        <v>133</v>
      </c>
      <c r="B2" s="5"/>
      <c r="C2" s="5"/>
      <c r="D2" s="5"/>
      <c r="E2" s="5"/>
      <c r="G2" s="52"/>
      <c r="H2" s="52"/>
      <c r="I2" s="52"/>
      <c r="J2" s="52"/>
      <c r="K2" s="52"/>
      <c r="L2" s="145"/>
      <c r="M2" s="52" t="s">
        <v>92</v>
      </c>
      <c r="N2" s="52" t="s">
        <v>93</v>
      </c>
      <c r="O2" s="52" t="s">
        <v>134</v>
      </c>
      <c r="P2" s="52" t="s">
        <v>135</v>
      </c>
      <c r="Q2" s="52" t="s">
        <v>136</v>
      </c>
      <c r="R2" s="52"/>
      <c r="S2" s="52" t="s">
        <v>92</v>
      </c>
      <c r="T2" s="52" t="s">
        <v>93</v>
      </c>
      <c r="U2" s="52" t="s">
        <v>134</v>
      </c>
      <c r="V2" s="52" t="s">
        <v>135</v>
      </c>
      <c r="W2" s="52" t="s">
        <v>136</v>
      </c>
      <c r="X2" s="52"/>
      <c r="Y2" s="52" t="s">
        <v>92</v>
      </c>
      <c r="Z2" s="52" t="s">
        <v>93</v>
      </c>
      <c r="AA2" s="52" t="s">
        <v>134</v>
      </c>
      <c r="AB2" s="52" t="s">
        <v>135</v>
      </c>
      <c r="AC2" s="52" t="s">
        <v>136</v>
      </c>
      <c r="AD2" s="52"/>
    </row>
    <row r="3" spans="1:30" x14ac:dyDescent="0.25">
      <c r="A3" s="5"/>
      <c r="B3" s="5" t="s">
        <v>0</v>
      </c>
      <c r="C3" s="5"/>
      <c r="D3" s="5"/>
      <c r="E3" s="5"/>
      <c r="G3" s="52" t="s">
        <v>3</v>
      </c>
      <c r="H3" s="52" t="s">
        <v>4</v>
      </c>
      <c r="I3" s="52"/>
      <c r="J3" s="52"/>
      <c r="K3" s="52"/>
      <c r="L3" s="52"/>
      <c r="M3" s="52"/>
      <c r="N3" s="52"/>
      <c r="O3" s="52"/>
      <c r="P3" s="52"/>
      <c r="Q3" s="52"/>
      <c r="R3" s="52"/>
      <c r="S3" s="52"/>
      <c r="T3" s="52"/>
      <c r="U3" s="52"/>
      <c r="V3" s="52"/>
      <c r="W3" s="52"/>
      <c r="X3" s="52"/>
      <c r="Y3" s="52"/>
      <c r="Z3" s="52"/>
      <c r="AA3" s="52"/>
      <c r="AB3" s="52"/>
      <c r="AC3" s="52"/>
      <c r="AD3" s="52"/>
    </row>
    <row r="4" spans="1:30" x14ac:dyDescent="0.25">
      <c r="A4" s="5"/>
      <c r="B4" s="5"/>
      <c r="C4" s="5" t="s">
        <v>1</v>
      </c>
      <c r="D4" s="5"/>
      <c r="E4" s="5"/>
      <c r="G4" s="52"/>
      <c r="H4" s="52"/>
      <c r="I4" s="52"/>
      <c r="J4" s="52" t="s">
        <v>7</v>
      </c>
      <c r="K4" s="52" t="s">
        <v>9</v>
      </c>
      <c r="L4" s="52"/>
      <c r="M4" s="52" t="s">
        <v>20</v>
      </c>
      <c r="N4" s="52" t="s">
        <v>20</v>
      </c>
      <c r="O4" s="52" t="s">
        <v>20</v>
      </c>
      <c r="P4" s="52" t="s">
        <v>20</v>
      </c>
      <c r="Q4" s="52" t="s">
        <v>20</v>
      </c>
      <c r="R4" s="52"/>
      <c r="S4" s="52"/>
      <c r="T4" s="52"/>
      <c r="U4" s="52"/>
      <c r="V4" s="52"/>
      <c r="W4" s="52"/>
      <c r="X4" s="52"/>
      <c r="Y4" s="52"/>
      <c r="Z4" s="52"/>
      <c r="AA4" s="52"/>
      <c r="AB4" s="52"/>
      <c r="AC4" s="52"/>
      <c r="AD4" s="52"/>
    </row>
    <row r="5" spans="1:30" x14ac:dyDescent="0.25">
      <c r="A5" s="5"/>
      <c r="B5" s="5"/>
      <c r="C5" s="5"/>
      <c r="D5" s="5" t="s">
        <v>2</v>
      </c>
      <c r="E5" s="5"/>
      <c r="G5" s="52" t="s">
        <v>212</v>
      </c>
      <c r="H5" s="52" t="s">
        <v>82</v>
      </c>
      <c r="I5" s="146"/>
      <c r="J5" s="146"/>
      <c r="K5" s="146"/>
      <c r="L5" s="146"/>
      <c r="M5" s="52" t="s">
        <v>188</v>
      </c>
      <c r="N5" s="52"/>
      <c r="O5" s="52"/>
      <c r="P5" s="52"/>
      <c r="Q5" s="52"/>
      <c r="R5" s="52"/>
      <c r="S5" s="52"/>
      <c r="T5" s="52"/>
      <c r="U5" s="52"/>
      <c r="V5" s="52"/>
      <c r="W5" s="52"/>
      <c r="X5" s="52"/>
      <c r="Y5" s="52"/>
      <c r="Z5" s="52"/>
      <c r="AA5" s="52"/>
      <c r="AB5" s="52"/>
      <c r="AC5" s="52"/>
      <c r="AD5" s="52"/>
    </row>
    <row r="6" spans="1:30" x14ac:dyDescent="0.25">
      <c r="A6" s="5"/>
      <c r="B6" s="5"/>
      <c r="C6" s="5"/>
      <c r="D6" s="5"/>
      <c r="E6" s="5" t="s">
        <v>137</v>
      </c>
      <c r="G6" s="52" t="s">
        <v>210</v>
      </c>
      <c r="H6" s="52" t="s">
        <v>210</v>
      </c>
      <c r="I6" s="52"/>
      <c r="J6" s="52"/>
      <c r="K6" s="52"/>
      <c r="L6" s="52"/>
      <c r="M6" s="52"/>
      <c r="N6" s="52"/>
      <c r="O6" s="52"/>
      <c r="P6" s="52"/>
      <c r="Q6" s="52"/>
      <c r="R6" s="52"/>
      <c r="S6" s="52"/>
      <c r="T6" s="52"/>
      <c r="U6" s="52"/>
      <c r="V6" s="52"/>
      <c r="W6" s="52"/>
      <c r="X6" s="52"/>
      <c r="Y6" s="52"/>
      <c r="Z6" s="52"/>
      <c r="AA6" s="52"/>
      <c r="AB6" s="52"/>
      <c r="AC6" s="52"/>
      <c r="AD6" s="52"/>
    </row>
    <row r="7" spans="1:30" x14ac:dyDescent="0.25">
      <c r="G7" s="3" t="s">
        <v>28</v>
      </c>
      <c r="J7" s="3" t="s">
        <v>5</v>
      </c>
      <c r="M7" s="3" t="s">
        <v>14</v>
      </c>
      <c r="S7" s="3" t="s">
        <v>207</v>
      </c>
      <c r="Y7" s="3" t="s">
        <v>208</v>
      </c>
    </row>
    <row r="8" spans="1:30" x14ac:dyDescent="0.25">
      <c r="B8" t="s">
        <v>336</v>
      </c>
      <c r="D8" t="s">
        <v>19</v>
      </c>
      <c r="E8" t="s">
        <v>210</v>
      </c>
      <c r="G8" s="6">
        <v>1</v>
      </c>
      <c r="H8" s="6">
        <v>1</v>
      </c>
      <c r="J8" s="60">
        <v>0.1</v>
      </c>
      <c r="K8" s="60">
        <v>0</v>
      </c>
      <c r="M8" s="61">
        <v>100</v>
      </c>
      <c r="N8" s="61">
        <v>120</v>
      </c>
      <c r="O8" s="61">
        <v>144</v>
      </c>
      <c r="P8" s="61">
        <v>173</v>
      </c>
      <c r="Q8" s="61">
        <v>207</v>
      </c>
      <c r="S8" s="91">
        <f t="array" ref="S8:W8">MMULT(G8:H8,TRANSPOSE(G16:H20))</f>
        <v>111.11111</v>
      </c>
      <c r="T8" s="91">
        <v>133.33332999999999</v>
      </c>
      <c r="U8" s="91">
        <v>154</v>
      </c>
      <c r="V8" s="91">
        <v>178</v>
      </c>
      <c r="W8" s="91">
        <v>207</v>
      </c>
      <c r="Y8" s="62">
        <f t="array" ref="Y8:AC8">S8:W8-MMULT(J8:K8,TRANSPOSE(J16:K20))-M8:Q8</f>
        <v>-9.9999999747524271E-7</v>
      </c>
      <c r="Z8" s="63">
        <v>-3.0000000066365828E-6</v>
      </c>
      <c r="AA8" s="63">
        <v>0</v>
      </c>
      <c r="AB8" s="63">
        <v>0</v>
      </c>
      <c r="AC8" s="64">
        <v>0</v>
      </c>
    </row>
    <row r="9" spans="1:30" x14ac:dyDescent="0.25">
      <c r="G9" s="3" t="s">
        <v>6</v>
      </c>
      <c r="Y9" s="3" t="s">
        <v>140</v>
      </c>
    </row>
    <row r="10" spans="1:30" x14ac:dyDescent="0.25">
      <c r="C10" t="s">
        <v>7</v>
      </c>
      <c r="D10" t="s">
        <v>205</v>
      </c>
      <c r="E10" t="s">
        <v>210</v>
      </c>
      <c r="G10" s="60">
        <v>1</v>
      </c>
      <c r="H10" s="60">
        <v>0</v>
      </c>
      <c r="Y10" s="12">
        <f t="array" ref="Y10:AC11">TRANSPOSE(J16:K20)-MMULT(G10:H11,TRANSPOSE(G16:H20))</f>
        <v>0</v>
      </c>
      <c r="Z10" s="13">
        <v>0</v>
      </c>
      <c r="AA10" s="13">
        <v>0</v>
      </c>
      <c r="AB10" s="13">
        <v>0</v>
      </c>
      <c r="AC10" s="14">
        <v>0</v>
      </c>
    </row>
    <row r="11" spans="1:30" x14ac:dyDescent="0.25">
      <c r="C11" t="s">
        <v>9</v>
      </c>
      <c r="D11" t="s">
        <v>206</v>
      </c>
      <c r="E11" t="s">
        <v>210</v>
      </c>
      <c r="G11" s="60">
        <v>0</v>
      </c>
      <c r="H11" s="60">
        <v>1</v>
      </c>
      <c r="Y11" s="15">
        <v>0</v>
      </c>
      <c r="Z11" s="16">
        <v>0</v>
      </c>
      <c r="AA11" s="16">
        <v>0</v>
      </c>
      <c r="AB11" s="16">
        <v>0</v>
      </c>
      <c r="AC11" s="17">
        <v>0</v>
      </c>
    </row>
    <row r="12" spans="1:30" x14ac:dyDescent="0.25">
      <c r="M12" s="3" t="s">
        <v>360</v>
      </c>
    </row>
    <row r="13" spans="1:30" x14ac:dyDescent="0.25">
      <c r="D13" t="s">
        <v>358</v>
      </c>
      <c r="E13" t="s">
        <v>362</v>
      </c>
      <c r="I13" s="4" t="s">
        <v>211</v>
      </c>
      <c r="J13" s="60">
        <v>10</v>
      </c>
      <c r="K13" s="60">
        <v>20</v>
      </c>
      <c r="M13" s="100">
        <f>SUM(J30:K34)</f>
        <v>11724.4444</v>
      </c>
    </row>
    <row r="14" spans="1:30" x14ac:dyDescent="0.25">
      <c r="Y14" s="67"/>
    </row>
    <row r="15" spans="1:30" x14ac:dyDescent="0.25">
      <c r="G15" s="3" t="s">
        <v>71</v>
      </c>
      <c r="J15" s="3" t="s">
        <v>72</v>
      </c>
    </row>
    <row r="16" spans="1:30" x14ac:dyDescent="0.25">
      <c r="A16" t="s">
        <v>92</v>
      </c>
      <c r="D16" t="s">
        <v>328</v>
      </c>
      <c r="G16" s="131">
        <v>111.11111</v>
      </c>
      <c r="H16" s="131">
        <v>0</v>
      </c>
      <c r="J16" s="131">
        <v>111.11111</v>
      </c>
      <c r="K16" s="131">
        <v>0</v>
      </c>
    </row>
    <row r="17" spans="1:11" x14ac:dyDescent="0.25">
      <c r="A17" t="s">
        <v>93</v>
      </c>
      <c r="G17" s="131">
        <v>133.33332999999999</v>
      </c>
      <c r="H17" s="131">
        <v>0</v>
      </c>
      <c r="J17" s="131">
        <v>133.33332999999999</v>
      </c>
      <c r="K17" s="131">
        <v>0</v>
      </c>
    </row>
    <row r="18" spans="1:11" x14ac:dyDescent="0.25">
      <c r="A18" t="s">
        <v>134</v>
      </c>
      <c r="G18" s="131">
        <v>100</v>
      </c>
      <c r="H18" s="131">
        <v>54</v>
      </c>
      <c r="J18" s="131">
        <v>100</v>
      </c>
      <c r="K18" s="131">
        <v>54</v>
      </c>
    </row>
    <row r="19" spans="1:11" x14ac:dyDescent="0.25">
      <c r="A19" t="s">
        <v>135</v>
      </c>
      <c r="G19" s="131">
        <v>50</v>
      </c>
      <c r="H19" s="131">
        <v>128</v>
      </c>
      <c r="J19" s="131">
        <v>50</v>
      </c>
      <c r="K19" s="131">
        <v>128</v>
      </c>
    </row>
    <row r="20" spans="1:11" x14ac:dyDescent="0.25">
      <c r="A20" t="s">
        <v>136</v>
      </c>
      <c r="G20" s="131">
        <v>0</v>
      </c>
      <c r="H20" s="131">
        <v>207</v>
      </c>
      <c r="J20" s="131">
        <v>0</v>
      </c>
      <c r="K20" s="131">
        <v>207</v>
      </c>
    </row>
    <row r="22" spans="1:11" x14ac:dyDescent="0.25">
      <c r="J22" s="3" t="s">
        <v>88</v>
      </c>
    </row>
    <row r="23" spans="1:11" x14ac:dyDescent="0.25">
      <c r="A23" t="s">
        <v>92</v>
      </c>
      <c r="J23" s="65">
        <v>1000</v>
      </c>
      <c r="K23" s="66">
        <v>1000</v>
      </c>
    </row>
    <row r="24" spans="1:11" x14ac:dyDescent="0.25">
      <c r="A24" t="s">
        <v>93</v>
      </c>
      <c r="J24" s="65">
        <v>1000</v>
      </c>
      <c r="K24" s="66">
        <v>1000</v>
      </c>
    </row>
    <row r="25" spans="1:11" x14ac:dyDescent="0.25">
      <c r="A25" t="s">
        <v>134</v>
      </c>
      <c r="J25" s="66">
        <v>100</v>
      </c>
      <c r="K25" s="66">
        <v>1000</v>
      </c>
    </row>
    <row r="26" spans="1:11" x14ac:dyDescent="0.25">
      <c r="A26" t="s">
        <v>135</v>
      </c>
      <c r="J26" s="66">
        <v>50</v>
      </c>
      <c r="K26" s="66">
        <v>1000</v>
      </c>
    </row>
    <row r="27" spans="1:11" x14ac:dyDescent="0.25">
      <c r="A27" t="s">
        <v>136</v>
      </c>
      <c r="J27" s="66">
        <v>0</v>
      </c>
      <c r="K27" s="66">
        <v>1000</v>
      </c>
    </row>
    <row r="29" spans="1:11" x14ac:dyDescent="0.25">
      <c r="J29" s="3" t="s">
        <v>359</v>
      </c>
    </row>
    <row r="30" spans="1:11" x14ac:dyDescent="0.25">
      <c r="A30" t="s">
        <v>92</v>
      </c>
      <c r="J30" s="7">
        <f t="array" ref="J30:K34">MMULT(J16:K20,_xlfn.MUNIT(2)*J13:K13)</f>
        <v>1111.1111000000001</v>
      </c>
      <c r="K30" s="7">
        <v>0</v>
      </c>
    </row>
    <row r="31" spans="1:11" x14ac:dyDescent="0.25">
      <c r="A31" t="s">
        <v>93</v>
      </c>
      <c r="J31" s="7">
        <v>1333.3332999999998</v>
      </c>
      <c r="K31" s="7">
        <v>0</v>
      </c>
    </row>
    <row r="32" spans="1:11" x14ac:dyDescent="0.25">
      <c r="A32" t="s">
        <v>134</v>
      </c>
      <c r="J32" s="7">
        <v>1000</v>
      </c>
      <c r="K32" s="7">
        <v>1080</v>
      </c>
    </row>
    <row r="33" spans="1:11" x14ac:dyDescent="0.25">
      <c r="A33" t="s">
        <v>135</v>
      </c>
      <c r="J33" s="7">
        <v>500</v>
      </c>
      <c r="K33" s="7">
        <v>2560</v>
      </c>
    </row>
    <row r="34" spans="1:11" x14ac:dyDescent="0.25">
      <c r="A34" t="s">
        <v>136</v>
      </c>
      <c r="J34" s="7">
        <v>0</v>
      </c>
      <c r="K34" s="7">
        <v>4140</v>
      </c>
    </row>
  </sheetData>
  <phoneticPr fontId="7" type="noConversion"/>
  <hyperlinks>
    <hyperlink ref="A1" location="Contents!A1" display="Back to contents" xr:uid="{F90A2696-5DC3-4C01-9BB8-34B98162170D}"/>
  </hyperlinks>
  <pageMargins left="0.7" right="0.7" top="0.75" bottom="0.75" header="0.3" footer="0.3"/>
  <pageSetup paperSize="9" orientation="portrait" horizontalDpi="1200" verticalDpi="120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886B7E-26BF-4684-840F-640961F1CA87}">
  <sheetPr>
    <tabColor theme="8" tint="0.59999389629810485"/>
  </sheetPr>
  <dimension ref="A1:AE45"/>
  <sheetViews>
    <sheetView showGridLines="0" zoomScaleNormal="100" workbookViewId="0">
      <pane xSplit="5" ySplit="6" topLeftCell="F7" activePane="bottomRight" state="frozen"/>
      <selection pane="topRight" activeCell="F1" sqref="F1"/>
      <selection pane="bottomLeft" activeCell="A7" sqref="A7"/>
      <selection pane="bottomRight" activeCell="Q15" sqref="Q15"/>
    </sheetView>
  </sheetViews>
  <sheetFormatPr defaultRowHeight="15" x14ac:dyDescent="0.25"/>
  <cols>
    <col min="2" max="2" width="5.85546875" bestFit="1" customWidth="1"/>
    <col min="3" max="3" width="5.7109375" bestFit="1" customWidth="1"/>
    <col min="4" max="4" width="16.140625" bestFit="1" customWidth="1"/>
    <col min="5" max="5" width="6.5703125" customWidth="1"/>
    <col min="6" max="6" width="5" customWidth="1"/>
    <col min="7" max="9" width="8.5703125" customWidth="1"/>
    <col min="10" max="10" width="4.7109375" customWidth="1"/>
    <col min="11" max="13" width="6.85546875" customWidth="1"/>
    <col min="14" max="14" width="6.28515625" customWidth="1"/>
    <col min="15" max="17" width="7.42578125" customWidth="1"/>
    <col min="18" max="19" width="6.28515625" customWidth="1"/>
    <col min="20" max="20" width="4.85546875" customWidth="1"/>
    <col min="21" max="31" width="7.42578125" customWidth="1"/>
    <col min="32" max="33" width="4.85546875" customWidth="1"/>
    <col min="34" max="34" width="5.28515625" customWidth="1"/>
    <col min="35" max="37" width="7.140625" customWidth="1"/>
    <col min="38" max="42" width="5.28515625" customWidth="1"/>
  </cols>
  <sheetData>
    <row r="1" spans="1:31" x14ac:dyDescent="0.25">
      <c r="A1" s="97" t="s">
        <v>285</v>
      </c>
    </row>
    <row r="2" spans="1:31" x14ac:dyDescent="0.25">
      <c r="A2" s="5" t="s">
        <v>133</v>
      </c>
      <c r="B2" s="5"/>
      <c r="C2" s="5"/>
      <c r="D2" s="5"/>
      <c r="E2" s="5"/>
      <c r="O2" t="s">
        <v>92</v>
      </c>
      <c r="P2" t="s">
        <v>93</v>
      </c>
      <c r="Q2" t="s">
        <v>134</v>
      </c>
      <c r="R2" t="s">
        <v>135</v>
      </c>
      <c r="S2" t="s">
        <v>136</v>
      </c>
      <c r="U2" t="s">
        <v>92</v>
      </c>
      <c r="V2" t="s">
        <v>93</v>
      </c>
      <c r="W2" t="s">
        <v>134</v>
      </c>
      <c r="X2" t="s">
        <v>135</v>
      </c>
      <c r="Y2" t="s">
        <v>136</v>
      </c>
    </row>
    <row r="3" spans="1:31" x14ac:dyDescent="0.25">
      <c r="A3" s="5"/>
      <c r="B3" s="5" t="s">
        <v>0</v>
      </c>
      <c r="C3" s="5"/>
      <c r="D3" s="5"/>
      <c r="E3" s="5"/>
      <c r="G3" t="s">
        <v>11</v>
      </c>
      <c r="H3" t="s">
        <v>12</v>
      </c>
      <c r="I3" t="s">
        <v>94</v>
      </c>
    </row>
    <row r="4" spans="1:31" x14ac:dyDescent="0.25">
      <c r="A4" s="5"/>
      <c r="B4" s="5"/>
      <c r="C4" s="5" t="s">
        <v>1</v>
      </c>
      <c r="D4" s="5"/>
      <c r="E4" s="5"/>
      <c r="K4" t="s">
        <v>7</v>
      </c>
      <c r="L4" t="s">
        <v>9</v>
      </c>
      <c r="M4" t="s">
        <v>10</v>
      </c>
      <c r="O4" t="s">
        <v>20</v>
      </c>
      <c r="P4" t="s">
        <v>20</v>
      </c>
      <c r="Q4" t="s">
        <v>20</v>
      </c>
      <c r="R4" t="s">
        <v>20</v>
      </c>
      <c r="S4" t="s">
        <v>20</v>
      </c>
    </row>
    <row r="5" spans="1:31" x14ac:dyDescent="0.25">
      <c r="A5" s="5"/>
      <c r="B5" s="5"/>
      <c r="C5" s="5"/>
      <c r="D5" s="5" t="s">
        <v>2</v>
      </c>
      <c r="E5" s="5"/>
      <c r="G5" t="s">
        <v>186</v>
      </c>
      <c r="H5" t="s">
        <v>187</v>
      </c>
      <c r="I5" s="45"/>
      <c r="K5" s="45"/>
      <c r="L5" s="45"/>
      <c r="M5" s="45"/>
      <c r="O5" s="52" t="s">
        <v>188</v>
      </c>
      <c r="P5" s="45"/>
      <c r="Q5" s="45"/>
      <c r="R5" s="45"/>
      <c r="S5" s="45"/>
    </row>
    <row r="6" spans="1:31" x14ac:dyDescent="0.25">
      <c r="A6" s="5"/>
      <c r="B6" s="5"/>
      <c r="C6" s="5"/>
      <c r="D6" s="5"/>
      <c r="E6" s="5" t="s">
        <v>137</v>
      </c>
      <c r="G6" t="s">
        <v>210</v>
      </c>
      <c r="H6" t="s">
        <v>210</v>
      </c>
      <c r="I6" t="s">
        <v>210</v>
      </c>
      <c r="K6" s="45"/>
      <c r="L6" s="45"/>
      <c r="M6" s="45"/>
      <c r="O6" s="52"/>
      <c r="P6" s="45"/>
      <c r="Q6" s="45"/>
      <c r="R6" s="45"/>
      <c r="S6" s="45"/>
    </row>
    <row r="7" spans="1:31" x14ac:dyDescent="0.25">
      <c r="G7" s="3" t="s">
        <v>138</v>
      </c>
      <c r="K7" s="3" t="s">
        <v>5</v>
      </c>
      <c r="O7" s="3" t="s">
        <v>14</v>
      </c>
      <c r="U7" s="3" t="s">
        <v>47</v>
      </c>
      <c r="AA7" s="3" t="s">
        <v>139</v>
      </c>
    </row>
    <row r="8" spans="1:31" x14ac:dyDescent="0.25">
      <c r="B8" t="s">
        <v>3</v>
      </c>
      <c r="D8" t="s">
        <v>19</v>
      </c>
      <c r="E8" t="s">
        <v>210</v>
      </c>
      <c r="G8" s="6">
        <v>1</v>
      </c>
      <c r="H8" s="6">
        <v>1</v>
      </c>
      <c r="I8" s="6">
        <v>0</v>
      </c>
      <c r="K8" s="1">
        <v>7.9000000000000001E-2</v>
      </c>
      <c r="L8" s="1">
        <v>7.9000000000000001E-2</v>
      </c>
      <c r="M8" s="1">
        <v>0</v>
      </c>
      <c r="O8" s="46">
        <v>100</v>
      </c>
      <c r="P8" s="46">
        <v>120</v>
      </c>
      <c r="Q8" s="46">
        <v>144</v>
      </c>
      <c r="R8" s="46">
        <v>173</v>
      </c>
      <c r="S8" s="46">
        <v>207</v>
      </c>
      <c r="U8" s="7">
        <f t="array" ref="U8:Y9">MMULT(G8:I9,TRANSPOSE(G25:I29))</f>
        <v>108.57763</v>
      </c>
      <c r="V8" s="7">
        <v>130.29316</v>
      </c>
      <c r="W8" s="7">
        <v>156.35178999999999</v>
      </c>
      <c r="X8" s="7">
        <v>187.83931000000001</v>
      </c>
      <c r="Y8" s="7">
        <v>224.75569999999999</v>
      </c>
      <c r="AA8" s="47">
        <f t="array" ref="AA8:AE9">U8:Y9-MMULT(K8:M9,TRANSPOSE(K25:M29))-O8:S9</f>
        <v>-2.7699999947117249E-6</v>
      </c>
      <c r="AB8" s="31">
        <v>3.6000000136482413E-7</v>
      </c>
      <c r="AC8" s="31">
        <v>-1.4100000100825127E-6</v>
      </c>
      <c r="AD8" s="31">
        <v>4.5099999965714233E-6</v>
      </c>
      <c r="AE8" s="32">
        <v>-3.0000001061125658E-7</v>
      </c>
    </row>
    <row r="9" spans="1:31" x14ac:dyDescent="0.25">
      <c r="B9" t="s">
        <v>4</v>
      </c>
      <c r="D9" t="s">
        <v>85</v>
      </c>
      <c r="E9" t="s">
        <v>361</v>
      </c>
      <c r="G9" s="6">
        <v>0</v>
      </c>
      <c r="H9" s="6">
        <v>0</v>
      </c>
      <c r="I9" s="6">
        <v>1</v>
      </c>
      <c r="K9" s="1">
        <v>0</v>
      </c>
      <c r="L9" s="1">
        <v>0</v>
      </c>
      <c r="M9" s="1">
        <v>0</v>
      </c>
      <c r="O9" s="46">
        <v>508022.19999999995</v>
      </c>
      <c r="P9" s="46">
        <v>518182.64399999997</v>
      </c>
      <c r="Q9" s="46">
        <v>528546.29687999992</v>
      </c>
      <c r="R9" s="46">
        <v>539117.22281759989</v>
      </c>
      <c r="S9" s="46">
        <v>549899.56727395195</v>
      </c>
      <c r="U9" s="7">
        <v>508022.2</v>
      </c>
      <c r="V9" s="7">
        <v>518182.64</v>
      </c>
      <c r="W9" s="7">
        <v>528546.30000000005</v>
      </c>
      <c r="X9" s="7">
        <v>539117.22</v>
      </c>
      <c r="Y9" s="7">
        <v>549899.56999999995</v>
      </c>
      <c r="AA9" s="34">
        <v>0</v>
      </c>
      <c r="AB9" s="35">
        <v>-3.9999999571591616E-3</v>
      </c>
      <c r="AC9" s="35">
        <v>3.1200001249089837E-3</v>
      </c>
      <c r="AD9" s="35">
        <v>-2.8175999177619815E-3</v>
      </c>
      <c r="AE9" s="36">
        <v>2.7260479982942343E-3</v>
      </c>
    </row>
    <row r="10" spans="1:31" x14ac:dyDescent="0.25">
      <c r="G10" s="3" t="s">
        <v>6</v>
      </c>
      <c r="AA10" s="3" t="s">
        <v>140</v>
      </c>
    </row>
    <row r="11" spans="1:31" x14ac:dyDescent="0.25">
      <c r="C11" t="s">
        <v>7</v>
      </c>
      <c r="D11" t="s">
        <v>184</v>
      </c>
      <c r="G11" s="1">
        <v>1</v>
      </c>
      <c r="H11" s="1">
        <v>0</v>
      </c>
      <c r="I11" s="1">
        <v>0</v>
      </c>
      <c r="U11" s="41"/>
      <c r="V11" s="41"/>
      <c r="W11" s="41"/>
      <c r="X11" s="41"/>
      <c r="Y11" s="41"/>
      <c r="AA11" s="30">
        <f t="array" ref="AA11:AE13">TRANSPOSE(K25:M29)-MMULT(G11:I13,TRANSPOSE(G25:I29))</f>
        <v>0</v>
      </c>
      <c r="AB11" s="31">
        <v>0</v>
      </c>
      <c r="AC11" s="31">
        <v>0</v>
      </c>
      <c r="AD11" s="31">
        <v>0</v>
      </c>
      <c r="AE11" s="32">
        <v>0</v>
      </c>
    </row>
    <row r="12" spans="1:31" x14ac:dyDescent="0.25">
      <c r="C12" t="s">
        <v>9</v>
      </c>
      <c r="D12" t="s">
        <v>185</v>
      </c>
      <c r="G12" s="1">
        <v>0</v>
      </c>
      <c r="H12" s="1">
        <v>1</v>
      </c>
      <c r="I12" s="1">
        <v>0</v>
      </c>
      <c r="U12" s="41"/>
      <c r="V12" s="41"/>
      <c r="W12" s="41"/>
      <c r="X12" s="41"/>
      <c r="Y12" s="41"/>
      <c r="AA12" s="33">
        <v>0</v>
      </c>
      <c r="AB12">
        <v>0</v>
      </c>
      <c r="AC12">
        <v>0</v>
      </c>
      <c r="AD12">
        <v>0</v>
      </c>
      <c r="AE12" s="2">
        <v>0</v>
      </c>
    </row>
    <row r="13" spans="1:31" x14ac:dyDescent="0.25">
      <c r="C13" t="s">
        <v>10</v>
      </c>
      <c r="D13" t="s">
        <v>85</v>
      </c>
      <c r="G13" s="1">
        <v>0</v>
      </c>
      <c r="H13" s="1">
        <v>0</v>
      </c>
      <c r="I13" s="1">
        <v>1</v>
      </c>
      <c r="U13" s="41"/>
      <c r="V13" s="41"/>
      <c r="W13" s="41"/>
      <c r="X13" s="41"/>
      <c r="Y13" s="41"/>
      <c r="AA13" s="34">
        <v>0</v>
      </c>
      <c r="AB13" s="35">
        <v>0</v>
      </c>
      <c r="AC13" s="35">
        <v>0</v>
      </c>
      <c r="AD13" s="35">
        <v>0</v>
      </c>
      <c r="AE13" s="36">
        <v>0</v>
      </c>
    </row>
    <row r="14" spans="1:31" x14ac:dyDescent="0.25">
      <c r="U14" s="3" t="s">
        <v>202</v>
      </c>
    </row>
    <row r="15" spans="1:31" x14ac:dyDescent="0.25">
      <c r="D15" t="s">
        <v>141</v>
      </c>
      <c r="J15" s="4" t="s">
        <v>142</v>
      </c>
      <c r="K15" s="1">
        <v>10</v>
      </c>
      <c r="L15" s="1">
        <v>10</v>
      </c>
      <c r="M15" s="1">
        <v>5</v>
      </c>
      <c r="T15" s="3" t="s">
        <v>13</v>
      </c>
      <c r="U15" s="101">
        <f>SUM(S25:U29,S33:U37)</f>
        <v>2791818.28321</v>
      </c>
    </row>
    <row r="16" spans="1:31" x14ac:dyDescent="0.25">
      <c r="D16" t="s">
        <v>143</v>
      </c>
      <c r="J16" s="4" t="s">
        <v>144</v>
      </c>
      <c r="K16" s="1">
        <v>10</v>
      </c>
      <c r="L16" s="1">
        <v>10</v>
      </c>
      <c r="M16" s="1">
        <v>1</v>
      </c>
    </row>
    <row r="17" spans="1:21" x14ac:dyDescent="0.25">
      <c r="D17" t="s">
        <v>145</v>
      </c>
      <c r="J17" s="4" t="s">
        <v>189</v>
      </c>
      <c r="K17" s="1">
        <v>50</v>
      </c>
      <c r="L17" s="1">
        <v>5</v>
      </c>
      <c r="M17" s="1">
        <v>20</v>
      </c>
    </row>
    <row r="18" spans="1:21" x14ac:dyDescent="0.25">
      <c r="D18" t="s">
        <v>147</v>
      </c>
      <c r="J18" s="4" t="s">
        <v>153</v>
      </c>
      <c r="K18" s="1">
        <v>0</v>
      </c>
      <c r="L18" s="1">
        <v>0</v>
      </c>
      <c r="M18" s="1">
        <v>0</v>
      </c>
    </row>
    <row r="19" spans="1:21" x14ac:dyDescent="0.25">
      <c r="J19" s="4" t="s">
        <v>154</v>
      </c>
      <c r="K19" s="1">
        <v>0.9</v>
      </c>
      <c r="L19" s="1">
        <v>0.5</v>
      </c>
      <c r="M19" s="1">
        <v>20</v>
      </c>
    </row>
    <row r="20" spans="1:21" x14ac:dyDescent="0.25">
      <c r="D20" t="s">
        <v>150</v>
      </c>
      <c r="J20" s="4" t="s">
        <v>45</v>
      </c>
      <c r="K20" s="1">
        <v>0</v>
      </c>
      <c r="L20" s="1">
        <v>0</v>
      </c>
      <c r="M20" s="1">
        <v>0</v>
      </c>
    </row>
    <row r="23" spans="1:21" x14ac:dyDescent="0.25">
      <c r="G23" s="3" t="s">
        <v>71</v>
      </c>
      <c r="J23" s="3"/>
      <c r="K23" s="3" t="s">
        <v>72</v>
      </c>
      <c r="O23" s="3" t="s">
        <v>127</v>
      </c>
      <c r="S23" s="3" t="s">
        <v>190</v>
      </c>
    </row>
    <row r="24" spans="1:21" x14ac:dyDescent="0.25">
      <c r="G24" t="s">
        <v>11</v>
      </c>
      <c r="H24" t="s">
        <v>12</v>
      </c>
      <c r="I24" t="s">
        <v>94</v>
      </c>
      <c r="K24" t="s">
        <v>7</v>
      </c>
      <c r="L24" t="s">
        <v>9</v>
      </c>
      <c r="M24" t="s">
        <v>10</v>
      </c>
      <c r="O24" t="s">
        <v>7</v>
      </c>
      <c r="P24" t="s">
        <v>9</v>
      </c>
      <c r="Q24" t="s">
        <v>10</v>
      </c>
      <c r="S24" t="s">
        <v>7</v>
      </c>
      <c r="T24" t="s">
        <v>9</v>
      </c>
      <c r="U24" t="s">
        <v>10</v>
      </c>
    </row>
    <row r="25" spans="1:21" x14ac:dyDescent="0.25">
      <c r="A25" t="s">
        <v>92</v>
      </c>
      <c r="G25" s="132">
        <v>108.57763</v>
      </c>
      <c r="H25" s="132">
        <v>0</v>
      </c>
      <c r="I25" s="132">
        <v>508022.2</v>
      </c>
      <c r="K25" s="132">
        <v>108.57763</v>
      </c>
      <c r="L25" s="132">
        <v>0</v>
      </c>
      <c r="M25" s="132">
        <v>508022.2</v>
      </c>
      <c r="O25" s="132">
        <v>120.64181000000001</v>
      </c>
      <c r="P25" s="132">
        <v>0</v>
      </c>
      <c r="Q25" s="132">
        <v>25401.11</v>
      </c>
      <c r="S25" s="7">
        <f t="array" ref="S25:U29">MMULT(O25:Q29,_xlfn.MUNIT(3)*K15:M15)</f>
        <v>1206.4181000000001</v>
      </c>
      <c r="T25" s="7">
        <v>0</v>
      </c>
      <c r="U25" s="7">
        <v>127005.55</v>
      </c>
    </row>
    <row r="26" spans="1:21" x14ac:dyDescent="0.25">
      <c r="A26" t="s">
        <v>93</v>
      </c>
      <c r="G26" s="132">
        <v>130.29316</v>
      </c>
      <c r="H26" s="132">
        <v>0</v>
      </c>
      <c r="I26" s="132">
        <v>518182.64</v>
      </c>
      <c r="K26" s="132">
        <v>130.29316</v>
      </c>
      <c r="L26" s="132">
        <v>0</v>
      </c>
      <c r="M26" s="132">
        <v>518182.64</v>
      </c>
      <c r="O26" s="132">
        <v>24.128363</v>
      </c>
      <c r="P26" s="132">
        <v>0</v>
      </c>
      <c r="Q26" s="132">
        <v>508.0222</v>
      </c>
      <c r="S26" s="7">
        <v>241.28363000000002</v>
      </c>
      <c r="T26" s="7">
        <v>0</v>
      </c>
      <c r="U26" s="7">
        <v>2540.1109999999999</v>
      </c>
    </row>
    <row r="27" spans="1:21" x14ac:dyDescent="0.25">
      <c r="A27" t="s">
        <v>134</v>
      </c>
      <c r="G27" s="132">
        <v>156.35178999999999</v>
      </c>
      <c r="H27" s="132">
        <v>0</v>
      </c>
      <c r="I27" s="132">
        <v>528546.30000000005</v>
      </c>
      <c r="K27" s="132">
        <v>156.35178999999999</v>
      </c>
      <c r="L27" s="132">
        <v>0</v>
      </c>
      <c r="M27" s="132">
        <v>528546.30000000005</v>
      </c>
      <c r="O27" s="132">
        <v>28.954035000000001</v>
      </c>
      <c r="P27" s="132">
        <v>0</v>
      </c>
      <c r="Q27" s="132">
        <v>518.18263999999999</v>
      </c>
      <c r="S27" s="7">
        <v>289.54034999999999</v>
      </c>
      <c r="T27" s="7">
        <v>0</v>
      </c>
      <c r="U27" s="7">
        <v>2590.9132</v>
      </c>
    </row>
    <row r="28" spans="1:21" x14ac:dyDescent="0.25">
      <c r="A28" t="s">
        <v>135</v>
      </c>
      <c r="G28" s="132">
        <v>187.83931000000001</v>
      </c>
      <c r="H28" s="132">
        <v>0</v>
      </c>
      <c r="I28" s="132">
        <v>539117.22</v>
      </c>
      <c r="K28" s="132">
        <v>187.83931000000001</v>
      </c>
      <c r="L28" s="132">
        <v>0</v>
      </c>
      <c r="M28" s="132">
        <v>539117.22</v>
      </c>
      <c r="O28" s="132">
        <v>34.986125999999999</v>
      </c>
      <c r="P28" s="132">
        <v>0</v>
      </c>
      <c r="Q28" s="132">
        <v>528.54629999999997</v>
      </c>
      <c r="S28" s="7">
        <v>349.86126000000002</v>
      </c>
      <c r="T28" s="7">
        <v>0</v>
      </c>
      <c r="U28" s="7">
        <v>2642.7314999999999</v>
      </c>
    </row>
    <row r="29" spans="1:21" x14ac:dyDescent="0.25">
      <c r="A29" t="s">
        <v>136</v>
      </c>
      <c r="G29" s="132">
        <v>224.75569999999999</v>
      </c>
      <c r="H29" s="132">
        <v>0</v>
      </c>
      <c r="I29" s="132">
        <v>549899.56999999995</v>
      </c>
      <c r="K29" s="132">
        <v>224.75569999999999</v>
      </c>
      <c r="L29" s="132">
        <v>0</v>
      </c>
      <c r="M29" s="132">
        <v>549899.56999999995</v>
      </c>
      <c r="O29" s="132">
        <v>41.018217</v>
      </c>
      <c r="P29" s="132">
        <v>0</v>
      </c>
      <c r="Q29" s="132">
        <v>539.11721999999997</v>
      </c>
      <c r="S29" s="7">
        <v>410.18216999999999</v>
      </c>
      <c r="T29" s="7">
        <v>0</v>
      </c>
      <c r="U29" s="7">
        <v>2695.5861</v>
      </c>
    </row>
    <row r="31" spans="1:21" ht="29.25" customHeight="1" x14ac:dyDescent="0.25">
      <c r="K31" s="157" t="s">
        <v>192</v>
      </c>
      <c r="L31" s="157"/>
      <c r="M31" s="157"/>
      <c r="N31" s="3"/>
      <c r="O31" s="157" t="s">
        <v>203</v>
      </c>
      <c r="P31" s="157"/>
      <c r="Q31" s="157"/>
      <c r="R31" s="3"/>
      <c r="S31" s="157" t="s">
        <v>191</v>
      </c>
      <c r="T31" s="157"/>
      <c r="U31" s="157"/>
    </row>
    <row r="32" spans="1:21" x14ac:dyDescent="0.25">
      <c r="K32" t="s">
        <v>7</v>
      </c>
      <c r="L32" t="s">
        <v>9</v>
      </c>
      <c r="M32" t="s">
        <v>10</v>
      </c>
      <c r="O32" t="s">
        <v>7</v>
      </c>
      <c r="P32" t="s">
        <v>9</v>
      </c>
      <c r="Q32" t="s">
        <v>10</v>
      </c>
      <c r="S32" t="s">
        <v>7</v>
      </c>
      <c r="T32" t="s">
        <v>9</v>
      </c>
      <c r="U32" t="s">
        <v>10</v>
      </c>
    </row>
    <row r="33" spans="1:21" x14ac:dyDescent="0.25">
      <c r="A33" t="s">
        <v>92</v>
      </c>
      <c r="K33" s="51" cm="1">
        <f t="array" ref="K33:M37">MMULT(O33:Q37,_xlfn.MUNIT(3)*K18:M18)</f>
        <v>0</v>
      </c>
      <c r="L33" s="51">
        <v>0</v>
      </c>
      <c r="M33" s="51">
        <v>0</v>
      </c>
      <c r="O33" s="7">
        <f t="array" ref="O33:Q37">K20:M20+MMULT(O41:S45,O25:Q29)</f>
        <v>120.64181000000001</v>
      </c>
      <c r="P33" s="7">
        <v>0</v>
      </c>
      <c r="Q33" s="7">
        <v>25401.11</v>
      </c>
      <c r="S33" s="7">
        <f t="array" ref="S33:U37">MMULT(K25:M29,_xlfn.MUNIT(3)*K16:M16)</f>
        <v>1085.7763</v>
      </c>
      <c r="T33" s="7">
        <v>0</v>
      </c>
      <c r="U33" s="7">
        <v>508022.2</v>
      </c>
    </row>
    <row r="34" spans="1:21" x14ac:dyDescent="0.25">
      <c r="A34" t="s">
        <v>93</v>
      </c>
      <c r="K34" s="51">
        <v>0</v>
      </c>
      <c r="L34" s="51">
        <v>0</v>
      </c>
      <c r="M34" s="51">
        <v>0</v>
      </c>
      <c r="O34" s="7">
        <v>144.770173</v>
      </c>
      <c r="P34" s="7">
        <v>0</v>
      </c>
      <c r="Q34" s="7">
        <v>25909.1322</v>
      </c>
      <c r="S34" s="7">
        <v>1302.9315999999999</v>
      </c>
      <c r="T34" s="7">
        <v>0</v>
      </c>
      <c r="U34" s="7">
        <v>518182.64</v>
      </c>
    </row>
    <row r="35" spans="1:21" x14ac:dyDescent="0.25">
      <c r="A35" t="s">
        <v>134</v>
      </c>
      <c r="K35" s="51">
        <v>0</v>
      </c>
      <c r="L35" s="51">
        <v>0</v>
      </c>
      <c r="M35" s="51">
        <v>0</v>
      </c>
      <c r="O35" s="7">
        <v>173.724208</v>
      </c>
      <c r="P35" s="7">
        <v>0</v>
      </c>
      <c r="Q35" s="7">
        <v>26427.314839999999</v>
      </c>
      <c r="S35" s="7">
        <v>1563.5178999999998</v>
      </c>
      <c r="T35" s="7">
        <v>0</v>
      </c>
      <c r="U35" s="7">
        <v>528546.30000000005</v>
      </c>
    </row>
    <row r="36" spans="1:21" x14ac:dyDescent="0.25">
      <c r="A36" t="s">
        <v>135</v>
      </c>
      <c r="K36" s="51">
        <v>0</v>
      </c>
      <c r="L36" s="51">
        <v>0</v>
      </c>
      <c r="M36" s="51">
        <v>0</v>
      </c>
      <c r="O36" s="7">
        <v>208.71033399999999</v>
      </c>
      <c r="P36" s="7">
        <v>0</v>
      </c>
      <c r="Q36" s="7">
        <v>26955.861140000001</v>
      </c>
      <c r="S36" s="7">
        <v>1878.3931000000002</v>
      </c>
      <c r="T36" s="7">
        <v>0</v>
      </c>
      <c r="U36" s="7">
        <v>539117.22</v>
      </c>
    </row>
    <row r="37" spans="1:21" x14ac:dyDescent="0.25">
      <c r="A37" t="s">
        <v>136</v>
      </c>
      <c r="K37" s="51">
        <v>0</v>
      </c>
      <c r="L37" s="51">
        <v>0</v>
      </c>
      <c r="M37" s="51">
        <v>0</v>
      </c>
      <c r="O37" s="7">
        <v>249.72855099999998</v>
      </c>
      <c r="P37" s="7">
        <v>0</v>
      </c>
      <c r="Q37" s="7">
        <v>27494.978360000001</v>
      </c>
      <c r="S37" s="7">
        <v>2247.5569999999998</v>
      </c>
      <c r="T37" s="7">
        <v>0</v>
      </c>
      <c r="U37" s="7">
        <v>549899.56999999995</v>
      </c>
    </row>
    <row r="39" spans="1:21" ht="30" customHeight="1" x14ac:dyDescent="0.25">
      <c r="K39" s="157" t="s">
        <v>193</v>
      </c>
      <c r="L39" s="157"/>
      <c r="M39" s="157"/>
      <c r="O39" s="3" t="s">
        <v>128</v>
      </c>
    </row>
    <row r="40" spans="1:21" x14ac:dyDescent="0.25">
      <c r="K40" t="s">
        <v>7</v>
      </c>
      <c r="L40" t="s">
        <v>9</v>
      </c>
      <c r="M40" t="s">
        <v>10</v>
      </c>
      <c r="O40" t="s">
        <v>92</v>
      </c>
      <c r="P40" t="s">
        <v>93</v>
      </c>
      <c r="Q40" t="s">
        <v>134</v>
      </c>
      <c r="R40" t="s">
        <v>135</v>
      </c>
      <c r="S40" t="s">
        <v>136</v>
      </c>
    </row>
    <row r="41" spans="1:21" x14ac:dyDescent="0.25">
      <c r="A41" t="s">
        <v>92</v>
      </c>
      <c r="K41" s="7" cm="1">
        <f t="array" ref="K41:M45">MMULT(O33:Q37,_xlfn.MUNIT(3)*K19:M19)</f>
        <v>108.577629</v>
      </c>
      <c r="L41" s="7">
        <v>0</v>
      </c>
      <c r="M41" s="7">
        <v>508022.2</v>
      </c>
      <c r="O41" s="6">
        <v>1</v>
      </c>
      <c r="P41" s="6">
        <v>0</v>
      </c>
      <c r="Q41" s="6">
        <v>0</v>
      </c>
      <c r="R41" s="6">
        <v>0</v>
      </c>
      <c r="S41" s="6">
        <v>0</v>
      </c>
    </row>
    <row r="42" spans="1:21" x14ac:dyDescent="0.25">
      <c r="A42" t="s">
        <v>93</v>
      </c>
      <c r="K42" s="7">
        <v>130.2931557</v>
      </c>
      <c r="L42" s="7">
        <v>0</v>
      </c>
      <c r="M42" s="7">
        <v>518182.64399999997</v>
      </c>
      <c r="O42" s="6">
        <v>1</v>
      </c>
      <c r="P42" s="6">
        <v>1</v>
      </c>
      <c r="Q42" s="6">
        <v>0</v>
      </c>
      <c r="R42" s="6">
        <v>0</v>
      </c>
      <c r="S42" s="6">
        <v>0</v>
      </c>
    </row>
    <row r="43" spans="1:21" x14ac:dyDescent="0.25">
      <c r="A43" t="s">
        <v>134</v>
      </c>
      <c r="K43" s="7">
        <v>156.35178720000002</v>
      </c>
      <c r="L43" s="7">
        <v>0</v>
      </c>
      <c r="M43" s="7">
        <v>528546.29680000001</v>
      </c>
      <c r="O43" s="6">
        <v>1</v>
      </c>
      <c r="P43" s="6">
        <v>1</v>
      </c>
      <c r="Q43" s="6">
        <v>1</v>
      </c>
      <c r="R43" s="6">
        <v>0</v>
      </c>
      <c r="S43" s="6">
        <v>0</v>
      </c>
    </row>
    <row r="44" spans="1:21" x14ac:dyDescent="0.25">
      <c r="A44" t="s">
        <v>135</v>
      </c>
      <c r="K44" s="7">
        <v>187.8393006</v>
      </c>
      <c r="L44" s="7">
        <v>0</v>
      </c>
      <c r="M44" s="7">
        <v>539117.22279999999</v>
      </c>
      <c r="O44" s="6">
        <v>1</v>
      </c>
      <c r="P44" s="6">
        <v>1</v>
      </c>
      <c r="Q44" s="6">
        <v>1</v>
      </c>
      <c r="R44" s="6">
        <v>1</v>
      </c>
      <c r="S44" s="6">
        <v>0</v>
      </c>
    </row>
    <row r="45" spans="1:21" x14ac:dyDescent="0.25">
      <c r="A45" t="s">
        <v>136</v>
      </c>
      <c r="K45" s="7">
        <v>224.75569589999998</v>
      </c>
      <c r="L45" s="7">
        <v>0</v>
      </c>
      <c r="M45" s="7">
        <v>549899.56720000005</v>
      </c>
      <c r="O45" s="6">
        <v>1</v>
      </c>
      <c r="P45" s="6">
        <v>1</v>
      </c>
      <c r="Q45" s="6">
        <v>1</v>
      </c>
      <c r="R45" s="6">
        <v>1</v>
      </c>
      <c r="S45" s="6">
        <v>1</v>
      </c>
    </row>
  </sheetData>
  <mergeCells count="4">
    <mergeCell ref="K31:M31"/>
    <mergeCell ref="O31:Q31"/>
    <mergeCell ref="S31:U31"/>
    <mergeCell ref="K39:M39"/>
  </mergeCells>
  <hyperlinks>
    <hyperlink ref="A1" location="Contents!A1" display="Back to contents" xr:uid="{FC73AB92-64AE-4F19-BD53-620A03BC1517}"/>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7D4C67-9E26-4AF3-8132-48523C26870D}">
  <sheetPr>
    <tabColor theme="8" tint="0.59999389629810485"/>
  </sheetPr>
  <dimension ref="A1:AU56"/>
  <sheetViews>
    <sheetView showGridLines="0" zoomScale="115" zoomScaleNormal="115" workbookViewId="0">
      <pane xSplit="4" ySplit="6" topLeftCell="E25" activePane="bottomRight" state="frozen"/>
      <selection pane="topRight"/>
      <selection pane="bottomLeft"/>
      <selection pane="bottomRight" activeCell="Q48" sqref="Q48"/>
    </sheetView>
  </sheetViews>
  <sheetFormatPr defaultRowHeight="15" x14ac:dyDescent="0.25"/>
  <cols>
    <col min="1" max="1" width="5.28515625" bestFit="1" customWidth="1"/>
    <col min="2" max="2" width="6.140625" bestFit="1" customWidth="1"/>
    <col min="3" max="3" width="6" bestFit="1" customWidth="1"/>
    <col min="4" max="4" width="31.7109375" bestFit="1" customWidth="1"/>
    <col min="5" max="5" width="2.85546875" customWidth="1"/>
    <col min="6" max="6" width="8.28515625" customWidth="1"/>
    <col min="7" max="7" width="6.7109375" bestFit="1" customWidth="1"/>
    <col min="8" max="8" width="6.42578125" customWidth="1"/>
    <col min="9" max="9" width="4.7109375" customWidth="1"/>
    <col min="10" max="12" width="6.85546875" customWidth="1"/>
    <col min="13" max="13" width="4.7109375" customWidth="1"/>
    <col min="14" max="16" width="7.42578125" customWidth="1"/>
    <col min="17" max="17" width="6.42578125" bestFit="1" customWidth="1"/>
    <col min="18" max="18" width="6.28515625" customWidth="1"/>
    <col min="19" max="19" width="4.85546875" customWidth="1"/>
    <col min="20" max="32" width="7.42578125" customWidth="1"/>
    <col min="33" max="34" width="4.85546875" customWidth="1"/>
    <col min="35" max="35" width="5.28515625" customWidth="1"/>
    <col min="36" max="38" width="7.140625" customWidth="1"/>
    <col min="39" max="43" width="5.28515625" customWidth="1"/>
    <col min="46" max="46" width="12.28515625" bestFit="1" customWidth="1"/>
  </cols>
  <sheetData>
    <row r="1" spans="1:30" x14ac:dyDescent="0.25">
      <c r="A1" s="97" t="s">
        <v>285</v>
      </c>
    </row>
    <row r="2" spans="1:30" x14ac:dyDescent="0.25">
      <c r="A2" t="s">
        <v>133</v>
      </c>
      <c r="N2" t="s">
        <v>92</v>
      </c>
      <c r="O2" t="s">
        <v>93</v>
      </c>
      <c r="P2" t="s">
        <v>134</v>
      </c>
      <c r="Q2" t="s">
        <v>135</v>
      </c>
      <c r="R2" t="s">
        <v>136</v>
      </c>
      <c r="T2" t="s">
        <v>92</v>
      </c>
      <c r="U2" t="s">
        <v>93</v>
      </c>
      <c r="V2" t="s">
        <v>134</v>
      </c>
      <c r="W2" t="s">
        <v>135</v>
      </c>
      <c r="X2" t="s">
        <v>136</v>
      </c>
    </row>
    <row r="3" spans="1:30" x14ac:dyDescent="0.25">
      <c r="B3" t="s">
        <v>0</v>
      </c>
      <c r="F3" t="s">
        <v>11</v>
      </c>
      <c r="G3" t="s">
        <v>12</v>
      </c>
      <c r="H3" t="s">
        <v>94</v>
      </c>
    </row>
    <row r="4" spans="1:30" x14ac:dyDescent="0.25">
      <c r="C4" t="s">
        <v>1</v>
      </c>
      <c r="J4" t="s">
        <v>7</v>
      </c>
      <c r="K4" t="s">
        <v>9</v>
      </c>
      <c r="L4" t="s">
        <v>10</v>
      </c>
    </row>
    <row r="5" spans="1:30" x14ac:dyDescent="0.25">
      <c r="D5" t="s">
        <v>2</v>
      </c>
      <c r="F5" t="s">
        <v>186</v>
      </c>
      <c r="G5" t="s">
        <v>187</v>
      </c>
      <c r="N5" t="s">
        <v>8</v>
      </c>
    </row>
    <row r="6" spans="1:30" x14ac:dyDescent="0.25">
      <c r="H6" s="45"/>
      <c r="J6" s="45"/>
      <c r="K6" s="45"/>
      <c r="L6" s="45"/>
    </row>
    <row r="7" spans="1:30" x14ac:dyDescent="0.25">
      <c r="F7" s="3" t="s">
        <v>138</v>
      </c>
      <c r="J7" s="3" t="s">
        <v>5</v>
      </c>
      <c r="N7" s="3" t="s">
        <v>14</v>
      </c>
      <c r="T7" s="3" t="s">
        <v>47</v>
      </c>
      <c r="Z7" s="3" t="s">
        <v>139</v>
      </c>
    </row>
    <row r="8" spans="1:30" x14ac:dyDescent="0.25">
      <c r="B8" t="s">
        <v>3</v>
      </c>
      <c r="D8" t="s">
        <v>19</v>
      </c>
      <c r="F8" s="6">
        <v>1</v>
      </c>
      <c r="G8" s="6">
        <v>1</v>
      </c>
      <c r="H8" s="6">
        <v>0</v>
      </c>
      <c r="J8" s="1">
        <v>7.9000000000000001E-2</v>
      </c>
      <c r="K8" s="1">
        <v>7.9000000000000001E-2</v>
      </c>
      <c r="L8" s="1">
        <v>0</v>
      </c>
      <c r="N8" s="46">
        <v>100</v>
      </c>
      <c r="O8" s="46">
        <v>120</v>
      </c>
      <c r="P8" s="46">
        <v>144</v>
      </c>
      <c r="Q8" s="46">
        <v>173</v>
      </c>
      <c r="R8" s="46">
        <v>207</v>
      </c>
      <c r="T8" s="7">
        <f t="array" ref="T8:X9">MMULT(F8:H9,TRANSPOSE(F28:H32))</f>
        <v>108.57763</v>
      </c>
      <c r="U8" s="7">
        <v>130.29316</v>
      </c>
      <c r="V8" s="7">
        <v>156.35178999999999</v>
      </c>
      <c r="W8" s="7">
        <v>187.83931000000001</v>
      </c>
      <c r="X8" s="7">
        <v>224.75569999999999</v>
      </c>
      <c r="Z8" s="47">
        <f t="array" ref="Z8:AD9">T8:X9-MMULT(J8:L9,TRANSPOSE(J28:L32))-N8:R9</f>
        <v>-2.7699999947117249E-6</v>
      </c>
      <c r="AA8" s="31">
        <v>3.6000000136482413E-7</v>
      </c>
      <c r="AB8" s="31">
        <v>-1.4100000100825127E-6</v>
      </c>
      <c r="AC8" s="31">
        <v>4.5099999965714233E-6</v>
      </c>
      <c r="AD8" s="32">
        <v>-3.0000001061125658E-7</v>
      </c>
    </row>
    <row r="9" spans="1:30" x14ac:dyDescent="0.25">
      <c r="B9" t="s">
        <v>4</v>
      </c>
      <c r="D9" t="s">
        <v>85</v>
      </c>
      <c r="F9" s="6">
        <v>0</v>
      </c>
      <c r="G9" s="6">
        <v>0</v>
      </c>
      <c r="H9" s="6">
        <v>1</v>
      </c>
      <c r="J9" s="1">
        <v>0</v>
      </c>
      <c r="K9" s="1">
        <v>0</v>
      </c>
      <c r="L9" s="1">
        <v>0</v>
      </c>
      <c r="N9" s="46">
        <v>508022.19999999995</v>
      </c>
      <c r="O9" s="46">
        <v>518182.64399999997</v>
      </c>
      <c r="P9" s="46">
        <v>528546.29687999992</v>
      </c>
      <c r="Q9" s="46">
        <v>539117.22281759989</v>
      </c>
      <c r="R9" s="46">
        <v>549899.56727395195</v>
      </c>
      <c r="T9" s="7">
        <v>508022.2</v>
      </c>
      <c r="U9" s="7">
        <v>518182.64</v>
      </c>
      <c r="V9" s="7">
        <v>528546.30000000005</v>
      </c>
      <c r="W9" s="7">
        <v>539117.22</v>
      </c>
      <c r="X9" s="7">
        <v>549899.56999999995</v>
      </c>
      <c r="Z9" s="34">
        <v>0</v>
      </c>
      <c r="AA9" s="35">
        <v>-3.9999999571591616E-3</v>
      </c>
      <c r="AB9" s="35">
        <v>3.1200001249089837E-3</v>
      </c>
      <c r="AC9" s="35">
        <v>-2.8175999177619815E-3</v>
      </c>
      <c r="AD9" s="36">
        <v>2.7260479982942343E-3</v>
      </c>
    </row>
    <row r="10" spans="1:30" x14ac:dyDescent="0.25">
      <c r="F10" s="3" t="s">
        <v>6</v>
      </c>
      <c r="Z10" s="3" t="s">
        <v>140</v>
      </c>
    </row>
    <row r="11" spans="1:30" x14ac:dyDescent="0.25">
      <c r="C11" t="s">
        <v>7</v>
      </c>
      <c r="D11" t="s">
        <v>184</v>
      </c>
      <c r="F11" s="1">
        <v>1</v>
      </c>
      <c r="G11" s="1">
        <v>0</v>
      </c>
      <c r="H11" s="1">
        <v>0</v>
      </c>
      <c r="T11" s="41"/>
      <c r="U11" s="41"/>
      <c r="V11" s="41"/>
      <c r="W11" s="41"/>
      <c r="X11" s="41"/>
      <c r="Z11" s="30">
        <f t="array" ref="Z11:AD13">TRANSPOSE(J28:L32)-MMULT(F11:H13,TRANSPOSE(F28:H32))</f>
        <v>0</v>
      </c>
      <c r="AA11" s="31">
        <v>0</v>
      </c>
      <c r="AB11" s="31">
        <v>0</v>
      </c>
      <c r="AC11" s="31">
        <v>0</v>
      </c>
      <c r="AD11" s="32">
        <v>0</v>
      </c>
    </row>
    <row r="12" spans="1:30" x14ac:dyDescent="0.25">
      <c r="C12" t="s">
        <v>9</v>
      </c>
      <c r="D12" t="s">
        <v>185</v>
      </c>
      <c r="F12" s="1">
        <v>0</v>
      </c>
      <c r="G12" s="1">
        <v>1</v>
      </c>
      <c r="H12" s="1">
        <v>0</v>
      </c>
      <c r="T12" s="41"/>
      <c r="U12" s="41"/>
      <c r="V12" s="41"/>
      <c r="W12" s="41"/>
      <c r="X12" s="41"/>
      <c r="Z12" s="33">
        <v>0</v>
      </c>
      <c r="AA12">
        <v>0</v>
      </c>
      <c r="AB12">
        <v>0</v>
      </c>
      <c r="AC12">
        <v>0</v>
      </c>
      <c r="AD12" s="2">
        <v>0</v>
      </c>
    </row>
    <row r="13" spans="1:30" x14ac:dyDescent="0.25">
      <c r="C13" t="s">
        <v>10</v>
      </c>
      <c r="D13" t="s">
        <v>85</v>
      </c>
      <c r="F13" s="1">
        <v>0</v>
      </c>
      <c r="G13" s="1">
        <v>0</v>
      </c>
      <c r="H13" s="1">
        <v>1</v>
      </c>
      <c r="T13" s="41"/>
      <c r="U13" s="41"/>
      <c r="V13" s="41"/>
      <c r="W13" s="41"/>
      <c r="X13" s="41"/>
      <c r="Z13" s="34">
        <v>0</v>
      </c>
      <c r="AA13" s="35">
        <v>0</v>
      </c>
      <c r="AB13" s="35">
        <v>0</v>
      </c>
      <c r="AC13" s="35">
        <v>0</v>
      </c>
      <c r="AD13" s="36">
        <v>0</v>
      </c>
    </row>
    <row r="14" spans="1:30" x14ac:dyDescent="0.25">
      <c r="T14" s="3" t="s">
        <v>202</v>
      </c>
    </row>
    <row r="15" spans="1:30" x14ac:dyDescent="0.25">
      <c r="D15" t="s">
        <v>141</v>
      </c>
      <c r="I15" s="4" t="s">
        <v>142</v>
      </c>
      <c r="J15" s="1">
        <v>10</v>
      </c>
      <c r="K15" s="1">
        <v>10</v>
      </c>
      <c r="L15" s="1">
        <v>5</v>
      </c>
      <c r="S15" s="3"/>
      <c r="T15" s="101">
        <f>SUM(R28:T32,R36:T40)</f>
        <v>2906853.0380299999</v>
      </c>
    </row>
    <row r="16" spans="1:30" x14ac:dyDescent="0.25">
      <c r="D16" t="s">
        <v>143</v>
      </c>
      <c r="I16" s="4" t="s">
        <v>144</v>
      </c>
      <c r="J16" s="1">
        <v>10</v>
      </c>
      <c r="K16" s="1">
        <v>10</v>
      </c>
      <c r="L16" s="1">
        <v>1</v>
      </c>
    </row>
    <row r="17" spans="1:42" x14ac:dyDescent="0.25">
      <c r="D17" t="s">
        <v>145</v>
      </c>
      <c r="I17" s="4" t="s">
        <v>146</v>
      </c>
      <c r="J17" s="1">
        <v>50</v>
      </c>
      <c r="K17" s="1">
        <v>5</v>
      </c>
      <c r="L17" s="1">
        <v>20</v>
      </c>
    </row>
    <row r="18" spans="1:42" x14ac:dyDescent="0.25">
      <c r="D18" t="s">
        <v>147</v>
      </c>
      <c r="I18" s="4" t="s">
        <v>148</v>
      </c>
      <c r="J18" s="1">
        <v>0</v>
      </c>
      <c r="K18" s="1">
        <v>0</v>
      </c>
      <c r="L18" s="1">
        <v>0</v>
      </c>
    </row>
    <row r="19" spans="1:42" x14ac:dyDescent="0.25">
      <c r="I19" s="4" t="s">
        <v>149</v>
      </c>
      <c r="J19" s="1">
        <v>0.7</v>
      </c>
      <c r="K19" s="1">
        <v>0.3</v>
      </c>
      <c r="L19" s="1">
        <v>20</v>
      </c>
    </row>
    <row r="20" spans="1:42" x14ac:dyDescent="0.25">
      <c r="D20" t="s">
        <v>150</v>
      </c>
      <c r="I20" s="4" t="s">
        <v>45</v>
      </c>
      <c r="J20" s="1">
        <v>0</v>
      </c>
      <c r="K20" s="1">
        <v>0</v>
      </c>
      <c r="L20" s="1">
        <v>1</v>
      </c>
    </row>
    <row r="21" spans="1:42" x14ac:dyDescent="0.25">
      <c r="D21" t="s">
        <v>155</v>
      </c>
      <c r="I21" s="4" t="s">
        <v>156</v>
      </c>
      <c r="J21" s="1">
        <v>0</v>
      </c>
      <c r="K21" s="1">
        <v>0</v>
      </c>
      <c r="L21" s="1">
        <v>3</v>
      </c>
    </row>
    <row r="22" spans="1:42" x14ac:dyDescent="0.25">
      <c r="D22" t="s">
        <v>157</v>
      </c>
      <c r="I22" s="4" t="s">
        <v>169</v>
      </c>
      <c r="J22" s="1">
        <v>3</v>
      </c>
      <c r="K22" s="1">
        <v>2</v>
      </c>
      <c r="L22" s="1">
        <v>5</v>
      </c>
    </row>
    <row r="23" spans="1:42" x14ac:dyDescent="0.25">
      <c r="D23" t="s">
        <v>159</v>
      </c>
      <c r="I23" s="4" t="s">
        <v>170</v>
      </c>
      <c r="J23" s="1">
        <v>3</v>
      </c>
      <c r="K23" s="1">
        <v>5</v>
      </c>
      <c r="L23" s="1">
        <v>5</v>
      </c>
    </row>
    <row r="25" spans="1:42" x14ac:dyDescent="0.25">
      <c r="X25" s="3" t="s">
        <v>171</v>
      </c>
      <c r="AE25" s="3" t="s">
        <v>172</v>
      </c>
      <c r="AL25" s="3" t="s">
        <v>173</v>
      </c>
    </row>
    <row r="26" spans="1:42" x14ac:dyDescent="0.25">
      <c r="F26" s="3" t="s">
        <v>71</v>
      </c>
      <c r="I26" s="3"/>
      <c r="J26" s="3" t="s">
        <v>72</v>
      </c>
      <c r="N26" s="3" t="s">
        <v>127</v>
      </c>
      <c r="R26" s="3" t="s">
        <v>190</v>
      </c>
      <c r="X26" s="48" t="s">
        <v>165</v>
      </c>
    </row>
    <row r="27" spans="1:42" x14ac:dyDescent="0.25">
      <c r="F27" t="s">
        <v>11</v>
      </c>
      <c r="G27" t="s">
        <v>12</v>
      </c>
      <c r="H27" t="s">
        <v>94</v>
      </c>
      <c r="J27" t="s">
        <v>7</v>
      </c>
      <c r="K27" t="s">
        <v>9</v>
      </c>
      <c r="L27" t="s">
        <v>10</v>
      </c>
      <c r="N27" t="s">
        <v>7</v>
      </c>
      <c r="O27" t="s">
        <v>9</v>
      </c>
      <c r="P27" t="s">
        <v>10</v>
      </c>
      <c r="R27" t="s">
        <v>7</v>
      </c>
      <c r="S27" t="s">
        <v>9</v>
      </c>
      <c r="T27" t="s">
        <v>10</v>
      </c>
      <c r="W27" s="49" t="s">
        <v>166</v>
      </c>
      <c r="X27" t="s">
        <v>92</v>
      </c>
      <c r="Y27" t="s">
        <v>93</v>
      </c>
      <c r="Z27" t="s">
        <v>134</v>
      </c>
      <c r="AA27" t="s">
        <v>135</v>
      </c>
      <c r="AB27" t="s">
        <v>136</v>
      </c>
      <c r="AE27" t="s">
        <v>92</v>
      </c>
      <c r="AF27" t="s">
        <v>93</v>
      </c>
      <c r="AG27" t="s">
        <v>134</v>
      </c>
      <c r="AH27" t="s">
        <v>135</v>
      </c>
      <c r="AI27" t="s">
        <v>136</v>
      </c>
      <c r="AL27" t="s">
        <v>92</v>
      </c>
      <c r="AM27" t="s">
        <v>93</v>
      </c>
      <c r="AN27" t="s">
        <v>134</v>
      </c>
      <c r="AO27" t="s">
        <v>135</v>
      </c>
      <c r="AP27" t="s">
        <v>136</v>
      </c>
    </row>
    <row r="28" spans="1:42" x14ac:dyDescent="0.25">
      <c r="A28" t="s">
        <v>92</v>
      </c>
      <c r="F28" s="132">
        <v>108.57763</v>
      </c>
      <c r="G28" s="132">
        <v>0</v>
      </c>
      <c r="H28" s="132">
        <v>508022.2</v>
      </c>
      <c r="J28" s="132">
        <v>108.57763</v>
      </c>
      <c r="K28" s="132">
        <v>0</v>
      </c>
      <c r="L28" s="132">
        <v>508022.2</v>
      </c>
      <c r="N28" s="132">
        <v>173.71026000000001</v>
      </c>
      <c r="O28" s="132">
        <v>0</v>
      </c>
      <c r="P28" s="132">
        <v>25440.682000000001</v>
      </c>
      <c r="R28" s="7">
        <f t="array" ref="R28:T32">MMULT(N28:P32,_xlfn.MUNIT(3)*J15:L15)</f>
        <v>1737.1026000000002</v>
      </c>
      <c r="S28" s="7">
        <v>0</v>
      </c>
      <c r="T28" s="7">
        <v>127203.41</v>
      </c>
      <c r="W28" s="2">
        <v>1</v>
      </c>
      <c r="X28" s="6">
        <f>_xlfn.WEIBULL.DIST(COUNTA($W$28:$W28),J$23,J$22,FALSE)</f>
        <v>0.10707116047792069</v>
      </c>
      <c r="Y28" s="6">
        <v>0</v>
      </c>
      <c r="Z28" s="6">
        <v>0</v>
      </c>
      <c r="AA28" s="6">
        <v>0</v>
      </c>
      <c r="AB28" s="6">
        <v>0</v>
      </c>
      <c r="AE28" s="54">
        <f>_xlfn.WEIBULL.DIST(COUNTA($W$28:$W28),K$23,K$22,FALSE)</f>
        <v>0.15144269288692877</v>
      </c>
      <c r="AF28" s="6">
        <v>0</v>
      </c>
      <c r="AG28" s="6">
        <v>0</v>
      </c>
      <c r="AH28" s="6">
        <v>0</v>
      </c>
      <c r="AI28" s="6">
        <v>0</v>
      </c>
      <c r="AL28" s="54">
        <f>_xlfn.WEIBULL.DIST(COUNTA($W$28:$W28),L$23,L$22,FALSE)</f>
        <v>1.599488081911263E-3</v>
      </c>
      <c r="AM28" s="6">
        <v>0</v>
      </c>
      <c r="AN28" s="6">
        <v>0</v>
      </c>
      <c r="AO28" s="6">
        <v>0</v>
      </c>
      <c r="AP28" s="6">
        <v>0</v>
      </c>
    </row>
    <row r="29" spans="1:42" x14ac:dyDescent="0.25">
      <c r="A29" t="s">
        <v>93</v>
      </c>
      <c r="F29" s="132">
        <v>130.29316</v>
      </c>
      <c r="G29" s="132">
        <v>0</v>
      </c>
      <c r="H29" s="132">
        <v>518182.64</v>
      </c>
      <c r="J29" s="132">
        <v>130.29316</v>
      </c>
      <c r="K29" s="132">
        <v>0</v>
      </c>
      <c r="L29" s="132">
        <v>518182.64</v>
      </c>
      <c r="N29" s="132">
        <v>99.032472999999996</v>
      </c>
      <c r="O29" s="132">
        <v>0</v>
      </c>
      <c r="P29" s="132">
        <v>1154.2195999999999</v>
      </c>
      <c r="R29" s="7">
        <v>990.32472999999993</v>
      </c>
      <c r="S29" s="7">
        <v>0</v>
      </c>
      <c r="T29" s="7">
        <v>5771.098</v>
      </c>
      <c r="W29" s="2">
        <v>2</v>
      </c>
      <c r="X29" s="6">
        <f>_xlfn.WEIBULL.DIST(COUNTA($W$28:$W29),J$23,J$22,FALSE)</f>
        <v>0.33047425742484726</v>
      </c>
      <c r="Y29" s="6">
        <f>X28</f>
        <v>0.10707116047792069</v>
      </c>
      <c r="Z29" s="6">
        <v>0</v>
      </c>
      <c r="AA29" s="6">
        <v>0</v>
      </c>
      <c r="AB29" s="6">
        <v>0</v>
      </c>
      <c r="AE29" s="53">
        <f>_xlfn.WEIBULL.DIST(COUNTA($W$28:$W29),K$23,K$22,FALSE)</f>
        <v>0.91969860292860572</v>
      </c>
      <c r="AF29" s="6">
        <f>AE28</f>
        <v>0.15144269288692877</v>
      </c>
      <c r="AG29" s="6">
        <v>0</v>
      </c>
      <c r="AH29" s="6">
        <v>0</v>
      </c>
      <c r="AI29" s="6">
        <v>0</v>
      </c>
      <c r="AL29" s="53">
        <f>_xlfn.WEIBULL.DIST(COUNTA($W$28:$W29),L$23,L$22,FALSE)</f>
        <v>2.5339193607685703E-2</v>
      </c>
      <c r="AM29" s="6">
        <f>AL28</f>
        <v>1.599488081911263E-3</v>
      </c>
      <c r="AN29" s="6">
        <v>0</v>
      </c>
      <c r="AO29" s="6">
        <v>0</v>
      </c>
      <c r="AP29" s="6">
        <v>0</v>
      </c>
    </row>
    <row r="30" spans="1:42" x14ac:dyDescent="0.25">
      <c r="A30" t="s">
        <v>134</v>
      </c>
      <c r="F30" s="132">
        <v>156.35178999999999</v>
      </c>
      <c r="G30" s="132">
        <v>0</v>
      </c>
      <c r="H30" s="132">
        <v>528546.30000000005</v>
      </c>
      <c r="J30" s="132">
        <v>156.35178999999999</v>
      </c>
      <c r="K30" s="132">
        <v>0</v>
      </c>
      <c r="L30" s="132">
        <v>528546.30000000005</v>
      </c>
      <c r="N30" s="132">
        <v>149.90975</v>
      </c>
      <c r="O30" s="132">
        <v>0</v>
      </c>
      <c r="P30" s="132">
        <v>3603.2689</v>
      </c>
      <c r="R30" s="7">
        <v>1499.0975000000001</v>
      </c>
      <c r="S30" s="7">
        <v>0</v>
      </c>
      <c r="T30" s="7">
        <v>18016.344499999999</v>
      </c>
      <c r="W30" s="2">
        <v>3</v>
      </c>
      <c r="X30" s="6">
        <f>_xlfn.WEIBULL.DIST(COUNTA($W$28:$W30),J$23,J$22,FALSE)</f>
        <v>0.36787944117144239</v>
      </c>
      <c r="Y30" s="6">
        <f t="shared" ref="Y30:Z32" si="0">X29</f>
        <v>0.33047425742484726</v>
      </c>
      <c r="Z30" s="6">
        <f>Y29</f>
        <v>0.10707116047792069</v>
      </c>
      <c r="AA30" s="6">
        <v>0</v>
      </c>
      <c r="AB30" s="6">
        <v>0</v>
      </c>
      <c r="AE30" s="53">
        <f>_xlfn.WEIBULL.DIST(COUNTA($W$28:$W30),K$23,K$22,FALSE)</f>
        <v>6.3735489107332949E-3</v>
      </c>
      <c r="AF30" s="6">
        <f t="shared" ref="AF30:AG32" si="1">AE29</f>
        <v>0.91969860292860572</v>
      </c>
      <c r="AG30" s="6">
        <f>AF29</f>
        <v>0.15144269288692877</v>
      </c>
      <c r="AH30" s="6">
        <v>0</v>
      </c>
      <c r="AI30" s="6">
        <v>0</v>
      </c>
      <c r="AL30" s="53">
        <f>_xlfn.WEIBULL.DIST(COUNTA($W$28:$W30),L$23,L$22,FALSE)</f>
        <v>0.11990416322625341</v>
      </c>
      <c r="AM30" s="6">
        <f t="shared" ref="AM30:AN32" si="2">AL29</f>
        <v>2.5339193607685703E-2</v>
      </c>
      <c r="AN30" s="6">
        <f>AM29</f>
        <v>1.599488081911263E-3</v>
      </c>
      <c r="AO30" s="6">
        <v>0</v>
      </c>
      <c r="AP30" s="6">
        <v>0</v>
      </c>
    </row>
    <row r="31" spans="1:42" x14ac:dyDescent="0.25">
      <c r="A31" t="s">
        <v>135</v>
      </c>
      <c r="F31" s="132">
        <v>187.83931000000001</v>
      </c>
      <c r="G31" s="132">
        <v>0</v>
      </c>
      <c r="H31" s="132">
        <v>539117.22</v>
      </c>
      <c r="J31" s="132">
        <v>187.83931000000001</v>
      </c>
      <c r="K31" s="132">
        <v>0</v>
      </c>
      <c r="L31" s="132">
        <v>539117.22</v>
      </c>
      <c r="N31" s="132">
        <v>178.97658000000001</v>
      </c>
      <c r="O31" s="132">
        <v>0</v>
      </c>
      <c r="P31" s="132">
        <v>8280.2656999999999</v>
      </c>
      <c r="R31" s="7">
        <v>1789.7658000000001</v>
      </c>
      <c r="S31" s="7">
        <v>0</v>
      </c>
      <c r="T31" s="7">
        <v>41401.328500000003</v>
      </c>
      <c r="W31" s="2">
        <v>4</v>
      </c>
      <c r="X31" s="6">
        <f>_xlfn.WEIBULL.DIST(COUNTA($W$28:$W31),J$23,J$22,FALSE)</f>
        <v>0.1661264181291118</v>
      </c>
      <c r="Y31" s="6">
        <f t="shared" si="0"/>
        <v>0.36787944117144239</v>
      </c>
      <c r="Z31" s="6">
        <f t="shared" si="0"/>
        <v>0.33047425742484726</v>
      </c>
      <c r="AA31" s="6">
        <f>Z30</f>
        <v>0.10707116047792069</v>
      </c>
      <c r="AB31" s="6">
        <v>0</v>
      </c>
      <c r="AE31" s="53">
        <f>_xlfn.WEIBULL.DIST(COUNTA($W$28:$W31),K$23,K$22,FALSE)</f>
        <v>5.0656662196376692E-13</v>
      </c>
      <c r="AF31" s="6">
        <f t="shared" si="1"/>
        <v>6.3735489107332949E-3</v>
      </c>
      <c r="AG31" s="6">
        <f t="shared" si="1"/>
        <v>0.91969860292860572</v>
      </c>
      <c r="AH31" s="6">
        <f>AG30</f>
        <v>0.15144269288692877</v>
      </c>
      <c r="AI31" s="6">
        <v>0</v>
      </c>
      <c r="AL31" s="53">
        <f>_xlfn.WEIBULL.DIST(COUNTA($W$28:$W31),L$23,L$22,FALSE)</f>
        <v>0.29515512740172928</v>
      </c>
      <c r="AM31" s="6">
        <f t="shared" si="2"/>
        <v>0.11990416322625341</v>
      </c>
      <c r="AN31" s="6">
        <f t="shared" si="2"/>
        <v>2.5339193607685703E-2</v>
      </c>
      <c r="AO31" s="6">
        <f>AN30</f>
        <v>1.599488081911263E-3</v>
      </c>
      <c r="AP31" s="6">
        <v>0</v>
      </c>
    </row>
    <row r="32" spans="1:42" x14ac:dyDescent="0.25">
      <c r="A32" t="s">
        <v>136</v>
      </c>
      <c r="F32" s="132">
        <v>224.75569999999999</v>
      </c>
      <c r="G32" s="132">
        <v>0</v>
      </c>
      <c r="H32" s="132">
        <v>549899.56999999995</v>
      </c>
      <c r="J32" s="132">
        <v>224.75569999999999</v>
      </c>
      <c r="K32" s="132">
        <v>0</v>
      </c>
      <c r="L32" s="132">
        <v>549899.56999999995</v>
      </c>
      <c r="N32" s="132">
        <v>210.76054999999999</v>
      </c>
      <c r="O32" s="132">
        <v>0</v>
      </c>
      <c r="P32" s="132">
        <v>10898.171</v>
      </c>
      <c r="R32" s="7">
        <v>2107.6055000000001</v>
      </c>
      <c r="S32" s="7">
        <v>0</v>
      </c>
      <c r="T32" s="7">
        <v>54490.855000000003</v>
      </c>
      <c r="W32" s="2">
        <v>5</v>
      </c>
      <c r="X32" s="6">
        <f>_xlfn.WEIBULL.DIST(COUNTA($W$28:$W32),J$23,J$22,FALSE)</f>
        <v>2.7106590681160576E-2</v>
      </c>
      <c r="Y32" s="6">
        <f t="shared" si="0"/>
        <v>0.1661264181291118</v>
      </c>
      <c r="Z32" s="6">
        <f t="shared" si="0"/>
        <v>0.36787944117144239</v>
      </c>
      <c r="AA32" s="6">
        <f>Z31</f>
        <v>0.33047425742484726</v>
      </c>
      <c r="AB32" s="6">
        <f>AA31</f>
        <v>0.10707116047792069</v>
      </c>
      <c r="AE32" s="53">
        <f>_xlfn.WEIBULL.DIST(COUNTA($W$28:$W32),K$23,K$22,FALSE)</f>
        <v>3.7855548657894578E-41</v>
      </c>
      <c r="AF32" s="6">
        <f t="shared" si="1"/>
        <v>5.0656662196376692E-13</v>
      </c>
      <c r="AG32" s="6">
        <f t="shared" si="1"/>
        <v>6.3735489107332949E-3</v>
      </c>
      <c r="AH32" s="6">
        <f>AG31</f>
        <v>0.91969860292860572</v>
      </c>
      <c r="AI32" s="6">
        <f>AH31</f>
        <v>0.15144269288692877</v>
      </c>
      <c r="AL32" s="53">
        <f>_xlfn.WEIBULL.DIST(COUNTA($W$28:$W32),L$23,L$22,FALSE)</f>
        <v>0.36787944117144233</v>
      </c>
      <c r="AM32" s="6">
        <f t="shared" si="2"/>
        <v>0.29515512740172928</v>
      </c>
      <c r="AN32" s="6">
        <f t="shared" si="2"/>
        <v>0.11990416322625341</v>
      </c>
      <c r="AO32" s="6">
        <f>AN31</f>
        <v>2.5339193607685703E-2</v>
      </c>
      <c r="AP32" s="6">
        <f>AO31</f>
        <v>1.599488081911263E-3</v>
      </c>
    </row>
    <row r="33" spans="1:47" x14ac:dyDescent="0.25">
      <c r="F33" s="41"/>
      <c r="G33" s="41"/>
      <c r="H33" s="41"/>
      <c r="J33" s="41"/>
      <c r="K33" s="41"/>
      <c r="L33" s="41"/>
      <c r="N33" s="41"/>
      <c r="O33" s="41"/>
      <c r="P33" s="41"/>
    </row>
    <row r="34" spans="1:47" ht="29.25" customHeight="1" x14ac:dyDescent="0.25">
      <c r="J34" s="158" t="s">
        <v>194</v>
      </c>
      <c r="K34" s="158"/>
      <c r="L34" s="158"/>
      <c r="M34" s="3"/>
      <c r="N34" s="158" t="s">
        <v>195</v>
      </c>
      <c r="O34" s="158"/>
      <c r="P34" s="158"/>
      <c r="Q34" s="3"/>
      <c r="R34" s="3" t="s">
        <v>191</v>
      </c>
      <c r="S34" s="3"/>
      <c r="X34" s="3" t="s">
        <v>176</v>
      </c>
      <c r="AE34" s="3" t="s">
        <v>177</v>
      </c>
      <c r="AL34" s="3" t="s">
        <v>178</v>
      </c>
      <c r="AS34" s="3" t="s">
        <v>167</v>
      </c>
    </row>
    <row r="35" spans="1:47" x14ac:dyDescent="0.25">
      <c r="J35" t="s">
        <v>7</v>
      </c>
      <c r="K35" t="s">
        <v>9</v>
      </c>
      <c r="L35" t="s">
        <v>10</v>
      </c>
      <c r="N35" t="s">
        <v>7</v>
      </c>
      <c r="O35" t="s">
        <v>9</v>
      </c>
      <c r="P35" t="s">
        <v>10</v>
      </c>
      <c r="R35" t="s">
        <v>7</v>
      </c>
      <c r="S35" t="s">
        <v>9</v>
      </c>
      <c r="T35" t="s">
        <v>10</v>
      </c>
      <c r="X35" s="57" t="s">
        <v>7</v>
      </c>
      <c r="AE35" s="57" t="s">
        <v>9</v>
      </c>
      <c r="AL35" s="57" t="s">
        <v>10</v>
      </c>
      <c r="AS35" s="57" t="s">
        <v>7</v>
      </c>
      <c r="AT35" s="57" t="s">
        <v>9</v>
      </c>
      <c r="AU35" s="57" t="s">
        <v>10</v>
      </c>
    </row>
    <row r="36" spans="1:47" x14ac:dyDescent="0.25">
      <c r="A36" t="s">
        <v>92</v>
      </c>
      <c r="J36" s="51">
        <f t="array" ref="J36:L40">N52:P56*J18:L18</f>
        <v>0</v>
      </c>
      <c r="K36" s="51">
        <v>0</v>
      </c>
      <c r="L36" s="51">
        <v>0</v>
      </c>
      <c r="N36" s="7">
        <f t="array" ref="N36:N40">MMULT(X28:AB32,N28:N32)</f>
        <v>18.599359125121328</v>
      </c>
      <c r="O36" s="7">
        <f t="array" ref="O36:O40">MMULT(AE28:AI32,O28:O32)</f>
        <v>0</v>
      </c>
      <c r="P36" s="7">
        <f t="array" ref="P36:P40">MMULT(AL28:AP32,P28:P32)</f>
        <v>40.692067654694398</v>
      </c>
      <c r="R36" s="7">
        <f t="array" ref="R36:T40">MMULT(J28:L32,_xlfn.MUNIT(3)*J16:L16)</f>
        <v>1085.7763</v>
      </c>
      <c r="S36" s="7">
        <v>0</v>
      </c>
      <c r="T36" s="7">
        <v>508022.2</v>
      </c>
      <c r="W36">
        <f>J22-J21</f>
        <v>3</v>
      </c>
      <c r="X36" s="53">
        <f>_xlfn.WEIBULL.DIST(COUNTA($W$36:$W36)+$W$36,J$23,J$22,FALSE)</f>
        <v>0.1661264181291118</v>
      </c>
      <c r="AD36">
        <f>K22-K21</f>
        <v>2</v>
      </c>
      <c r="AE36" s="53">
        <f>_xlfn.WEIBULL.DIST(COUNTA($AD$36:$AD36)+$AD$36,K$23,K$22,FALSE)</f>
        <v>6.3735489107332949E-3</v>
      </c>
      <c r="AK36">
        <f>L22-L21</f>
        <v>2</v>
      </c>
      <c r="AL36" s="53">
        <f>_xlfn.WEIBULL.DIST(COUNTA($AK$36:$AK36)+$AK$36,L$23,L$22,FALSE)</f>
        <v>0.11990416322625341</v>
      </c>
      <c r="AS36" s="6" cm="1">
        <f t="array" ref="AS36:AS40">X36:X40</f>
        <v>0.1661264181291118</v>
      </c>
      <c r="AT36" s="6" cm="1">
        <f t="array" ref="AT36:AT40">AE36:AE40</f>
        <v>6.3735489107332949E-3</v>
      </c>
      <c r="AU36" s="6" cm="1">
        <f t="array" ref="AU36:AU40">AL36:AL40</f>
        <v>0.11990416322625341</v>
      </c>
    </row>
    <row r="37" spans="1:47" x14ac:dyDescent="0.25">
      <c r="A37" t="s">
        <v>93</v>
      </c>
      <c r="J37" s="51">
        <v>0</v>
      </c>
      <c r="K37" s="51">
        <v>0</v>
      </c>
      <c r="L37" s="51">
        <v>0</v>
      </c>
      <c r="N37" s="7">
        <v>68.010290989685501</v>
      </c>
      <c r="O37" s="7">
        <v>0</v>
      </c>
      <c r="P37" s="7">
        <v>646.49252720367315</v>
      </c>
      <c r="R37" s="7">
        <v>1302.9315999999999</v>
      </c>
      <c r="S37" s="7">
        <v>0</v>
      </c>
      <c r="T37" s="7">
        <v>518182.64</v>
      </c>
      <c r="W37">
        <f>W36+1</f>
        <v>4</v>
      </c>
      <c r="X37" s="53">
        <f>_xlfn.WEIBULL.DIST(COUNTA($W$36:$W37)+$W$36,J$23,J$22,FALSE)</f>
        <v>2.7106590681160576E-2</v>
      </c>
      <c r="AD37">
        <f>AD36+1</f>
        <v>3</v>
      </c>
      <c r="AE37" s="53">
        <f>_xlfn.WEIBULL.DIST(COUNTA($AD$36:$AD37)+$AD$36,K$23,K$22,FALSE)</f>
        <v>5.0656662196376692E-13</v>
      </c>
      <c r="AK37">
        <f>AK36+1</f>
        <v>3</v>
      </c>
      <c r="AL37" s="53">
        <f>_xlfn.WEIBULL.DIST(COUNTA($AK$36:$AK37)+$AK$36,L$23,L$22,FALSE)</f>
        <v>0.29515512740172928</v>
      </c>
      <c r="AS37" s="6">
        <v>2.7106590681160576E-2</v>
      </c>
      <c r="AT37" s="6">
        <v>5.0656662196376692E-13</v>
      </c>
      <c r="AU37" s="6">
        <v>0.29515512740172928</v>
      </c>
    </row>
    <row r="38" spans="1:47" x14ac:dyDescent="0.25">
      <c r="A38" t="s">
        <v>134</v>
      </c>
      <c r="J38" s="51">
        <v>0</v>
      </c>
      <c r="K38" s="51">
        <v>0</v>
      </c>
      <c r="L38" s="51">
        <v>0</v>
      </c>
      <c r="N38" s="7">
        <v>112.68312724962217</v>
      </c>
      <c r="O38" s="7">
        <v>0</v>
      </c>
      <c r="P38" s="7">
        <v>3085.4540666868643</v>
      </c>
      <c r="R38" s="7">
        <v>1563.5178999999998</v>
      </c>
      <c r="S38" s="7">
        <v>0</v>
      </c>
      <c r="T38" s="7">
        <v>528546.30000000005</v>
      </c>
      <c r="W38">
        <f t="shared" ref="W38:W40" si="3">W37+1</f>
        <v>5</v>
      </c>
      <c r="X38" s="53">
        <f>_xlfn.WEIBULL.DIST(COUNTA($W$36:$W38)+$W$36,J$23,J$22,FALSE)</f>
        <v>1.3418505116100498E-3</v>
      </c>
      <c r="AD38">
        <f t="shared" ref="AD38:AD40" si="4">AD37+1</f>
        <v>4</v>
      </c>
      <c r="AE38" s="53">
        <f>_xlfn.WEIBULL.DIST(COUNTA($AD$36:$AD38)+$AD$36,K$23,K$22,FALSE)</f>
        <v>3.7855548657894578E-41</v>
      </c>
      <c r="AK38">
        <f t="shared" ref="AK38:AK40" si="5">AK37+1</f>
        <v>4</v>
      </c>
      <c r="AL38" s="53">
        <f>_xlfn.WEIBULL.DIST(COUNTA($AK$36:$AK38)+$AK$36,L$23,L$22,FALSE)</f>
        <v>0.36787944117144233</v>
      </c>
      <c r="AS38" s="6">
        <v>1.3418505116100498E-3</v>
      </c>
      <c r="AT38" s="6">
        <v>3.7855548657894578E-41</v>
      </c>
      <c r="AU38" s="6">
        <v>0.36787944117144233</v>
      </c>
    </row>
    <row r="39" spans="1:47" x14ac:dyDescent="0.25">
      <c r="A39" t="s">
        <v>135</v>
      </c>
      <c r="J39" s="51">
        <v>0</v>
      </c>
      <c r="K39" s="51">
        <v>0</v>
      </c>
      <c r="L39" s="51">
        <v>0</v>
      </c>
      <c r="N39" s="7">
        <v>133.99441754210659</v>
      </c>
      <c r="O39" s="7">
        <v>0</v>
      </c>
      <c r="P39" s="7">
        <v>7751.8915867940832</v>
      </c>
      <c r="R39" s="7">
        <v>1878.3931000000002</v>
      </c>
      <c r="S39" s="7">
        <v>0</v>
      </c>
      <c r="T39" s="7">
        <v>539117.22</v>
      </c>
      <c r="W39">
        <f t="shared" si="3"/>
        <v>6</v>
      </c>
      <c r="X39" s="53">
        <f>_xlfn.WEIBULL.DIST(COUNTA($W$36:$W39)+$W$36,J$23,J$22,FALSE)</f>
        <v>1.6550272633902514E-5</v>
      </c>
      <c r="AD39">
        <f t="shared" si="4"/>
        <v>5</v>
      </c>
      <c r="AE39" s="53">
        <f>_xlfn.WEIBULL.DIST(COUNTA($AD$36:$AD39)+$AD$36,K$23,K$22,FALSE)</f>
        <v>5.9274230554426089E-104</v>
      </c>
      <c r="AK39">
        <f t="shared" si="5"/>
        <v>5</v>
      </c>
      <c r="AL39" s="53">
        <f>_xlfn.WEIBULL.DIST(COUNTA($AK$36:$AK39)+$AK$36,L$23,L$22,FALSE)</f>
        <v>0.17221117858191715</v>
      </c>
      <c r="AS39" s="6">
        <v>1.6550272633902514E-5</v>
      </c>
      <c r="AT39" s="6">
        <v>5.9274230554426089E-104</v>
      </c>
      <c r="AU39" s="6">
        <v>0.17221117858191715</v>
      </c>
    </row>
    <row r="40" spans="1:47" x14ac:dyDescent="0.25">
      <c r="A40" t="s">
        <v>136</v>
      </c>
      <c r="J40" s="51">
        <v>0</v>
      </c>
      <c r="K40" s="51">
        <v>0</v>
      </c>
      <c r="L40" s="51">
        <v>0</v>
      </c>
      <c r="N40" s="7">
        <v>158.02284703245019</v>
      </c>
      <c r="O40" s="7">
        <v>0</v>
      </c>
      <c r="P40" s="7">
        <v>10359.071402926136</v>
      </c>
      <c r="R40" s="7">
        <v>2247.5569999999998</v>
      </c>
      <c r="S40" s="7">
        <v>0</v>
      </c>
      <c r="T40" s="7">
        <v>549899.56999999995</v>
      </c>
      <c r="W40">
        <f t="shared" si="3"/>
        <v>7</v>
      </c>
      <c r="X40" s="53">
        <f>_xlfn.WEIBULL.DIST(COUNTA($W$36:$W40)+$W$36,J$23,J$22,FALSE)</f>
        <v>4.1345408690430844E-8</v>
      </c>
      <c r="AD40">
        <f t="shared" si="4"/>
        <v>6</v>
      </c>
      <c r="AE40" s="53">
        <f>_xlfn.WEIBULL.DIST(COUNTA($AD$36:$AD40)+$AD$36,K$23,K$22,FALSE)</f>
        <v>2.9826841676640016E-226</v>
      </c>
      <c r="AK40">
        <f t="shared" si="5"/>
        <v>6</v>
      </c>
      <c r="AL40" s="53">
        <f>_xlfn.WEIBULL.DIST(COUNTA($AK$36:$AK40)+$AK$36,L$23,L$22,FALSE)</f>
        <v>1.7732590637651324E-2</v>
      </c>
      <c r="AS40" s="6">
        <v>4.1345408690430844E-8</v>
      </c>
      <c r="AT40" s="6">
        <v>2.9826841676640016E-226</v>
      </c>
      <c r="AU40" s="6">
        <v>1.7732590637651324E-2</v>
      </c>
    </row>
    <row r="42" spans="1:47" ht="30" customHeight="1" x14ac:dyDescent="0.25">
      <c r="J42" s="158" t="s">
        <v>196</v>
      </c>
      <c r="K42" s="158"/>
      <c r="L42" s="158"/>
      <c r="N42" s="158" t="s">
        <v>201</v>
      </c>
      <c r="O42" s="158"/>
      <c r="P42" s="158"/>
    </row>
    <row r="43" spans="1:47" x14ac:dyDescent="0.25">
      <c r="J43" t="s">
        <v>7</v>
      </c>
      <c r="K43" t="s">
        <v>9</v>
      </c>
      <c r="L43" t="s">
        <v>10</v>
      </c>
      <c r="N43" t="s">
        <v>7</v>
      </c>
      <c r="O43" t="s">
        <v>9</v>
      </c>
      <c r="P43" t="s">
        <v>10</v>
      </c>
    </row>
    <row r="44" spans="1:47" x14ac:dyDescent="0.25">
      <c r="A44" t="s">
        <v>92</v>
      </c>
      <c r="J44" s="7">
        <f t="array" ref="J44:L48">N52:P56*J19:L19</f>
        <v>108.57763061241506</v>
      </c>
      <c r="K44" s="7">
        <v>0</v>
      </c>
      <c r="L44" s="7">
        <v>508022.19673017069</v>
      </c>
      <c r="N44" s="7">
        <f t="array" ref="N44:P48">J20:L20*AS36:AU40</f>
        <v>0</v>
      </c>
      <c r="O44" s="7">
        <v>0</v>
      </c>
      <c r="P44" s="7">
        <v>0.11990416322625341</v>
      </c>
    </row>
    <row r="45" spans="1:47" x14ac:dyDescent="0.25">
      <c r="A45" t="s">
        <v>93</v>
      </c>
      <c r="J45" s="7">
        <v>130.29315801963523</v>
      </c>
      <c r="K45" s="7">
        <v>0</v>
      </c>
      <c r="L45" s="7">
        <v>518182.64128864516</v>
      </c>
      <c r="N45" s="7">
        <v>0</v>
      </c>
      <c r="O45" s="7">
        <v>0</v>
      </c>
      <c r="P45" s="7">
        <v>0.29515512740172928</v>
      </c>
    </row>
    <row r="46" spans="1:47" x14ac:dyDescent="0.25">
      <c r="A46" t="s">
        <v>134</v>
      </c>
      <c r="J46" s="7">
        <v>156.35179394489964</v>
      </c>
      <c r="K46" s="7">
        <v>0</v>
      </c>
      <c r="L46" s="7">
        <v>528546.29554373131</v>
      </c>
      <c r="N46" s="7">
        <v>0</v>
      </c>
      <c r="O46" s="7">
        <v>0</v>
      </c>
      <c r="P46" s="7">
        <v>0.36787944117144233</v>
      </c>
    </row>
    <row r="47" spans="1:47" x14ac:dyDescent="0.25">
      <c r="A47" t="s">
        <v>135</v>
      </c>
      <c r="J47" s="7">
        <v>187.83930766542505</v>
      </c>
      <c r="K47" s="7">
        <v>0</v>
      </c>
      <c r="L47" s="7">
        <v>539117.22203142114</v>
      </c>
      <c r="N47" s="7">
        <v>0</v>
      </c>
      <c r="O47" s="7">
        <v>0</v>
      </c>
      <c r="P47" s="7">
        <v>0.17221117858191715</v>
      </c>
    </row>
    <row r="48" spans="1:47" x14ac:dyDescent="0.25">
      <c r="A48" t="s">
        <v>136</v>
      </c>
      <c r="J48" s="7">
        <v>224.75569974270988</v>
      </c>
      <c r="K48" s="7">
        <v>0</v>
      </c>
      <c r="L48" s="7">
        <v>549899.56862471136</v>
      </c>
      <c r="N48" s="7">
        <v>0</v>
      </c>
      <c r="O48" s="7">
        <v>0</v>
      </c>
      <c r="P48" s="7">
        <v>1.7732590637651324E-2</v>
      </c>
    </row>
    <row r="50" spans="1:28" ht="30" customHeight="1" x14ac:dyDescent="0.25">
      <c r="N50" s="158" t="s">
        <v>180</v>
      </c>
      <c r="O50" s="158"/>
      <c r="P50" s="158"/>
      <c r="Q50" s="158"/>
      <c r="R50" s="158"/>
      <c r="S50" s="158"/>
      <c r="X50" s="3" t="s">
        <v>128</v>
      </c>
    </row>
    <row r="51" spans="1:28" x14ac:dyDescent="0.25">
      <c r="N51" t="s">
        <v>7</v>
      </c>
      <c r="O51" t="s">
        <v>9</v>
      </c>
      <c r="P51" t="s">
        <v>10</v>
      </c>
      <c r="Q51" s="50"/>
      <c r="R51" s="50"/>
      <c r="S51" s="50"/>
      <c r="X51" t="s">
        <v>92</v>
      </c>
      <c r="Y51" t="s">
        <v>93</v>
      </c>
      <c r="Z51" t="s">
        <v>134</v>
      </c>
      <c r="AA51" t="s">
        <v>135</v>
      </c>
      <c r="AB51" t="s">
        <v>136</v>
      </c>
    </row>
    <row r="52" spans="1:28" x14ac:dyDescent="0.25">
      <c r="A52" t="s">
        <v>92</v>
      </c>
      <c r="N52" s="7">
        <f t="array" ref="N52:P56">J20:L20-MMULT(X52:AB56,N36:P40)+MMULT(X52:AB56,N28:P32)+MMULT(X52:AB56,N44:P48)</f>
        <v>155.11090087487867</v>
      </c>
      <c r="O52" s="7">
        <v>0</v>
      </c>
      <c r="P52" s="7">
        <v>25401.109836508534</v>
      </c>
      <c r="X52" s="6">
        <v>1</v>
      </c>
      <c r="Y52" s="6">
        <v>0</v>
      </c>
      <c r="Z52" s="6">
        <v>0</v>
      </c>
      <c r="AA52" s="6">
        <v>0</v>
      </c>
      <c r="AB52" s="6">
        <v>0</v>
      </c>
    </row>
    <row r="53" spans="1:28" x14ac:dyDescent="0.25">
      <c r="A53" t="s">
        <v>93</v>
      </c>
      <c r="N53" s="7">
        <v>186.13308288519318</v>
      </c>
      <c r="O53" s="7">
        <v>0</v>
      </c>
      <c r="P53" s="7">
        <v>25909.132064432259</v>
      </c>
      <c r="X53" s="6">
        <v>1</v>
      </c>
      <c r="Y53" s="6">
        <v>1</v>
      </c>
      <c r="Z53" s="6">
        <v>0</v>
      </c>
      <c r="AA53" s="6">
        <v>0</v>
      </c>
      <c r="AB53" s="6">
        <v>0</v>
      </c>
    </row>
    <row r="54" spans="1:28" x14ac:dyDescent="0.25">
      <c r="A54" t="s">
        <v>134</v>
      </c>
      <c r="N54" s="7">
        <v>223.35970563557095</v>
      </c>
      <c r="O54" s="7">
        <v>0</v>
      </c>
      <c r="P54" s="7">
        <v>26427.314777186566</v>
      </c>
      <c r="X54" s="6">
        <v>1</v>
      </c>
      <c r="Y54" s="6">
        <v>1</v>
      </c>
      <c r="Z54" s="6">
        <v>1</v>
      </c>
      <c r="AA54" s="6">
        <v>0</v>
      </c>
      <c r="AB54" s="6">
        <v>0</v>
      </c>
    </row>
    <row r="55" spans="1:28" x14ac:dyDescent="0.25">
      <c r="A55" t="s">
        <v>135</v>
      </c>
      <c r="N55" s="7">
        <v>268.34186809346437</v>
      </c>
      <c r="O55" s="7">
        <v>0</v>
      </c>
      <c r="P55" s="7">
        <v>26955.861101571059</v>
      </c>
      <c r="X55" s="6">
        <v>1</v>
      </c>
      <c r="Y55" s="6">
        <v>1</v>
      </c>
      <c r="Z55" s="6">
        <v>1</v>
      </c>
      <c r="AA55" s="6">
        <v>1</v>
      </c>
      <c r="AB55" s="6">
        <v>0</v>
      </c>
    </row>
    <row r="56" spans="1:28" x14ac:dyDescent="0.25">
      <c r="A56" t="s">
        <v>136</v>
      </c>
      <c r="N56" s="7">
        <v>321.07957106101412</v>
      </c>
      <c r="O56" s="7">
        <v>0</v>
      </c>
      <c r="P56" s="7">
        <v>27494.978431235566</v>
      </c>
      <c r="X56" s="6">
        <v>1</v>
      </c>
      <c r="Y56" s="6">
        <v>1</v>
      </c>
      <c r="Z56" s="6">
        <v>1</v>
      </c>
      <c r="AA56" s="6">
        <v>1</v>
      </c>
      <c r="AB56" s="6">
        <v>1</v>
      </c>
    </row>
  </sheetData>
  <mergeCells count="5">
    <mergeCell ref="J34:L34"/>
    <mergeCell ref="N34:P34"/>
    <mergeCell ref="J42:L42"/>
    <mergeCell ref="N42:P42"/>
    <mergeCell ref="N50:S50"/>
  </mergeCells>
  <hyperlinks>
    <hyperlink ref="A1" location="Contents!A1" display="Back to contents" xr:uid="{F78D6AA4-CC5E-4DDA-9F54-BC3E4155676D}"/>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123150-0CB6-46EB-BDBD-42368C61C92D}">
  <sheetPr>
    <tabColor theme="8" tint="0.59999389629810485"/>
  </sheetPr>
  <dimension ref="A1:BG66"/>
  <sheetViews>
    <sheetView showGridLines="0" zoomScaleNormal="100" workbookViewId="0">
      <pane xSplit="4" ySplit="6" topLeftCell="F7" activePane="bottomRight" state="frozen"/>
      <selection pane="topRight"/>
      <selection pane="bottomLeft"/>
      <selection pane="bottomRight" activeCell="AA20" sqref="AA20"/>
    </sheetView>
  </sheetViews>
  <sheetFormatPr defaultRowHeight="15" x14ac:dyDescent="0.25"/>
  <cols>
    <col min="1" max="1" width="5.28515625" bestFit="1" customWidth="1"/>
    <col min="2" max="2" width="7.140625" customWidth="1"/>
    <col min="3" max="3" width="6" bestFit="1" customWidth="1"/>
    <col min="4" max="4" width="31.7109375" bestFit="1" customWidth="1"/>
    <col min="5" max="5" width="3.42578125" customWidth="1"/>
    <col min="6" max="8" width="6.42578125" customWidth="1"/>
    <col min="9" max="9" width="4.7109375" customWidth="1"/>
    <col min="10" max="12" width="6.85546875" customWidth="1"/>
    <col min="13" max="13" width="4.7109375" customWidth="1"/>
    <col min="14" max="16" width="7.42578125" customWidth="1"/>
    <col min="17" max="18" width="6.28515625" customWidth="1"/>
    <col min="19" max="19" width="4.85546875" customWidth="1"/>
    <col min="20" max="32" width="7.42578125" customWidth="1"/>
    <col min="33" max="34" width="4.85546875" customWidth="1"/>
    <col min="35" max="35" width="5.28515625" customWidth="1"/>
    <col min="36" max="38" width="7.140625" customWidth="1"/>
    <col min="39" max="43" width="5.28515625" customWidth="1"/>
    <col min="46" max="46" width="12.28515625" bestFit="1" customWidth="1"/>
  </cols>
  <sheetData>
    <row r="1" spans="1:34" x14ac:dyDescent="0.25">
      <c r="A1" s="97" t="s">
        <v>285</v>
      </c>
    </row>
    <row r="2" spans="1:34" x14ac:dyDescent="0.25">
      <c r="A2" t="s">
        <v>133</v>
      </c>
      <c r="N2" t="s">
        <v>92</v>
      </c>
      <c r="O2" t="s">
        <v>93</v>
      </c>
      <c r="P2" t="s">
        <v>134</v>
      </c>
      <c r="Q2" t="s">
        <v>135</v>
      </c>
      <c r="R2" t="s">
        <v>136</v>
      </c>
      <c r="X2" t="s">
        <v>92</v>
      </c>
      <c r="Y2" t="s">
        <v>93</v>
      </c>
      <c r="Z2" t="s">
        <v>134</v>
      </c>
      <c r="AA2" t="s">
        <v>135</v>
      </c>
      <c r="AB2" t="s">
        <v>136</v>
      </c>
    </row>
    <row r="3" spans="1:34" x14ac:dyDescent="0.25">
      <c r="B3" t="s">
        <v>0</v>
      </c>
      <c r="F3" t="s">
        <v>11</v>
      </c>
      <c r="G3" t="s">
        <v>12</v>
      </c>
      <c r="H3" t="s">
        <v>94</v>
      </c>
    </row>
    <row r="4" spans="1:34" x14ac:dyDescent="0.25">
      <c r="C4" t="s">
        <v>1</v>
      </c>
      <c r="J4" t="s">
        <v>7</v>
      </c>
      <c r="K4" t="s">
        <v>9</v>
      </c>
      <c r="L4" t="s">
        <v>10</v>
      </c>
      <c r="N4" t="s">
        <v>20</v>
      </c>
      <c r="O4" t="s">
        <v>20</v>
      </c>
      <c r="P4" t="s">
        <v>20</v>
      </c>
      <c r="Q4" t="s">
        <v>20</v>
      </c>
      <c r="R4" t="s">
        <v>20</v>
      </c>
    </row>
    <row r="5" spans="1:34" x14ac:dyDescent="0.25">
      <c r="D5" t="s">
        <v>2</v>
      </c>
      <c r="F5" t="s">
        <v>186</v>
      </c>
      <c r="G5" t="s">
        <v>187</v>
      </c>
      <c r="N5" t="s">
        <v>188</v>
      </c>
    </row>
    <row r="6" spans="1:34" x14ac:dyDescent="0.25">
      <c r="H6" s="45"/>
      <c r="J6" s="45"/>
      <c r="K6" s="45"/>
      <c r="L6" s="45"/>
      <c r="N6" s="45"/>
    </row>
    <row r="7" spans="1:34" x14ac:dyDescent="0.25">
      <c r="F7" s="3" t="s">
        <v>138</v>
      </c>
      <c r="J7" s="3" t="s">
        <v>5</v>
      </c>
      <c r="N7" s="3" t="s">
        <v>14</v>
      </c>
      <c r="X7" s="3" t="s">
        <v>47</v>
      </c>
      <c r="AD7" s="3" t="s">
        <v>139</v>
      </c>
    </row>
    <row r="8" spans="1:34" x14ac:dyDescent="0.25">
      <c r="B8" t="s">
        <v>3</v>
      </c>
      <c r="D8" t="s">
        <v>19</v>
      </c>
      <c r="F8" s="6">
        <v>1</v>
      </c>
      <c r="G8" s="6">
        <v>1</v>
      </c>
      <c r="H8" s="6">
        <v>0</v>
      </c>
      <c r="J8" s="1">
        <v>7.9000000000000001E-2</v>
      </c>
      <c r="K8" s="1">
        <v>7.9000000000000001E-2</v>
      </c>
      <c r="L8" s="1">
        <v>0</v>
      </c>
      <c r="N8" s="46">
        <v>100</v>
      </c>
      <c r="O8" s="46">
        <v>120</v>
      </c>
      <c r="P8" s="46">
        <v>144</v>
      </c>
      <c r="Q8" s="46">
        <v>173</v>
      </c>
      <c r="R8" s="46">
        <v>207</v>
      </c>
      <c r="X8" s="7">
        <f t="array" ref="X8:AB9">MMULT(F8:H9,TRANSPOSE(F28:H32))</f>
        <v>108.57763</v>
      </c>
      <c r="Y8" s="7">
        <v>130.29316</v>
      </c>
      <c r="Z8" s="7">
        <v>156.35178999999999</v>
      </c>
      <c r="AA8" s="7">
        <v>187.83931000000001</v>
      </c>
      <c r="AB8" s="7">
        <v>224.75569999999999</v>
      </c>
      <c r="AD8" s="47">
        <f t="array" ref="AD8:AH9">X8:AB9-MMULT(J8:L9,TRANSPOSE(J28:L32))-N8:R9</f>
        <v>-2.7699999947117249E-6</v>
      </c>
      <c r="AE8" s="31">
        <v>3.6000000136482413E-7</v>
      </c>
      <c r="AF8" s="31">
        <v>-1.4100000100825127E-6</v>
      </c>
      <c r="AG8" s="31">
        <v>4.5099999965714233E-6</v>
      </c>
      <c r="AH8" s="32">
        <v>-3.0000001061125658E-7</v>
      </c>
    </row>
    <row r="9" spans="1:34" x14ac:dyDescent="0.25">
      <c r="B9" t="s">
        <v>4</v>
      </c>
      <c r="D9" t="s">
        <v>85</v>
      </c>
      <c r="F9" s="6">
        <v>0</v>
      </c>
      <c r="G9" s="6">
        <v>0</v>
      </c>
      <c r="H9" s="6">
        <v>1</v>
      </c>
      <c r="J9" s="1">
        <v>0</v>
      </c>
      <c r="K9" s="1">
        <v>0</v>
      </c>
      <c r="L9" s="1">
        <v>0</v>
      </c>
      <c r="N9" s="46">
        <v>508022.19999999995</v>
      </c>
      <c r="O9" s="46">
        <v>518182.64399999997</v>
      </c>
      <c r="P9" s="46">
        <v>528546.29687999992</v>
      </c>
      <c r="Q9" s="46">
        <v>539117.22281759989</v>
      </c>
      <c r="R9" s="46">
        <v>549899.56727395195</v>
      </c>
      <c r="X9" s="7">
        <v>508022.2</v>
      </c>
      <c r="Y9" s="7">
        <v>518182.64</v>
      </c>
      <c r="Z9" s="7">
        <v>528546.30000000005</v>
      </c>
      <c r="AA9" s="7">
        <v>539117.22</v>
      </c>
      <c r="AB9" s="7">
        <v>549899.56999999995</v>
      </c>
      <c r="AD9" s="34">
        <v>0</v>
      </c>
      <c r="AE9" s="35">
        <v>-3.9999999571591616E-3</v>
      </c>
      <c r="AF9" s="35">
        <v>3.1200001249089837E-3</v>
      </c>
      <c r="AG9" s="35">
        <v>-2.8175999177619815E-3</v>
      </c>
      <c r="AH9" s="36">
        <v>2.7260479982942343E-3</v>
      </c>
    </row>
    <row r="10" spans="1:34" x14ac:dyDescent="0.25">
      <c r="F10" s="3" t="s">
        <v>6</v>
      </c>
      <c r="AD10" s="3" t="s">
        <v>140</v>
      </c>
    </row>
    <row r="11" spans="1:34" x14ac:dyDescent="0.25">
      <c r="C11" t="s">
        <v>7</v>
      </c>
      <c r="D11" t="s">
        <v>184</v>
      </c>
      <c r="F11" s="1">
        <v>1</v>
      </c>
      <c r="G11" s="1">
        <v>0</v>
      </c>
      <c r="H11" s="1">
        <v>0</v>
      </c>
      <c r="X11" s="41"/>
      <c r="Y11" s="41"/>
      <c r="Z11" s="41"/>
      <c r="AA11" s="41"/>
      <c r="AB11" s="41"/>
      <c r="AD11" s="30">
        <f t="array" ref="AD11:AH13">TRANSPOSE(J28:L32)-MMULT(F11:H13,TRANSPOSE(F28:H32))</f>
        <v>0</v>
      </c>
      <c r="AE11" s="31">
        <v>0</v>
      </c>
      <c r="AF11" s="31">
        <v>0</v>
      </c>
      <c r="AG11" s="31">
        <v>0</v>
      </c>
      <c r="AH11" s="32">
        <v>0</v>
      </c>
    </row>
    <row r="12" spans="1:34" x14ac:dyDescent="0.25">
      <c r="C12" t="s">
        <v>9</v>
      </c>
      <c r="D12" t="s">
        <v>185</v>
      </c>
      <c r="F12" s="1">
        <v>0</v>
      </c>
      <c r="G12" s="1">
        <v>1</v>
      </c>
      <c r="H12" s="1">
        <v>0</v>
      </c>
      <c r="X12" s="41"/>
      <c r="Y12" s="41"/>
      <c r="Z12" s="41"/>
      <c r="AA12" s="41"/>
      <c r="AB12" s="41"/>
      <c r="AD12" s="33">
        <v>0</v>
      </c>
      <c r="AE12">
        <v>0</v>
      </c>
      <c r="AF12">
        <v>0</v>
      </c>
      <c r="AG12">
        <v>0</v>
      </c>
      <c r="AH12" s="2">
        <v>0</v>
      </c>
    </row>
    <row r="13" spans="1:34" x14ac:dyDescent="0.25">
      <c r="C13" t="s">
        <v>10</v>
      </c>
      <c r="D13" t="s">
        <v>85</v>
      </c>
      <c r="F13" s="1">
        <v>0</v>
      </c>
      <c r="G13" s="1">
        <v>0</v>
      </c>
      <c r="H13" s="1">
        <v>1</v>
      </c>
      <c r="X13" s="41"/>
      <c r="Y13" s="41"/>
      <c r="Z13" s="41"/>
      <c r="AA13" s="41"/>
      <c r="AB13" s="41"/>
      <c r="AD13" s="34">
        <v>0</v>
      </c>
      <c r="AE13" s="35">
        <v>0</v>
      </c>
      <c r="AF13" s="35">
        <v>0</v>
      </c>
      <c r="AG13" s="35">
        <v>0</v>
      </c>
      <c r="AH13" s="36">
        <v>0</v>
      </c>
    </row>
    <row r="14" spans="1:34" x14ac:dyDescent="0.25">
      <c r="X14" s="3" t="s">
        <v>199</v>
      </c>
    </row>
    <row r="15" spans="1:34" x14ac:dyDescent="0.25">
      <c r="D15" t="s">
        <v>141</v>
      </c>
      <c r="I15" s="4" t="s">
        <v>142</v>
      </c>
      <c r="J15" s="1">
        <v>10</v>
      </c>
      <c r="K15" s="1">
        <v>10</v>
      </c>
      <c r="L15" s="1">
        <v>5</v>
      </c>
      <c r="W15" s="3"/>
      <c r="X15" s="101">
        <f>SUM(R28:T32,R36:T40)</f>
        <v>2906871.28553</v>
      </c>
    </row>
    <row r="16" spans="1:34" x14ac:dyDescent="0.25">
      <c r="D16" t="s">
        <v>143</v>
      </c>
      <c r="I16" s="4" t="s">
        <v>144</v>
      </c>
      <c r="J16" s="1">
        <v>10</v>
      </c>
      <c r="K16" s="1">
        <v>10</v>
      </c>
      <c r="L16" s="1">
        <v>1</v>
      </c>
    </row>
    <row r="17" spans="1:59" x14ac:dyDescent="0.25">
      <c r="D17" t="s">
        <v>145</v>
      </c>
      <c r="I17" s="4" t="s">
        <v>152</v>
      </c>
      <c r="J17" s="1">
        <v>50</v>
      </c>
      <c r="K17" s="1">
        <v>5</v>
      </c>
      <c r="L17" s="1">
        <v>20</v>
      </c>
    </row>
    <row r="18" spans="1:59" x14ac:dyDescent="0.25">
      <c r="D18" t="s">
        <v>147</v>
      </c>
      <c r="I18" s="4" t="s">
        <v>153</v>
      </c>
      <c r="J18" s="1">
        <v>0</v>
      </c>
      <c r="K18" s="1">
        <v>0</v>
      </c>
      <c r="L18" s="1">
        <v>0</v>
      </c>
    </row>
    <row r="19" spans="1:59" x14ac:dyDescent="0.25">
      <c r="I19" s="4" t="s">
        <v>154</v>
      </c>
      <c r="J19" s="1">
        <v>0.7</v>
      </c>
      <c r="K19" s="1">
        <v>0.3</v>
      </c>
      <c r="L19" s="1">
        <v>20</v>
      </c>
    </row>
    <row r="20" spans="1:59" x14ac:dyDescent="0.25">
      <c r="D20" t="s">
        <v>150</v>
      </c>
      <c r="I20" s="4" t="s">
        <v>45</v>
      </c>
      <c r="J20" s="1">
        <v>0</v>
      </c>
      <c r="K20" s="1">
        <v>0</v>
      </c>
      <c r="L20" s="1">
        <v>1</v>
      </c>
    </row>
    <row r="21" spans="1:59" x14ac:dyDescent="0.25">
      <c r="D21" t="s">
        <v>155</v>
      </c>
      <c r="I21" s="4" t="s">
        <v>156</v>
      </c>
      <c r="J21" s="1">
        <v>0</v>
      </c>
      <c r="K21" s="1">
        <v>0</v>
      </c>
      <c r="L21" s="1">
        <v>3</v>
      </c>
    </row>
    <row r="22" spans="1:59" x14ac:dyDescent="0.25">
      <c r="D22" t="s">
        <v>157</v>
      </c>
      <c r="I22" s="4" t="s">
        <v>158</v>
      </c>
      <c r="J22" s="1">
        <v>3</v>
      </c>
      <c r="K22" s="1">
        <v>2</v>
      </c>
      <c r="L22" s="1">
        <v>5</v>
      </c>
    </row>
    <row r="23" spans="1:59" x14ac:dyDescent="0.25">
      <c r="D23" t="s">
        <v>159</v>
      </c>
      <c r="I23" s="4" t="s">
        <v>160</v>
      </c>
      <c r="J23" s="1">
        <v>3</v>
      </c>
      <c r="K23" s="1">
        <v>5</v>
      </c>
      <c r="L23" s="1">
        <v>5</v>
      </c>
    </row>
    <row r="25" spans="1:59" x14ac:dyDescent="0.25">
      <c r="X25" s="3" t="s">
        <v>161</v>
      </c>
      <c r="AE25" s="3" t="s">
        <v>162</v>
      </c>
      <c r="AL25" s="3" t="s">
        <v>163</v>
      </c>
      <c r="AS25" s="3" t="s">
        <v>164</v>
      </c>
    </row>
    <row r="26" spans="1:59" x14ac:dyDescent="0.25">
      <c r="F26" s="3" t="s">
        <v>71</v>
      </c>
      <c r="I26" s="3"/>
      <c r="J26" s="3" t="s">
        <v>72</v>
      </c>
      <c r="N26" s="3" t="s">
        <v>127</v>
      </c>
      <c r="R26" s="3" t="s">
        <v>190</v>
      </c>
      <c r="X26" s="48" t="s">
        <v>165</v>
      </c>
      <c r="AS26" t="s">
        <v>7</v>
      </c>
      <c r="AX26" t="s">
        <v>9</v>
      </c>
      <c r="BC26" t="s">
        <v>10</v>
      </c>
    </row>
    <row r="27" spans="1:59" x14ac:dyDescent="0.25">
      <c r="F27" t="s">
        <v>11</v>
      </c>
      <c r="G27" t="s">
        <v>12</v>
      </c>
      <c r="H27" t="s">
        <v>94</v>
      </c>
      <c r="J27" t="s">
        <v>7</v>
      </c>
      <c r="K27" t="s">
        <v>9</v>
      </c>
      <c r="L27" t="s">
        <v>10</v>
      </c>
      <c r="N27" t="s">
        <v>7</v>
      </c>
      <c r="O27" t="s">
        <v>9</v>
      </c>
      <c r="P27" t="s">
        <v>10</v>
      </c>
      <c r="R27" t="s">
        <v>7</v>
      </c>
      <c r="S27" t="s">
        <v>9</v>
      </c>
      <c r="T27" t="s">
        <v>10</v>
      </c>
      <c r="W27" s="49" t="s">
        <v>166</v>
      </c>
      <c r="X27" s="35" t="s">
        <v>92</v>
      </c>
      <c r="Y27" s="35" t="s">
        <v>93</v>
      </c>
      <c r="Z27" s="35" t="s">
        <v>134</v>
      </c>
      <c r="AA27" s="35" t="s">
        <v>135</v>
      </c>
      <c r="AB27" s="35" t="s">
        <v>136</v>
      </c>
      <c r="AE27" s="35" t="s">
        <v>92</v>
      </c>
      <c r="AF27" s="35" t="s">
        <v>93</v>
      </c>
      <c r="AG27" s="35" t="s">
        <v>134</v>
      </c>
      <c r="AH27" s="35" t="s">
        <v>135</v>
      </c>
      <c r="AI27" s="35" t="s">
        <v>136</v>
      </c>
      <c r="AL27" s="35" t="s">
        <v>92</v>
      </c>
      <c r="AM27" s="35" t="s">
        <v>93</v>
      </c>
      <c r="AN27" s="35" t="s">
        <v>134</v>
      </c>
      <c r="AO27" s="35" t="s">
        <v>135</v>
      </c>
      <c r="AP27" s="35" t="s">
        <v>136</v>
      </c>
      <c r="AS27" s="35" t="s">
        <v>92</v>
      </c>
      <c r="AT27" s="35" t="s">
        <v>93</v>
      </c>
      <c r="AU27" s="35" t="s">
        <v>134</v>
      </c>
      <c r="AV27" s="35" t="s">
        <v>135</v>
      </c>
      <c r="AW27" s="35" t="s">
        <v>136</v>
      </c>
      <c r="AX27" s="35" t="s">
        <v>92</v>
      </c>
      <c r="AY27" s="35" t="s">
        <v>93</v>
      </c>
      <c r="AZ27" s="35" t="s">
        <v>134</v>
      </c>
      <c r="BA27" s="35" t="s">
        <v>135</v>
      </c>
      <c r="BB27" s="35" t="s">
        <v>136</v>
      </c>
      <c r="BC27" s="35" t="s">
        <v>92</v>
      </c>
      <c r="BD27" s="35" t="s">
        <v>93</v>
      </c>
      <c r="BE27" s="35" t="s">
        <v>134</v>
      </c>
      <c r="BF27" s="35" t="s">
        <v>135</v>
      </c>
      <c r="BG27" s="35" t="s">
        <v>136</v>
      </c>
    </row>
    <row r="28" spans="1:59" x14ac:dyDescent="0.25">
      <c r="A28" t="s">
        <v>92</v>
      </c>
      <c r="F28" s="132">
        <v>108.57763</v>
      </c>
      <c r="G28" s="132">
        <v>0</v>
      </c>
      <c r="H28" s="132">
        <v>508022.2</v>
      </c>
      <c r="J28" s="132">
        <v>108.57763</v>
      </c>
      <c r="K28" s="132">
        <v>0</v>
      </c>
      <c r="L28" s="132">
        <v>508022.2</v>
      </c>
      <c r="N28" s="132">
        <v>173.71026000000001</v>
      </c>
      <c r="O28" s="132">
        <v>0</v>
      </c>
      <c r="P28" s="132">
        <v>25441.170999999998</v>
      </c>
      <c r="R28" s="7">
        <f t="array" ref="R28:T32">MMULT(N28:P32,_xlfn.MUNIT(3)*J15:L15)</f>
        <v>1737.1026000000002</v>
      </c>
      <c r="S28" s="7">
        <v>0</v>
      </c>
      <c r="T28" s="7">
        <v>127205.855</v>
      </c>
      <c r="W28" s="2">
        <v>1</v>
      </c>
      <c r="X28" s="6">
        <f>_xlfn.WEIBULL.DIST(COUNTA($W$28:$W28),J$23,J$22,FALSE)</f>
        <v>0.10707116047792069</v>
      </c>
      <c r="Y28" s="6">
        <v>0</v>
      </c>
      <c r="Z28" s="6">
        <v>0</v>
      </c>
      <c r="AA28" s="6">
        <v>0</v>
      </c>
      <c r="AB28" s="6">
        <v>0</v>
      </c>
      <c r="AE28" s="54">
        <f>_xlfn.WEIBULL.DIST(COUNTA($W$28:$W28),K$23,K$22,FALSE)</f>
        <v>0.15144269288692877</v>
      </c>
      <c r="AF28" s="6">
        <v>0</v>
      </c>
      <c r="AG28" s="6">
        <v>0</v>
      </c>
      <c r="AH28" s="6">
        <v>0</v>
      </c>
      <c r="AI28" s="6">
        <v>0</v>
      </c>
      <c r="AL28" s="54">
        <f>_xlfn.WEIBULL.DIST(COUNTA($W$28:$W28),L$23,L$22,FALSE)</f>
        <v>1.599488081911263E-3</v>
      </c>
      <c r="AM28" s="6">
        <v>0</v>
      </c>
      <c r="AN28" s="6">
        <v>0</v>
      </c>
      <c r="AO28" s="6">
        <v>0</v>
      </c>
      <c r="AP28" s="6">
        <v>0</v>
      </c>
      <c r="AS28" s="6" cm="1">
        <f t="array" ref="AS28:AW32">X28:AB32</f>
        <v>0.10707116047792069</v>
      </c>
      <c r="AT28" s="6">
        <v>0</v>
      </c>
      <c r="AU28" s="6">
        <v>0</v>
      </c>
      <c r="AV28" s="6">
        <v>0</v>
      </c>
      <c r="AW28" s="6">
        <v>0</v>
      </c>
      <c r="AX28" s="6" cm="1">
        <f t="array" ref="AX28:BB32">AE28:AI32</f>
        <v>0.15144269288692877</v>
      </c>
      <c r="AY28" s="6">
        <v>0</v>
      </c>
      <c r="AZ28" s="6">
        <v>0</v>
      </c>
      <c r="BA28" s="6">
        <v>0</v>
      </c>
      <c r="BB28" s="6">
        <v>0</v>
      </c>
      <c r="BC28" s="6" cm="1">
        <f t="array" ref="BC28:BG32">AL28:AP32</f>
        <v>1.599488081911263E-3</v>
      </c>
      <c r="BD28" s="6">
        <v>0</v>
      </c>
      <c r="BE28" s="6">
        <v>0</v>
      </c>
      <c r="BF28" s="6">
        <v>0</v>
      </c>
      <c r="BG28" s="6">
        <v>0</v>
      </c>
    </row>
    <row r="29" spans="1:59" x14ac:dyDescent="0.25">
      <c r="A29" t="s">
        <v>93</v>
      </c>
      <c r="F29" s="132">
        <v>130.29316</v>
      </c>
      <c r="G29" s="132">
        <v>0</v>
      </c>
      <c r="H29" s="132">
        <v>518182.64</v>
      </c>
      <c r="J29" s="132">
        <v>130.29316</v>
      </c>
      <c r="K29" s="132">
        <v>0</v>
      </c>
      <c r="L29" s="132">
        <v>518182.64</v>
      </c>
      <c r="N29" s="132">
        <v>99.032472999999996</v>
      </c>
      <c r="O29" s="132">
        <v>0</v>
      </c>
      <c r="P29" s="132">
        <v>1154.8960999999999</v>
      </c>
      <c r="R29" s="7">
        <v>990.32472999999993</v>
      </c>
      <c r="S29" s="7">
        <v>0</v>
      </c>
      <c r="T29" s="7">
        <v>5774.4804999999997</v>
      </c>
      <c r="W29" s="2">
        <v>2</v>
      </c>
      <c r="X29" s="6">
        <f>_xlfn.WEIBULL.DIST(COUNTA($W$28:$W29),J$23,J$22,FALSE)</f>
        <v>0.33047425742484726</v>
      </c>
      <c r="Y29" s="6">
        <f>X28</f>
        <v>0.10707116047792069</v>
      </c>
      <c r="Z29" s="6">
        <v>0</v>
      </c>
      <c r="AA29" s="6">
        <v>0</v>
      </c>
      <c r="AB29" s="6">
        <v>0</v>
      </c>
      <c r="AE29" s="53">
        <f>_xlfn.WEIBULL.DIST(COUNTA($W$28:$W29),K$23,K$22,FALSE)</f>
        <v>0.91969860292860572</v>
      </c>
      <c r="AF29" s="6">
        <f>AE28</f>
        <v>0.15144269288692877</v>
      </c>
      <c r="AG29" s="6">
        <v>0</v>
      </c>
      <c r="AH29" s="6">
        <v>0</v>
      </c>
      <c r="AI29" s="6">
        <v>0</v>
      </c>
      <c r="AL29" s="53">
        <f>_xlfn.WEIBULL.DIST(COUNTA($W$28:$W29),L$23,L$22,FALSE)</f>
        <v>2.5339193607685703E-2</v>
      </c>
      <c r="AM29" s="6">
        <f>AL28</f>
        <v>1.599488081911263E-3</v>
      </c>
      <c r="AN29" s="6">
        <v>0</v>
      </c>
      <c r="AO29" s="6">
        <v>0</v>
      </c>
      <c r="AP29" s="6">
        <v>0</v>
      </c>
      <c r="AS29" s="6">
        <v>0.33047425742484726</v>
      </c>
      <c r="AT29" s="6">
        <v>0.10707116047792069</v>
      </c>
      <c r="AU29" s="6">
        <v>0</v>
      </c>
      <c r="AV29" s="6">
        <v>0</v>
      </c>
      <c r="AW29" s="6">
        <v>0</v>
      </c>
      <c r="AX29" s="6">
        <v>0.91969860292860572</v>
      </c>
      <c r="AY29" s="6">
        <v>0.15144269288692877</v>
      </c>
      <c r="AZ29" s="6">
        <v>0</v>
      </c>
      <c r="BA29" s="6">
        <v>0</v>
      </c>
      <c r="BB29" s="6">
        <v>0</v>
      </c>
      <c r="BC29" s="6">
        <v>2.5339193607685703E-2</v>
      </c>
      <c r="BD29" s="6">
        <v>1.599488081911263E-3</v>
      </c>
      <c r="BE29" s="6">
        <v>0</v>
      </c>
      <c r="BF29" s="6">
        <v>0</v>
      </c>
      <c r="BG29" s="6">
        <v>0</v>
      </c>
    </row>
    <row r="30" spans="1:59" x14ac:dyDescent="0.25">
      <c r="A30" t="s">
        <v>134</v>
      </c>
      <c r="F30" s="132">
        <v>156.35178999999999</v>
      </c>
      <c r="G30" s="132">
        <v>0</v>
      </c>
      <c r="H30" s="132">
        <v>528546.30000000005</v>
      </c>
      <c r="J30" s="132">
        <v>156.35178999999999</v>
      </c>
      <c r="K30" s="132">
        <v>0</v>
      </c>
      <c r="L30" s="132">
        <v>528546.30000000005</v>
      </c>
      <c r="N30" s="132">
        <v>149.90975</v>
      </c>
      <c r="O30" s="132">
        <v>0</v>
      </c>
      <c r="P30" s="132">
        <v>3604.0816</v>
      </c>
      <c r="R30" s="7">
        <v>1499.0975000000001</v>
      </c>
      <c r="S30" s="7">
        <v>0</v>
      </c>
      <c r="T30" s="7">
        <v>18020.407999999999</v>
      </c>
      <c r="W30" s="2">
        <v>3</v>
      </c>
      <c r="X30" s="6">
        <f>_xlfn.WEIBULL.DIST(COUNTA($W$28:$W30),J$23,J$22,FALSE)</f>
        <v>0.36787944117144239</v>
      </c>
      <c r="Y30" s="6">
        <f t="shared" ref="Y30:Z32" si="0">X29</f>
        <v>0.33047425742484726</v>
      </c>
      <c r="Z30" s="6">
        <f>Y29</f>
        <v>0.10707116047792069</v>
      </c>
      <c r="AA30" s="6">
        <v>0</v>
      </c>
      <c r="AB30" s="6">
        <v>0</v>
      </c>
      <c r="AE30" s="53">
        <f>_xlfn.WEIBULL.DIST(COUNTA($W$28:$W30),K$23,K$22,FALSE)</f>
        <v>6.3735489107332949E-3</v>
      </c>
      <c r="AF30" s="6">
        <f t="shared" ref="AF30:AG32" si="1">AE29</f>
        <v>0.91969860292860572</v>
      </c>
      <c r="AG30" s="6">
        <f>AF29</f>
        <v>0.15144269288692877</v>
      </c>
      <c r="AH30" s="6">
        <v>0</v>
      </c>
      <c r="AI30" s="6">
        <v>0</v>
      </c>
      <c r="AL30" s="53">
        <f>_xlfn.WEIBULL.DIST(COUNTA($W$28:$W30),L$23,L$22,FALSE)</f>
        <v>0.11990416322625341</v>
      </c>
      <c r="AM30" s="6">
        <f t="shared" ref="AM30:AN32" si="2">AL29</f>
        <v>2.5339193607685703E-2</v>
      </c>
      <c r="AN30" s="6">
        <f>AM29</f>
        <v>1.599488081911263E-3</v>
      </c>
      <c r="AO30" s="6">
        <v>0</v>
      </c>
      <c r="AP30" s="6">
        <v>0</v>
      </c>
      <c r="AS30" s="6">
        <v>0.36787944117144239</v>
      </c>
      <c r="AT30" s="6">
        <v>0.33047425742484726</v>
      </c>
      <c r="AU30" s="6">
        <v>0.10707116047792069</v>
      </c>
      <c r="AV30" s="6">
        <v>0</v>
      </c>
      <c r="AW30" s="6">
        <v>0</v>
      </c>
      <c r="AX30" s="6">
        <v>6.3735489107332949E-3</v>
      </c>
      <c r="AY30" s="6">
        <v>0.91969860292860572</v>
      </c>
      <c r="AZ30" s="6">
        <v>0.15144269288692877</v>
      </c>
      <c r="BA30" s="6">
        <v>0</v>
      </c>
      <c r="BB30" s="6">
        <v>0</v>
      </c>
      <c r="BC30" s="6">
        <v>0.11990416322625341</v>
      </c>
      <c r="BD30" s="6">
        <v>2.5339193607685703E-2</v>
      </c>
      <c r="BE30" s="6">
        <v>1.599488081911263E-3</v>
      </c>
      <c r="BF30" s="6">
        <v>0</v>
      </c>
      <c r="BG30" s="6">
        <v>0</v>
      </c>
    </row>
    <row r="31" spans="1:59" x14ac:dyDescent="0.25">
      <c r="A31" t="s">
        <v>135</v>
      </c>
      <c r="F31" s="132">
        <v>187.83931000000001</v>
      </c>
      <c r="G31" s="132">
        <v>0</v>
      </c>
      <c r="H31" s="132">
        <v>539117.22</v>
      </c>
      <c r="J31" s="132">
        <v>187.83931000000001</v>
      </c>
      <c r="K31" s="132">
        <v>0</v>
      </c>
      <c r="L31" s="132">
        <v>539117.22</v>
      </c>
      <c r="N31" s="132">
        <v>178.97658000000001</v>
      </c>
      <c r="O31" s="132">
        <v>0</v>
      </c>
      <c r="P31" s="132">
        <v>8281.0529999999999</v>
      </c>
      <c r="R31" s="7">
        <v>1789.7658000000001</v>
      </c>
      <c r="S31" s="7">
        <v>0</v>
      </c>
      <c r="T31" s="7">
        <v>41405.264999999999</v>
      </c>
      <c r="W31" s="2">
        <v>4</v>
      </c>
      <c r="X31" s="6">
        <f>_xlfn.WEIBULL.DIST(COUNTA($W$28:$W31),J$23,J$22,FALSE)</f>
        <v>0.1661264181291118</v>
      </c>
      <c r="Y31" s="6">
        <f t="shared" si="0"/>
        <v>0.36787944117144239</v>
      </c>
      <c r="Z31" s="6">
        <f t="shared" si="0"/>
        <v>0.33047425742484726</v>
      </c>
      <c r="AA31" s="6">
        <f>Z30</f>
        <v>0.10707116047792069</v>
      </c>
      <c r="AB31" s="6">
        <v>0</v>
      </c>
      <c r="AE31" s="53">
        <f>_xlfn.WEIBULL.DIST(COUNTA($W$28:$W31),K$23,K$22,FALSE)</f>
        <v>5.0656662196376692E-13</v>
      </c>
      <c r="AF31" s="6">
        <f t="shared" si="1"/>
        <v>6.3735489107332949E-3</v>
      </c>
      <c r="AG31" s="6">
        <f t="shared" si="1"/>
        <v>0.91969860292860572</v>
      </c>
      <c r="AH31" s="6">
        <f>AG30</f>
        <v>0.15144269288692877</v>
      </c>
      <c r="AI31" s="6">
        <v>0</v>
      </c>
      <c r="AL31" s="53">
        <f>_xlfn.WEIBULL.DIST(COUNTA($W$28:$W31),L$23,L$22,FALSE)</f>
        <v>0.29515512740172928</v>
      </c>
      <c r="AM31" s="6">
        <f t="shared" si="2"/>
        <v>0.11990416322625341</v>
      </c>
      <c r="AN31" s="6">
        <f t="shared" si="2"/>
        <v>2.5339193607685703E-2</v>
      </c>
      <c r="AO31" s="6">
        <f>AN30</f>
        <v>1.599488081911263E-3</v>
      </c>
      <c r="AP31" s="6">
        <v>0</v>
      </c>
      <c r="AS31" s="6">
        <v>0.1661264181291118</v>
      </c>
      <c r="AT31" s="6">
        <v>0.36787944117144239</v>
      </c>
      <c r="AU31" s="6">
        <v>0.33047425742484726</v>
      </c>
      <c r="AV31" s="6">
        <v>0.10707116047792069</v>
      </c>
      <c r="AW31" s="6">
        <v>0</v>
      </c>
      <c r="AX31" s="6">
        <v>5.0656662196376692E-13</v>
      </c>
      <c r="AY31" s="6">
        <v>6.3735489107332949E-3</v>
      </c>
      <c r="AZ31" s="6">
        <v>0.91969860292860572</v>
      </c>
      <c r="BA31" s="6">
        <v>0.15144269288692877</v>
      </c>
      <c r="BB31" s="6">
        <v>0</v>
      </c>
      <c r="BC31" s="6">
        <v>0.29515512740172928</v>
      </c>
      <c r="BD31" s="6">
        <v>0.11990416322625341</v>
      </c>
      <c r="BE31" s="6">
        <v>2.5339193607685703E-2</v>
      </c>
      <c r="BF31" s="6">
        <v>1.599488081911263E-3</v>
      </c>
      <c r="BG31" s="6">
        <v>0</v>
      </c>
    </row>
    <row r="32" spans="1:59" x14ac:dyDescent="0.25">
      <c r="A32" t="s">
        <v>136</v>
      </c>
      <c r="F32" s="132">
        <v>224.75569999999999</v>
      </c>
      <c r="G32" s="132">
        <v>0</v>
      </c>
      <c r="H32" s="132">
        <v>549899.56999999995</v>
      </c>
      <c r="J32" s="132">
        <v>224.75569999999999</v>
      </c>
      <c r="K32" s="132">
        <v>0</v>
      </c>
      <c r="L32" s="132">
        <v>549899.56999999995</v>
      </c>
      <c r="N32" s="132">
        <v>210.76054999999999</v>
      </c>
      <c r="O32" s="132">
        <v>0</v>
      </c>
      <c r="P32" s="132">
        <v>10899.055</v>
      </c>
      <c r="R32" s="7">
        <v>2107.6055000000001</v>
      </c>
      <c r="S32" s="7">
        <v>0</v>
      </c>
      <c r="T32" s="7">
        <v>54495.275000000001</v>
      </c>
      <c r="W32" s="2">
        <v>5</v>
      </c>
      <c r="X32" s="6">
        <f>_xlfn.WEIBULL.DIST(COUNTA($W$28:$W32),J$23,J$22,FALSE)</f>
        <v>2.7106590681160576E-2</v>
      </c>
      <c r="Y32" s="6">
        <f t="shared" si="0"/>
        <v>0.1661264181291118</v>
      </c>
      <c r="Z32" s="6">
        <f t="shared" si="0"/>
        <v>0.36787944117144239</v>
      </c>
      <c r="AA32" s="6">
        <f>Z31</f>
        <v>0.33047425742484726</v>
      </c>
      <c r="AB32" s="6">
        <f>AA31</f>
        <v>0.10707116047792069</v>
      </c>
      <c r="AE32" s="53">
        <f>_xlfn.WEIBULL.DIST(COUNTA($W$28:$W32),K$23,K$22,FALSE)</f>
        <v>3.7855548657894578E-41</v>
      </c>
      <c r="AF32" s="6">
        <f t="shared" si="1"/>
        <v>5.0656662196376692E-13</v>
      </c>
      <c r="AG32" s="6">
        <f t="shared" si="1"/>
        <v>6.3735489107332949E-3</v>
      </c>
      <c r="AH32" s="6">
        <f>AG31</f>
        <v>0.91969860292860572</v>
      </c>
      <c r="AI32" s="6">
        <f>AH31</f>
        <v>0.15144269288692877</v>
      </c>
      <c r="AL32" s="53">
        <f>_xlfn.WEIBULL.DIST(COUNTA($W$28:$W32),L$23,L$22,FALSE)</f>
        <v>0.36787944117144233</v>
      </c>
      <c r="AM32" s="6">
        <f t="shared" si="2"/>
        <v>0.29515512740172928</v>
      </c>
      <c r="AN32" s="6">
        <f t="shared" si="2"/>
        <v>0.11990416322625341</v>
      </c>
      <c r="AO32" s="6">
        <f>AN31</f>
        <v>2.5339193607685703E-2</v>
      </c>
      <c r="AP32" s="6">
        <f>AO31</f>
        <v>1.599488081911263E-3</v>
      </c>
      <c r="AS32" s="6">
        <v>2.7106590681160576E-2</v>
      </c>
      <c r="AT32" s="6">
        <v>0.1661264181291118</v>
      </c>
      <c r="AU32" s="6">
        <v>0.36787944117144239</v>
      </c>
      <c r="AV32" s="6">
        <v>0.33047425742484726</v>
      </c>
      <c r="AW32" s="6">
        <v>0.10707116047792069</v>
      </c>
      <c r="AX32" s="6">
        <v>3.7855548657894578E-41</v>
      </c>
      <c r="AY32" s="6">
        <v>5.0656662196376692E-13</v>
      </c>
      <c r="AZ32" s="6">
        <v>6.3735489107332949E-3</v>
      </c>
      <c r="BA32" s="6">
        <v>0.91969860292860572</v>
      </c>
      <c r="BB32" s="6">
        <v>0.15144269288692877</v>
      </c>
      <c r="BC32" s="6">
        <v>0.36787944117144233</v>
      </c>
      <c r="BD32" s="6">
        <v>0.29515512740172928</v>
      </c>
      <c r="BE32" s="6">
        <v>0.11990416322625341</v>
      </c>
      <c r="BF32" s="6">
        <v>2.5339193607685703E-2</v>
      </c>
      <c r="BG32" s="6">
        <v>1.599488081911263E-3</v>
      </c>
    </row>
    <row r="33" spans="1:47" x14ac:dyDescent="0.25">
      <c r="F33" s="41"/>
      <c r="G33" s="41"/>
      <c r="H33" s="41"/>
      <c r="J33" s="41"/>
      <c r="K33" s="41"/>
      <c r="L33" s="41"/>
      <c r="N33" s="41"/>
      <c r="O33" s="41"/>
      <c r="P33" s="41"/>
    </row>
    <row r="34" spans="1:47" ht="63" customHeight="1" x14ac:dyDescent="0.25">
      <c r="J34" s="158" t="s">
        <v>194</v>
      </c>
      <c r="K34" s="158"/>
      <c r="L34" s="158"/>
      <c r="M34" s="3"/>
      <c r="N34" s="158" t="s">
        <v>197</v>
      </c>
      <c r="O34" s="158"/>
      <c r="P34" s="158"/>
      <c r="Q34" s="3"/>
      <c r="R34" s="158" t="s">
        <v>191</v>
      </c>
      <c r="S34" s="158"/>
      <c r="T34" s="158"/>
      <c r="X34" s="3" t="s">
        <v>176</v>
      </c>
      <c r="AE34" s="3" t="s">
        <v>177</v>
      </c>
      <c r="AL34" s="3" t="s">
        <v>178</v>
      </c>
      <c r="AS34" s="3" t="s">
        <v>167</v>
      </c>
    </row>
    <row r="35" spans="1:47" x14ac:dyDescent="0.25">
      <c r="J35" t="s">
        <v>7</v>
      </c>
      <c r="K35" t="s">
        <v>9</v>
      </c>
      <c r="L35" t="s">
        <v>10</v>
      </c>
      <c r="N35" t="s">
        <v>7</v>
      </c>
      <c r="O35" t="s">
        <v>9</v>
      </c>
      <c r="P35" t="s">
        <v>10</v>
      </c>
      <c r="R35" t="s">
        <v>7</v>
      </c>
      <c r="S35" t="s">
        <v>9</v>
      </c>
      <c r="T35" t="s">
        <v>10</v>
      </c>
      <c r="X35" s="57" t="s">
        <v>7</v>
      </c>
      <c r="AE35" s="57" t="s">
        <v>9</v>
      </c>
      <c r="AL35" s="57" t="s">
        <v>10</v>
      </c>
      <c r="AS35" s="57" t="s">
        <v>7</v>
      </c>
      <c r="AT35" s="57" t="s">
        <v>9</v>
      </c>
      <c r="AU35" s="57" t="s">
        <v>10</v>
      </c>
    </row>
    <row r="36" spans="1:47" x14ac:dyDescent="0.25">
      <c r="A36" t="s">
        <v>92</v>
      </c>
      <c r="J36" s="51">
        <f t="array" ref="J36:L40">N44:P48*J18:L18</f>
        <v>0</v>
      </c>
      <c r="K36" s="51">
        <v>0</v>
      </c>
      <c r="L36" s="51">
        <v>0</v>
      </c>
      <c r="N36" s="7">
        <f t="array" ref="N36:P40">MMULT(AS28:BG32,N52:P66)+AS36:AU40*J20:L20</f>
        <v>18.599359125121328</v>
      </c>
      <c r="O36" s="7">
        <v>0</v>
      </c>
      <c r="P36" s="7">
        <v>41.060729245537885</v>
      </c>
      <c r="R36" s="7">
        <f t="array" ref="R36:T40">MMULT(J28:L32,_xlfn.MUNIT(3)*J16:L16)</f>
        <v>1085.7763</v>
      </c>
      <c r="S36" s="7">
        <v>0</v>
      </c>
      <c r="T36" s="7">
        <v>508022.2</v>
      </c>
      <c r="W36">
        <f>J22-J21</f>
        <v>3</v>
      </c>
      <c r="X36" s="53">
        <f>_xlfn.WEIBULL.DIST(COUNTA($A$28:$A33),J$23,J$22,FALSE)</f>
        <v>2.7106590681160576E-2</v>
      </c>
      <c r="AD36">
        <f>K22-K21</f>
        <v>2</v>
      </c>
      <c r="AE36" s="53">
        <f>_xlfn.WEIBULL.DIST(COUNTA($A$28:$A33),K$23,K$22,FALSE)</f>
        <v>3.7855548657894578E-41</v>
      </c>
      <c r="AK36">
        <f>L22-L21</f>
        <v>2</v>
      </c>
      <c r="AL36" s="53">
        <f>_xlfn.WEIBULL.DIST(COUNTA($A$28:$A33),L$23,L$22,FALSE)</f>
        <v>0.36787944117144233</v>
      </c>
      <c r="AS36" s="6" cm="1">
        <f t="array" ref="AS36:AS40">X36:X40</f>
        <v>2.7106590681160576E-2</v>
      </c>
      <c r="AT36" s="6" cm="1">
        <f t="array" ref="AT36:AT40">AE36:AE40</f>
        <v>3.7855548657894578E-41</v>
      </c>
      <c r="AU36" s="6" cm="1">
        <f t="array" ref="AU36:AU40">AL36:AL40</f>
        <v>0.36787944117144233</v>
      </c>
    </row>
    <row r="37" spans="1:47" x14ac:dyDescent="0.25">
      <c r="A37" t="s">
        <v>93</v>
      </c>
      <c r="J37" s="51">
        <v>0</v>
      </c>
      <c r="K37" s="51">
        <v>0</v>
      </c>
      <c r="L37" s="51">
        <v>0</v>
      </c>
      <c r="N37" s="7">
        <v>68.010290989685501</v>
      </c>
      <c r="O37" s="7">
        <v>0</v>
      </c>
      <c r="P37" s="7">
        <v>646.87387956420605</v>
      </c>
      <c r="R37" s="7">
        <v>1302.9315999999999</v>
      </c>
      <c r="S37" s="7">
        <v>0</v>
      </c>
      <c r="T37" s="7">
        <v>518182.64</v>
      </c>
      <c r="W37">
        <f>W36+1</f>
        <v>4</v>
      </c>
      <c r="X37" s="53">
        <f>_xlfn.WEIBULL.DIST(COUNTA($A$28:$A33),J$23,J$22,FALSE)</f>
        <v>2.7106590681160576E-2</v>
      </c>
      <c r="AD37">
        <f>AD36+1</f>
        <v>3</v>
      </c>
      <c r="AE37" s="53">
        <f>_xlfn.WEIBULL.DIST(COUNTA($A$28:$A33),K$23,K$22,FALSE)</f>
        <v>3.7855548657894578E-41</v>
      </c>
      <c r="AK37">
        <f>AK36+1</f>
        <v>3</v>
      </c>
      <c r="AL37" s="53">
        <f>_xlfn.WEIBULL.DIST(COUNTA($A$28:$A33),L$23,L$22,FALSE)</f>
        <v>0.36787944117144233</v>
      </c>
      <c r="AS37" s="6">
        <v>2.7106590681160576E-2</v>
      </c>
      <c r="AT37" s="6">
        <v>3.7855548657894578E-41</v>
      </c>
      <c r="AU37" s="6">
        <v>0.36787944117144233</v>
      </c>
    </row>
    <row r="38" spans="1:47" x14ac:dyDescent="0.25">
      <c r="A38" t="s">
        <v>134</v>
      </c>
      <c r="J38" s="51">
        <v>0</v>
      </c>
      <c r="K38" s="51">
        <v>0</v>
      </c>
      <c r="L38" s="51">
        <v>0</v>
      </c>
      <c r="N38" s="7">
        <v>112.68312724962217</v>
      </c>
      <c r="O38" s="7">
        <v>0</v>
      </c>
      <c r="P38" s="7">
        <v>3085.8990211322925</v>
      </c>
      <c r="R38" s="7">
        <v>1563.5178999999998</v>
      </c>
      <c r="S38" s="7">
        <v>0</v>
      </c>
      <c r="T38" s="7">
        <v>528546.30000000005</v>
      </c>
      <c r="W38">
        <f t="shared" ref="W38:W40" si="3">W37+1</f>
        <v>5</v>
      </c>
      <c r="X38" s="53">
        <f>_xlfn.WEIBULL.DIST(COUNTA($A$28:$A33),J$23,J$22,FALSE)</f>
        <v>2.7106590681160576E-2</v>
      </c>
      <c r="AD38">
        <f t="shared" ref="AD38:AD40" si="4">AD37+1</f>
        <v>4</v>
      </c>
      <c r="AE38" s="53">
        <f>_xlfn.WEIBULL.DIST(COUNTA($A$28:$A33),K$23,K$22,FALSE)</f>
        <v>3.7855548657894578E-41</v>
      </c>
      <c r="AK38">
        <f t="shared" ref="AK38:AK40" si="5">AK37+1</f>
        <v>4</v>
      </c>
      <c r="AL38" s="53">
        <f>_xlfn.WEIBULL.DIST(COUNTA($A$28:$A33),L$23,L$22,FALSE)</f>
        <v>0.36787944117144233</v>
      </c>
      <c r="AS38" s="6">
        <v>2.7106590681160576E-2</v>
      </c>
      <c r="AT38" s="6">
        <v>3.7855548657894578E-41</v>
      </c>
      <c r="AU38" s="6">
        <v>0.36787944117144233</v>
      </c>
    </row>
    <row r="39" spans="1:47" x14ac:dyDescent="0.25">
      <c r="A39" t="s">
        <v>135</v>
      </c>
      <c r="J39" s="51">
        <v>0</v>
      </c>
      <c r="K39" s="51">
        <v>0</v>
      </c>
      <c r="L39" s="51">
        <v>0</v>
      </c>
      <c r="N39" s="7">
        <v>133.99441754210659</v>
      </c>
      <c r="O39" s="7">
        <v>0</v>
      </c>
      <c r="P39" s="7">
        <v>7752.506764698589</v>
      </c>
      <c r="R39" s="7">
        <v>1878.3931000000002</v>
      </c>
      <c r="S39" s="7">
        <v>0</v>
      </c>
      <c r="T39" s="7">
        <v>539117.22</v>
      </c>
      <c r="W39">
        <f t="shared" si="3"/>
        <v>6</v>
      </c>
      <c r="X39" s="53">
        <f>_xlfn.WEIBULL.DIST(COUNTA($A$28:$A33),J$23,J$22,FALSE)</f>
        <v>2.7106590681160576E-2</v>
      </c>
      <c r="AD39">
        <f t="shared" si="4"/>
        <v>5</v>
      </c>
      <c r="AE39" s="53">
        <f>_xlfn.WEIBULL.DIST(COUNTA($A$28:$A33),K$23,K$22,FALSE)</f>
        <v>3.7855548657894578E-41</v>
      </c>
      <c r="AK39">
        <f t="shared" si="5"/>
        <v>5</v>
      </c>
      <c r="AL39" s="53">
        <f>_xlfn.WEIBULL.DIST(COUNTA($A$28:$A33),L$23,L$22,FALSE)</f>
        <v>0.36787944117144233</v>
      </c>
      <c r="AS39" s="6">
        <v>2.7106590681160576E-2</v>
      </c>
      <c r="AT39" s="6">
        <v>3.7855548657894578E-41</v>
      </c>
      <c r="AU39" s="6">
        <v>0.36787944117144233</v>
      </c>
    </row>
    <row r="40" spans="1:47" x14ac:dyDescent="0.25">
      <c r="A40" t="s">
        <v>136</v>
      </c>
      <c r="J40" s="51">
        <v>0</v>
      </c>
      <c r="K40" s="51">
        <v>0</v>
      </c>
      <c r="L40" s="51">
        <v>0</v>
      </c>
      <c r="N40" s="7">
        <v>158.02284703245019</v>
      </c>
      <c r="O40" s="7">
        <v>0</v>
      </c>
      <c r="P40" s="7">
        <v>10359.937657465776</v>
      </c>
      <c r="R40" s="7">
        <v>2247.5569999999998</v>
      </c>
      <c r="S40" s="7">
        <v>0</v>
      </c>
      <c r="T40" s="7">
        <v>549899.56999999995</v>
      </c>
      <c r="W40">
        <f t="shared" si="3"/>
        <v>7</v>
      </c>
      <c r="X40" s="53">
        <f>_xlfn.WEIBULL.DIST(COUNTA($A$28:$A33),J$23,J$22,FALSE)</f>
        <v>2.7106590681160576E-2</v>
      </c>
      <c r="AD40">
        <f t="shared" si="4"/>
        <v>6</v>
      </c>
      <c r="AE40" s="53">
        <f>_xlfn.WEIBULL.DIST(COUNTA($A$28:$A33),K$23,K$22,FALSE)</f>
        <v>3.7855548657894578E-41</v>
      </c>
      <c r="AK40">
        <f t="shared" si="5"/>
        <v>6</v>
      </c>
      <c r="AL40" s="53">
        <f>_xlfn.WEIBULL.DIST(COUNTA($A$28:$A33),L$23,L$22,FALSE)</f>
        <v>0.36787944117144233</v>
      </c>
      <c r="AS40" s="6">
        <v>2.7106590681160576E-2</v>
      </c>
      <c r="AT40" s="6">
        <v>3.7855548657894578E-41</v>
      </c>
      <c r="AU40" s="6">
        <v>0.36787944117144233</v>
      </c>
    </row>
    <row r="42" spans="1:47" ht="30" customHeight="1" x14ac:dyDescent="0.25">
      <c r="J42" s="3" t="s">
        <v>151</v>
      </c>
      <c r="N42" s="158" t="s">
        <v>198</v>
      </c>
      <c r="O42" s="158"/>
      <c r="P42" s="158"/>
      <c r="Q42" s="158"/>
      <c r="X42" s="3" t="s">
        <v>128</v>
      </c>
    </row>
    <row r="43" spans="1:47" x14ac:dyDescent="0.25">
      <c r="J43" t="s">
        <v>7</v>
      </c>
      <c r="K43" t="s">
        <v>9</v>
      </c>
      <c r="L43" t="s">
        <v>10</v>
      </c>
      <c r="N43" t="s">
        <v>7</v>
      </c>
      <c r="O43" t="s">
        <v>9</v>
      </c>
      <c r="P43" t="s">
        <v>10</v>
      </c>
      <c r="X43" t="s">
        <v>92</v>
      </c>
      <c r="Y43" t="s">
        <v>93</v>
      </c>
      <c r="Z43" t="s">
        <v>134</v>
      </c>
      <c r="AA43" t="s">
        <v>135</v>
      </c>
      <c r="AB43" t="s">
        <v>136</v>
      </c>
    </row>
    <row r="44" spans="1:47" x14ac:dyDescent="0.25">
      <c r="A44" t="s">
        <v>92</v>
      </c>
      <c r="J44" s="7">
        <f t="array" ref="J44:L48">N44:P48*J19:L19</f>
        <v>108.57763061241506</v>
      </c>
      <c r="K44" s="7">
        <v>0</v>
      </c>
      <c r="L44" s="7">
        <v>508022.20541508921</v>
      </c>
      <c r="N44" s="7">
        <f t="array" ref="N44:P48">J20:L20-MMULT(X44:AB48,N36:P40-N28:P32)</f>
        <v>155.11090087487867</v>
      </c>
      <c r="O44" s="7">
        <v>0</v>
      </c>
      <c r="P44" s="7">
        <v>25401.11027075446</v>
      </c>
      <c r="X44" s="6">
        <v>1</v>
      </c>
      <c r="Y44" s="6">
        <v>0</v>
      </c>
      <c r="Z44" s="6">
        <v>0</v>
      </c>
      <c r="AA44" s="6">
        <v>0</v>
      </c>
      <c r="AB44" s="6">
        <v>0</v>
      </c>
    </row>
    <row r="45" spans="1:47" x14ac:dyDescent="0.25">
      <c r="A45" t="s">
        <v>93</v>
      </c>
      <c r="J45" s="7">
        <v>130.29315801963523</v>
      </c>
      <c r="K45" s="7">
        <v>0</v>
      </c>
      <c r="L45" s="7">
        <v>518182.64982380503</v>
      </c>
      <c r="N45" s="7">
        <v>186.13308288519318</v>
      </c>
      <c r="O45" s="7">
        <v>0</v>
      </c>
      <c r="P45" s="7">
        <v>25909.132491190252</v>
      </c>
      <c r="X45" s="6">
        <v>1</v>
      </c>
      <c r="Y45" s="6">
        <v>1</v>
      </c>
      <c r="Z45" s="6">
        <v>0</v>
      </c>
      <c r="AA45" s="6">
        <v>0</v>
      </c>
      <c r="AB45" s="6">
        <v>0</v>
      </c>
    </row>
    <row r="46" spans="1:47" x14ac:dyDescent="0.25">
      <c r="A46" t="s">
        <v>134</v>
      </c>
      <c r="J46" s="7">
        <v>156.3517939448997</v>
      </c>
      <c r="K46" s="7">
        <v>0</v>
      </c>
      <c r="L46" s="7">
        <v>528546.30140115926</v>
      </c>
      <c r="N46" s="7">
        <v>223.359705635571</v>
      </c>
      <c r="O46" s="7">
        <v>0</v>
      </c>
      <c r="P46" s="7">
        <v>26427.315070057961</v>
      </c>
      <c r="X46" s="6">
        <v>1</v>
      </c>
      <c r="Y46" s="6">
        <v>1</v>
      </c>
      <c r="Z46" s="6">
        <v>1</v>
      </c>
      <c r="AA46" s="6">
        <v>0</v>
      </c>
      <c r="AB46" s="6">
        <v>0</v>
      </c>
    </row>
    <row r="47" spans="1:47" x14ac:dyDescent="0.25">
      <c r="A47" t="s">
        <v>135</v>
      </c>
      <c r="J47" s="7">
        <v>187.83930766542508</v>
      </c>
      <c r="K47" s="7">
        <v>0</v>
      </c>
      <c r="L47" s="7">
        <v>539117.22610718745</v>
      </c>
      <c r="N47" s="7">
        <v>268.34186809346443</v>
      </c>
      <c r="O47" s="7">
        <v>0</v>
      </c>
      <c r="P47" s="7">
        <v>26955.861305359373</v>
      </c>
      <c r="X47" s="6">
        <v>1</v>
      </c>
      <c r="Y47" s="6">
        <v>1</v>
      </c>
      <c r="Z47" s="6">
        <v>1</v>
      </c>
      <c r="AA47" s="6">
        <v>1</v>
      </c>
      <c r="AB47" s="6">
        <v>0</v>
      </c>
    </row>
    <row r="48" spans="1:47" x14ac:dyDescent="0.25">
      <c r="A48" t="s">
        <v>136</v>
      </c>
      <c r="J48" s="7">
        <v>224.75569974270994</v>
      </c>
      <c r="K48" s="7">
        <v>0</v>
      </c>
      <c r="L48" s="7">
        <v>549899.57295787195</v>
      </c>
      <c r="N48" s="7">
        <v>321.07957106101424</v>
      </c>
      <c r="O48" s="7">
        <v>0</v>
      </c>
      <c r="P48" s="7">
        <v>27494.978647893597</v>
      </c>
      <c r="X48" s="6">
        <v>1</v>
      </c>
      <c r="Y48" s="6">
        <v>1</v>
      </c>
      <c r="Z48" s="6">
        <v>1</v>
      </c>
      <c r="AA48" s="6">
        <v>1</v>
      </c>
      <c r="AB48" s="6">
        <v>1</v>
      </c>
    </row>
    <row r="50" spans="1:16" x14ac:dyDescent="0.25">
      <c r="N50" s="3" t="s">
        <v>168</v>
      </c>
    </row>
    <row r="51" spans="1:16" x14ac:dyDescent="0.25">
      <c r="N51" t="s">
        <v>7</v>
      </c>
      <c r="O51" t="s">
        <v>9</v>
      </c>
      <c r="P51" t="s">
        <v>10</v>
      </c>
    </row>
    <row r="52" spans="1:16" x14ac:dyDescent="0.25">
      <c r="A52" t="s">
        <v>92</v>
      </c>
      <c r="C52" t="s">
        <v>7</v>
      </c>
      <c r="N52" s="7" cm="1">
        <f t="array" ref="N52:N56">N28:N32</f>
        <v>173.71026000000001</v>
      </c>
      <c r="O52" s="7">
        <v>0</v>
      </c>
      <c r="P52" s="7">
        <v>0</v>
      </c>
    </row>
    <row r="53" spans="1:16" x14ac:dyDescent="0.25">
      <c r="A53" t="s">
        <v>93</v>
      </c>
      <c r="N53" s="7">
        <v>99.032472999999996</v>
      </c>
      <c r="O53" s="7">
        <v>0</v>
      </c>
      <c r="P53" s="7">
        <v>0</v>
      </c>
    </row>
    <row r="54" spans="1:16" x14ac:dyDescent="0.25">
      <c r="A54" t="s">
        <v>134</v>
      </c>
      <c r="N54" s="7">
        <v>149.90975</v>
      </c>
      <c r="O54" s="7">
        <v>0</v>
      </c>
      <c r="P54" s="7">
        <v>0</v>
      </c>
    </row>
    <row r="55" spans="1:16" x14ac:dyDescent="0.25">
      <c r="A55" t="s">
        <v>135</v>
      </c>
      <c r="N55" s="7">
        <v>178.97658000000001</v>
      </c>
      <c r="O55" s="7">
        <v>0</v>
      </c>
      <c r="P55" s="7">
        <v>0</v>
      </c>
    </row>
    <row r="56" spans="1:16" x14ac:dyDescent="0.25">
      <c r="A56" t="s">
        <v>136</v>
      </c>
      <c r="N56" s="7">
        <v>210.76054999999999</v>
      </c>
      <c r="O56" s="7">
        <v>0</v>
      </c>
      <c r="P56" s="7">
        <v>0</v>
      </c>
    </row>
    <row r="57" spans="1:16" x14ac:dyDescent="0.25">
      <c r="A57" t="s">
        <v>92</v>
      </c>
      <c r="C57" t="s">
        <v>9</v>
      </c>
      <c r="N57" s="7">
        <v>0</v>
      </c>
      <c r="O57" s="7" cm="1">
        <f t="array" ref="O57:O61">O28:O32</f>
        <v>0</v>
      </c>
      <c r="P57" s="7">
        <v>0</v>
      </c>
    </row>
    <row r="58" spans="1:16" x14ac:dyDescent="0.25">
      <c r="A58" t="s">
        <v>93</v>
      </c>
      <c r="N58" s="7">
        <v>0</v>
      </c>
      <c r="O58" s="7">
        <v>0</v>
      </c>
      <c r="P58" s="7">
        <v>0</v>
      </c>
    </row>
    <row r="59" spans="1:16" x14ac:dyDescent="0.25">
      <c r="A59" t="s">
        <v>134</v>
      </c>
      <c r="N59" s="7">
        <v>0</v>
      </c>
      <c r="O59" s="7">
        <v>0</v>
      </c>
      <c r="P59" s="7">
        <v>0</v>
      </c>
    </row>
    <row r="60" spans="1:16" x14ac:dyDescent="0.25">
      <c r="A60" t="s">
        <v>135</v>
      </c>
      <c r="N60" s="7">
        <v>0</v>
      </c>
      <c r="O60" s="7">
        <v>0</v>
      </c>
      <c r="P60" s="7">
        <v>0</v>
      </c>
    </row>
    <row r="61" spans="1:16" x14ac:dyDescent="0.25">
      <c r="A61" t="s">
        <v>136</v>
      </c>
      <c r="N61" s="7">
        <v>0</v>
      </c>
      <c r="O61" s="7">
        <v>0</v>
      </c>
      <c r="P61" s="7">
        <v>0</v>
      </c>
    </row>
    <row r="62" spans="1:16" x14ac:dyDescent="0.25">
      <c r="A62" t="s">
        <v>92</v>
      </c>
      <c r="C62" t="s">
        <v>10</v>
      </c>
      <c r="N62" s="7">
        <v>0</v>
      </c>
      <c r="O62" s="7">
        <v>0</v>
      </c>
      <c r="P62" s="7" cm="1">
        <f t="array" ref="P62:P66">P28:P32</f>
        <v>25441.170999999998</v>
      </c>
    </row>
    <row r="63" spans="1:16" x14ac:dyDescent="0.25">
      <c r="A63" t="s">
        <v>93</v>
      </c>
      <c r="N63" s="7">
        <v>0</v>
      </c>
      <c r="O63" s="7">
        <v>0</v>
      </c>
      <c r="P63" s="7">
        <v>1154.8960999999999</v>
      </c>
    </row>
    <row r="64" spans="1:16" x14ac:dyDescent="0.25">
      <c r="A64" t="s">
        <v>134</v>
      </c>
      <c r="N64" s="7">
        <v>0</v>
      </c>
      <c r="O64" s="7">
        <v>0</v>
      </c>
      <c r="P64" s="7">
        <v>3604.0816</v>
      </c>
    </row>
    <row r="65" spans="1:16" x14ac:dyDescent="0.25">
      <c r="A65" t="s">
        <v>135</v>
      </c>
      <c r="N65" s="7">
        <v>0</v>
      </c>
      <c r="O65" s="7">
        <v>0</v>
      </c>
      <c r="P65" s="7">
        <v>8281.0529999999999</v>
      </c>
    </row>
    <row r="66" spans="1:16" x14ac:dyDescent="0.25">
      <c r="A66" t="s">
        <v>136</v>
      </c>
      <c r="N66" s="7">
        <v>0</v>
      </c>
      <c r="O66" s="7">
        <v>0</v>
      </c>
      <c r="P66" s="7">
        <v>10899.055</v>
      </c>
    </row>
  </sheetData>
  <mergeCells count="4">
    <mergeCell ref="N34:P34"/>
    <mergeCell ref="J34:L34"/>
    <mergeCell ref="N42:Q42"/>
    <mergeCell ref="R34:T34"/>
  </mergeCells>
  <hyperlinks>
    <hyperlink ref="A1" location="Contents!A1" display="Back to contents" xr:uid="{CED7A400-B519-4BA6-A718-D6C75D6BC1E6}"/>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B29DB9-1E47-4F05-B9DD-88BD3630C193}">
  <sheetPr>
    <tabColor theme="8" tint="0.59999389629810485"/>
  </sheetPr>
  <dimension ref="A1:AW56"/>
  <sheetViews>
    <sheetView showGridLines="0" zoomScale="115" zoomScaleNormal="115" workbookViewId="0">
      <pane xSplit="4" ySplit="6" topLeftCell="E13" activePane="bottomRight" state="frozen"/>
      <selection pane="topRight"/>
      <selection pane="bottomLeft"/>
      <selection pane="bottomRight" activeCell="V26" sqref="V26"/>
    </sheetView>
  </sheetViews>
  <sheetFormatPr defaultRowHeight="15" x14ac:dyDescent="0.25"/>
  <cols>
    <col min="1" max="1" width="5.28515625" bestFit="1" customWidth="1"/>
    <col min="2" max="2" width="6.140625" bestFit="1" customWidth="1"/>
    <col min="3" max="3" width="6" bestFit="1" customWidth="1"/>
    <col min="4" max="4" width="31.7109375" bestFit="1" customWidth="1"/>
    <col min="5" max="5" width="3" customWidth="1"/>
    <col min="6" max="8" width="6.42578125" customWidth="1"/>
    <col min="9" max="9" width="4.7109375" customWidth="1"/>
    <col min="10" max="12" width="6.85546875" customWidth="1"/>
    <col min="13" max="13" width="4.7109375" customWidth="1"/>
    <col min="14" max="16" width="7.42578125" customWidth="1"/>
    <col min="17" max="17" width="6.42578125" bestFit="1" customWidth="1"/>
    <col min="18" max="18" width="6.28515625" customWidth="1"/>
    <col min="19" max="19" width="4.85546875" customWidth="1"/>
    <col min="20" max="21" width="7.42578125" customWidth="1"/>
    <col min="22" max="23" width="5.7109375" customWidth="1"/>
    <col min="24" max="24" width="6.7109375" customWidth="1"/>
    <col min="25" max="30" width="7.42578125" customWidth="1"/>
    <col min="31" max="49" width="6.28515625" customWidth="1"/>
  </cols>
  <sheetData>
    <row r="1" spans="1:30" x14ac:dyDescent="0.25">
      <c r="A1" s="97" t="s">
        <v>285</v>
      </c>
    </row>
    <row r="2" spans="1:30" x14ac:dyDescent="0.25">
      <c r="A2" t="s">
        <v>133</v>
      </c>
      <c r="N2" t="s">
        <v>92</v>
      </c>
      <c r="O2" t="s">
        <v>93</v>
      </c>
      <c r="P2" t="s">
        <v>134</v>
      </c>
      <c r="Q2" t="s">
        <v>135</v>
      </c>
      <c r="R2" t="s">
        <v>136</v>
      </c>
      <c r="T2" t="s">
        <v>92</v>
      </c>
      <c r="U2" t="s">
        <v>93</v>
      </c>
      <c r="V2" t="s">
        <v>134</v>
      </c>
      <c r="W2" t="s">
        <v>135</v>
      </c>
      <c r="X2" t="s">
        <v>136</v>
      </c>
      <c r="Z2" t="s">
        <v>92</v>
      </c>
      <c r="AA2" t="s">
        <v>93</v>
      </c>
      <c r="AB2" t="s">
        <v>134</v>
      </c>
      <c r="AC2" t="s">
        <v>135</v>
      </c>
      <c r="AD2" t="s">
        <v>136</v>
      </c>
    </row>
    <row r="3" spans="1:30" x14ac:dyDescent="0.25">
      <c r="B3" t="s">
        <v>0</v>
      </c>
      <c r="F3" t="s">
        <v>11</v>
      </c>
      <c r="G3" t="s">
        <v>12</v>
      </c>
      <c r="H3" t="s">
        <v>94</v>
      </c>
    </row>
    <row r="4" spans="1:30" x14ac:dyDescent="0.25">
      <c r="C4" t="s">
        <v>1</v>
      </c>
      <c r="J4" t="s">
        <v>7</v>
      </c>
      <c r="K4" t="s">
        <v>9</v>
      </c>
      <c r="L4" t="s">
        <v>10</v>
      </c>
      <c r="N4" t="s">
        <v>20</v>
      </c>
      <c r="O4" t="s">
        <v>20</v>
      </c>
      <c r="P4" t="s">
        <v>20</v>
      </c>
      <c r="Q4" t="s">
        <v>20</v>
      </c>
      <c r="R4" t="s">
        <v>20</v>
      </c>
    </row>
    <row r="5" spans="1:30" x14ac:dyDescent="0.25">
      <c r="D5" t="s">
        <v>2</v>
      </c>
      <c r="F5" t="s">
        <v>186</v>
      </c>
      <c r="G5" t="s">
        <v>187</v>
      </c>
      <c r="N5" t="s">
        <v>8</v>
      </c>
    </row>
    <row r="6" spans="1:30" x14ac:dyDescent="0.25">
      <c r="H6" s="45"/>
      <c r="J6" s="45"/>
      <c r="K6" s="45"/>
      <c r="L6" s="45"/>
    </row>
    <row r="7" spans="1:30" x14ac:dyDescent="0.25">
      <c r="F7" s="3" t="s">
        <v>138</v>
      </c>
      <c r="J7" s="3" t="s">
        <v>5</v>
      </c>
      <c r="N7" s="3" t="s">
        <v>14</v>
      </c>
      <c r="T7" s="3" t="s">
        <v>47</v>
      </c>
      <c r="Z7" s="3" t="s">
        <v>139</v>
      </c>
    </row>
    <row r="8" spans="1:30" x14ac:dyDescent="0.25">
      <c r="B8" t="s">
        <v>3</v>
      </c>
      <c r="D8" t="s">
        <v>19</v>
      </c>
      <c r="F8" s="6">
        <v>1</v>
      </c>
      <c r="G8" s="6">
        <v>1</v>
      </c>
      <c r="H8" s="6">
        <v>0</v>
      </c>
      <c r="J8" s="1">
        <v>7.9000000000000001E-2</v>
      </c>
      <c r="K8" s="1">
        <v>7.9000000000000001E-2</v>
      </c>
      <c r="L8" s="1">
        <v>0</v>
      </c>
      <c r="N8" s="46">
        <v>100</v>
      </c>
      <c r="O8" s="46">
        <v>120</v>
      </c>
      <c r="P8" s="46">
        <v>144</v>
      </c>
      <c r="Q8" s="46">
        <v>173</v>
      </c>
      <c r="R8" s="46">
        <v>207</v>
      </c>
      <c r="T8" s="7">
        <f t="array" ref="T8:X9">MMULT(F8:H9,TRANSPOSE(F28:H32))</f>
        <v>108.57763</v>
      </c>
      <c r="U8" s="7">
        <v>130.29316</v>
      </c>
      <c r="V8" s="7">
        <v>156.35178999999999</v>
      </c>
      <c r="W8" s="7">
        <v>187.83931000000001</v>
      </c>
      <c r="X8" s="7">
        <v>224.75569999999999</v>
      </c>
      <c r="Z8" s="47">
        <f t="array" ref="Z8:AD9">T8:X9-MMULT(J8:L9,TRANSPOSE(J28:L32))-N8:R9</f>
        <v>-2.7699999947117249E-6</v>
      </c>
      <c r="AA8" s="31">
        <v>3.6000000136482413E-7</v>
      </c>
      <c r="AB8" s="31">
        <v>-1.4100000100825127E-6</v>
      </c>
      <c r="AC8" s="31">
        <v>4.5099999965714233E-6</v>
      </c>
      <c r="AD8" s="32">
        <v>-3.0000001061125658E-7</v>
      </c>
    </row>
    <row r="9" spans="1:30" x14ac:dyDescent="0.25">
      <c r="B9" t="s">
        <v>4</v>
      </c>
      <c r="D9" t="s">
        <v>85</v>
      </c>
      <c r="F9" s="6">
        <v>0</v>
      </c>
      <c r="G9" s="6">
        <v>0</v>
      </c>
      <c r="H9" s="6">
        <v>1</v>
      </c>
      <c r="J9" s="1">
        <v>0</v>
      </c>
      <c r="K9" s="1">
        <v>0</v>
      </c>
      <c r="L9" s="1">
        <v>0</v>
      </c>
      <c r="N9" s="46">
        <v>508022.19999999995</v>
      </c>
      <c r="O9" s="46">
        <v>518182.64399999997</v>
      </c>
      <c r="P9" s="46">
        <v>528546.29687999992</v>
      </c>
      <c r="Q9" s="46">
        <v>539117.22281759989</v>
      </c>
      <c r="R9" s="46">
        <v>549899.56727395195</v>
      </c>
      <c r="T9" s="7">
        <v>508022.2</v>
      </c>
      <c r="U9" s="7">
        <v>518182.64</v>
      </c>
      <c r="V9" s="7">
        <v>528546.30000000005</v>
      </c>
      <c r="W9" s="7">
        <v>539117.22</v>
      </c>
      <c r="X9" s="7">
        <v>549899.56999999995</v>
      </c>
      <c r="Z9" s="34">
        <v>0</v>
      </c>
      <c r="AA9" s="35">
        <v>-3.9999999571591616E-3</v>
      </c>
      <c r="AB9" s="35">
        <v>3.1200001249089837E-3</v>
      </c>
      <c r="AC9" s="35">
        <v>-2.8175999177619815E-3</v>
      </c>
      <c r="AD9" s="36">
        <v>2.7260479982942343E-3</v>
      </c>
    </row>
    <row r="10" spans="1:30" x14ac:dyDescent="0.25">
      <c r="F10" s="3" t="s">
        <v>6</v>
      </c>
      <c r="N10" s="3" t="s">
        <v>181</v>
      </c>
      <c r="Z10" s="3" t="s">
        <v>140</v>
      </c>
    </row>
    <row r="11" spans="1:30" x14ac:dyDescent="0.25">
      <c r="C11" t="s">
        <v>7</v>
      </c>
      <c r="D11" t="s">
        <v>184</v>
      </c>
      <c r="F11" s="1">
        <v>1</v>
      </c>
      <c r="G11" s="1">
        <v>0</v>
      </c>
      <c r="H11" s="1">
        <v>0</v>
      </c>
      <c r="N11" s="1">
        <v>0.05</v>
      </c>
      <c r="T11" s="41"/>
      <c r="U11" s="41"/>
      <c r="V11" s="41"/>
      <c r="W11" s="41"/>
      <c r="X11" s="41"/>
      <c r="Z11" s="30">
        <f t="array" ref="Z11:AD13">TRANSPOSE(J28:L32)-MMULT(F11:H13,TRANSPOSE(F28:H32))</f>
        <v>0</v>
      </c>
      <c r="AA11" s="31">
        <v>0</v>
      </c>
      <c r="AB11" s="31">
        <v>0</v>
      </c>
      <c r="AC11" s="31">
        <v>0</v>
      </c>
      <c r="AD11" s="32">
        <v>0</v>
      </c>
    </row>
    <row r="12" spans="1:30" x14ac:dyDescent="0.25">
      <c r="C12" t="s">
        <v>9</v>
      </c>
      <c r="D12" t="s">
        <v>185</v>
      </c>
      <c r="F12" s="1">
        <v>0</v>
      </c>
      <c r="G12" s="1">
        <v>1</v>
      </c>
      <c r="H12" s="1">
        <v>0</v>
      </c>
      <c r="T12" s="41"/>
      <c r="U12" s="41"/>
      <c r="V12" s="41"/>
      <c r="W12" s="41"/>
      <c r="X12" s="41"/>
      <c r="Z12" s="33">
        <v>0</v>
      </c>
      <c r="AA12">
        <v>0</v>
      </c>
      <c r="AB12">
        <v>0</v>
      </c>
      <c r="AC12">
        <v>0</v>
      </c>
      <c r="AD12" s="2">
        <v>0</v>
      </c>
    </row>
    <row r="13" spans="1:30" x14ac:dyDescent="0.25">
      <c r="C13" t="s">
        <v>10</v>
      </c>
      <c r="D13" t="s">
        <v>85</v>
      </c>
      <c r="F13" s="1">
        <v>0</v>
      </c>
      <c r="G13" s="1">
        <v>0</v>
      </c>
      <c r="H13" s="1">
        <v>1</v>
      </c>
      <c r="T13" s="41"/>
      <c r="U13" s="41"/>
      <c r="V13" s="41"/>
      <c r="W13" s="41"/>
      <c r="X13" s="41"/>
      <c r="Z13" s="34">
        <v>0</v>
      </c>
      <c r="AA13" s="35">
        <v>0</v>
      </c>
      <c r="AB13" s="35">
        <v>0</v>
      </c>
      <c r="AC13" s="35">
        <v>0</v>
      </c>
      <c r="AD13" s="36">
        <v>0</v>
      </c>
    </row>
    <row r="14" spans="1:30" x14ac:dyDescent="0.25">
      <c r="T14" s="3" t="s">
        <v>204</v>
      </c>
    </row>
    <row r="15" spans="1:30" x14ac:dyDescent="0.25">
      <c r="D15" t="s">
        <v>141</v>
      </c>
      <c r="I15" s="4" t="s">
        <v>142</v>
      </c>
      <c r="J15" s="1">
        <v>10</v>
      </c>
      <c r="K15" s="1">
        <v>10</v>
      </c>
      <c r="L15" s="1">
        <v>5</v>
      </c>
      <c r="S15" s="3"/>
      <c r="T15" s="101">
        <f>SUM(V28:X32,V36:X40)</f>
        <v>2643221.3591514006</v>
      </c>
    </row>
    <row r="16" spans="1:30" x14ac:dyDescent="0.25">
      <c r="D16" t="s">
        <v>143</v>
      </c>
      <c r="I16" s="4" t="s">
        <v>144</v>
      </c>
      <c r="J16" s="1">
        <v>10</v>
      </c>
      <c r="K16" s="1">
        <v>10</v>
      </c>
      <c r="L16" s="1">
        <v>1</v>
      </c>
    </row>
    <row r="17" spans="1:49" x14ac:dyDescent="0.25">
      <c r="D17" t="s">
        <v>145</v>
      </c>
      <c r="I17" s="4" t="s">
        <v>146</v>
      </c>
      <c r="J17" s="1">
        <v>50</v>
      </c>
      <c r="K17" s="1">
        <v>5</v>
      </c>
      <c r="L17" s="1">
        <v>20</v>
      </c>
    </row>
    <row r="18" spans="1:49" x14ac:dyDescent="0.25">
      <c r="D18" t="s">
        <v>147</v>
      </c>
      <c r="I18" s="4" t="s">
        <v>148</v>
      </c>
      <c r="J18" s="1">
        <v>0</v>
      </c>
      <c r="K18" s="1">
        <v>0</v>
      </c>
      <c r="L18" s="1">
        <v>0</v>
      </c>
    </row>
    <row r="19" spans="1:49" x14ac:dyDescent="0.25">
      <c r="I19" s="4" t="s">
        <v>149</v>
      </c>
      <c r="J19" s="1">
        <v>0.7</v>
      </c>
      <c r="K19" s="1">
        <v>0.3</v>
      </c>
      <c r="L19" s="1">
        <v>20</v>
      </c>
    </row>
    <row r="20" spans="1:49" x14ac:dyDescent="0.25">
      <c r="D20" t="s">
        <v>150</v>
      </c>
      <c r="I20" s="4" t="s">
        <v>45</v>
      </c>
      <c r="J20" s="1">
        <v>0</v>
      </c>
      <c r="K20" s="1">
        <v>0</v>
      </c>
      <c r="L20" s="1">
        <v>1</v>
      </c>
    </row>
    <row r="21" spans="1:49" x14ac:dyDescent="0.25">
      <c r="D21" t="s">
        <v>155</v>
      </c>
      <c r="I21" s="4" t="s">
        <v>156</v>
      </c>
      <c r="J21" s="1">
        <v>0</v>
      </c>
      <c r="K21" s="1">
        <v>0</v>
      </c>
      <c r="L21" s="1">
        <v>3</v>
      </c>
    </row>
    <row r="22" spans="1:49" x14ac:dyDescent="0.25">
      <c r="D22" t="s">
        <v>157</v>
      </c>
      <c r="I22" s="4" t="s">
        <v>169</v>
      </c>
      <c r="J22" s="1">
        <v>3</v>
      </c>
      <c r="K22" s="1">
        <v>2</v>
      </c>
      <c r="L22" s="1">
        <v>5</v>
      </c>
    </row>
    <row r="23" spans="1:49" x14ac:dyDescent="0.25">
      <c r="D23" t="s">
        <v>159</v>
      </c>
      <c r="I23" s="4" t="s">
        <v>170</v>
      </c>
      <c r="J23" s="1">
        <v>3</v>
      </c>
      <c r="K23" s="1">
        <v>5</v>
      </c>
      <c r="L23" s="1">
        <v>5</v>
      </c>
    </row>
    <row r="25" spans="1:49" x14ac:dyDescent="0.25">
      <c r="AE25" s="3" t="s">
        <v>171</v>
      </c>
      <c r="AL25" s="3" t="s">
        <v>172</v>
      </c>
      <c r="AS25" s="3" t="s">
        <v>173</v>
      </c>
    </row>
    <row r="26" spans="1:49" ht="30" customHeight="1" x14ac:dyDescent="0.25">
      <c r="F26" s="3" t="s">
        <v>71</v>
      </c>
      <c r="I26" s="3"/>
      <c r="J26" s="3" t="s">
        <v>72</v>
      </c>
      <c r="N26" s="3" t="s">
        <v>127</v>
      </c>
      <c r="R26" s="158" t="s">
        <v>190</v>
      </c>
      <c r="S26" s="158"/>
      <c r="T26" s="158"/>
      <c r="V26" s="3" t="s">
        <v>182</v>
      </c>
      <c r="AE26" s="48" t="s">
        <v>165</v>
      </c>
    </row>
    <row r="27" spans="1:49" x14ac:dyDescent="0.25">
      <c r="F27" t="s">
        <v>11</v>
      </c>
      <c r="G27" t="s">
        <v>12</v>
      </c>
      <c r="H27" t="s">
        <v>94</v>
      </c>
      <c r="J27" t="s">
        <v>7</v>
      </c>
      <c r="K27" t="s">
        <v>9</v>
      </c>
      <c r="L27" t="s">
        <v>10</v>
      </c>
      <c r="N27" t="s">
        <v>7</v>
      </c>
      <c r="O27" t="s">
        <v>9</v>
      </c>
      <c r="P27" t="s">
        <v>10</v>
      </c>
      <c r="R27" t="s">
        <v>7</v>
      </c>
      <c r="S27" t="s">
        <v>9</v>
      </c>
      <c r="T27" t="s">
        <v>10</v>
      </c>
      <c r="V27" t="s">
        <v>7</v>
      </c>
      <c r="W27" t="s">
        <v>9</v>
      </c>
      <c r="X27" t="s">
        <v>10</v>
      </c>
      <c r="AD27" s="49" t="s">
        <v>166</v>
      </c>
      <c r="AE27" s="35" t="s">
        <v>92</v>
      </c>
      <c r="AF27" s="35" t="s">
        <v>93</v>
      </c>
      <c r="AG27" s="35" t="s">
        <v>134</v>
      </c>
      <c r="AH27" s="35" t="s">
        <v>135</v>
      </c>
      <c r="AI27" s="35" t="s">
        <v>136</v>
      </c>
      <c r="AL27" s="35" t="s">
        <v>92</v>
      </c>
      <c r="AM27" s="35" t="s">
        <v>93</v>
      </c>
      <c r="AN27" s="35" t="s">
        <v>134</v>
      </c>
      <c r="AO27" s="35" t="s">
        <v>135</v>
      </c>
      <c r="AP27" s="35" t="s">
        <v>136</v>
      </c>
      <c r="AS27" s="35" t="s">
        <v>92</v>
      </c>
      <c r="AT27" s="35" t="s">
        <v>93</v>
      </c>
      <c r="AU27" s="35" t="s">
        <v>134</v>
      </c>
      <c r="AV27" s="35" t="s">
        <v>135</v>
      </c>
      <c r="AW27" s="35" t="s">
        <v>136</v>
      </c>
    </row>
    <row r="28" spans="1:49" x14ac:dyDescent="0.25">
      <c r="A28">
        <v>1</v>
      </c>
      <c r="F28" s="132">
        <v>108.57763</v>
      </c>
      <c r="G28" s="132">
        <v>0</v>
      </c>
      <c r="H28" s="132">
        <v>508022.2</v>
      </c>
      <c r="J28" s="132">
        <v>108.57763</v>
      </c>
      <c r="K28" s="132">
        <v>0</v>
      </c>
      <c r="L28" s="132">
        <v>508022.2</v>
      </c>
      <c r="N28" s="132">
        <v>173.71026000000001</v>
      </c>
      <c r="O28" s="132">
        <v>0</v>
      </c>
      <c r="P28" s="132">
        <v>25440.682000000001</v>
      </c>
      <c r="R28" s="59">
        <f t="array" ref="R28:T32">MMULT(N28:P32,_xlfn.MUNIT(3)*J15:L15)</f>
        <v>1737.1026000000002</v>
      </c>
      <c r="S28" s="7">
        <v>0</v>
      </c>
      <c r="T28" s="7">
        <v>127203.41</v>
      </c>
      <c r="V28" s="7">
        <f t="array" ref="V28:X32">R28:T32/((1+N11)^(A28:A32-1))</f>
        <v>1737.1026000000002</v>
      </c>
      <c r="W28" s="7">
        <v>0</v>
      </c>
      <c r="X28" s="7">
        <v>127203.41</v>
      </c>
      <c r="AD28" s="2">
        <v>1</v>
      </c>
      <c r="AE28" s="6">
        <f>_xlfn.WEIBULL.DIST(COUNTA($AD$28:$AD28),J$23,J$22,FALSE)</f>
        <v>0.10707116047792069</v>
      </c>
      <c r="AF28" s="6">
        <v>0</v>
      </c>
      <c r="AG28" s="6">
        <v>0</v>
      </c>
      <c r="AH28" s="6">
        <v>0</v>
      </c>
      <c r="AI28" s="6">
        <v>0</v>
      </c>
      <c r="AL28" s="53">
        <f>_xlfn.WEIBULL.DIST(COUNTA($AD$28:$AD28),K$23,K$22,FALSE)</f>
        <v>0.15144269288692877</v>
      </c>
      <c r="AM28" s="6">
        <v>0</v>
      </c>
      <c r="AN28" s="6">
        <v>0</v>
      </c>
      <c r="AO28" s="6">
        <v>0</v>
      </c>
      <c r="AP28" s="6">
        <v>0</v>
      </c>
      <c r="AS28" s="53">
        <f>_xlfn.WEIBULL.DIST(COUNTA($AD$28:$AD28),L$23,L$22,FALSE)</f>
        <v>1.599488081911263E-3</v>
      </c>
      <c r="AT28" s="6">
        <v>0</v>
      </c>
      <c r="AU28" s="6">
        <v>0</v>
      </c>
      <c r="AV28" s="6">
        <v>0</v>
      </c>
      <c r="AW28" s="6">
        <v>0</v>
      </c>
    </row>
    <row r="29" spans="1:49" x14ac:dyDescent="0.25">
      <c r="A29">
        <v>2</v>
      </c>
      <c r="F29" s="132">
        <v>130.29316</v>
      </c>
      <c r="G29" s="132">
        <v>0</v>
      </c>
      <c r="H29" s="132">
        <v>518182.64</v>
      </c>
      <c r="J29" s="132">
        <v>130.29316</v>
      </c>
      <c r="K29" s="132">
        <v>0</v>
      </c>
      <c r="L29" s="132">
        <v>518182.64</v>
      </c>
      <c r="N29" s="132">
        <v>99.032472999999996</v>
      </c>
      <c r="O29" s="132">
        <v>0</v>
      </c>
      <c r="P29" s="132">
        <v>1154.2195999999999</v>
      </c>
      <c r="R29" s="7">
        <v>990.32472999999993</v>
      </c>
      <c r="S29" s="7">
        <v>0</v>
      </c>
      <c r="T29" s="7">
        <v>5771.098</v>
      </c>
      <c r="V29" s="7">
        <v>943.16640952380942</v>
      </c>
      <c r="W29" s="7">
        <v>0</v>
      </c>
      <c r="X29" s="7">
        <v>5496.2838095238094</v>
      </c>
      <c r="AD29" s="2">
        <v>2</v>
      </c>
      <c r="AE29" s="6">
        <f>_xlfn.WEIBULL.DIST(COUNTA($AD$28:$AD29),J$23,J$22,FALSE)</f>
        <v>0.33047425742484726</v>
      </c>
      <c r="AF29" s="6">
        <f>AE28</f>
        <v>0.10707116047792069</v>
      </c>
      <c r="AG29" s="6">
        <v>0</v>
      </c>
      <c r="AH29" s="6">
        <v>0</v>
      </c>
      <c r="AI29" s="6">
        <v>0</v>
      </c>
      <c r="AL29" s="53">
        <f>_xlfn.WEIBULL.DIST(COUNTA($AD$28:$AD29),K$23,K$22,FALSE)</f>
        <v>0.91969860292860572</v>
      </c>
      <c r="AM29" s="6">
        <f>AL28</f>
        <v>0.15144269288692877</v>
      </c>
      <c r="AN29" s="6">
        <v>0</v>
      </c>
      <c r="AO29" s="6">
        <v>0</v>
      </c>
      <c r="AP29" s="6">
        <v>0</v>
      </c>
      <c r="AS29" s="53">
        <f>_xlfn.WEIBULL.DIST(COUNTA($AD$28:$AD29),L$23,L$22,FALSE)</f>
        <v>2.5339193607685703E-2</v>
      </c>
      <c r="AT29" s="6">
        <f>AS28</f>
        <v>1.599488081911263E-3</v>
      </c>
      <c r="AU29" s="6">
        <v>0</v>
      </c>
      <c r="AV29" s="6">
        <v>0</v>
      </c>
      <c r="AW29" s="6">
        <v>0</v>
      </c>
    </row>
    <row r="30" spans="1:49" x14ac:dyDescent="0.25">
      <c r="A30">
        <v>3</v>
      </c>
      <c r="F30" s="132">
        <v>156.35178999999999</v>
      </c>
      <c r="G30" s="132">
        <v>0</v>
      </c>
      <c r="H30" s="132">
        <v>528546.30000000005</v>
      </c>
      <c r="J30" s="132">
        <v>156.35178999999999</v>
      </c>
      <c r="K30" s="132">
        <v>0</v>
      </c>
      <c r="L30" s="132">
        <v>528546.30000000005</v>
      </c>
      <c r="N30" s="132">
        <v>149.90975</v>
      </c>
      <c r="O30" s="132">
        <v>0</v>
      </c>
      <c r="P30" s="132">
        <v>3603.2689</v>
      </c>
      <c r="R30" s="7">
        <v>1499.0975000000001</v>
      </c>
      <c r="S30" s="7">
        <v>0</v>
      </c>
      <c r="T30" s="7">
        <v>18016.344499999999</v>
      </c>
      <c r="V30" s="7">
        <v>1359.7256235827665</v>
      </c>
      <c r="W30" s="7">
        <v>0</v>
      </c>
      <c r="X30" s="7">
        <v>16341.355555555554</v>
      </c>
      <c r="AD30" s="2">
        <v>3</v>
      </c>
      <c r="AE30" s="6">
        <f>_xlfn.WEIBULL.DIST(COUNTA($AD$28:$AD30),J$23,J$22,FALSE)</f>
        <v>0.36787944117144239</v>
      </c>
      <c r="AF30" s="6">
        <f t="shared" ref="AF30:AG32" si="0">AE29</f>
        <v>0.33047425742484726</v>
      </c>
      <c r="AG30" s="6">
        <f>AF29</f>
        <v>0.10707116047792069</v>
      </c>
      <c r="AH30" s="6">
        <v>0</v>
      </c>
      <c r="AI30" s="6">
        <v>0</v>
      </c>
      <c r="AL30" s="53">
        <f>_xlfn.WEIBULL.DIST(COUNTA($AD$28:$AD30),K$23,K$22,FALSE)</f>
        <v>6.3735489107332949E-3</v>
      </c>
      <c r="AM30" s="6">
        <f t="shared" ref="AM30:AN32" si="1">AL29</f>
        <v>0.91969860292860572</v>
      </c>
      <c r="AN30" s="6">
        <f>AM29</f>
        <v>0.15144269288692877</v>
      </c>
      <c r="AO30" s="6">
        <v>0</v>
      </c>
      <c r="AP30" s="6">
        <v>0</v>
      </c>
      <c r="AS30" s="53">
        <f>_xlfn.WEIBULL.DIST(COUNTA($AD$28:$AD30),L$23,L$22,FALSE)</f>
        <v>0.11990416322625341</v>
      </c>
      <c r="AT30" s="6">
        <f t="shared" ref="AT30:AU32" si="2">AS29</f>
        <v>2.5339193607685703E-2</v>
      </c>
      <c r="AU30" s="6">
        <f>AT29</f>
        <v>1.599488081911263E-3</v>
      </c>
      <c r="AV30" s="6">
        <v>0</v>
      </c>
      <c r="AW30" s="6">
        <v>0</v>
      </c>
    </row>
    <row r="31" spans="1:49" x14ac:dyDescent="0.25">
      <c r="A31">
        <v>4</v>
      </c>
      <c r="F31" s="132">
        <v>187.83931000000001</v>
      </c>
      <c r="G31" s="132">
        <v>0</v>
      </c>
      <c r="H31" s="132">
        <v>539117.22</v>
      </c>
      <c r="J31" s="132">
        <v>187.83931000000001</v>
      </c>
      <c r="K31" s="132">
        <v>0</v>
      </c>
      <c r="L31" s="132">
        <v>539117.22</v>
      </c>
      <c r="N31" s="132">
        <v>178.97658000000001</v>
      </c>
      <c r="O31" s="132">
        <v>0</v>
      </c>
      <c r="P31" s="132">
        <v>8280.2656999999999</v>
      </c>
      <c r="R31" s="7">
        <v>1789.7658000000001</v>
      </c>
      <c r="S31" s="7">
        <v>0</v>
      </c>
      <c r="T31" s="7">
        <v>41401.328500000003</v>
      </c>
      <c r="V31" s="7">
        <v>1546.066990605766</v>
      </c>
      <c r="W31" s="7">
        <v>0</v>
      </c>
      <c r="X31" s="7">
        <v>35764.024187452756</v>
      </c>
      <c r="AD31" s="2">
        <v>4</v>
      </c>
      <c r="AE31" s="6">
        <f>_xlfn.WEIBULL.DIST(COUNTA($AD$28:$AD31),J$23,J$22,FALSE)</f>
        <v>0.1661264181291118</v>
      </c>
      <c r="AF31" s="6">
        <f t="shared" si="0"/>
        <v>0.36787944117144239</v>
      </c>
      <c r="AG31" s="6">
        <f t="shared" si="0"/>
        <v>0.33047425742484726</v>
      </c>
      <c r="AH31" s="6">
        <f>AG30</f>
        <v>0.10707116047792069</v>
      </c>
      <c r="AI31" s="6">
        <v>0</v>
      </c>
      <c r="AL31" s="53">
        <f>_xlfn.WEIBULL.DIST(COUNTA($AD$28:$AD31),K$23,K$22,FALSE)</f>
        <v>5.0656662196376692E-13</v>
      </c>
      <c r="AM31" s="6">
        <f t="shared" si="1"/>
        <v>6.3735489107332949E-3</v>
      </c>
      <c r="AN31" s="6">
        <f t="shared" si="1"/>
        <v>0.91969860292860572</v>
      </c>
      <c r="AO31" s="6">
        <f>AN30</f>
        <v>0.15144269288692877</v>
      </c>
      <c r="AP31" s="6">
        <v>0</v>
      </c>
      <c r="AS31" s="53">
        <f>_xlfn.WEIBULL.DIST(COUNTA($AD$28:$AD31),L$23,L$22,FALSE)</f>
        <v>0.29515512740172928</v>
      </c>
      <c r="AT31" s="6">
        <f t="shared" si="2"/>
        <v>0.11990416322625341</v>
      </c>
      <c r="AU31" s="6">
        <f t="shared" si="2"/>
        <v>2.5339193607685703E-2</v>
      </c>
      <c r="AV31" s="6">
        <f>AU30</f>
        <v>1.599488081911263E-3</v>
      </c>
      <c r="AW31" s="6">
        <v>0</v>
      </c>
    </row>
    <row r="32" spans="1:49" x14ac:dyDescent="0.25">
      <c r="A32">
        <v>5</v>
      </c>
      <c r="F32" s="132">
        <v>224.75569999999999</v>
      </c>
      <c r="G32" s="132">
        <v>0</v>
      </c>
      <c r="H32" s="132">
        <v>549899.56999999995</v>
      </c>
      <c r="J32" s="132">
        <v>224.75569999999999</v>
      </c>
      <c r="K32" s="132">
        <v>0</v>
      </c>
      <c r="L32" s="132">
        <v>549899.56999999995</v>
      </c>
      <c r="N32" s="132">
        <v>210.76054999999999</v>
      </c>
      <c r="O32" s="132">
        <v>0</v>
      </c>
      <c r="P32" s="132">
        <v>10898.171</v>
      </c>
      <c r="R32" s="7">
        <v>2107.6055000000001</v>
      </c>
      <c r="S32" s="7">
        <v>0</v>
      </c>
      <c r="T32" s="7">
        <v>54490.855000000003</v>
      </c>
      <c r="V32" s="7">
        <v>1733.9322607349818</v>
      </c>
      <c r="W32" s="7">
        <v>0</v>
      </c>
      <c r="X32" s="7">
        <v>44829.761262025597</v>
      </c>
      <c r="AD32" s="2">
        <v>5</v>
      </c>
      <c r="AE32" s="6">
        <f>_xlfn.WEIBULL.DIST(COUNTA($AD$28:$AD32),J$23,J$22,FALSE)</f>
        <v>2.7106590681160576E-2</v>
      </c>
      <c r="AF32" s="6">
        <f t="shared" si="0"/>
        <v>0.1661264181291118</v>
      </c>
      <c r="AG32" s="6">
        <f t="shared" si="0"/>
        <v>0.36787944117144239</v>
      </c>
      <c r="AH32" s="6">
        <f>AG31</f>
        <v>0.33047425742484726</v>
      </c>
      <c r="AI32" s="6">
        <f>AH31</f>
        <v>0.10707116047792069</v>
      </c>
      <c r="AL32" s="53">
        <f>_xlfn.WEIBULL.DIST(COUNTA($AD$28:$AD32),K$23,K$22,FALSE)</f>
        <v>3.7855548657894578E-41</v>
      </c>
      <c r="AM32" s="6">
        <f t="shared" si="1"/>
        <v>5.0656662196376692E-13</v>
      </c>
      <c r="AN32" s="6">
        <f t="shared" si="1"/>
        <v>6.3735489107332949E-3</v>
      </c>
      <c r="AO32" s="6">
        <f>AN31</f>
        <v>0.91969860292860572</v>
      </c>
      <c r="AP32" s="6">
        <f>AO31</f>
        <v>0.15144269288692877</v>
      </c>
      <c r="AS32" s="53">
        <f>_xlfn.WEIBULL.DIST(COUNTA($AD$28:$AD32),L$23,L$22,FALSE)</f>
        <v>0.36787944117144233</v>
      </c>
      <c r="AT32" s="6">
        <f t="shared" si="2"/>
        <v>0.29515512740172928</v>
      </c>
      <c r="AU32" s="6">
        <f t="shared" si="2"/>
        <v>0.11990416322625341</v>
      </c>
      <c r="AV32" s="6">
        <f>AU31</f>
        <v>2.5339193607685703E-2</v>
      </c>
      <c r="AW32" s="6">
        <f>AV31</f>
        <v>1.599488081911263E-3</v>
      </c>
    </row>
    <row r="33" spans="1:45" x14ac:dyDescent="0.25">
      <c r="F33" s="41"/>
      <c r="G33" s="41"/>
      <c r="H33" s="41"/>
      <c r="J33" s="41"/>
      <c r="K33" s="41"/>
      <c r="L33" s="41"/>
      <c r="N33" s="41"/>
      <c r="O33" s="41"/>
      <c r="P33" s="41"/>
    </row>
    <row r="34" spans="1:45" ht="30" customHeight="1" x14ac:dyDescent="0.25">
      <c r="J34" s="158" t="s">
        <v>174</v>
      </c>
      <c r="K34" s="158"/>
      <c r="L34" s="158"/>
      <c r="M34" s="3"/>
      <c r="N34" s="158" t="s">
        <v>175</v>
      </c>
      <c r="O34" s="158"/>
      <c r="P34" s="158"/>
      <c r="Q34" s="3"/>
      <c r="R34" s="3" t="s">
        <v>191</v>
      </c>
      <c r="S34" s="3"/>
      <c r="V34" s="3" t="s">
        <v>183</v>
      </c>
      <c r="AE34" s="3" t="s">
        <v>176</v>
      </c>
      <c r="AL34" s="3" t="s">
        <v>177</v>
      </c>
      <c r="AS34" s="3" t="s">
        <v>178</v>
      </c>
    </row>
    <row r="35" spans="1:45" x14ac:dyDescent="0.25">
      <c r="J35" s="58" t="s">
        <v>7</v>
      </c>
      <c r="K35" s="58" t="s">
        <v>9</v>
      </c>
      <c r="L35" s="58" t="s">
        <v>10</v>
      </c>
      <c r="N35" s="58" t="s">
        <v>7</v>
      </c>
      <c r="O35" s="58" t="s">
        <v>9</v>
      </c>
      <c r="P35" s="58" t="s">
        <v>10</v>
      </c>
      <c r="Q35" s="3"/>
      <c r="R35" s="58" t="s">
        <v>7</v>
      </c>
      <c r="S35" s="58" t="s">
        <v>9</v>
      </c>
      <c r="T35" s="58" t="s">
        <v>10</v>
      </c>
      <c r="V35" s="58" t="s">
        <v>7</v>
      </c>
      <c r="W35" s="58" t="s">
        <v>9</v>
      </c>
      <c r="X35" s="58" t="s">
        <v>10</v>
      </c>
      <c r="AE35" s="35" t="s">
        <v>7</v>
      </c>
      <c r="AL35" s="35" t="s">
        <v>9</v>
      </c>
      <c r="AS35" s="35" t="s">
        <v>10</v>
      </c>
    </row>
    <row r="36" spans="1:45" x14ac:dyDescent="0.25">
      <c r="A36">
        <v>1</v>
      </c>
      <c r="J36" s="51">
        <f t="array" ref="J36:L40">N52:P56*J18:L18</f>
        <v>0</v>
      </c>
      <c r="K36" s="51">
        <v>0</v>
      </c>
      <c r="L36" s="51">
        <v>0</v>
      </c>
      <c r="N36" s="7">
        <f t="array" ref="N36:N40">MMULT(AE28:AI32,N28:N32)</f>
        <v>18.599359125121328</v>
      </c>
      <c r="O36" s="7">
        <f t="array" ref="O36:O40">MMULT(AL28:AP32,O28:O32)</f>
        <v>0</v>
      </c>
      <c r="P36" s="7">
        <f t="array" ref="P36:P40">MMULT(AS28:AW32,P28:P32)</f>
        <v>40.692067654694398</v>
      </c>
      <c r="R36" s="7">
        <f t="array" ref="R36:T40">MMULT(J28:L32,_xlfn.MUNIT(3)*J16:L16)</f>
        <v>1085.7763</v>
      </c>
      <c r="S36" s="7">
        <v>0</v>
      </c>
      <c r="T36" s="7">
        <v>508022.2</v>
      </c>
      <c r="V36" s="7">
        <f t="array" ref="V36:X40">R36:T40/((1+N11)^(A36:A40-1))</f>
        <v>1085.7763</v>
      </c>
      <c r="W36" s="7">
        <v>0</v>
      </c>
      <c r="X36" s="7">
        <v>508022.2</v>
      </c>
      <c r="AD36">
        <f>J22-J21</f>
        <v>3</v>
      </c>
      <c r="AE36" s="53">
        <f>_xlfn.WEIBULL.DIST(COUNTA($AD$36:$AD36)+$AD$36,J$23,J$22,FALSE)</f>
        <v>0.1661264181291118</v>
      </c>
      <c r="AK36">
        <f>K22-K21</f>
        <v>2</v>
      </c>
      <c r="AL36" s="53">
        <f>_xlfn.WEIBULL.DIST(COUNTA($AK$36:$AK36)+$AK$36,K$23,K$22,FALSE)</f>
        <v>6.3735489107332949E-3</v>
      </c>
      <c r="AR36">
        <f>L22-L21</f>
        <v>2</v>
      </c>
      <c r="AS36" s="53">
        <f>_xlfn.WEIBULL.DIST(COUNTA($AR$36:$AR36)+$AR$36,L$23,L$22,FALSE)</f>
        <v>0.11990416322625341</v>
      </c>
    </row>
    <row r="37" spans="1:45" x14ac:dyDescent="0.25">
      <c r="A37">
        <v>2</v>
      </c>
      <c r="J37" s="51">
        <v>0</v>
      </c>
      <c r="K37" s="51">
        <v>0</v>
      </c>
      <c r="L37" s="51">
        <v>0</v>
      </c>
      <c r="N37" s="7">
        <v>68.010290989685501</v>
      </c>
      <c r="O37" s="7">
        <v>0</v>
      </c>
      <c r="P37" s="7">
        <v>646.49252720367315</v>
      </c>
      <c r="R37" s="7">
        <v>1302.9315999999999</v>
      </c>
      <c r="S37" s="7">
        <v>0</v>
      </c>
      <c r="T37" s="7">
        <v>518182.64</v>
      </c>
      <c r="V37" s="7">
        <v>1240.887238095238</v>
      </c>
      <c r="W37" s="7">
        <v>0</v>
      </c>
      <c r="X37" s="7">
        <v>493507.2761904762</v>
      </c>
      <c r="AD37">
        <f>AD36+1</f>
        <v>4</v>
      </c>
      <c r="AE37" s="53">
        <f>_xlfn.WEIBULL.DIST(COUNTA($AD$36:$AD37)+$AD$36,J$23,J$22,FALSE)</f>
        <v>2.7106590681160576E-2</v>
      </c>
      <c r="AK37">
        <f>AK36+1</f>
        <v>3</v>
      </c>
      <c r="AL37" s="53">
        <f>_xlfn.WEIBULL.DIST(COUNTA($AK$36:$AK37)+$AK$36,K$23,K$22,FALSE)</f>
        <v>5.0656662196376692E-13</v>
      </c>
      <c r="AR37">
        <f>AR36+1</f>
        <v>3</v>
      </c>
      <c r="AS37" s="53">
        <f>_xlfn.WEIBULL.DIST(COUNTA($AR$36:$AR37)+$AR$36,L$23,L$22,FALSE)</f>
        <v>0.29515512740172928</v>
      </c>
    </row>
    <row r="38" spans="1:45" x14ac:dyDescent="0.25">
      <c r="A38">
        <v>3</v>
      </c>
      <c r="J38" s="51">
        <v>0</v>
      </c>
      <c r="K38" s="51">
        <v>0</v>
      </c>
      <c r="L38" s="51">
        <v>0</v>
      </c>
      <c r="N38" s="7">
        <v>112.68312724962217</v>
      </c>
      <c r="O38" s="7">
        <v>0</v>
      </c>
      <c r="P38" s="7">
        <v>3085.4540666868643</v>
      </c>
      <c r="R38" s="7">
        <v>1563.5178999999998</v>
      </c>
      <c r="S38" s="7">
        <v>0</v>
      </c>
      <c r="T38" s="7">
        <v>528546.30000000005</v>
      </c>
      <c r="V38" s="7">
        <v>1418.1568253968253</v>
      </c>
      <c r="W38" s="7">
        <v>0</v>
      </c>
      <c r="X38" s="7">
        <v>479407.07482993201</v>
      </c>
      <c r="AD38">
        <f t="shared" ref="AD38:AD40" si="3">AD37+1</f>
        <v>5</v>
      </c>
      <c r="AE38" s="53">
        <f>_xlfn.WEIBULL.DIST(COUNTA($AD$36:$AD38)+$AD$36,J$23,J$22,FALSE)</f>
        <v>1.3418505116100498E-3</v>
      </c>
      <c r="AK38">
        <f t="shared" ref="AK38:AK40" si="4">AK37+1</f>
        <v>4</v>
      </c>
      <c r="AL38" s="53">
        <f>_xlfn.WEIBULL.DIST(COUNTA($AK$36:$AK38)+$AK$36,K$23,K$22,FALSE)</f>
        <v>3.7855548657894578E-41</v>
      </c>
      <c r="AR38">
        <f t="shared" ref="AR38:AR40" si="5">AR37+1</f>
        <v>4</v>
      </c>
      <c r="AS38" s="53">
        <f>_xlfn.WEIBULL.DIST(COUNTA($AR$36:$AR38)+$AR$36,L$23,L$22,FALSE)</f>
        <v>0.36787944117144233</v>
      </c>
    </row>
    <row r="39" spans="1:45" x14ac:dyDescent="0.25">
      <c r="A39">
        <v>4</v>
      </c>
      <c r="J39" s="51">
        <v>0</v>
      </c>
      <c r="K39" s="51">
        <v>0</v>
      </c>
      <c r="L39" s="51">
        <v>0</v>
      </c>
      <c r="N39" s="7">
        <v>133.99441754210659</v>
      </c>
      <c r="O39" s="7">
        <v>0</v>
      </c>
      <c r="P39" s="7">
        <v>7751.8915867940832</v>
      </c>
      <c r="R39" s="7">
        <v>1878.3931000000002</v>
      </c>
      <c r="S39" s="7">
        <v>0</v>
      </c>
      <c r="T39" s="7">
        <v>539117.22</v>
      </c>
      <c r="V39" s="7">
        <v>1622.6265846020949</v>
      </c>
      <c r="W39" s="7">
        <v>0</v>
      </c>
      <c r="X39" s="7">
        <v>465709.72465176537</v>
      </c>
      <c r="AD39">
        <f t="shared" si="3"/>
        <v>6</v>
      </c>
      <c r="AE39" s="53">
        <f>_xlfn.WEIBULL.DIST(COUNTA($AD$36:$AD39)+$AD$36,J$23,J$22,FALSE)</f>
        <v>1.6550272633902514E-5</v>
      </c>
      <c r="AK39">
        <f t="shared" si="4"/>
        <v>5</v>
      </c>
      <c r="AL39" s="53">
        <f>_xlfn.WEIBULL.DIST(COUNTA($AK$36:$AK39)+$AK$36,K$23,K$22,FALSE)</f>
        <v>5.9274230554426089E-104</v>
      </c>
      <c r="AR39">
        <f t="shared" si="5"/>
        <v>5</v>
      </c>
      <c r="AS39" s="53">
        <f>_xlfn.WEIBULL.DIST(COUNTA($AR$36:$AR39)+$AR$36,L$23,L$22,FALSE)</f>
        <v>0.17221117858191715</v>
      </c>
    </row>
    <row r="40" spans="1:45" x14ac:dyDescent="0.25">
      <c r="A40">
        <v>5</v>
      </c>
      <c r="J40" s="51">
        <v>0</v>
      </c>
      <c r="K40" s="51">
        <v>0</v>
      </c>
      <c r="L40" s="51">
        <v>0</v>
      </c>
      <c r="N40" s="7">
        <v>158.02284703245019</v>
      </c>
      <c r="O40" s="7">
        <v>0</v>
      </c>
      <c r="P40" s="7">
        <v>10359.071402926136</v>
      </c>
      <c r="R40" s="7">
        <v>2247.5569999999998</v>
      </c>
      <c r="S40" s="7">
        <v>0</v>
      </c>
      <c r="T40" s="7">
        <v>549899.56999999995</v>
      </c>
      <c r="V40" s="7">
        <v>1849.0707061358178</v>
      </c>
      <c r="W40" s="7">
        <v>0</v>
      </c>
      <c r="X40" s="7">
        <v>452403.73712599167</v>
      </c>
      <c r="AD40">
        <f t="shared" si="3"/>
        <v>7</v>
      </c>
      <c r="AE40" s="53">
        <f>_xlfn.WEIBULL.DIST(COUNTA($AD$36:$AD40)+$AD$36,J$23,J$22,FALSE)</f>
        <v>4.1345408690430844E-8</v>
      </c>
      <c r="AK40">
        <f t="shared" si="4"/>
        <v>6</v>
      </c>
      <c r="AL40" s="53">
        <f>_xlfn.WEIBULL.DIST(COUNTA($AK$36:$AK40)+$AK$36,K$23,K$22,FALSE)</f>
        <v>2.9826841676640016E-226</v>
      </c>
      <c r="AR40">
        <f t="shared" si="5"/>
        <v>6</v>
      </c>
      <c r="AS40" s="53">
        <f>_xlfn.WEIBULL.DIST(COUNTA($AR$36:$AR40)+$AR$36,L$23,L$22,FALSE)</f>
        <v>1.7732590637651324E-2</v>
      </c>
    </row>
    <row r="42" spans="1:45" ht="30" customHeight="1" x14ac:dyDescent="0.25">
      <c r="J42" s="158" t="s">
        <v>179</v>
      </c>
      <c r="K42" s="158"/>
      <c r="L42" s="158"/>
      <c r="N42" s="158" t="s">
        <v>200</v>
      </c>
      <c r="O42" s="158"/>
      <c r="P42" s="158"/>
      <c r="T42" s="3" t="s">
        <v>128</v>
      </c>
    </row>
    <row r="43" spans="1:45" x14ac:dyDescent="0.25">
      <c r="J43" s="58" t="s">
        <v>7</v>
      </c>
      <c r="K43" s="58" t="s">
        <v>9</v>
      </c>
      <c r="L43" s="58" t="s">
        <v>10</v>
      </c>
      <c r="N43" s="58" t="s">
        <v>7</v>
      </c>
      <c r="O43" s="58" t="s">
        <v>9</v>
      </c>
      <c r="P43" s="58" t="s">
        <v>10</v>
      </c>
      <c r="T43" t="s">
        <v>92</v>
      </c>
      <c r="U43" t="s">
        <v>93</v>
      </c>
      <c r="V43" t="s">
        <v>134</v>
      </c>
      <c r="W43" t="s">
        <v>135</v>
      </c>
      <c r="X43" t="s">
        <v>136</v>
      </c>
    </row>
    <row r="44" spans="1:45" x14ac:dyDescent="0.25">
      <c r="A44">
        <v>1</v>
      </c>
      <c r="J44" s="7">
        <f t="array" ref="J44:L48">N52:P56*J19:L19</f>
        <v>108.57763061241506</v>
      </c>
      <c r="K44" s="7">
        <v>0</v>
      </c>
      <c r="L44" s="7">
        <v>508022.19673017069</v>
      </c>
      <c r="N44" s="7">
        <f t="array" ref="N44:N48">J20*AE36:AE40</f>
        <v>0</v>
      </c>
      <c r="O44" s="7">
        <f t="array" ref="O44:O48">K20*AL36:AL40</f>
        <v>0</v>
      </c>
      <c r="P44" s="7">
        <f t="array" ref="P44:P48">L20*AS36:AS40</f>
        <v>0.11990416322625341</v>
      </c>
      <c r="T44" s="6">
        <v>1</v>
      </c>
      <c r="U44" s="6">
        <v>0</v>
      </c>
      <c r="V44" s="6">
        <v>0</v>
      </c>
      <c r="W44" s="6">
        <v>0</v>
      </c>
      <c r="X44" s="6">
        <v>0</v>
      </c>
    </row>
    <row r="45" spans="1:45" x14ac:dyDescent="0.25">
      <c r="A45">
        <v>2</v>
      </c>
      <c r="J45" s="7">
        <v>130.29315801963523</v>
      </c>
      <c r="K45" s="7">
        <v>0</v>
      </c>
      <c r="L45" s="7">
        <v>518182.64128864516</v>
      </c>
      <c r="N45" s="7">
        <v>0</v>
      </c>
      <c r="O45" s="7">
        <v>0</v>
      </c>
      <c r="P45" s="7">
        <v>0.29515512740172928</v>
      </c>
      <c r="T45" s="6">
        <v>1</v>
      </c>
      <c r="U45" s="6">
        <v>1</v>
      </c>
      <c r="V45" s="6">
        <v>0</v>
      </c>
      <c r="W45" s="6">
        <v>0</v>
      </c>
      <c r="X45" s="6">
        <v>0</v>
      </c>
    </row>
    <row r="46" spans="1:45" x14ac:dyDescent="0.25">
      <c r="A46">
        <v>3</v>
      </c>
      <c r="J46" s="7">
        <v>156.35179394489964</v>
      </c>
      <c r="K46" s="7">
        <v>0</v>
      </c>
      <c r="L46" s="7">
        <v>528546.29554373131</v>
      </c>
      <c r="N46" s="7">
        <v>0</v>
      </c>
      <c r="O46" s="7">
        <v>0</v>
      </c>
      <c r="P46" s="7">
        <v>0.36787944117144233</v>
      </c>
      <c r="T46" s="6">
        <v>1</v>
      </c>
      <c r="U46" s="6">
        <v>1</v>
      </c>
      <c r="V46" s="6">
        <v>1</v>
      </c>
      <c r="W46" s="6">
        <v>0</v>
      </c>
      <c r="X46" s="6">
        <v>0</v>
      </c>
    </row>
    <row r="47" spans="1:45" x14ac:dyDescent="0.25">
      <c r="A47">
        <v>4</v>
      </c>
      <c r="J47" s="7">
        <v>187.83930766542505</v>
      </c>
      <c r="K47" s="7">
        <v>0</v>
      </c>
      <c r="L47" s="7">
        <v>539117.22203142114</v>
      </c>
      <c r="N47" s="7">
        <v>0</v>
      </c>
      <c r="O47" s="7">
        <v>0</v>
      </c>
      <c r="P47" s="7">
        <v>0.17221117858191715</v>
      </c>
      <c r="T47" s="6">
        <v>1</v>
      </c>
      <c r="U47" s="6">
        <v>1</v>
      </c>
      <c r="V47" s="6">
        <v>1</v>
      </c>
      <c r="W47" s="6">
        <v>1</v>
      </c>
      <c r="X47" s="6">
        <v>0</v>
      </c>
    </row>
    <row r="48" spans="1:45" x14ac:dyDescent="0.25">
      <c r="A48">
        <v>5</v>
      </c>
      <c r="J48" s="7">
        <v>224.75569974270988</v>
      </c>
      <c r="K48" s="7">
        <v>0</v>
      </c>
      <c r="L48" s="7">
        <v>549899.56862471136</v>
      </c>
      <c r="N48" s="7">
        <v>0</v>
      </c>
      <c r="O48" s="7">
        <v>0</v>
      </c>
      <c r="P48" s="7">
        <v>1.7732590637651324E-2</v>
      </c>
      <c r="T48" s="6">
        <v>1</v>
      </c>
      <c r="U48" s="6">
        <v>1</v>
      </c>
      <c r="V48" s="6">
        <v>1</v>
      </c>
      <c r="W48" s="6">
        <v>1</v>
      </c>
      <c r="X48" s="6">
        <v>1</v>
      </c>
    </row>
    <row r="50" spans="1:19" ht="30" customHeight="1" x14ac:dyDescent="0.25">
      <c r="N50" s="158" t="s">
        <v>180</v>
      </c>
      <c r="O50" s="158"/>
      <c r="P50" s="158"/>
      <c r="Q50" s="158"/>
      <c r="R50" s="158"/>
      <c r="S50" s="158"/>
    </row>
    <row r="51" spans="1:19" x14ac:dyDescent="0.25">
      <c r="N51" s="58" t="s">
        <v>7</v>
      </c>
      <c r="O51" s="58" t="s">
        <v>9</v>
      </c>
      <c r="P51" s="58" t="s">
        <v>10</v>
      </c>
      <c r="Q51" s="50"/>
      <c r="R51" s="50"/>
      <c r="S51" s="50"/>
    </row>
    <row r="52" spans="1:19" x14ac:dyDescent="0.25">
      <c r="A52">
        <v>1</v>
      </c>
      <c r="N52" s="7">
        <f t="array" ref="N52:P56">J20:L20-MMULT(T44:X48,N36:P40)+MMULT(T44:X48,N28:P32)+MMULT(T44:X48,N44:P48)</f>
        <v>155.11090087487867</v>
      </c>
      <c r="O52" s="7">
        <v>0</v>
      </c>
      <c r="P52" s="7">
        <v>25401.109836508534</v>
      </c>
    </row>
    <row r="53" spans="1:19" x14ac:dyDescent="0.25">
      <c r="A53">
        <v>2</v>
      </c>
      <c r="N53" s="7">
        <v>186.13308288519318</v>
      </c>
      <c r="O53" s="7">
        <v>0</v>
      </c>
      <c r="P53" s="7">
        <v>25909.132064432259</v>
      </c>
    </row>
    <row r="54" spans="1:19" x14ac:dyDescent="0.25">
      <c r="A54">
        <v>3</v>
      </c>
      <c r="N54" s="7">
        <v>223.35970563557095</v>
      </c>
      <c r="O54" s="7">
        <v>0</v>
      </c>
      <c r="P54" s="7">
        <v>26427.314777186566</v>
      </c>
    </row>
    <row r="55" spans="1:19" x14ac:dyDescent="0.25">
      <c r="A55">
        <v>4</v>
      </c>
      <c r="N55" s="7">
        <v>268.34186809346437</v>
      </c>
      <c r="O55" s="7">
        <v>0</v>
      </c>
      <c r="P55" s="7">
        <v>26955.861101571059</v>
      </c>
    </row>
    <row r="56" spans="1:19" x14ac:dyDescent="0.25">
      <c r="A56">
        <v>5</v>
      </c>
      <c r="N56" s="7">
        <v>321.07957106101412</v>
      </c>
      <c r="O56" s="7">
        <v>0</v>
      </c>
      <c r="P56" s="7">
        <v>27494.978431235566</v>
      </c>
    </row>
  </sheetData>
  <mergeCells count="6">
    <mergeCell ref="N50:S50"/>
    <mergeCell ref="R26:T26"/>
    <mergeCell ref="J34:L34"/>
    <mergeCell ref="N34:P34"/>
    <mergeCell ref="J42:L42"/>
    <mergeCell ref="N42:P42"/>
  </mergeCells>
  <hyperlinks>
    <hyperlink ref="A1" location="Contents!A1" display="Back to contents" xr:uid="{A6C8E77D-6173-41EB-B496-93C73B0C68B1}"/>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F65F64-7B0B-47FB-B44C-F75E125908B9}">
  <sheetPr>
    <tabColor theme="8" tint="0.59999389629810485"/>
  </sheetPr>
  <dimension ref="A1:AZ93"/>
  <sheetViews>
    <sheetView showGridLines="0" zoomScaleNormal="100" workbookViewId="0">
      <pane xSplit="6" ySplit="7" topLeftCell="G8" activePane="bottomRight" state="frozen"/>
      <selection pane="topRight"/>
      <selection pane="bottomLeft"/>
      <selection pane="bottomRight" activeCell="AE34" sqref="AE34"/>
    </sheetView>
  </sheetViews>
  <sheetFormatPr defaultRowHeight="15" x14ac:dyDescent="0.25"/>
  <cols>
    <col min="1" max="1" width="4.85546875" bestFit="1" customWidth="1"/>
    <col min="2" max="2" width="6" bestFit="1" customWidth="1"/>
    <col min="3" max="3" width="4.7109375" customWidth="1"/>
    <col min="4" max="4" width="5.7109375" bestFit="1" customWidth="1"/>
    <col min="5" max="5" width="9" bestFit="1" customWidth="1"/>
    <col min="6" max="6" width="15.85546875" bestFit="1" customWidth="1"/>
    <col min="7" max="7" width="1.5703125" customWidth="1"/>
    <col min="11" max="11" width="3.28515625" customWidth="1"/>
    <col min="13" max="13" width="10.140625" bestFit="1" customWidth="1"/>
    <col min="14" max="14" width="10.140625" customWidth="1"/>
    <col min="15" max="15" width="3.28515625" customWidth="1"/>
    <col min="18" max="18" width="3.28515625" customWidth="1"/>
    <col min="23" max="23" width="1.7109375" customWidth="1"/>
    <col min="30" max="30" width="1.7109375" customWidth="1"/>
    <col min="34" max="34" width="1.28515625" customWidth="1"/>
    <col min="41" max="41" width="10.28515625" customWidth="1"/>
    <col min="45" max="45" width="1.42578125" customWidth="1"/>
  </cols>
  <sheetData>
    <row r="1" spans="1:51" x14ac:dyDescent="0.25">
      <c r="A1" s="97" t="s">
        <v>285</v>
      </c>
    </row>
    <row r="2" spans="1:51" x14ac:dyDescent="0.25">
      <c r="A2" s="5" t="s">
        <v>16</v>
      </c>
      <c r="B2" s="5"/>
      <c r="C2" s="5"/>
      <c r="D2" s="5"/>
      <c r="E2" s="5"/>
      <c r="F2" s="5"/>
      <c r="G2" s="5"/>
      <c r="P2" t="s">
        <v>92</v>
      </c>
      <c r="Q2" t="s">
        <v>93</v>
      </c>
      <c r="T2" t="s">
        <v>92</v>
      </c>
      <c r="X2" t="s">
        <v>93</v>
      </c>
      <c r="AB2" t="s">
        <v>92</v>
      </c>
      <c r="AC2" t="s">
        <v>93</v>
      </c>
      <c r="AE2" t="s">
        <v>92</v>
      </c>
      <c r="AI2" t="s">
        <v>93</v>
      </c>
      <c r="AM2" t="s">
        <v>92</v>
      </c>
      <c r="AN2" t="s">
        <v>93</v>
      </c>
      <c r="AP2" t="s">
        <v>92</v>
      </c>
      <c r="AT2" t="s">
        <v>93</v>
      </c>
      <c r="AX2" t="s">
        <v>92</v>
      </c>
      <c r="AY2" t="s">
        <v>93</v>
      </c>
    </row>
    <row r="3" spans="1:51" x14ac:dyDescent="0.25">
      <c r="A3" s="5"/>
      <c r="B3" s="5" t="s">
        <v>29</v>
      </c>
      <c r="C3" s="5"/>
      <c r="D3" s="5"/>
      <c r="E3" s="5"/>
      <c r="F3" s="5"/>
      <c r="G3" s="5"/>
      <c r="T3" t="s">
        <v>21</v>
      </c>
      <c r="U3" t="s">
        <v>22</v>
      </c>
      <c r="V3" t="s">
        <v>23</v>
      </c>
      <c r="X3" t="s">
        <v>21</v>
      </c>
      <c r="Y3" t="s">
        <v>22</v>
      </c>
      <c r="Z3" t="s">
        <v>23</v>
      </c>
      <c r="AE3" t="s">
        <v>21</v>
      </c>
      <c r="AF3" t="s">
        <v>22</v>
      </c>
      <c r="AG3" t="s">
        <v>23</v>
      </c>
      <c r="AI3" t="s">
        <v>21</v>
      </c>
      <c r="AJ3" t="s">
        <v>22</v>
      </c>
      <c r="AK3" t="s">
        <v>23</v>
      </c>
      <c r="AP3" t="s">
        <v>21</v>
      </c>
      <c r="AQ3" t="s">
        <v>22</v>
      </c>
      <c r="AR3" t="s">
        <v>23</v>
      </c>
      <c r="AT3" t="s">
        <v>21</v>
      </c>
      <c r="AU3" t="s">
        <v>22</v>
      </c>
      <c r="AV3" t="s">
        <v>23</v>
      </c>
    </row>
    <row r="4" spans="1:51" x14ac:dyDescent="0.25">
      <c r="A4" s="5"/>
      <c r="B4" s="5"/>
      <c r="C4" s="5" t="s">
        <v>0</v>
      </c>
      <c r="D4" s="5"/>
      <c r="E4" s="5"/>
      <c r="F4" s="5"/>
      <c r="G4" s="5"/>
      <c r="H4" t="s">
        <v>11</v>
      </c>
      <c r="I4" t="s">
        <v>12</v>
      </c>
      <c r="J4" t="s">
        <v>94</v>
      </c>
      <c r="S4" t="s">
        <v>3</v>
      </c>
    </row>
    <row r="5" spans="1:51" x14ac:dyDescent="0.25">
      <c r="A5" s="5"/>
      <c r="B5" s="5"/>
      <c r="C5" s="5"/>
      <c r="D5" s="5" t="s">
        <v>1</v>
      </c>
      <c r="E5" s="5"/>
      <c r="F5" s="5"/>
      <c r="G5" s="5"/>
      <c r="L5" t="s">
        <v>7</v>
      </c>
      <c r="M5" t="s">
        <v>9</v>
      </c>
      <c r="N5" t="s">
        <v>10</v>
      </c>
      <c r="P5" t="s">
        <v>20</v>
      </c>
      <c r="Q5" t="s">
        <v>20</v>
      </c>
      <c r="S5" t="s">
        <v>20</v>
      </c>
    </row>
    <row r="6" spans="1:51" x14ac:dyDescent="0.25">
      <c r="A6" s="5"/>
      <c r="B6" s="5"/>
      <c r="C6" s="5"/>
      <c r="D6" s="5"/>
      <c r="E6" s="5" t="s">
        <v>26</v>
      </c>
      <c r="F6" s="5"/>
      <c r="G6" s="5"/>
      <c r="H6" t="s">
        <v>27</v>
      </c>
      <c r="I6" t="s">
        <v>27</v>
      </c>
      <c r="J6" t="s">
        <v>16</v>
      </c>
      <c r="L6" t="s">
        <v>27</v>
      </c>
      <c r="M6" t="s">
        <v>27</v>
      </c>
      <c r="N6" t="s">
        <v>16</v>
      </c>
      <c r="S6" t="s">
        <v>27</v>
      </c>
    </row>
    <row r="7" spans="1:51" x14ac:dyDescent="0.25">
      <c r="A7" s="5"/>
      <c r="B7" s="5"/>
      <c r="C7" s="5"/>
      <c r="D7" s="5"/>
      <c r="E7" s="5"/>
      <c r="F7" s="5" t="s">
        <v>2</v>
      </c>
      <c r="G7" s="5"/>
      <c r="H7" t="s">
        <v>82</v>
      </c>
      <c r="I7" t="s">
        <v>95</v>
      </c>
      <c r="J7" t="s">
        <v>18</v>
      </c>
      <c r="P7" t="s">
        <v>188</v>
      </c>
    </row>
    <row r="8" spans="1:51" x14ac:dyDescent="0.25">
      <c r="A8" s="5"/>
      <c r="B8" s="5"/>
      <c r="C8" s="5"/>
      <c r="D8" s="5"/>
      <c r="E8" s="5"/>
      <c r="F8" s="5"/>
      <c r="G8" s="5"/>
    </row>
    <row r="9" spans="1:51" x14ac:dyDescent="0.25">
      <c r="A9" s="5"/>
      <c r="B9" s="5"/>
      <c r="C9" s="5"/>
      <c r="D9" s="5"/>
      <c r="E9" s="5"/>
      <c r="F9" s="5"/>
      <c r="G9" s="5"/>
      <c r="H9" s="3" t="s">
        <v>28</v>
      </c>
      <c r="L9" s="3" t="s">
        <v>5</v>
      </c>
      <c r="P9" s="3" t="s">
        <v>14</v>
      </c>
      <c r="T9" s="3" t="s">
        <v>96</v>
      </c>
      <c r="AB9" s="3" t="s">
        <v>97</v>
      </c>
      <c r="AE9" s="3" t="s">
        <v>98</v>
      </c>
      <c r="AM9" s="3" t="s">
        <v>99</v>
      </c>
      <c r="AP9" s="3" t="s">
        <v>100</v>
      </c>
      <c r="AX9" s="3" t="s">
        <v>101</v>
      </c>
    </row>
    <row r="10" spans="1:51" x14ac:dyDescent="0.25">
      <c r="C10" t="s">
        <v>3</v>
      </c>
      <c r="E10" t="s">
        <v>27</v>
      </c>
      <c r="F10" t="s">
        <v>19</v>
      </c>
      <c r="H10" s="6">
        <v>1</v>
      </c>
      <c r="I10" s="6">
        <v>1</v>
      </c>
      <c r="J10" s="6">
        <v>0</v>
      </c>
      <c r="L10" s="1">
        <v>0</v>
      </c>
      <c r="M10" s="1">
        <v>0</v>
      </c>
      <c r="N10" s="1">
        <v>1</v>
      </c>
      <c r="P10" s="1">
        <v>1000</v>
      </c>
      <c r="Q10" s="1">
        <v>1500</v>
      </c>
      <c r="T10" s="7" cm="1">
        <f t="array" ref="T10:V10">P10/Q14*TRANSPOSE(S33:S35)</f>
        <v>0.54794520547945202</v>
      </c>
      <c r="U10" s="7">
        <v>1.3698630136986301</v>
      </c>
      <c r="V10" s="7">
        <v>0.82191780821917804</v>
      </c>
      <c r="X10" s="7" cm="1">
        <f t="array" ref="X10:Z10">Q10*TRANSPOSE(S33:S35)/Q14</f>
        <v>0.82191780821917804</v>
      </c>
      <c r="Y10" s="7">
        <v>2.0547945205479454</v>
      </c>
      <c r="Z10" s="7">
        <v>1.2328767123287672</v>
      </c>
      <c r="AB10" s="7" cm="1">
        <f t="array" ref="AB10:AC11">MMULT(H10:J11,TRANSPOSE(H48:J49))</f>
        <v>1230.7692299999999</v>
      </c>
      <c r="AC10" s="7">
        <v>1846.15389</v>
      </c>
      <c r="AD10" s="3"/>
      <c r="AE10" s="7" cm="1">
        <f t="array" ref="AE10:AG10">MMULT(H10:I10,TRANSPOSE(H39:I41))</f>
        <v>0.75869336000000032</v>
      </c>
      <c r="AF10" s="7">
        <v>1.5806111899999999</v>
      </c>
      <c r="AG10" s="7">
        <v>1.03266597</v>
      </c>
      <c r="AI10" s="7" cm="1">
        <f t="array" ref="AI10:AK10">MMULT(H10:I10,TRANSPOSE(H43:I45))</f>
        <v>1.1380399999999999</v>
      </c>
      <c r="AJ10" s="7">
        <v>2.3709167799999999</v>
      </c>
      <c r="AK10" s="7">
        <v>1.5489989800000001</v>
      </c>
      <c r="AM10" s="30" cm="1">
        <f t="array" ref="AM10:AN11">_xlfn.ANCHORARRAY(AB10)-P10:Q11-MMULT(L10:N11,TRANSPOSE(L48:N49))</f>
        <v>0</v>
      </c>
      <c r="AN10" s="32">
        <v>4.0000000069539965E-5</v>
      </c>
      <c r="AP10" s="8" cm="1">
        <f t="array" ref="AP10:AR10">AE10:AG10-_xlfn.ANCHORARRAY(T10)-MMULT(L10:M10,TRANSPOSE(L39:M41))-MMULT(N10,MMULT(TRANSPOSE(N48),TRANSPOSE(N33:N35)))/Q14</f>
        <v>-7.3059325256252805E-10</v>
      </c>
      <c r="AQ10" s="9">
        <v>2.1050228338204136E-8</v>
      </c>
      <c r="AR10" s="10">
        <v>6.5296804629966232E-9</v>
      </c>
      <c r="AT10" s="8" cm="1">
        <f t="array" ref="AT10:AV10">_xlfn.ANCHORARRAY(AI10)-_xlfn.ANCHORARRAY(X10)-MMULT(L10:M10,TRANSPOSE(L43:M45))-MMULT(N10,MMULT(TRANSPOSE(N49),TRANSPOSE(N33:N35)))/Q14</f>
        <v>-4.5662100434107344E-8</v>
      </c>
      <c r="AU10" s="9">
        <v>2.2009132183420377E-8</v>
      </c>
      <c r="AV10" s="10">
        <v>3.0228310632374189E-8</v>
      </c>
      <c r="AX10" s="37">
        <f>AB10-SUM(_xlfn.ANCHORARRAY(AE10))*Q14</f>
        <v>-9.8000002708431566E-6</v>
      </c>
      <c r="AY10" s="37">
        <f>AC10-SUM(_xlfn.ANCHORARRAY(AI10))*Q14</f>
        <v>3.7599999814119656E-5</v>
      </c>
    </row>
    <row r="11" spans="1:51" x14ac:dyDescent="0.25">
      <c r="C11" t="s">
        <v>4</v>
      </c>
      <c r="E11" t="s">
        <v>16</v>
      </c>
      <c r="F11" t="s">
        <v>18</v>
      </c>
      <c r="H11" s="6">
        <v>0</v>
      </c>
      <c r="I11" s="6">
        <v>0</v>
      </c>
      <c r="J11" s="6">
        <v>1</v>
      </c>
      <c r="L11" s="1">
        <v>0</v>
      </c>
      <c r="M11" s="1">
        <v>0.5</v>
      </c>
      <c r="N11" s="1">
        <v>0</v>
      </c>
      <c r="P11" s="1">
        <v>0</v>
      </c>
      <c r="Q11" s="1">
        <v>0</v>
      </c>
      <c r="AB11" s="7">
        <v>230.76922999999999</v>
      </c>
      <c r="AC11" s="7">
        <v>346.15384999999998</v>
      </c>
      <c r="AD11" s="3"/>
      <c r="AM11" s="34">
        <v>0</v>
      </c>
      <c r="AN11" s="36">
        <v>4.9999999873762135E-6</v>
      </c>
    </row>
    <row r="13" spans="1:51" x14ac:dyDescent="0.25">
      <c r="H13" s="3" t="s">
        <v>6</v>
      </c>
      <c r="Q13" s="3" t="s">
        <v>102</v>
      </c>
      <c r="S13" s="3" t="s">
        <v>103</v>
      </c>
    </row>
    <row r="14" spans="1:51" x14ac:dyDescent="0.25">
      <c r="D14" t="s">
        <v>7</v>
      </c>
      <c r="E14" t="s">
        <v>27</v>
      </c>
      <c r="F14" t="s">
        <v>17</v>
      </c>
      <c r="H14" s="1">
        <v>1</v>
      </c>
      <c r="I14" s="1">
        <v>0</v>
      </c>
      <c r="J14" s="1">
        <v>0</v>
      </c>
      <c r="Q14" s="1">
        <v>365</v>
      </c>
      <c r="S14" s="38">
        <v>3</v>
      </c>
      <c r="AM14" s="3" t="s">
        <v>104</v>
      </c>
      <c r="AP14" s="3" t="s">
        <v>105</v>
      </c>
      <c r="AX14" s="3" t="s">
        <v>106</v>
      </c>
    </row>
    <row r="15" spans="1:51" x14ac:dyDescent="0.25">
      <c r="D15" t="s">
        <v>9</v>
      </c>
      <c r="E15" t="s">
        <v>27</v>
      </c>
      <c r="F15" t="s">
        <v>107</v>
      </c>
      <c r="H15" s="1">
        <v>0</v>
      </c>
      <c r="I15" s="1">
        <v>1</v>
      </c>
      <c r="J15" s="1">
        <v>0</v>
      </c>
      <c r="AM15" s="30" cm="1">
        <f t="array" ref="AM15:AN17">TRANSPOSE(L48:N49)-MMULT(H14:J16,TRANSPOSE(H48:J49))</f>
        <v>0</v>
      </c>
      <c r="AN15" s="32">
        <v>0</v>
      </c>
      <c r="AP15" s="30" cm="1">
        <f t="array" ref="AP15:AR16">TRANSPOSE(L39:M41)-MMULT(H14:I15,TRANSPOSE(H39:I41))</f>
        <v>-3.1147079000000002E-16</v>
      </c>
      <c r="AQ15" s="31">
        <v>0</v>
      </c>
      <c r="AR15" s="32">
        <v>0</v>
      </c>
      <c r="AT15" s="30" cm="1">
        <f t="array" ref="AT15:AV16">TRANSPOSE(L43:M45)-MMULT(H14:I15,TRANSPOSE(H43:I45))</f>
        <v>0</v>
      </c>
      <c r="AU15" s="31">
        <v>0</v>
      </c>
      <c r="AV15" s="32">
        <v>0</v>
      </c>
      <c r="AX15" s="37">
        <f>L48-SUM(L39:L41)*Q14</f>
        <v>-6.6999999717154424E-6</v>
      </c>
      <c r="AY15" s="37">
        <f>L49-SUM(L43:L45)*Q14</f>
        <v>2.3999999939405825E-5</v>
      </c>
    </row>
    <row r="16" spans="1:51" x14ac:dyDescent="0.25">
      <c r="D16" t="s">
        <v>10</v>
      </c>
      <c r="E16" t="s">
        <v>16</v>
      </c>
      <c r="F16" t="s">
        <v>108</v>
      </c>
      <c r="H16" s="1">
        <v>0</v>
      </c>
      <c r="I16" s="1">
        <v>0</v>
      </c>
      <c r="J16" s="1">
        <v>1</v>
      </c>
      <c r="AM16" s="33">
        <v>0</v>
      </c>
      <c r="AN16" s="2">
        <v>0</v>
      </c>
      <c r="AP16" s="34">
        <v>0</v>
      </c>
      <c r="AQ16" s="35">
        <v>0</v>
      </c>
      <c r="AR16" s="36">
        <v>0</v>
      </c>
      <c r="AT16" s="34">
        <v>0</v>
      </c>
      <c r="AU16" s="35">
        <v>0</v>
      </c>
      <c r="AV16" s="36">
        <v>0</v>
      </c>
      <c r="AX16" s="37">
        <f>M48-SUM(M39:M41)*Q14</f>
        <v>-3.1000000717540388E-6</v>
      </c>
      <c r="AY16" s="37">
        <f>M49-SUM(M43:M45)*Q14</f>
        <v>1.3599999988400668E-5</v>
      </c>
    </row>
    <row r="17" spans="1:40" x14ac:dyDescent="0.25">
      <c r="Q17" s="3" t="s">
        <v>199</v>
      </c>
      <c r="U17" s="3"/>
      <c r="V17" s="3"/>
      <c r="W17" s="3"/>
      <c r="X17" s="3"/>
      <c r="Y17" s="3"/>
      <c r="Z17" s="3"/>
      <c r="AA17" s="3"/>
      <c r="AM17" s="34">
        <v>0</v>
      </c>
      <c r="AN17" s="36">
        <v>0</v>
      </c>
    </row>
    <row r="18" spans="1:40" x14ac:dyDescent="0.25">
      <c r="F18" t="s">
        <v>109</v>
      </c>
      <c r="K18" s="4" t="s">
        <v>110</v>
      </c>
      <c r="L18" s="1">
        <v>2</v>
      </c>
      <c r="M18" s="38">
        <v>1</v>
      </c>
      <c r="N18" s="38">
        <v>1</v>
      </c>
      <c r="Q18" s="101">
        <f>SUM(_xlfn.ANCHORARRAY(L82),_xlfn.ANCHORARRAY(L86))</f>
        <v>880.24235995999993</v>
      </c>
      <c r="U18" s="3"/>
      <c r="V18" s="3"/>
      <c r="W18" s="3"/>
      <c r="X18" s="3"/>
      <c r="Y18" s="3"/>
      <c r="Z18" s="3"/>
      <c r="AA18" s="3"/>
    </row>
    <row r="19" spans="1:40" x14ac:dyDescent="0.25">
      <c r="F19" t="s">
        <v>111</v>
      </c>
      <c r="K19" s="4" t="s">
        <v>15</v>
      </c>
      <c r="L19" s="1">
        <v>0</v>
      </c>
      <c r="M19" s="1">
        <v>0.5</v>
      </c>
      <c r="N19" s="1">
        <v>0.5</v>
      </c>
      <c r="U19" s="3"/>
      <c r="V19" s="3"/>
      <c r="W19" s="3"/>
      <c r="X19" s="3"/>
      <c r="Y19" s="3"/>
      <c r="Z19" s="3"/>
      <c r="AA19" s="3"/>
    </row>
    <row r="21" spans="1:40" x14ac:dyDescent="0.25">
      <c r="B21" t="s">
        <v>21</v>
      </c>
      <c r="F21" t="s">
        <v>112</v>
      </c>
      <c r="K21" s="4" t="s">
        <v>113</v>
      </c>
      <c r="L21" s="1">
        <v>0</v>
      </c>
      <c r="M21" s="1">
        <v>0.9</v>
      </c>
    </row>
    <row r="22" spans="1:40" x14ac:dyDescent="0.25">
      <c r="B22" t="s">
        <v>22</v>
      </c>
      <c r="L22" s="1">
        <v>0.3</v>
      </c>
      <c r="M22" s="1">
        <v>0.9</v>
      </c>
    </row>
    <row r="23" spans="1:40" x14ac:dyDescent="0.25">
      <c r="B23" t="s">
        <v>23</v>
      </c>
      <c r="L23" s="1">
        <v>0.2</v>
      </c>
      <c r="M23" s="1">
        <v>0.9</v>
      </c>
      <c r="N23" s="4" t="s">
        <v>114</v>
      </c>
    </row>
    <row r="24" spans="1:40" x14ac:dyDescent="0.25">
      <c r="A24" t="s">
        <v>92</v>
      </c>
      <c r="N24" s="1">
        <v>1</v>
      </c>
    </row>
    <row r="25" spans="1:40" x14ac:dyDescent="0.25">
      <c r="A25" t="s">
        <v>93</v>
      </c>
      <c r="N25" s="1">
        <v>1</v>
      </c>
    </row>
    <row r="26" spans="1:40" ht="5.25" customHeight="1" x14ac:dyDescent="0.25"/>
    <row r="27" spans="1:40" x14ac:dyDescent="0.25">
      <c r="B27" t="s">
        <v>21</v>
      </c>
      <c r="F27" t="s">
        <v>115</v>
      </c>
      <c r="K27" s="4" t="s">
        <v>116</v>
      </c>
      <c r="L27" s="1">
        <v>0</v>
      </c>
      <c r="M27" s="1">
        <v>0.3</v>
      </c>
    </row>
    <row r="28" spans="1:40" x14ac:dyDescent="0.25">
      <c r="B28" t="s">
        <v>22</v>
      </c>
      <c r="L28" s="1">
        <v>0.2</v>
      </c>
      <c r="M28" s="1">
        <v>0.3</v>
      </c>
    </row>
    <row r="29" spans="1:40" x14ac:dyDescent="0.25">
      <c r="B29" t="s">
        <v>23</v>
      </c>
      <c r="L29" s="1">
        <v>0.1</v>
      </c>
      <c r="M29" s="1">
        <v>0.3</v>
      </c>
      <c r="N29" s="4" t="s">
        <v>117</v>
      </c>
    </row>
    <row r="30" spans="1:40" x14ac:dyDescent="0.25">
      <c r="A30" t="s">
        <v>92</v>
      </c>
      <c r="N30" s="1">
        <v>0.7</v>
      </c>
    </row>
    <row r="31" spans="1:40" x14ac:dyDescent="0.25">
      <c r="A31" t="s">
        <v>93</v>
      </c>
      <c r="N31" s="1">
        <v>0.7</v>
      </c>
    </row>
    <row r="32" spans="1:40" x14ac:dyDescent="0.25">
      <c r="N32" s="3" t="s">
        <v>118</v>
      </c>
      <c r="S32" s="3" t="s">
        <v>119</v>
      </c>
    </row>
    <row r="33" spans="1:52" x14ac:dyDescent="0.25">
      <c r="B33" t="s">
        <v>21</v>
      </c>
      <c r="F33" t="s">
        <v>120</v>
      </c>
      <c r="N33" s="39">
        <f>1/3</f>
        <v>0.33333333333333331</v>
      </c>
      <c r="S33" s="1">
        <v>0.2</v>
      </c>
    </row>
    <row r="34" spans="1:52" x14ac:dyDescent="0.25">
      <c r="B34" t="s">
        <v>22</v>
      </c>
      <c r="N34" s="39">
        <f>1/3</f>
        <v>0.33333333333333331</v>
      </c>
      <c r="S34" s="1">
        <v>0.5</v>
      </c>
    </row>
    <row r="35" spans="1:52" x14ac:dyDescent="0.25">
      <c r="B35" t="s">
        <v>23</v>
      </c>
      <c r="N35" s="39">
        <f>1/3</f>
        <v>0.33333333333333331</v>
      </c>
      <c r="S35" s="1">
        <v>0.3</v>
      </c>
    </row>
    <row r="38" spans="1:52" x14ac:dyDescent="0.25">
      <c r="H38" s="3" t="s">
        <v>24</v>
      </c>
      <c r="L38" s="3" t="s">
        <v>25</v>
      </c>
    </row>
    <row r="39" spans="1:52" x14ac:dyDescent="0.25">
      <c r="A39" t="s">
        <v>92</v>
      </c>
      <c r="B39" t="s">
        <v>21</v>
      </c>
      <c r="H39" s="133">
        <v>3.1147079000000002E-16</v>
      </c>
      <c r="I39" s="133">
        <v>0.75869335999999998</v>
      </c>
      <c r="L39" s="133">
        <v>0</v>
      </c>
      <c r="M39" s="133">
        <v>0.75869335999999998</v>
      </c>
      <c r="N39" s="40"/>
    </row>
    <row r="40" spans="1:52" x14ac:dyDescent="0.25">
      <c r="B40" t="s">
        <v>22</v>
      </c>
      <c r="H40" s="133">
        <v>1.3277133999999999</v>
      </c>
      <c r="I40" s="133">
        <v>0.25289779000000001</v>
      </c>
      <c r="L40" s="133">
        <v>1.3277133999999999</v>
      </c>
      <c r="M40" s="133">
        <v>0.25289779000000001</v>
      </c>
    </row>
    <row r="41" spans="1:52" x14ac:dyDescent="0.25">
      <c r="B41" t="s">
        <v>23</v>
      </c>
      <c r="H41" s="133">
        <v>0.77976818000000003</v>
      </c>
      <c r="I41" s="133">
        <v>0.25289779000000001</v>
      </c>
      <c r="L41" s="133">
        <v>0.77976818000000003</v>
      </c>
      <c r="M41" s="133">
        <v>0.25289779000000001</v>
      </c>
      <c r="AW41" s="41"/>
      <c r="AX41" s="41"/>
      <c r="AY41" s="41"/>
      <c r="AZ41" s="41"/>
    </row>
    <row r="42" spans="1:52" s="41" customFormat="1" ht="3.75" customHeight="1" x14ac:dyDescent="0.25">
      <c r="J42"/>
      <c r="N42"/>
      <c r="AW42"/>
      <c r="AX42"/>
      <c r="AY42"/>
      <c r="AZ42"/>
    </row>
    <row r="43" spans="1:52" x14ac:dyDescent="0.25">
      <c r="A43" t="s">
        <v>93</v>
      </c>
      <c r="B43" t="s">
        <v>21</v>
      </c>
      <c r="H43" s="133">
        <v>0</v>
      </c>
      <c r="I43" s="133">
        <v>1.1380399999999999</v>
      </c>
      <c r="L43" s="133">
        <v>0</v>
      </c>
      <c r="M43" s="133">
        <v>1.1380399999999999</v>
      </c>
      <c r="N43" s="40"/>
    </row>
    <row r="44" spans="1:52" x14ac:dyDescent="0.25">
      <c r="B44" t="s">
        <v>22</v>
      </c>
      <c r="H44" s="133">
        <v>1.9915700999999999</v>
      </c>
      <c r="I44" s="133">
        <v>0.37934667999999999</v>
      </c>
      <c r="L44" s="133">
        <v>1.9915700999999999</v>
      </c>
      <c r="M44" s="133">
        <v>0.37934667999999999</v>
      </c>
    </row>
    <row r="45" spans="1:52" x14ac:dyDescent="0.25">
      <c r="B45" t="s">
        <v>23</v>
      </c>
      <c r="H45" s="133">
        <v>1.1696523000000001</v>
      </c>
      <c r="I45" s="133">
        <v>0.37934667999999999</v>
      </c>
      <c r="L45" s="133">
        <v>1.1696523000000001</v>
      </c>
      <c r="M45" s="133">
        <v>0.37934667999999999</v>
      </c>
    </row>
    <row r="47" spans="1:52" x14ac:dyDescent="0.25">
      <c r="H47" s="3" t="s">
        <v>121</v>
      </c>
      <c r="L47" s="3" t="s">
        <v>122</v>
      </c>
    </row>
    <row r="48" spans="1:52" x14ac:dyDescent="0.25">
      <c r="A48" t="s">
        <v>92</v>
      </c>
      <c r="H48" s="132">
        <v>769.23077000000001</v>
      </c>
      <c r="I48" s="132">
        <v>461.53845999999999</v>
      </c>
      <c r="J48" s="132">
        <v>230.76922999999999</v>
      </c>
      <c r="L48" s="132">
        <v>769.23077000000001</v>
      </c>
      <c r="M48" s="132">
        <v>461.53845999999999</v>
      </c>
      <c r="N48" s="132">
        <v>230.76922999999999</v>
      </c>
    </row>
    <row r="49" spans="1:14" x14ac:dyDescent="0.25">
      <c r="A49" t="s">
        <v>93</v>
      </c>
      <c r="H49" s="132">
        <v>1153.8462</v>
      </c>
      <c r="I49" s="132">
        <v>692.30768999999998</v>
      </c>
      <c r="J49" s="132">
        <v>346.15384999999998</v>
      </c>
      <c r="L49" s="132">
        <v>1153.8462</v>
      </c>
      <c r="M49" s="132">
        <v>692.30768999999998</v>
      </c>
      <c r="N49" s="132">
        <v>346.15384999999998</v>
      </c>
    </row>
    <row r="51" spans="1:14" x14ac:dyDescent="0.25">
      <c r="L51" s="3" t="s">
        <v>123</v>
      </c>
    </row>
    <row r="52" spans="1:14" x14ac:dyDescent="0.25">
      <c r="A52" t="s">
        <v>92</v>
      </c>
      <c r="B52" t="s">
        <v>21</v>
      </c>
      <c r="L52" s="1">
        <f t="array" ref="L52:M54">MMULT(L21:M23,L78:M78*_xlfn.MUNIT(2))</f>
        <v>0</v>
      </c>
      <c r="M52" s="1">
        <v>0.75869335800000004</v>
      </c>
    </row>
    <row r="53" spans="1:14" x14ac:dyDescent="0.25">
      <c r="B53" t="s">
        <v>22</v>
      </c>
      <c r="L53" s="1">
        <v>1.9915700699999999</v>
      </c>
      <c r="M53" s="1">
        <v>0.75869335800000004</v>
      </c>
    </row>
    <row r="54" spans="1:14" x14ac:dyDescent="0.25">
      <c r="B54" t="s">
        <v>23</v>
      </c>
      <c r="L54" s="1">
        <v>1.3277133800000001</v>
      </c>
      <c r="M54" s="1">
        <v>0.75869335800000004</v>
      </c>
    </row>
    <row r="55" spans="1:14" ht="3.75" customHeight="1" x14ac:dyDescent="0.25"/>
    <row r="56" spans="1:14" x14ac:dyDescent="0.25">
      <c r="A56" t="s">
        <v>93</v>
      </c>
      <c r="B56" t="s">
        <v>21</v>
      </c>
      <c r="L56" s="1">
        <f t="array" ref="L56:M58">MMULT(L21:M23,L79:M79*_xlfn.MUNIT(2))</f>
        <v>0</v>
      </c>
      <c r="M56" s="1">
        <v>1.1380400369999999</v>
      </c>
      <c r="N56" s="42"/>
    </row>
    <row r="57" spans="1:14" x14ac:dyDescent="0.25">
      <c r="B57" t="s">
        <v>22</v>
      </c>
      <c r="L57" s="1">
        <v>1.9915700699999999</v>
      </c>
      <c r="M57" s="1">
        <v>1.1380400369999999</v>
      </c>
    </row>
    <row r="58" spans="1:14" x14ac:dyDescent="0.25">
      <c r="B58" t="s">
        <v>23</v>
      </c>
      <c r="L58" s="1">
        <v>1.3277133800000001</v>
      </c>
      <c r="M58" s="1">
        <v>1.1380400369999999</v>
      </c>
      <c r="N58" s="3" t="s">
        <v>124</v>
      </c>
    </row>
    <row r="59" spans="1:14" x14ac:dyDescent="0.25">
      <c r="A59" t="s">
        <v>92</v>
      </c>
      <c r="N59" s="43" cm="1">
        <f t="array" ref="N59:N60">N24:N25*N78:N79*Q14*S14</f>
        <v>329.67032504999997</v>
      </c>
    </row>
    <row r="60" spans="1:14" x14ac:dyDescent="0.25">
      <c r="A60" t="s">
        <v>93</v>
      </c>
      <c r="N60" s="43">
        <v>346.15384184999994</v>
      </c>
    </row>
    <row r="62" spans="1:14" x14ac:dyDescent="0.25">
      <c r="L62" s="3" t="s">
        <v>125</v>
      </c>
    </row>
    <row r="63" spans="1:14" x14ac:dyDescent="0.25">
      <c r="A63" t="s">
        <v>92</v>
      </c>
      <c r="B63" t="s">
        <v>21</v>
      </c>
      <c r="L63" s="1">
        <f t="array" ref="L63:M65">MMULT(L27:M29,L78:M78*_xlfn.MUNIT(2))</f>
        <v>0</v>
      </c>
      <c r="M63" s="1">
        <v>0.25289778599999996</v>
      </c>
    </row>
    <row r="64" spans="1:14" x14ac:dyDescent="0.25">
      <c r="B64" t="s">
        <v>22</v>
      </c>
      <c r="L64" s="1">
        <v>1.3277133800000001</v>
      </c>
      <c r="M64" s="1">
        <v>0.25289778599999996</v>
      </c>
    </row>
    <row r="65" spans="1:17" x14ac:dyDescent="0.25">
      <c r="B65" t="s">
        <v>23</v>
      </c>
      <c r="L65" s="1">
        <v>0.66385669000000003</v>
      </c>
      <c r="M65" s="1">
        <v>0.25289778599999996</v>
      </c>
    </row>
    <row r="66" spans="1:17" ht="3.75" customHeight="1" x14ac:dyDescent="0.25"/>
    <row r="67" spans="1:17" x14ac:dyDescent="0.25">
      <c r="A67" t="s">
        <v>93</v>
      </c>
      <c r="B67" t="s">
        <v>21</v>
      </c>
      <c r="L67" s="1">
        <f t="array" ref="L67:M69">MMULT(L27:M29,L79:M79*_xlfn.MUNIT(2))</f>
        <v>0</v>
      </c>
      <c r="M67" s="1">
        <v>0.37934667899999996</v>
      </c>
    </row>
    <row r="68" spans="1:17" x14ac:dyDescent="0.25">
      <c r="B68" t="s">
        <v>22</v>
      </c>
      <c r="L68" s="1">
        <v>1.3277133800000001</v>
      </c>
      <c r="M68" s="1">
        <v>0.37934667899999996</v>
      </c>
    </row>
    <row r="69" spans="1:17" x14ac:dyDescent="0.25">
      <c r="B69" t="s">
        <v>23</v>
      </c>
      <c r="L69" s="1">
        <v>0.66385669000000003</v>
      </c>
      <c r="M69" s="1">
        <v>0.37934667899999996</v>
      </c>
      <c r="N69" s="3" t="s">
        <v>126</v>
      </c>
    </row>
    <row r="70" spans="1:17" x14ac:dyDescent="0.25">
      <c r="N70" s="43" cm="1">
        <f t="array" ref="N70:N71">N30:N31*N78:N79*Q14*S14</f>
        <v>230.76922753499997</v>
      </c>
    </row>
    <row r="71" spans="1:17" x14ac:dyDescent="0.25">
      <c r="N71" s="43">
        <v>242.30768929499993</v>
      </c>
    </row>
    <row r="73" spans="1:17" x14ac:dyDescent="0.25">
      <c r="L73" s="3" t="s">
        <v>127</v>
      </c>
      <c r="P73" s="3" t="s">
        <v>128</v>
      </c>
    </row>
    <row r="74" spans="1:17" x14ac:dyDescent="0.25">
      <c r="A74" t="s">
        <v>92</v>
      </c>
      <c r="L74" s="134">
        <v>6.6385668999999998</v>
      </c>
      <c r="M74" s="134">
        <v>0.84299261999999997</v>
      </c>
      <c r="N74" s="134">
        <v>0.30106878999999998</v>
      </c>
      <c r="P74" s="6">
        <v>1</v>
      </c>
      <c r="Q74" s="6">
        <v>0</v>
      </c>
    </row>
    <row r="75" spans="1:17" x14ac:dyDescent="0.25">
      <c r="A75" t="s">
        <v>93</v>
      </c>
      <c r="L75" s="134">
        <v>0</v>
      </c>
      <c r="M75" s="134">
        <v>0.42149630999999999</v>
      </c>
      <c r="N75" s="134">
        <v>1.505344E-2</v>
      </c>
      <c r="P75" s="6">
        <v>1</v>
      </c>
      <c r="Q75" s="6">
        <v>1</v>
      </c>
    </row>
    <row r="77" spans="1:17" x14ac:dyDescent="0.25">
      <c r="L77" s="3" t="s">
        <v>129</v>
      </c>
    </row>
    <row r="78" spans="1:17" x14ac:dyDescent="0.25">
      <c r="A78" t="s">
        <v>92</v>
      </c>
      <c r="L78" s="44" cm="1">
        <f t="array" ref="L78:N79">MMULT(P74:Q75,L74:N75)</f>
        <v>6.6385668999999998</v>
      </c>
      <c r="M78" s="44">
        <v>0.84299261999999997</v>
      </c>
      <c r="N78" s="44">
        <v>0.30106878999999998</v>
      </c>
    </row>
    <row r="79" spans="1:17" x14ac:dyDescent="0.25">
      <c r="A79" t="s">
        <v>93</v>
      </c>
      <c r="L79" s="44">
        <v>6.6385668999999998</v>
      </c>
      <c r="M79" s="44">
        <v>1.26448893</v>
      </c>
      <c r="N79" s="44">
        <v>0.31612222999999995</v>
      </c>
    </row>
    <row r="81" spans="1:14" x14ac:dyDescent="0.25">
      <c r="L81" s="3" t="s">
        <v>130</v>
      </c>
    </row>
    <row r="82" spans="1:14" x14ac:dyDescent="0.25">
      <c r="A82" t="s">
        <v>92</v>
      </c>
      <c r="L82" s="7" cm="1">
        <f t="array" ref="L82:N83">MMULT(L74:N75,L18:N18*_xlfn.MUNIT(3))</f>
        <v>13.2771338</v>
      </c>
      <c r="M82" s="7">
        <v>0.84299261999999997</v>
      </c>
      <c r="N82" s="7">
        <v>0.30106878999999998</v>
      </c>
    </row>
    <row r="83" spans="1:14" x14ac:dyDescent="0.25">
      <c r="A83" t="s">
        <v>93</v>
      </c>
      <c r="L83" s="7">
        <v>0</v>
      </c>
      <c r="M83" s="7">
        <v>0.42149630999999999</v>
      </c>
      <c r="N83" s="7">
        <v>1.505344E-2</v>
      </c>
    </row>
    <row r="85" spans="1:14" x14ac:dyDescent="0.25">
      <c r="L85" s="3" t="s">
        <v>131</v>
      </c>
    </row>
    <row r="86" spans="1:14" x14ac:dyDescent="0.25">
      <c r="A86" t="s">
        <v>92</v>
      </c>
      <c r="L86" s="7" cm="1">
        <f t="array" ref="L86:N87">MMULT(L48:N49,L19:N19*_xlfn.MUNIT(3))</f>
        <v>0</v>
      </c>
      <c r="M86" s="7">
        <v>230.76922999999999</v>
      </c>
      <c r="N86" s="7">
        <v>115.384615</v>
      </c>
    </row>
    <row r="87" spans="1:14" x14ac:dyDescent="0.25">
      <c r="A87" t="s">
        <v>93</v>
      </c>
      <c r="L87" s="7">
        <v>0</v>
      </c>
      <c r="M87" s="7">
        <v>346.15384499999999</v>
      </c>
      <c r="N87" s="7">
        <v>173.07692499999999</v>
      </c>
    </row>
    <row r="89" spans="1:14" x14ac:dyDescent="0.25">
      <c r="L89" s="3" t="s">
        <v>132</v>
      </c>
    </row>
    <row r="90" spans="1:14" x14ac:dyDescent="0.25">
      <c r="A90" t="s">
        <v>92</v>
      </c>
      <c r="C90" t="s">
        <v>3</v>
      </c>
      <c r="L90" s="7" cm="1">
        <f t="array" ref="L90:N91">MMULT(L10:N11,_xlfn.MUNIT(3)*L48:N48)</f>
        <v>0</v>
      </c>
      <c r="M90" s="7">
        <v>0</v>
      </c>
      <c r="N90" s="7">
        <v>230.76922999999999</v>
      </c>
    </row>
    <row r="91" spans="1:14" x14ac:dyDescent="0.25">
      <c r="C91" t="s">
        <v>4</v>
      </c>
      <c r="L91" s="7">
        <v>0</v>
      </c>
      <c r="M91" s="7">
        <v>230.76922999999999</v>
      </c>
      <c r="N91" s="7">
        <v>0</v>
      </c>
    </row>
    <row r="92" spans="1:14" x14ac:dyDescent="0.25">
      <c r="A92" t="s">
        <v>93</v>
      </c>
      <c r="C92" t="s">
        <v>3</v>
      </c>
      <c r="L92" s="7" cm="1">
        <f t="array" ref="L92:N93">MMULT(L10:N11,_xlfn.MUNIT(3)*L49:N49)</f>
        <v>0</v>
      </c>
      <c r="M92" s="7">
        <v>0</v>
      </c>
      <c r="N92" s="7">
        <v>346.15384999999998</v>
      </c>
    </row>
    <row r="93" spans="1:14" x14ac:dyDescent="0.25">
      <c r="C93" t="s">
        <v>4</v>
      </c>
      <c r="L93" s="7">
        <v>0</v>
      </c>
      <c r="M93" s="7">
        <v>346.15384499999999</v>
      </c>
      <c r="N93" s="7">
        <v>0</v>
      </c>
    </row>
  </sheetData>
  <hyperlinks>
    <hyperlink ref="A1" location="Contents!A1" display="Back to contents" xr:uid="{9D45C0EC-1C90-4BC3-8BD2-28EB130B91AC}"/>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0E4BBF-D48F-439D-A86D-11A372868235}">
  <sheetPr>
    <tabColor theme="8" tint="0.59999389629810485"/>
  </sheetPr>
  <dimension ref="A1:AD54"/>
  <sheetViews>
    <sheetView showGridLines="0" zoomScale="115" zoomScaleNormal="115" workbookViewId="0">
      <pane xSplit="7" ySplit="7" topLeftCell="H8" activePane="bottomRight" state="frozen"/>
      <selection pane="topRight"/>
      <selection pane="bottomLeft"/>
      <selection pane="bottomRight" activeCell="M1" sqref="M1:M1048576"/>
    </sheetView>
  </sheetViews>
  <sheetFormatPr defaultRowHeight="15" x14ac:dyDescent="0.25"/>
  <cols>
    <col min="1" max="1" width="5.42578125" bestFit="1" customWidth="1"/>
    <col min="2" max="2" width="6" bestFit="1" customWidth="1"/>
    <col min="3" max="3" width="6.28515625" bestFit="1" customWidth="1"/>
    <col min="4" max="4" width="6.140625" bestFit="1" customWidth="1"/>
    <col min="5" max="5" width="9" bestFit="1" customWidth="1"/>
    <col min="6" max="6" width="7.7109375" bestFit="1" customWidth="1"/>
    <col min="7" max="7" width="3.42578125" customWidth="1"/>
    <col min="8" max="8" width="9.85546875" bestFit="1" customWidth="1"/>
    <col min="9" max="9" width="8.42578125" bestFit="1" customWidth="1"/>
    <col min="10" max="10" width="2.85546875" customWidth="1"/>
    <col min="11" max="11" width="6.42578125" bestFit="1" customWidth="1"/>
    <col min="12" max="12" width="6.140625" bestFit="1" customWidth="1"/>
    <col min="13" max="13" width="7.7109375" bestFit="1" customWidth="1"/>
    <col min="14" max="14" width="9.140625" style="21"/>
    <col min="17" max="21" width="4.7109375" customWidth="1"/>
    <col min="22" max="22" width="3" customWidth="1"/>
    <col min="23" max="23" width="4.28515625" bestFit="1" customWidth="1"/>
    <col min="24" max="24" width="4.42578125" bestFit="1" customWidth="1"/>
    <col min="26" max="30" width="5.140625" customWidth="1"/>
  </cols>
  <sheetData>
    <row r="1" spans="1:30" x14ac:dyDescent="0.25">
      <c r="A1" s="97" t="s">
        <v>285</v>
      </c>
    </row>
    <row r="2" spans="1:30" x14ac:dyDescent="0.25">
      <c r="A2" s="5" t="s">
        <v>16</v>
      </c>
      <c r="B2" s="5"/>
      <c r="C2" s="5"/>
      <c r="D2" s="5"/>
      <c r="E2" s="5"/>
      <c r="F2" s="5"/>
    </row>
    <row r="3" spans="1:30" x14ac:dyDescent="0.25">
      <c r="A3" s="5"/>
      <c r="B3" s="5" t="s">
        <v>29</v>
      </c>
      <c r="C3" s="5"/>
      <c r="D3" s="5"/>
      <c r="E3" s="5"/>
      <c r="F3" s="5"/>
      <c r="Q3" t="s">
        <v>21</v>
      </c>
      <c r="R3" t="s">
        <v>22</v>
      </c>
      <c r="S3" t="s">
        <v>23</v>
      </c>
      <c r="T3" t="s">
        <v>36</v>
      </c>
      <c r="U3" t="s">
        <v>37</v>
      </c>
      <c r="Z3" t="s">
        <v>21</v>
      </c>
      <c r="AA3" t="s">
        <v>22</v>
      </c>
      <c r="AB3" t="s">
        <v>23</v>
      </c>
      <c r="AC3" t="s">
        <v>36</v>
      </c>
      <c r="AD3" t="s">
        <v>37</v>
      </c>
    </row>
    <row r="4" spans="1:30" x14ac:dyDescent="0.25">
      <c r="A4" s="5"/>
      <c r="B4" s="5"/>
      <c r="C4" s="5" t="s">
        <v>0</v>
      </c>
      <c r="D4" s="5"/>
      <c r="E4" s="5"/>
      <c r="F4" s="5"/>
      <c r="H4" t="s">
        <v>11</v>
      </c>
      <c r="I4" t="s">
        <v>12</v>
      </c>
      <c r="K4" t="s">
        <v>7</v>
      </c>
      <c r="L4" t="s">
        <v>9</v>
      </c>
      <c r="M4" t="s">
        <v>10</v>
      </c>
      <c r="W4" t="s">
        <v>11</v>
      </c>
      <c r="X4" t="s">
        <v>12</v>
      </c>
    </row>
    <row r="5" spans="1:30" x14ac:dyDescent="0.25">
      <c r="A5" s="5"/>
      <c r="B5" s="5"/>
      <c r="C5" s="5"/>
      <c r="D5" s="5" t="s">
        <v>1</v>
      </c>
      <c r="E5" s="5"/>
      <c r="F5" s="5"/>
      <c r="M5" t="s">
        <v>56</v>
      </c>
      <c r="O5" t="s">
        <v>20</v>
      </c>
    </row>
    <row r="6" spans="1:30" x14ac:dyDescent="0.25">
      <c r="A6" s="5"/>
      <c r="B6" s="5"/>
      <c r="C6" s="5"/>
      <c r="D6" s="5"/>
      <c r="E6" s="5" t="s">
        <v>26</v>
      </c>
      <c r="F6" s="5"/>
    </row>
    <row r="7" spans="1:30" x14ac:dyDescent="0.25">
      <c r="A7" s="5"/>
      <c r="B7" s="5"/>
      <c r="C7" s="5"/>
      <c r="D7" s="5"/>
      <c r="E7" s="5"/>
      <c r="F7" s="5" t="s">
        <v>2</v>
      </c>
      <c r="H7" t="s">
        <v>34</v>
      </c>
      <c r="I7" t="s">
        <v>35</v>
      </c>
      <c r="O7" t="s">
        <v>8</v>
      </c>
    </row>
    <row r="8" spans="1:30" x14ac:dyDescent="0.25">
      <c r="A8" s="5"/>
      <c r="B8" s="5"/>
      <c r="C8" s="5"/>
      <c r="D8" s="5"/>
      <c r="E8" s="5"/>
      <c r="F8" s="5"/>
      <c r="H8" s="3" t="s">
        <v>28</v>
      </c>
      <c r="K8" s="3" t="s">
        <v>5</v>
      </c>
      <c r="O8" s="3" t="s">
        <v>14</v>
      </c>
      <c r="Q8" s="3" t="s">
        <v>47</v>
      </c>
      <c r="Z8" s="3" t="s">
        <v>50</v>
      </c>
    </row>
    <row r="9" spans="1:30" x14ac:dyDescent="0.25">
      <c r="C9" t="s">
        <v>3</v>
      </c>
      <c r="E9" t="s">
        <v>27</v>
      </c>
      <c r="F9" t="s">
        <v>19</v>
      </c>
      <c r="H9" s="6">
        <v>1</v>
      </c>
      <c r="I9" s="6">
        <v>1</v>
      </c>
      <c r="K9" s="1">
        <v>0</v>
      </c>
      <c r="L9" s="1">
        <v>0</v>
      </c>
      <c r="M9" s="1">
        <v>-1</v>
      </c>
      <c r="O9" s="1">
        <v>10</v>
      </c>
      <c r="Q9" s="7" cm="1">
        <f t="array" ref="Q9:U9">MMULT(H9:I9,TRANSPOSE(H36:I40))</f>
        <v>3</v>
      </c>
      <c r="R9" s="7">
        <v>5</v>
      </c>
      <c r="S9" s="7">
        <v>3</v>
      </c>
      <c r="T9" s="7">
        <v>1</v>
      </c>
      <c r="U9" s="7">
        <v>0</v>
      </c>
      <c r="Z9" s="8" cm="1">
        <f t="array" ref="Z9:AD9">_xlfn.ANCHORARRAY(Q9)-_xlfn.ANCHORARRAY(Q11)-_xlfn.ANCHORARRAY(Q13)</f>
        <v>0</v>
      </c>
      <c r="AA9" s="9">
        <v>0</v>
      </c>
      <c r="AB9" s="9">
        <v>0</v>
      </c>
      <c r="AC9" s="9">
        <v>0</v>
      </c>
      <c r="AD9" s="10">
        <v>0</v>
      </c>
    </row>
    <row r="10" spans="1:30" x14ac:dyDescent="0.25">
      <c r="H10" s="3" t="s">
        <v>6</v>
      </c>
      <c r="Q10" s="3" t="s">
        <v>48</v>
      </c>
      <c r="Z10" s="3" t="s">
        <v>57</v>
      </c>
    </row>
    <row r="11" spans="1:30" x14ac:dyDescent="0.25">
      <c r="C11" t="s">
        <v>7</v>
      </c>
      <c r="E11" t="s">
        <v>27</v>
      </c>
      <c r="F11" t="s">
        <v>18</v>
      </c>
      <c r="H11" s="1">
        <v>1</v>
      </c>
      <c r="I11" s="1">
        <v>0</v>
      </c>
      <c r="Q11" s="7" cm="1">
        <f t="array" ref="Q11:U11">MMULT(K9:M9,TRANSPOSE(K36:M40))</f>
        <v>2</v>
      </c>
      <c r="R11" s="7">
        <v>3</v>
      </c>
      <c r="S11" s="7">
        <v>0</v>
      </c>
      <c r="T11" s="7">
        <v>-1</v>
      </c>
      <c r="U11" s="7">
        <v>-2</v>
      </c>
      <c r="Z11" s="12" cm="1">
        <f t="array" ref="Z11:AD12">TRANSPOSE(K36:L40)-MMULT(H11:I12,TRANSPOSE(H36:I40))</f>
        <v>0</v>
      </c>
      <c r="AA11" s="13">
        <v>0</v>
      </c>
      <c r="AB11" s="13">
        <v>0</v>
      </c>
      <c r="AC11" s="13">
        <v>0</v>
      </c>
      <c r="AD11" s="14">
        <v>0</v>
      </c>
    </row>
    <row r="12" spans="1:30" x14ac:dyDescent="0.25">
      <c r="C12" t="s">
        <v>9</v>
      </c>
      <c r="E12" t="s">
        <v>27</v>
      </c>
      <c r="F12" t="s">
        <v>17</v>
      </c>
      <c r="H12" s="1">
        <v>0</v>
      </c>
      <c r="I12" s="1">
        <v>1</v>
      </c>
      <c r="O12" s="4" t="s">
        <v>273</v>
      </c>
      <c r="Q12" s="3" t="s">
        <v>269</v>
      </c>
      <c r="Z12" s="15">
        <v>0</v>
      </c>
      <c r="AA12" s="16">
        <v>0</v>
      </c>
      <c r="AB12" s="16">
        <v>0</v>
      </c>
      <c r="AC12" s="16">
        <v>0</v>
      </c>
      <c r="AD12" s="17">
        <v>0</v>
      </c>
    </row>
    <row r="13" spans="1:30" x14ac:dyDescent="0.25">
      <c r="N13" s="4"/>
      <c r="O13" s="101" cm="1">
        <f t="array" ref="O13">SUM(MMULT(K36:M40,K26:M26*_xlfn.MUNIT(3)))</f>
        <v>12</v>
      </c>
      <c r="Q13" s="7" cm="1">
        <f t="array" ref="Q13:U13">O9*TRANSPOSE(O20:O24)</f>
        <v>1</v>
      </c>
      <c r="R13" s="7">
        <v>2</v>
      </c>
      <c r="S13" s="7">
        <v>3</v>
      </c>
      <c r="T13" s="7">
        <v>2</v>
      </c>
      <c r="U13" s="7">
        <v>2</v>
      </c>
    </row>
    <row r="14" spans="1:30" x14ac:dyDescent="0.25">
      <c r="B14" t="s">
        <v>21</v>
      </c>
      <c r="F14" t="s">
        <v>38</v>
      </c>
      <c r="K14" s="1">
        <v>1</v>
      </c>
      <c r="L14" s="1">
        <v>1</v>
      </c>
    </row>
    <row r="15" spans="1:30" x14ac:dyDescent="0.25">
      <c r="B15" t="s">
        <v>22</v>
      </c>
      <c r="K15" s="1">
        <v>1</v>
      </c>
      <c r="L15" s="1">
        <v>1</v>
      </c>
    </row>
    <row r="16" spans="1:30" x14ac:dyDescent="0.25">
      <c r="B16" t="s">
        <v>23</v>
      </c>
      <c r="K16" s="1">
        <v>1</v>
      </c>
      <c r="L16" s="1">
        <v>1</v>
      </c>
    </row>
    <row r="17" spans="2:21" x14ac:dyDescent="0.25">
      <c r="B17" t="s">
        <v>36</v>
      </c>
      <c r="K17" s="1">
        <v>1</v>
      </c>
      <c r="L17" s="1">
        <v>1</v>
      </c>
    </row>
    <row r="18" spans="2:21" x14ac:dyDescent="0.25">
      <c r="B18" t="s">
        <v>37</v>
      </c>
      <c r="K18" s="1">
        <v>1</v>
      </c>
      <c r="L18" s="1">
        <v>1</v>
      </c>
    </row>
    <row r="19" spans="2:21" x14ac:dyDescent="0.25">
      <c r="O19" s="3" t="s">
        <v>43</v>
      </c>
      <c r="Q19" s="3" t="s">
        <v>33</v>
      </c>
    </row>
    <row r="20" spans="2:21" x14ac:dyDescent="0.25">
      <c r="B20" t="s">
        <v>21</v>
      </c>
      <c r="F20" t="s">
        <v>39</v>
      </c>
      <c r="K20" s="1">
        <v>0</v>
      </c>
      <c r="L20" s="1">
        <v>0</v>
      </c>
      <c r="O20" s="1">
        <v>0.1</v>
      </c>
      <c r="Q20" s="6">
        <v>1</v>
      </c>
      <c r="R20" s="6">
        <v>0</v>
      </c>
      <c r="S20" s="6">
        <v>0</v>
      </c>
      <c r="T20" s="6">
        <v>0</v>
      </c>
      <c r="U20" s="6">
        <v>0</v>
      </c>
    </row>
    <row r="21" spans="2:21" x14ac:dyDescent="0.25">
      <c r="B21" t="s">
        <v>22</v>
      </c>
      <c r="K21" s="1">
        <v>0</v>
      </c>
      <c r="L21" s="1">
        <v>0</v>
      </c>
      <c r="O21" s="1">
        <v>0.2</v>
      </c>
      <c r="Q21" s="6">
        <v>1</v>
      </c>
      <c r="R21" s="6">
        <v>1</v>
      </c>
      <c r="S21" s="6">
        <v>0</v>
      </c>
      <c r="T21" s="6">
        <v>0</v>
      </c>
      <c r="U21" s="6">
        <v>0</v>
      </c>
    </row>
    <row r="22" spans="2:21" x14ac:dyDescent="0.25">
      <c r="B22" t="s">
        <v>23</v>
      </c>
      <c r="K22" s="1">
        <v>0</v>
      </c>
      <c r="L22" s="1">
        <v>0</v>
      </c>
      <c r="O22" s="1">
        <v>0.3</v>
      </c>
      <c r="Q22" s="6">
        <v>1</v>
      </c>
      <c r="R22" s="6">
        <v>1</v>
      </c>
      <c r="S22" s="6">
        <v>1</v>
      </c>
      <c r="T22" s="6">
        <v>0</v>
      </c>
      <c r="U22" s="6">
        <v>0</v>
      </c>
    </row>
    <row r="23" spans="2:21" x14ac:dyDescent="0.25">
      <c r="B23" t="s">
        <v>36</v>
      </c>
      <c r="K23" s="1">
        <v>0</v>
      </c>
      <c r="L23" s="1">
        <v>0</v>
      </c>
      <c r="O23" s="1">
        <v>0.2</v>
      </c>
      <c r="Q23" s="6">
        <v>1</v>
      </c>
      <c r="R23" s="6">
        <v>1</v>
      </c>
      <c r="S23" s="6">
        <v>1</v>
      </c>
      <c r="T23" s="6">
        <v>1</v>
      </c>
      <c r="U23" s="6">
        <v>0</v>
      </c>
    </row>
    <row r="24" spans="2:21" x14ac:dyDescent="0.25">
      <c r="B24" t="s">
        <v>37</v>
      </c>
      <c r="K24" s="1">
        <v>0</v>
      </c>
      <c r="L24" s="1">
        <v>0</v>
      </c>
      <c r="O24" s="1">
        <v>0.2</v>
      </c>
      <c r="Q24" s="6">
        <v>1</v>
      </c>
      <c r="R24" s="6">
        <v>1</v>
      </c>
      <c r="S24" s="6">
        <v>1</v>
      </c>
      <c r="T24" s="6">
        <v>1</v>
      </c>
      <c r="U24" s="6">
        <v>1</v>
      </c>
    </row>
    <row r="26" spans="2:21" x14ac:dyDescent="0.25">
      <c r="F26" t="s">
        <v>31</v>
      </c>
      <c r="J26" s="4" t="s">
        <v>15</v>
      </c>
      <c r="K26" s="1">
        <v>3</v>
      </c>
      <c r="L26" s="1">
        <v>1</v>
      </c>
      <c r="M26" s="1">
        <v>0</v>
      </c>
    </row>
    <row r="27" spans="2:21" x14ac:dyDescent="0.25">
      <c r="F27" t="s">
        <v>30</v>
      </c>
      <c r="J27" s="4" t="s">
        <v>40</v>
      </c>
      <c r="M27" s="1">
        <v>0.1</v>
      </c>
      <c r="O27" s="19">
        <f>M27*M31</f>
        <v>1</v>
      </c>
      <c r="P27" s="18" t="s">
        <v>55</v>
      </c>
    </row>
    <row r="28" spans="2:21" x14ac:dyDescent="0.25">
      <c r="J28" s="4" t="s">
        <v>41</v>
      </c>
      <c r="M28" s="1">
        <v>0.9</v>
      </c>
      <c r="O28" s="19">
        <f>M28*M31</f>
        <v>9</v>
      </c>
      <c r="P28" s="18" t="s">
        <v>54</v>
      </c>
    </row>
    <row r="29" spans="2:21" x14ac:dyDescent="0.25">
      <c r="J29" s="4" t="s">
        <v>42</v>
      </c>
      <c r="M29" s="1">
        <v>0.4</v>
      </c>
      <c r="O29" s="19">
        <f>M31*M29</f>
        <v>4</v>
      </c>
      <c r="P29" s="18" t="s">
        <v>52</v>
      </c>
    </row>
    <row r="30" spans="2:21" x14ac:dyDescent="0.25">
      <c r="J30" s="4" t="s">
        <v>51</v>
      </c>
      <c r="M30" s="1">
        <v>0.6</v>
      </c>
      <c r="O30" s="19">
        <f>M31*M30</f>
        <v>6</v>
      </c>
      <c r="P30" s="18" t="s">
        <v>53</v>
      </c>
    </row>
    <row r="31" spans="2:21" x14ac:dyDescent="0.25">
      <c r="J31" s="4" t="s">
        <v>45</v>
      </c>
      <c r="K31" s="1">
        <v>10</v>
      </c>
      <c r="L31" s="1">
        <v>10</v>
      </c>
      <c r="M31" s="1">
        <v>10</v>
      </c>
    </row>
    <row r="32" spans="2:21" x14ac:dyDescent="0.25">
      <c r="J32" s="4" t="s">
        <v>58</v>
      </c>
      <c r="M32" s="1">
        <v>-3</v>
      </c>
    </row>
    <row r="33" spans="1:30" x14ac:dyDescent="0.25">
      <c r="J33" s="4" t="s">
        <v>59</v>
      </c>
      <c r="M33" s="1">
        <v>3</v>
      </c>
    </row>
    <row r="35" spans="1:30" s="21" customFormat="1" x14ac:dyDescent="0.25">
      <c r="A35"/>
      <c r="B35"/>
      <c r="C35"/>
      <c r="D35"/>
      <c r="E35"/>
      <c r="F35"/>
      <c r="G35"/>
      <c r="H35" s="3" t="s">
        <v>24</v>
      </c>
      <c r="I35"/>
      <c r="J35"/>
      <c r="K35" s="3" t="s">
        <v>25</v>
      </c>
      <c r="L35"/>
      <c r="M35"/>
      <c r="O35"/>
      <c r="P35"/>
      <c r="Q35"/>
      <c r="R35"/>
      <c r="S35"/>
      <c r="T35"/>
      <c r="U35"/>
      <c r="V35"/>
      <c r="W35"/>
      <c r="X35"/>
      <c r="Y35"/>
      <c r="Z35"/>
      <c r="AA35"/>
      <c r="AB35"/>
      <c r="AC35"/>
      <c r="AD35"/>
    </row>
    <row r="36" spans="1:30" s="21" customFormat="1" x14ac:dyDescent="0.25">
      <c r="A36"/>
      <c r="B36" t="s">
        <v>21</v>
      </c>
      <c r="C36"/>
      <c r="D36"/>
      <c r="E36"/>
      <c r="F36"/>
      <c r="G36"/>
      <c r="H36" s="135">
        <v>0</v>
      </c>
      <c r="I36" s="135">
        <v>3</v>
      </c>
      <c r="J36"/>
      <c r="K36" s="135">
        <v>0</v>
      </c>
      <c r="L36" s="135">
        <v>3</v>
      </c>
      <c r="M36" s="135">
        <v>-2</v>
      </c>
      <c r="O36"/>
      <c r="P36"/>
      <c r="Q36"/>
      <c r="R36"/>
      <c r="S36"/>
      <c r="T36"/>
      <c r="U36"/>
      <c r="V36"/>
      <c r="W36"/>
      <c r="X36"/>
      <c r="Y36"/>
      <c r="Z36"/>
      <c r="AA36"/>
      <c r="AB36"/>
      <c r="AC36"/>
      <c r="AD36"/>
    </row>
    <row r="37" spans="1:30" s="21" customFormat="1" x14ac:dyDescent="0.25">
      <c r="A37"/>
      <c r="B37" t="s">
        <v>22</v>
      </c>
      <c r="C37"/>
      <c r="D37"/>
      <c r="E37"/>
      <c r="F37"/>
      <c r="G37"/>
      <c r="H37" s="135">
        <v>0</v>
      </c>
      <c r="I37" s="135">
        <v>5</v>
      </c>
      <c r="J37"/>
      <c r="K37" s="135">
        <v>0</v>
      </c>
      <c r="L37" s="135">
        <v>5</v>
      </c>
      <c r="M37" s="135">
        <v>-3</v>
      </c>
      <c r="O37"/>
      <c r="P37"/>
      <c r="Q37"/>
      <c r="R37"/>
      <c r="S37"/>
      <c r="T37"/>
      <c r="U37"/>
      <c r="V37"/>
      <c r="W37"/>
      <c r="X37"/>
      <c r="Y37"/>
      <c r="Z37"/>
      <c r="AA37"/>
      <c r="AB37"/>
      <c r="AC37"/>
      <c r="AD37"/>
    </row>
    <row r="38" spans="1:30" s="21" customFormat="1" x14ac:dyDescent="0.25">
      <c r="A38"/>
      <c r="B38" t="s">
        <v>23</v>
      </c>
      <c r="C38"/>
      <c r="D38"/>
      <c r="E38"/>
      <c r="F38"/>
      <c r="G38"/>
      <c r="H38" s="135">
        <v>0</v>
      </c>
      <c r="I38" s="135">
        <v>3</v>
      </c>
      <c r="J38"/>
      <c r="K38" s="135">
        <v>0</v>
      </c>
      <c r="L38" s="135">
        <v>3</v>
      </c>
      <c r="M38" s="135">
        <v>0</v>
      </c>
      <c r="O38"/>
      <c r="P38"/>
      <c r="Q38"/>
      <c r="R38"/>
      <c r="S38"/>
      <c r="T38"/>
      <c r="U38"/>
      <c r="V38"/>
      <c r="W38"/>
      <c r="X38"/>
      <c r="Y38"/>
      <c r="Z38"/>
      <c r="AA38"/>
      <c r="AB38"/>
      <c r="AC38"/>
      <c r="AD38"/>
    </row>
    <row r="39" spans="1:30" s="21" customFormat="1" x14ac:dyDescent="0.25">
      <c r="A39"/>
      <c r="B39" t="s">
        <v>36</v>
      </c>
      <c r="C39"/>
      <c r="D39"/>
      <c r="E39"/>
      <c r="F39"/>
      <c r="G39"/>
      <c r="H39" s="135">
        <v>0</v>
      </c>
      <c r="I39" s="135">
        <v>1</v>
      </c>
      <c r="J39"/>
      <c r="K39" s="135">
        <v>0</v>
      </c>
      <c r="L39" s="135">
        <v>1</v>
      </c>
      <c r="M39" s="135">
        <v>1</v>
      </c>
      <c r="O39"/>
      <c r="P39"/>
      <c r="Q39"/>
      <c r="R39"/>
      <c r="S39"/>
      <c r="T39"/>
      <c r="U39"/>
      <c r="V39"/>
      <c r="W39"/>
      <c r="X39"/>
      <c r="Y39"/>
      <c r="Z39"/>
      <c r="AA39"/>
      <c r="AB39"/>
      <c r="AC39"/>
      <c r="AD39"/>
    </row>
    <row r="40" spans="1:30" s="21" customFormat="1" x14ac:dyDescent="0.25">
      <c r="A40"/>
      <c r="B40" t="s">
        <v>37</v>
      </c>
      <c r="C40"/>
      <c r="D40"/>
      <c r="E40"/>
      <c r="F40"/>
      <c r="G40"/>
      <c r="H40" s="135">
        <v>0</v>
      </c>
      <c r="I40" s="135">
        <v>0</v>
      </c>
      <c r="J40"/>
      <c r="K40" s="135">
        <v>0</v>
      </c>
      <c r="L40" s="135">
        <v>0</v>
      </c>
      <c r="M40" s="135">
        <v>2</v>
      </c>
      <c r="O40"/>
      <c r="P40"/>
      <c r="Q40"/>
      <c r="R40"/>
      <c r="S40"/>
      <c r="T40"/>
      <c r="U40"/>
      <c r="V40"/>
      <c r="W40"/>
      <c r="X40"/>
      <c r="Y40"/>
      <c r="Z40"/>
      <c r="AA40"/>
      <c r="AB40"/>
      <c r="AC40"/>
      <c r="AD40"/>
    </row>
    <row r="41" spans="1:30" s="21" customFormat="1" x14ac:dyDescent="0.25">
      <c r="A41"/>
      <c r="B41"/>
      <c r="C41"/>
      <c r="D41"/>
      <c r="E41"/>
      <c r="F41"/>
      <c r="G41"/>
      <c r="H41" s="3"/>
      <c r="I41"/>
      <c r="J41"/>
      <c r="K41"/>
      <c r="L41"/>
      <c r="M41"/>
      <c r="O41"/>
      <c r="P41"/>
      <c r="Q41"/>
      <c r="R41"/>
      <c r="S41"/>
      <c r="T41"/>
      <c r="U41"/>
      <c r="V41"/>
      <c r="W41"/>
      <c r="X41"/>
      <c r="Y41"/>
      <c r="Z41"/>
      <c r="AA41"/>
      <c r="AB41"/>
      <c r="AC41"/>
      <c r="AD41"/>
    </row>
    <row r="42" spans="1:30" s="21" customFormat="1" x14ac:dyDescent="0.25">
      <c r="A42"/>
      <c r="B42"/>
      <c r="C42"/>
      <c r="D42"/>
      <c r="E42"/>
      <c r="F42"/>
      <c r="G42"/>
      <c r="H42"/>
      <c r="I42"/>
      <c r="J42"/>
      <c r="K42" s="3" t="s">
        <v>44</v>
      </c>
      <c r="L42" s="2"/>
      <c r="M42" s="3" t="s">
        <v>32</v>
      </c>
      <c r="O42"/>
      <c r="P42"/>
      <c r="Q42"/>
      <c r="R42"/>
      <c r="S42"/>
      <c r="T42"/>
      <c r="U42"/>
      <c r="V42"/>
      <c r="W42"/>
      <c r="X42"/>
      <c r="Y42"/>
      <c r="Z42"/>
      <c r="AA42"/>
      <c r="AB42"/>
      <c r="AC42"/>
      <c r="AD42"/>
    </row>
    <row r="43" spans="1:30" s="21" customFormat="1" x14ac:dyDescent="0.25">
      <c r="A43"/>
      <c r="B43" t="s">
        <v>21</v>
      </c>
      <c r="C43"/>
      <c r="D43"/>
      <c r="E43"/>
      <c r="F43"/>
      <c r="G43"/>
      <c r="H43"/>
      <c r="I43"/>
      <c r="J43"/>
      <c r="K43" s="19" cm="1">
        <f t="array" ref="K43:L47">K31:L31*K14:L18</f>
        <v>10</v>
      </c>
      <c r="L43" s="20">
        <v>10</v>
      </c>
      <c r="M43" s="19" cm="1">
        <f t="array" ref="M43:M47">O29-MMULT(Q20:U24,M36:M40)</f>
        <v>6</v>
      </c>
      <c r="O43"/>
      <c r="P43"/>
      <c r="Q43"/>
      <c r="R43"/>
      <c r="S43"/>
      <c r="T43"/>
      <c r="U43"/>
      <c r="V43"/>
      <c r="W43"/>
      <c r="X43"/>
      <c r="Y43"/>
      <c r="Z43"/>
      <c r="AA43"/>
      <c r="AB43"/>
      <c r="AC43"/>
      <c r="AD43"/>
    </row>
    <row r="44" spans="1:30" s="21" customFormat="1" x14ac:dyDescent="0.25">
      <c r="A44"/>
      <c r="B44" t="s">
        <v>22</v>
      </c>
      <c r="C44"/>
      <c r="D44"/>
      <c r="E44"/>
      <c r="F44"/>
      <c r="G44"/>
      <c r="H44"/>
      <c r="I44"/>
      <c r="J44"/>
      <c r="K44" s="19">
        <v>10</v>
      </c>
      <c r="L44" s="20">
        <v>10</v>
      </c>
      <c r="M44" s="19">
        <v>9</v>
      </c>
      <c r="O44"/>
      <c r="P44"/>
      <c r="Q44"/>
      <c r="R44"/>
      <c r="S44"/>
      <c r="T44"/>
      <c r="U44"/>
      <c r="V44"/>
      <c r="W44"/>
      <c r="X44"/>
      <c r="Y44"/>
      <c r="Z44"/>
      <c r="AA44"/>
      <c r="AB44"/>
      <c r="AC44"/>
      <c r="AD44"/>
    </row>
    <row r="45" spans="1:30" s="21" customFormat="1" x14ac:dyDescent="0.25">
      <c r="A45"/>
      <c r="B45" t="s">
        <v>23</v>
      </c>
      <c r="C45"/>
      <c r="D45"/>
      <c r="E45"/>
      <c r="F45"/>
      <c r="G45"/>
      <c r="H45"/>
      <c r="I45"/>
      <c r="J45"/>
      <c r="K45" s="19">
        <v>10</v>
      </c>
      <c r="L45" s="20">
        <v>10</v>
      </c>
      <c r="M45" s="19">
        <v>9</v>
      </c>
      <c r="O45"/>
      <c r="P45"/>
      <c r="Q45"/>
      <c r="R45"/>
      <c r="S45"/>
      <c r="T45"/>
      <c r="U45"/>
      <c r="V45"/>
      <c r="W45"/>
      <c r="X45"/>
      <c r="Y45"/>
      <c r="Z45"/>
      <c r="AA45"/>
      <c r="AB45"/>
      <c r="AC45"/>
      <c r="AD45"/>
    </row>
    <row r="46" spans="1:30" s="21" customFormat="1" x14ac:dyDescent="0.25">
      <c r="A46"/>
      <c r="B46" t="s">
        <v>36</v>
      </c>
      <c r="C46"/>
      <c r="D46"/>
      <c r="E46"/>
      <c r="F46"/>
      <c r="G46"/>
      <c r="H46"/>
      <c r="I46"/>
      <c r="J46"/>
      <c r="K46" s="19">
        <v>10</v>
      </c>
      <c r="L46" s="20">
        <v>10</v>
      </c>
      <c r="M46" s="19">
        <v>8</v>
      </c>
      <c r="O46"/>
      <c r="P46"/>
      <c r="Q46"/>
      <c r="R46"/>
      <c r="S46"/>
      <c r="T46"/>
      <c r="U46"/>
      <c r="V46"/>
      <c r="W46"/>
      <c r="X46"/>
      <c r="Y46"/>
      <c r="Z46"/>
      <c r="AA46"/>
      <c r="AB46"/>
      <c r="AC46"/>
      <c r="AD46"/>
    </row>
    <row r="47" spans="1:30" s="21" customFormat="1" x14ac:dyDescent="0.25">
      <c r="A47"/>
      <c r="B47" t="s">
        <v>37</v>
      </c>
      <c r="C47"/>
      <c r="D47"/>
      <c r="E47"/>
      <c r="F47"/>
      <c r="G47"/>
      <c r="H47"/>
      <c r="I47"/>
      <c r="J47"/>
      <c r="K47" s="19">
        <v>10</v>
      </c>
      <c r="L47" s="20">
        <v>10</v>
      </c>
      <c r="M47" s="19">
        <v>6</v>
      </c>
      <c r="O47"/>
      <c r="P47"/>
      <c r="Q47"/>
      <c r="R47"/>
      <c r="S47"/>
      <c r="T47"/>
      <c r="U47"/>
      <c r="V47"/>
      <c r="W47"/>
      <c r="X47"/>
      <c r="Y47"/>
      <c r="Z47"/>
      <c r="AA47"/>
      <c r="AB47"/>
      <c r="AC47"/>
      <c r="AD47"/>
    </row>
    <row r="48" spans="1:30" s="21" customFormat="1" x14ac:dyDescent="0.25">
      <c r="A48"/>
      <c r="B48"/>
      <c r="C48"/>
      <c r="D48"/>
      <c r="E48"/>
      <c r="F48"/>
      <c r="G48"/>
      <c r="H48"/>
      <c r="I48"/>
      <c r="J48"/>
      <c r="K48"/>
      <c r="L48" s="2"/>
      <c r="M48"/>
      <c r="O48"/>
      <c r="P48"/>
      <c r="Q48"/>
      <c r="R48"/>
      <c r="S48"/>
      <c r="T48"/>
      <c r="U48"/>
      <c r="V48"/>
      <c r="W48"/>
      <c r="X48"/>
      <c r="Y48"/>
      <c r="Z48"/>
      <c r="AA48"/>
      <c r="AB48"/>
      <c r="AC48"/>
      <c r="AD48"/>
    </row>
    <row r="49" spans="1:30" s="21" customFormat="1" x14ac:dyDescent="0.25">
      <c r="A49"/>
      <c r="B49"/>
      <c r="C49"/>
      <c r="D49"/>
      <c r="E49"/>
      <c r="F49"/>
      <c r="G49"/>
      <c r="H49"/>
      <c r="I49"/>
      <c r="J49"/>
      <c r="K49" s="3" t="s">
        <v>46</v>
      </c>
      <c r="L49"/>
      <c r="M49"/>
      <c r="O49"/>
      <c r="P49"/>
      <c r="Q49"/>
      <c r="R49"/>
      <c r="S49"/>
      <c r="T49"/>
      <c r="U49"/>
      <c r="V49"/>
      <c r="W49"/>
      <c r="X49"/>
      <c r="Y49"/>
      <c r="Z49"/>
      <c r="AA49"/>
      <c r="AB49"/>
      <c r="AC49"/>
      <c r="AD49"/>
    </row>
    <row r="50" spans="1:30" x14ac:dyDescent="0.25">
      <c r="B50" t="s">
        <v>21</v>
      </c>
      <c r="K50" s="11" cm="1">
        <f t="array" ref="K50:L54">K31:L31*K20:L24</f>
        <v>0</v>
      </c>
      <c r="L50" s="11">
        <v>0</v>
      </c>
    </row>
    <row r="51" spans="1:30" x14ac:dyDescent="0.25">
      <c r="B51" t="s">
        <v>22</v>
      </c>
      <c r="K51" s="11">
        <v>0</v>
      </c>
      <c r="L51" s="11">
        <v>0</v>
      </c>
    </row>
    <row r="52" spans="1:30" x14ac:dyDescent="0.25">
      <c r="B52" t="s">
        <v>23</v>
      </c>
      <c r="K52" s="11">
        <v>0</v>
      </c>
      <c r="L52" s="11">
        <v>0</v>
      </c>
    </row>
    <row r="53" spans="1:30" x14ac:dyDescent="0.25">
      <c r="B53" t="s">
        <v>36</v>
      </c>
      <c r="K53" s="11">
        <v>0</v>
      </c>
      <c r="L53" s="11">
        <v>0</v>
      </c>
    </row>
    <row r="54" spans="1:30" x14ac:dyDescent="0.25">
      <c r="B54" t="s">
        <v>37</v>
      </c>
      <c r="K54" s="11">
        <v>0</v>
      </c>
      <c r="L54" s="11">
        <v>0</v>
      </c>
    </row>
  </sheetData>
  <hyperlinks>
    <hyperlink ref="A1" location="Contents!A1" display="Back to contents" xr:uid="{8114F3CF-70BC-41FE-9F53-C5A34A944DF3}"/>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B8C29-47B0-4DB9-BFF1-DABABF51F301}">
  <sheetPr>
    <tabColor theme="8" tint="0.59999389629810485"/>
  </sheetPr>
  <dimension ref="A1:AK59"/>
  <sheetViews>
    <sheetView showGridLines="0" workbookViewId="0">
      <pane xSplit="7" ySplit="8" topLeftCell="H9" activePane="bottomRight" state="frozen"/>
      <selection pane="topRight"/>
      <selection pane="bottomLeft"/>
      <selection pane="bottomRight" activeCell="Q22" sqref="Q22"/>
    </sheetView>
  </sheetViews>
  <sheetFormatPr defaultRowHeight="15" x14ac:dyDescent="0.25"/>
  <cols>
    <col min="1" max="5" width="7.140625" customWidth="1"/>
    <col min="6" max="6" width="11.28515625" bestFit="1" customWidth="1"/>
    <col min="7" max="7" width="5.42578125" customWidth="1"/>
    <col min="8" max="17" width="6.5703125" customWidth="1"/>
    <col min="18" max="18" width="6.42578125" customWidth="1"/>
    <col min="19" max="19" width="7.5703125" customWidth="1"/>
    <col min="21" max="37" width="6" customWidth="1"/>
    <col min="38" max="39" width="7" customWidth="1"/>
  </cols>
  <sheetData>
    <row r="1" spans="1:37" x14ac:dyDescent="0.25">
      <c r="A1" s="97" t="s">
        <v>285</v>
      </c>
    </row>
    <row r="2" spans="1:37" x14ac:dyDescent="0.25">
      <c r="A2" s="5" t="s">
        <v>16</v>
      </c>
      <c r="B2" s="5"/>
      <c r="C2" s="5"/>
      <c r="D2" s="5"/>
      <c r="E2" s="5"/>
      <c r="F2" s="5"/>
    </row>
    <row r="3" spans="1:37" x14ac:dyDescent="0.25">
      <c r="A3" s="5"/>
      <c r="B3" s="5" t="s">
        <v>29</v>
      </c>
      <c r="C3" s="5"/>
      <c r="D3" s="5"/>
      <c r="E3" s="5"/>
      <c r="F3" s="5"/>
      <c r="U3" t="s">
        <v>21</v>
      </c>
      <c r="V3" t="s">
        <v>22</v>
      </c>
      <c r="W3" t="s">
        <v>23</v>
      </c>
      <c r="X3" t="s">
        <v>36</v>
      </c>
      <c r="Y3" t="s">
        <v>37</v>
      </c>
      <c r="AA3" t="s">
        <v>21</v>
      </c>
      <c r="AB3" t="s">
        <v>22</v>
      </c>
      <c r="AC3" t="s">
        <v>23</v>
      </c>
      <c r="AD3" t="s">
        <v>36</v>
      </c>
      <c r="AE3" t="s">
        <v>37</v>
      </c>
      <c r="AG3" t="s">
        <v>21</v>
      </c>
      <c r="AH3" t="s">
        <v>22</v>
      </c>
      <c r="AI3" t="s">
        <v>23</v>
      </c>
      <c r="AJ3" t="s">
        <v>36</v>
      </c>
      <c r="AK3" t="s">
        <v>37</v>
      </c>
    </row>
    <row r="4" spans="1:37" x14ac:dyDescent="0.25">
      <c r="A4" s="5"/>
      <c r="B4" s="5"/>
      <c r="C4" s="5" t="s">
        <v>0</v>
      </c>
      <c r="D4" s="5"/>
      <c r="E4" s="5"/>
      <c r="F4" s="5"/>
      <c r="H4" t="s">
        <v>11</v>
      </c>
      <c r="I4" t="s">
        <v>12</v>
      </c>
      <c r="J4" t="s">
        <v>78</v>
      </c>
      <c r="K4" t="s">
        <v>4</v>
      </c>
    </row>
    <row r="5" spans="1:37" x14ac:dyDescent="0.25">
      <c r="A5" s="5"/>
      <c r="B5" s="5"/>
      <c r="C5" s="5"/>
      <c r="D5" s="5" t="s">
        <v>1</v>
      </c>
      <c r="E5" s="5"/>
      <c r="F5" s="5"/>
      <c r="M5" t="s">
        <v>7</v>
      </c>
      <c r="N5" t="s">
        <v>9</v>
      </c>
      <c r="O5" t="s">
        <v>10</v>
      </c>
      <c r="P5" t="s">
        <v>79</v>
      </c>
      <c r="Q5" t="s">
        <v>80</v>
      </c>
      <c r="S5" t="s">
        <v>20</v>
      </c>
    </row>
    <row r="6" spans="1:37" x14ac:dyDescent="0.25">
      <c r="A6" s="5"/>
      <c r="B6" s="5"/>
      <c r="C6" s="5"/>
      <c r="D6" s="5"/>
      <c r="E6" s="5" t="s">
        <v>26</v>
      </c>
      <c r="F6" s="5"/>
      <c r="H6" t="s">
        <v>27</v>
      </c>
      <c r="I6" t="s">
        <v>27</v>
      </c>
      <c r="J6" t="s">
        <v>27</v>
      </c>
      <c r="K6" t="s">
        <v>27</v>
      </c>
      <c r="M6" t="s">
        <v>27</v>
      </c>
      <c r="N6" t="s">
        <v>27</v>
      </c>
      <c r="O6" t="s">
        <v>27</v>
      </c>
      <c r="P6" t="s">
        <v>27</v>
      </c>
      <c r="Q6" t="s">
        <v>27</v>
      </c>
    </row>
    <row r="7" spans="1:37" x14ac:dyDescent="0.25">
      <c r="A7" s="5"/>
      <c r="B7" s="5"/>
      <c r="C7" s="5"/>
      <c r="D7" s="5"/>
      <c r="E7" s="5"/>
      <c r="F7" s="5" t="s">
        <v>2</v>
      </c>
      <c r="H7" t="s">
        <v>81</v>
      </c>
      <c r="I7" t="s">
        <v>82</v>
      </c>
      <c r="Q7" t="s">
        <v>83</v>
      </c>
      <c r="S7" t="s">
        <v>8</v>
      </c>
    </row>
    <row r="8" spans="1:37" x14ac:dyDescent="0.25">
      <c r="A8" s="5"/>
      <c r="B8" s="5"/>
      <c r="C8" s="5"/>
      <c r="D8" s="5"/>
      <c r="E8" s="5"/>
      <c r="F8" s="5"/>
    </row>
    <row r="9" spans="1:37" x14ac:dyDescent="0.25">
      <c r="H9" s="3" t="s">
        <v>28</v>
      </c>
      <c r="M9" s="3" t="s">
        <v>5</v>
      </c>
      <c r="S9" s="3" t="s">
        <v>14</v>
      </c>
      <c r="U9" s="3" t="s">
        <v>43</v>
      </c>
      <c r="AA9" s="3" t="s">
        <v>47</v>
      </c>
      <c r="AG9" s="3" t="s">
        <v>50</v>
      </c>
    </row>
    <row r="10" spans="1:37" x14ac:dyDescent="0.25">
      <c r="D10" t="s">
        <v>3</v>
      </c>
      <c r="E10" t="s">
        <v>27</v>
      </c>
      <c r="F10" t="s">
        <v>19</v>
      </c>
      <c r="H10" s="6">
        <v>1</v>
      </c>
      <c r="I10" s="6">
        <v>1</v>
      </c>
      <c r="J10" s="6">
        <v>0</v>
      </c>
      <c r="K10" s="6">
        <v>0</v>
      </c>
      <c r="M10" s="1">
        <v>0</v>
      </c>
      <c r="N10" s="1">
        <v>0</v>
      </c>
      <c r="O10" s="1">
        <v>0</v>
      </c>
      <c r="P10" s="1">
        <v>0</v>
      </c>
      <c r="Q10" s="1">
        <v>-1</v>
      </c>
      <c r="S10" s="1">
        <v>10</v>
      </c>
      <c r="U10" s="1">
        <v>0.1</v>
      </c>
      <c r="V10" s="1">
        <v>0.2</v>
      </c>
      <c r="W10" s="1">
        <v>0.3</v>
      </c>
      <c r="X10" s="1">
        <v>0.2</v>
      </c>
      <c r="Y10" s="1">
        <v>0.2</v>
      </c>
      <c r="AA10" s="7" cm="1">
        <f t="array" ref="AA10:AE12">MMULT(H10:K12,TRANSPOSE(H41:K45))</f>
        <v>1</v>
      </c>
      <c r="AB10" s="7">
        <v>4</v>
      </c>
      <c r="AC10" s="7">
        <v>6</v>
      </c>
      <c r="AD10" s="7">
        <v>2</v>
      </c>
      <c r="AE10" s="7">
        <v>2</v>
      </c>
      <c r="AG10" s="30" cm="1">
        <f t="array" ref="AG10:AK12">AA10:AE12-AA14:AE16-AA18:AE20</f>
        <v>0</v>
      </c>
      <c r="AH10" s="31">
        <v>0</v>
      </c>
      <c r="AI10" s="31">
        <v>0</v>
      </c>
      <c r="AJ10" s="31">
        <v>0</v>
      </c>
      <c r="AK10" s="32">
        <v>0</v>
      </c>
    </row>
    <row r="11" spans="1:37" x14ac:dyDescent="0.25">
      <c r="D11" t="s">
        <v>78</v>
      </c>
      <c r="E11" t="s">
        <v>27</v>
      </c>
      <c r="F11" t="s">
        <v>84</v>
      </c>
      <c r="H11" s="6">
        <v>0</v>
      </c>
      <c r="I11" s="6">
        <v>0</v>
      </c>
      <c r="J11" s="6">
        <v>1</v>
      </c>
      <c r="K11" s="6">
        <v>0</v>
      </c>
      <c r="M11" s="1">
        <v>0</v>
      </c>
      <c r="N11" s="1">
        <v>0</v>
      </c>
      <c r="O11" s="23">
        <v>1.2</v>
      </c>
      <c r="P11" s="1">
        <v>0</v>
      </c>
      <c r="Q11" s="1">
        <v>0</v>
      </c>
      <c r="S11" s="1">
        <v>0</v>
      </c>
      <c r="U11" s="1">
        <v>0</v>
      </c>
      <c r="V11" s="1">
        <v>0</v>
      </c>
      <c r="W11" s="1">
        <v>0</v>
      </c>
      <c r="X11" s="1">
        <v>0</v>
      </c>
      <c r="Y11" s="1">
        <v>0</v>
      </c>
      <c r="AA11" s="7">
        <v>0</v>
      </c>
      <c r="AB11" s="7">
        <v>6</v>
      </c>
      <c r="AC11" s="7">
        <v>0</v>
      </c>
      <c r="AD11" s="7">
        <v>6</v>
      </c>
      <c r="AE11" s="7">
        <v>0</v>
      </c>
      <c r="AG11" s="33">
        <v>0</v>
      </c>
      <c r="AH11">
        <v>0</v>
      </c>
      <c r="AI11">
        <v>0</v>
      </c>
      <c r="AJ11">
        <v>0</v>
      </c>
      <c r="AK11" s="2">
        <v>0</v>
      </c>
    </row>
    <row r="12" spans="1:37" x14ac:dyDescent="0.25">
      <c r="D12" t="s">
        <v>4</v>
      </c>
      <c r="E12" t="s">
        <v>27</v>
      </c>
      <c r="F12" t="s">
        <v>85</v>
      </c>
      <c r="H12" s="6">
        <v>0</v>
      </c>
      <c r="I12" s="6">
        <v>0</v>
      </c>
      <c r="J12" s="6">
        <v>0</v>
      </c>
      <c r="K12" s="6">
        <v>1</v>
      </c>
      <c r="M12" s="1">
        <v>0</v>
      </c>
      <c r="N12" s="1">
        <v>0</v>
      </c>
      <c r="O12" s="1">
        <v>0</v>
      </c>
      <c r="P12" s="1">
        <v>0</v>
      </c>
      <c r="Q12" s="1">
        <v>0</v>
      </c>
      <c r="S12" s="1">
        <v>10</v>
      </c>
      <c r="U12" s="1">
        <v>0</v>
      </c>
      <c r="V12" s="1">
        <v>0.5</v>
      </c>
      <c r="W12" s="1">
        <v>0</v>
      </c>
      <c r="X12" s="1">
        <v>0.5</v>
      </c>
      <c r="Y12" s="1">
        <v>0</v>
      </c>
      <c r="AA12" s="7">
        <v>0</v>
      </c>
      <c r="AB12" s="7">
        <v>5</v>
      </c>
      <c r="AC12" s="7">
        <v>0</v>
      </c>
      <c r="AD12" s="7">
        <v>5</v>
      </c>
      <c r="AE12" s="7">
        <v>0</v>
      </c>
      <c r="AG12" s="34">
        <v>0</v>
      </c>
      <c r="AH12" s="35">
        <v>0</v>
      </c>
      <c r="AI12" s="35">
        <v>0</v>
      </c>
      <c r="AJ12" s="35">
        <v>0</v>
      </c>
      <c r="AK12" s="36">
        <v>0</v>
      </c>
    </row>
    <row r="13" spans="1:37" x14ac:dyDescent="0.25">
      <c r="H13" s="3" t="s">
        <v>6</v>
      </c>
      <c r="AA13" s="3" t="s">
        <v>48</v>
      </c>
      <c r="AG13" s="3" t="s">
        <v>57</v>
      </c>
    </row>
    <row r="14" spans="1:37" x14ac:dyDescent="0.25">
      <c r="D14" t="s">
        <v>7</v>
      </c>
      <c r="E14" t="s">
        <v>27</v>
      </c>
      <c r="F14" t="s">
        <v>18</v>
      </c>
      <c r="H14" s="1">
        <v>1</v>
      </c>
      <c r="I14" s="1">
        <v>0</v>
      </c>
      <c r="J14" s="1">
        <v>0</v>
      </c>
      <c r="K14" s="1">
        <v>0</v>
      </c>
      <c r="S14" s="3" t="s">
        <v>273</v>
      </c>
      <c r="AA14" s="7" cm="1">
        <f t="array" ref="AA14:AE16">MMULT(M10:Q12,TRANSPOSE(M41:Q45))</f>
        <v>0</v>
      </c>
      <c r="AB14" s="7">
        <v>2</v>
      </c>
      <c r="AC14" s="7">
        <v>3</v>
      </c>
      <c r="AD14" s="7">
        <v>0</v>
      </c>
      <c r="AE14" s="7">
        <v>0</v>
      </c>
      <c r="AG14" s="30" cm="1">
        <f t="array" ref="AG14:AK17">TRANSPOSE(M41:P45)-MMULT(H14:K17,TRANSPOSE(H41:K45))</f>
        <v>0</v>
      </c>
      <c r="AH14" s="31">
        <v>0</v>
      </c>
      <c r="AI14" s="31">
        <v>0</v>
      </c>
      <c r="AJ14" s="31">
        <v>0</v>
      </c>
      <c r="AK14" s="32">
        <v>0</v>
      </c>
    </row>
    <row r="15" spans="1:37" x14ac:dyDescent="0.25">
      <c r="D15" t="s">
        <v>9</v>
      </c>
      <c r="E15" t="s">
        <v>27</v>
      </c>
      <c r="F15" t="s">
        <v>17</v>
      </c>
      <c r="H15" s="1">
        <v>0</v>
      </c>
      <c r="I15" s="1">
        <v>1</v>
      </c>
      <c r="J15" s="1">
        <v>0</v>
      </c>
      <c r="K15" s="1">
        <v>0</v>
      </c>
      <c r="S15" s="101" cm="1">
        <f t="array" ref="S15">SUM(MMULT(M41:O45,M31:O31*_xlfn.MUNIT(3)))</f>
        <v>31</v>
      </c>
      <c r="AA15" s="7">
        <v>0</v>
      </c>
      <c r="AB15" s="7">
        <v>6</v>
      </c>
      <c r="AC15" s="7">
        <v>0</v>
      </c>
      <c r="AD15" s="7">
        <v>6</v>
      </c>
      <c r="AE15" s="7">
        <v>0</v>
      </c>
      <c r="AG15" s="33">
        <v>0</v>
      </c>
      <c r="AH15">
        <v>0</v>
      </c>
      <c r="AI15">
        <v>0</v>
      </c>
      <c r="AJ15">
        <v>0</v>
      </c>
      <c r="AK15" s="2">
        <v>0</v>
      </c>
    </row>
    <row r="16" spans="1:37" x14ac:dyDescent="0.25">
      <c r="D16" t="s">
        <v>10</v>
      </c>
      <c r="E16" t="s">
        <v>27</v>
      </c>
      <c r="F16" t="s">
        <v>86</v>
      </c>
      <c r="H16" s="1">
        <v>0</v>
      </c>
      <c r="I16" s="1">
        <v>0</v>
      </c>
      <c r="J16" s="1">
        <v>0</v>
      </c>
      <c r="K16" s="1">
        <v>1</v>
      </c>
      <c r="AA16" s="7">
        <v>0</v>
      </c>
      <c r="AB16" s="7">
        <v>0</v>
      </c>
      <c r="AC16" s="7">
        <v>0</v>
      </c>
      <c r="AD16" s="7">
        <v>0</v>
      </c>
      <c r="AE16" s="7">
        <v>0</v>
      </c>
      <c r="AG16" s="33">
        <v>0</v>
      </c>
      <c r="AH16">
        <v>0</v>
      </c>
      <c r="AI16">
        <v>0</v>
      </c>
      <c r="AJ16">
        <v>0</v>
      </c>
      <c r="AK16" s="2">
        <v>0</v>
      </c>
    </row>
    <row r="17" spans="2:37" x14ac:dyDescent="0.25">
      <c r="D17" t="s">
        <v>79</v>
      </c>
      <c r="E17" t="s">
        <v>27</v>
      </c>
      <c r="F17" t="s">
        <v>87</v>
      </c>
      <c r="H17" s="1">
        <v>0</v>
      </c>
      <c r="I17" s="1">
        <v>0</v>
      </c>
      <c r="J17" s="1">
        <v>1</v>
      </c>
      <c r="K17" s="1">
        <v>0</v>
      </c>
      <c r="AA17" s="3" t="s">
        <v>49</v>
      </c>
      <c r="AG17" s="34">
        <v>0</v>
      </c>
      <c r="AH17" s="35">
        <v>0</v>
      </c>
      <c r="AI17" s="35">
        <v>0</v>
      </c>
      <c r="AJ17" s="35">
        <v>0</v>
      </c>
      <c r="AK17" s="36">
        <v>0</v>
      </c>
    </row>
    <row r="18" spans="2:37" x14ac:dyDescent="0.25">
      <c r="AA18" s="7" cm="1">
        <f t="array" ref="AA18:AE20">S10:S12*U10:Y12</f>
        <v>1</v>
      </c>
      <c r="AB18" s="7">
        <v>2</v>
      </c>
      <c r="AC18" s="7">
        <v>3</v>
      </c>
      <c r="AD18" s="7">
        <v>2</v>
      </c>
      <c r="AE18" s="7">
        <v>2</v>
      </c>
    </row>
    <row r="19" spans="2:37" x14ac:dyDescent="0.25">
      <c r="B19" t="s">
        <v>21</v>
      </c>
      <c r="F19" t="s">
        <v>38</v>
      </c>
      <c r="M19" s="1">
        <v>0.9</v>
      </c>
      <c r="N19" s="1">
        <v>0</v>
      </c>
      <c r="O19" s="1">
        <v>1</v>
      </c>
      <c r="AA19" s="7">
        <v>0</v>
      </c>
      <c r="AB19" s="7">
        <v>0</v>
      </c>
      <c r="AC19" s="7">
        <v>0</v>
      </c>
      <c r="AD19" s="7">
        <v>0</v>
      </c>
      <c r="AE19" s="7">
        <v>0</v>
      </c>
    </row>
    <row r="20" spans="2:37" x14ac:dyDescent="0.25">
      <c r="B20" t="s">
        <v>22</v>
      </c>
      <c r="M20" s="1">
        <v>0.9</v>
      </c>
      <c r="N20" s="1">
        <v>0.2</v>
      </c>
      <c r="O20" s="1">
        <v>1</v>
      </c>
      <c r="AA20" s="7">
        <v>0</v>
      </c>
      <c r="AB20" s="7">
        <v>5</v>
      </c>
      <c r="AC20" s="7">
        <v>0</v>
      </c>
      <c r="AD20" s="7">
        <v>5</v>
      </c>
      <c r="AE20" s="7">
        <v>0</v>
      </c>
    </row>
    <row r="21" spans="2:37" x14ac:dyDescent="0.25">
      <c r="B21" t="s">
        <v>23</v>
      </c>
      <c r="M21" s="1">
        <v>0.9</v>
      </c>
      <c r="N21" s="1">
        <v>0.5</v>
      </c>
      <c r="O21" s="1">
        <v>1</v>
      </c>
    </row>
    <row r="22" spans="2:37" x14ac:dyDescent="0.25">
      <c r="B22" t="s">
        <v>36</v>
      </c>
      <c r="M22" s="1">
        <v>0.9</v>
      </c>
      <c r="N22" s="1">
        <v>0.3</v>
      </c>
      <c r="O22" s="1">
        <v>1</v>
      </c>
      <c r="AA22" s="21"/>
    </row>
    <row r="23" spans="2:37" x14ac:dyDescent="0.25">
      <c r="B23" t="s">
        <v>37</v>
      </c>
      <c r="M23" s="1">
        <v>0.9</v>
      </c>
      <c r="N23" s="1">
        <v>0</v>
      </c>
      <c r="O23" s="1">
        <v>1</v>
      </c>
      <c r="AA23" s="21"/>
    </row>
    <row r="24" spans="2:37" x14ac:dyDescent="0.25">
      <c r="AA24" s="3" t="s">
        <v>33</v>
      </c>
    </row>
    <row r="25" spans="2:37" x14ac:dyDescent="0.25">
      <c r="B25" t="s">
        <v>21</v>
      </c>
      <c r="F25" t="s">
        <v>39</v>
      </c>
      <c r="M25" s="1">
        <v>0</v>
      </c>
      <c r="N25" s="1">
        <v>0</v>
      </c>
      <c r="O25" s="1">
        <v>0</v>
      </c>
      <c r="AA25" s="6">
        <v>1</v>
      </c>
      <c r="AB25" s="6">
        <v>0</v>
      </c>
      <c r="AC25" s="6">
        <v>0</v>
      </c>
      <c r="AD25" s="6">
        <v>0</v>
      </c>
      <c r="AE25" s="6">
        <v>0</v>
      </c>
    </row>
    <row r="26" spans="2:37" x14ac:dyDescent="0.25">
      <c r="B26" t="s">
        <v>22</v>
      </c>
      <c r="M26" s="1">
        <v>0</v>
      </c>
      <c r="N26" s="1">
        <v>0</v>
      </c>
      <c r="O26" s="1">
        <v>0</v>
      </c>
      <c r="AA26" s="6">
        <v>1</v>
      </c>
      <c r="AB26" s="6">
        <v>1</v>
      </c>
      <c r="AC26" s="6">
        <v>0</v>
      </c>
      <c r="AD26" s="6">
        <v>0</v>
      </c>
      <c r="AE26" s="6">
        <v>0</v>
      </c>
    </row>
    <row r="27" spans="2:37" x14ac:dyDescent="0.25">
      <c r="B27" t="s">
        <v>23</v>
      </c>
      <c r="M27" s="1">
        <v>0</v>
      </c>
      <c r="N27" s="1">
        <v>0</v>
      </c>
      <c r="O27" s="1">
        <v>0</v>
      </c>
      <c r="AA27" s="6">
        <v>1</v>
      </c>
      <c r="AB27" s="6">
        <v>1</v>
      </c>
      <c r="AC27" s="6">
        <v>1</v>
      </c>
      <c r="AD27" s="6">
        <v>0</v>
      </c>
      <c r="AE27" s="6">
        <v>0</v>
      </c>
    </row>
    <row r="28" spans="2:37" x14ac:dyDescent="0.25">
      <c r="B28" t="s">
        <v>36</v>
      </c>
      <c r="M28" s="1">
        <v>0</v>
      </c>
      <c r="N28" s="1">
        <v>0</v>
      </c>
      <c r="O28" s="1">
        <v>0</v>
      </c>
      <c r="AA28" s="6">
        <v>1</v>
      </c>
      <c r="AB28" s="6">
        <v>1</v>
      </c>
      <c r="AC28" s="6">
        <v>1</v>
      </c>
      <c r="AD28" s="6">
        <v>1</v>
      </c>
      <c r="AE28" s="6">
        <v>0</v>
      </c>
    </row>
    <row r="29" spans="2:37" x14ac:dyDescent="0.25">
      <c r="B29" t="s">
        <v>37</v>
      </c>
      <c r="M29" s="1">
        <v>0</v>
      </c>
      <c r="N29" s="1">
        <v>0</v>
      </c>
      <c r="O29" s="1">
        <v>0</v>
      </c>
      <c r="AA29" s="6">
        <v>1</v>
      </c>
      <c r="AB29" s="6">
        <v>1</v>
      </c>
      <c r="AC29" s="6">
        <v>1</v>
      </c>
      <c r="AD29" s="6">
        <v>1</v>
      </c>
      <c r="AE29" s="6">
        <v>1</v>
      </c>
    </row>
    <row r="30" spans="2:37" x14ac:dyDescent="0.25">
      <c r="AA30" s="21"/>
    </row>
    <row r="31" spans="2:37" x14ac:dyDescent="0.25">
      <c r="F31" t="s">
        <v>31</v>
      </c>
      <c r="L31" s="4" t="s">
        <v>15</v>
      </c>
      <c r="M31" s="1">
        <v>3</v>
      </c>
      <c r="N31" s="1">
        <v>1</v>
      </c>
      <c r="O31" s="1">
        <v>1</v>
      </c>
      <c r="Q31" s="1">
        <v>0</v>
      </c>
      <c r="AA31" s="21"/>
    </row>
    <row r="32" spans="2:37" x14ac:dyDescent="0.25">
      <c r="F32" t="s">
        <v>30</v>
      </c>
      <c r="L32" s="4" t="s">
        <v>40</v>
      </c>
      <c r="Q32" s="1">
        <v>0.05</v>
      </c>
      <c r="S32" s="19">
        <f>Q32*Q36</f>
        <v>1</v>
      </c>
      <c r="T32" s="18" t="s">
        <v>55</v>
      </c>
      <c r="U32" s="18"/>
      <c r="V32" s="18"/>
      <c r="W32" s="18"/>
      <c r="X32" s="18"/>
      <c r="Y32" s="18"/>
      <c r="Z32" s="18"/>
      <c r="AA32" s="21"/>
    </row>
    <row r="33" spans="2:27" x14ac:dyDescent="0.25">
      <c r="L33" s="4" t="s">
        <v>41</v>
      </c>
      <c r="Q33" s="1">
        <v>1</v>
      </c>
      <c r="S33" s="19">
        <f>Q33*Q36</f>
        <v>20</v>
      </c>
      <c r="T33" s="18" t="s">
        <v>54</v>
      </c>
      <c r="U33" s="18"/>
      <c r="V33" s="18"/>
      <c r="W33" s="18"/>
      <c r="X33" s="18"/>
      <c r="Y33" s="18"/>
      <c r="Z33" s="18"/>
      <c r="AA33" s="21"/>
    </row>
    <row r="34" spans="2:27" x14ac:dyDescent="0.25">
      <c r="L34" s="4" t="s">
        <v>42</v>
      </c>
      <c r="Q34" s="1">
        <v>0.4</v>
      </c>
      <c r="S34" s="19">
        <f>Q36*Q34</f>
        <v>8</v>
      </c>
      <c r="T34" s="18" t="s">
        <v>52</v>
      </c>
      <c r="U34" s="18"/>
      <c r="V34" s="18"/>
      <c r="W34" s="18"/>
      <c r="X34" s="18"/>
      <c r="Y34" s="18"/>
      <c r="Z34" s="18"/>
      <c r="AA34" s="21"/>
    </row>
    <row r="35" spans="2:27" x14ac:dyDescent="0.25">
      <c r="L35" s="4" t="s">
        <v>51</v>
      </c>
      <c r="Q35" s="1">
        <v>0.6</v>
      </c>
      <c r="U35" s="18"/>
      <c r="V35" s="18"/>
      <c r="W35" s="18"/>
      <c r="X35" s="18"/>
      <c r="Y35" s="18"/>
      <c r="Z35" s="18"/>
      <c r="AA35" s="21"/>
    </row>
    <row r="36" spans="2:27" x14ac:dyDescent="0.25">
      <c r="L36" s="4" t="s">
        <v>45</v>
      </c>
      <c r="M36" s="1">
        <v>20</v>
      </c>
      <c r="N36" s="1">
        <v>20</v>
      </c>
      <c r="O36" s="1">
        <v>20</v>
      </c>
      <c r="Q36" s="1">
        <v>20</v>
      </c>
      <c r="AA36" s="21"/>
    </row>
    <row r="37" spans="2:27" x14ac:dyDescent="0.25">
      <c r="L37" s="4" t="s">
        <v>58</v>
      </c>
      <c r="Q37" s="1">
        <v>-3</v>
      </c>
      <c r="AA37" s="21"/>
    </row>
    <row r="38" spans="2:27" x14ac:dyDescent="0.25">
      <c r="L38" s="4" t="s">
        <v>59</v>
      </c>
      <c r="Q38" s="1">
        <v>3</v>
      </c>
    </row>
    <row r="40" spans="2:27" x14ac:dyDescent="0.25">
      <c r="H40" s="3" t="s">
        <v>24</v>
      </c>
      <c r="M40" s="3" t="s">
        <v>25</v>
      </c>
    </row>
    <row r="41" spans="2:27" x14ac:dyDescent="0.25">
      <c r="B41" t="s">
        <v>21</v>
      </c>
      <c r="H41" s="132">
        <v>1</v>
      </c>
      <c r="I41" s="132">
        <v>0</v>
      </c>
      <c r="J41" s="132">
        <v>0</v>
      </c>
      <c r="K41" s="132">
        <v>0</v>
      </c>
      <c r="M41" s="132">
        <v>1</v>
      </c>
      <c r="N41" s="132">
        <v>0</v>
      </c>
      <c r="O41" s="132">
        <v>0</v>
      </c>
      <c r="P41" s="132">
        <v>0</v>
      </c>
      <c r="Q41" s="132">
        <v>0</v>
      </c>
    </row>
    <row r="42" spans="2:27" x14ac:dyDescent="0.25">
      <c r="B42" t="s">
        <v>22</v>
      </c>
      <c r="H42" s="132">
        <v>0</v>
      </c>
      <c r="I42" s="132">
        <v>4</v>
      </c>
      <c r="J42" s="132">
        <v>6</v>
      </c>
      <c r="K42" s="132">
        <v>5</v>
      </c>
      <c r="M42" s="132">
        <v>0</v>
      </c>
      <c r="N42" s="132">
        <v>4</v>
      </c>
      <c r="O42" s="132">
        <v>5</v>
      </c>
      <c r="P42" s="132">
        <v>6</v>
      </c>
      <c r="Q42" s="132">
        <v>-2</v>
      </c>
    </row>
    <row r="43" spans="2:27" x14ac:dyDescent="0.25">
      <c r="B43" t="s">
        <v>23</v>
      </c>
      <c r="H43" s="132">
        <v>0</v>
      </c>
      <c r="I43" s="132">
        <v>6</v>
      </c>
      <c r="J43" s="132">
        <v>0</v>
      </c>
      <c r="K43" s="132">
        <v>0</v>
      </c>
      <c r="M43" s="132">
        <v>0</v>
      </c>
      <c r="N43" s="132">
        <v>6</v>
      </c>
      <c r="O43" s="132">
        <v>0</v>
      </c>
      <c r="P43" s="132">
        <v>0</v>
      </c>
      <c r="Q43" s="132">
        <v>-3</v>
      </c>
    </row>
    <row r="44" spans="2:27" x14ac:dyDescent="0.25">
      <c r="B44" t="s">
        <v>36</v>
      </c>
      <c r="H44" s="132">
        <v>0</v>
      </c>
      <c r="I44" s="132">
        <v>2</v>
      </c>
      <c r="J44" s="132">
        <v>6</v>
      </c>
      <c r="K44" s="132">
        <v>5</v>
      </c>
      <c r="M44" s="132">
        <v>0</v>
      </c>
      <c r="N44" s="132">
        <v>2</v>
      </c>
      <c r="O44" s="132">
        <v>5</v>
      </c>
      <c r="P44" s="132">
        <v>6</v>
      </c>
      <c r="Q44" s="132">
        <v>0</v>
      </c>
    </row>
    <row r="45" spans="2:27" x14ac:dyDescent="0.25">
      <c r="B45" t="s">
        <v>37</v>
      </c>
      <c r="H45" s="132">
        <v>2</v>
      </c>
      <c r="I45" s="132">
        <v>0</v>
      </c>
      <c r="J45" s="132">
        <v>0</v>
      </c>
      <c r="K45" s="132">
        <v>0</v>
      </c>
      <c r="M45" s="132">
        <v>2</v>
      </c>
      <c r="N45" s="132">
        <v>0</v>
      </c>
      <c r="O45" s="132">
        <v>0</v>
      </c>
      <c r="P45" s="132">
        <v>0</v>
      </c>
      <c r="Q45" s="132">
        <v>0</v>
      </c>
    </row>
    <row r="47" spans="2:27" x14ac:dyDescent="0.25">
      <c r="M47" s="3" t="s">
        <v>88</v>
      </c>
      <c r="P47" s="2"/>
      <c r="Q47" s="3" t="s">
        <v>32</v>
      </c>
    </row>
    <row r="48" spans="2:27" x14ac:dyDescent="0.25">
      <c r="B48" t="s">
        <v>21</v>
      </c>
      <c r="M48" s="7" cm="1">
        <f t="array" ref="M48:O52">M19:O23*M36:O36</f>
        <v>18</v>
      </c>
      <c r="N48" s="7">
        <v>0</v>
      </c>
      <c r="O48" s="7">
        <v>20</v>
      </c>
      <c r="P48" s="2"/>
      <c r="Q48" s="22" cm="1">
        <f t="array" ref="Q48:Q52">S34-MMULT(AA25:AE29,P41:P45+Q41:Q45)</f>
        <v>8</v>
      </c>
    </row>
    <row r="49" spans="2:17" x14ac:dyDescent="0.25">
      <c r="B49" t="s">
        <v>22</v>
      </c>
      <c r="M49" s="7">
        <v>18</v>
      </c>
      <c r="N49" s="7">
        <v>4</v>
      </c>
      <c r="O49" s="7">
        <v>20</v>
      </c>
      <c r="P49" s="2"/>
      <c r="Q49" s="7">
        <v>4</v>
      </c>
    </row>
    <row r="50" spans="2:17" x14ac:dyDescent="0.25">
      <c r="B50" t="s">
        <v>23</v>
      </c>
      <c r="M50" s="7">
        <v>18</v>
      </c>
      <c r="N50" s="7">
        <v>10</v>
      </c>
      <c r="O50" s="7">
        <v>20</v>
      </c>
      <c r="P50" s="2"/>
      <c r="Q50" s="7">
        <v>7</v>
      </c>
    </row>
    <row r="51" spans="2:17" x14ac:dyDescent="0.25">
      <c r="B51" t="s">
        <v>36</v>
      </c>
      <c r="M51" s="7">
        <v>18</v>
      </c>
      <c r="N51" s="7">
        <v>6</v>
      </c>
      <c r="O51" s="7">
        <v>20</v>
      </c>
      <c r="P51" s="2"/>
      <c r="Q51" s="7">
        <v>1</v>
      </c>
    </row>
    <row r="52" spans="2:17" x14ac:dyDescent="0.25">
      <c r="B52" t="s">
        <v>37</v>
      </c>
      <c r="M52" s="7">
        <v>18</v>
      </c>
      <c r="N52" s="7">
        <v>0</v>
      </c>
      <c r="O52" s="7">
        <v>20</v>
      </c>
      <c r="P52" s="2"/>
      <c r="Q52" s="7">
        <v>1</v>
      </c>
    </row>
    <row r="53" spans="2:17" x14ac:dyDescent="0.25">
      <c r="P53" s="2"/>
    </row>
    <row r="54" spans="2:17" x14ac:dyDescent="0.25">
      <c r="M54" s="3" t="s">
        <v>89</v>
      </c>
    </row>
    <row r="55" spans="2:17" x14ac:dyDescent="0.25">
      <c r="B55" t="s">
        <v>21</v>
      </c>
      <c r="M55" s="7" cm="1">
        <f t="array" ref="M55:O59">M25:O29*M36:O36</f>
        <v>0</v>
      </c>
      <c r="N55" s="7">
        <v>0</v>
      </c>
      <c r="O55" s="7">
        <v>0</v>
      </c>
    </row>
    <row r="56" spans="2:17" x14ac:dyDescent="0.25">
      <c r="B56" t="s">
        <v>22</v>
      </c>
      <c r="M56" s="7">
        <v>0</v>
      </c>
      <c r="N56" s="7">
        <v>0</v>
      </c>
      <c r="O56" s="7">
        <v>0</v>
      </c>
    </row>
    <row r="57" spans="2:17" x14ac:dyDescent="0.25">
      <c r="B57" t="s">
        <v>23</v>
      </c>
      <c r="M57" s="7">
        <v>0</v>
      </c>
      <c r="N57" s="7">
        <v>0</v>
      </c>
      <c r="O57" s="7">
        <v>0</v>
      </c>
    </row>
    <row r="58" spans="2:17" x14ac:dyDescent="0.25">
      <c r="B58" t="s">
        <v>36</v>
      </c>
      <c r="M58" s="7">
        <v>0</v>
      </c>
      <c r="N58" s="7">
        <v>0</v>
      </c>
      <c r="O58" s="7">
        <v>0</v>
      </c>
    </row>
    <row r="59" spans="2:17" x14ac:dyDescent="0.25">
      <c r="B59" t="s">
        <v>37</v>
      </c>
      <c r="M59" s="7">
        <v>0</v>
      </c>
      <c r="N59" s="7">
        <v>0</v>
      </c>
      <c r="O59" s="7">
        <v>0</v>
      </c>
    </row>
  </sheetData>
  <hyperlinks>
    <hyperlink ref="A1" location="Contents!A1" display="Back to contents" xr:uid="{C0A4E1DD-BEA7-4EB1-B0D7-FF395E6997B7}"/>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17B95-7FEB-42AC-9A63-D735B9A72F83}">
  <sheetPr>
    <tabColor theme="8" tint="0.59999389629810485"/>
  </sheetPr>
  <dimension ref="A1:AK59"/>
  <sheetViews>
    <sheetView showGridLines="0" workbookViewId="0">
      <selection activeCell="F11" sqref="F11"/>
    </sheetView>
  </sheetViews>
  <sheetFormatPr defaultRowHeight="15" x14ac:dyDescent="0.25"/>
  <cols>
    <col min="1" max="5" width="7.140625" customWidth="1"/>
    <col min="6" max="6" width="11.28515625" bestFit="1" customWidth="1"/>
    <col min="7" max="7" width="5.42578125" customWidth="1"/>
    <col min="8" max="17" width="6.5703125" customWidth="1"/>
    <col min="18" max="18" width="6.42578125" customWidth="1"/>
    <col min="19" max="19" width="7.5703125" customWidth="1"/>
    <col min="21" max="37" width="6" customWidth="1"/>
    <col min="38" max="39" width="7" customWidth="1"/>
  </cols>
  <sheetData>
    <row r="1" spans="1:37" x14ac:dyDescent="0.25">
      <c r="A1" s="97" t="s">
        <v>285</v>
      </c>
    </row>
    <row r="2" spans="1:37" x14ac:dyDescent="0.25">
      <c r="A2" s="5" t="s">
        <v>16</v>
      </c>
      <c r="B2" s="5"/>
      <c r="C2" s="5"/>
      <c r="D2" s="5"/>
      <c r="E2" s="5"/>
      <c r="F2" s="5"/>
    </row>
    <row r="3" spans="1:37" x14ac:dyDescent="0.25">
      <c r="A3" s="5"/>
      <c r="B3" s="5" t="s">
        <v>29</v>
      </c>
      <c r="C3" s="5"/>
      <c r="D3" s="5"/>
      <c r="E3" s="5"/>
      <c r="F3" s="5"/>
      <c r="U3" t="s">
        <v>21</v>
      </c>
      <c r="V3" t="s">
        <v>22</v>
      </c>
      <c r="W3" t="s">
        <v>23</v>
      </c>
      <c r="X3" t="s">
        <v>36</v>
      </c>
      <c r="Y3" t="s">
        <v>37</v>
      </c>
      <c r="AA3" t="s">
        <v>21</v>
      </c>
      <c r="AB3" t="s">
        <v>22</v>
      </c>
      <c r="AC3" t="s">
        <v>23</v>
      </c>
      <c r="AD3" t="s">
        <v>36</v>
      </c>
      <c r="AE3" t="s">
        <v>37</v>
      </c>
      <c r="AG3" t="s">
        <v>21</v>
      </c>
      <c r="AH3" t="s">
        <v>22</v>
      </c>
      <c r="AI3" t="s">
        <v>23</v>
      </c>
      <c r="AJ3" t="s">
        <v>36</v>
      </c>
      <c r="AK3" t="s">
        <v>37</v>
      </c>
    </row>
    <row r="4" spans="1:37" x14ac:dyDescent="0.25">
      <c r="A4" s="5"/>
      <c r="B4" s="5"/>
      <c r="C4" s="5" t="s">
        <v>0</v>
      </c>
      <c r="D4" s="5"/>
      <c r="E4" s="5"/>
      <c r="F4" s="5"/>
      <c r="H4" t="s">
        <v>11</v>
      </c>
      <c r="I4" t="s">
        <v>12</v>
      </c>
      <c r="J4" t="s">
        <v>78</v>
      </c>
      <c r="K4" t="s">
        <v>4</v>
      </c>
    </row>
    <row r="5" spans="1:37" x14ac:dyDescent="0.25">
      <c r="A5" s="5"/>
      <c r="B5" s="5"/>
      <c r="C5" s="5"/>
      <c r="D5" s="5" t="s">
        <v>1</v>
      </c>
      <c r="E5" s="5"/>
      <c r="F5" s="5"/>
      <c r="M5" t="s">
        <v>7</v>
      </c>
      <c r="N5" t="s">
        <v>9</v>
      </c>
      <c r="O5" t="s">
        <v>10</v>
      </c>
      <c r="P5" t="s">
        <v>79</v>
      </c>
      <c r="Q5" t="s">
        <v>80</v>
      </c>
      <c r="S5" t="s">
        <v>20</v>
      </c>
    </row>
    <row r="6" spans="1:37" x14ac:dyDescent="0.25">
      <c r="A6" s="5"/>
      <c r="B6" s="5"/>
      <c r="C6" s="5"/>
      <c r="D6" s="5"/>
      <c r="E6" s="5" t="s">
        <v>26</v>
      </c>
      <c r="F6" s="5"/>
      <c r="H6" t="s">
        <v>27</v>
      </c>
      <c r="I6" t="s">
        <v>27</v>
      </c>
      <c r="J6" t="s">
        <v>27</v>
      </c>
      <c r="K6" t="s">
        <v>27</v>
      </c>
      <c r="M6" t="s">
        <v>27</v>
      </c>
      <c r="N6" t="s">
        <v>27</v>
      </c>
      <c r="O6" t="s">
        <v>27</v>
      </c>
      <c r="P6" t="s">
        <v>27</v>
      </c>
      <c r="Q6" t="s">
        <v>27</v>
      </c>
    </row>
    <row r="7" spans="1:37" x14ac:dyDescent="0.25">
      <c r="A7" s="5"/>
      <c r="B7" s="5"/>
      <c r="C7" s="5"/>
      <c r="D7" s="5"/>
      <c r="E7" s="5"/>
      <c r="F7" s="5" t="s">
        <v>2</v>
      </c>
      <c r="H7" t="s">
        <v>81</v>
      </c>
      <c r="I7" t="s">
        <v>82</v>
      </c>
      <c r="Q7" t="s">
        <v>83</v>
      </c>
      <c r="S7" t="s">
        <v>8</v>
      </c>
    </row>
    <row r="8" spans="1:37" x14ac:dyDescent="0.25">
      <c r="A8" s="5"/>
      <c r="B8" s="5"/>
      <c r="C8" s="5"/>
      <c r="D8" s="5"/>
      <c r="E8" s="5"/>
      <c r="F8" s="5"/>
    </row>
    <row r="9" spans="1:37" x14ac:dyDescent="0.25">
      <c r="H9" s="3" t="s">
        <v>28</v>
      </c>
      <c r="M9" s="3" t="s">
        <v>5</v>
      </c>
      <c r="S9" s="3" t="s">
        <v>14</v>
      </c>
      <c r="U9" s="3" t="s">
        <v>43</v>
      </c>
      <c r="AA9" s="3" t="s">
        <v>47</v>
      </c>
      <c r="AG9" s="3" t="s">
        <v>50</v>
      </c>
    </row>
    <row r="10" spans="1:37" x14ac:dyDescent="0.25">
      <c r="D10" t="s">
        <v>3</v>
      </c>
      <c r="E10" t="s">
        <v>27</v>
      </c>
      <c r="F10" t="s">
        <v>19</v>
      </c>
      <c r="H10" s="6">
        <v>1</v>
      </c>
      <c r="I10" s="6">
        <v>1</v>
      </c>
      <c r="J10" s="6">
        <v>0</v>
      </c>
      <c r="K10" s="6">
        <v>0</v>
      </c>
      <c r="M10" s="1">
        <v>0</v>
      </c>
      <c r="N10" s="1">
        <v>0</v>
      </c>
      <c r="O10" s="1">
        <v>0</v>
      </c>
      <c r="P10" s="1">
        <v>0</v>
      </c>
      <c r="Q10" s="1">
        <v>-1</v>
      </c>
      <c r="S10" s="1">
        <v>10</v>
      </c>
      <c r="U10" s="1">
        <v>0.1</v>
      </c>
      <c r="V10" s="1">
        <v>0.2</v>
      </c>
      <c r="W10" s="1">
        <v>0.3</v>
      </c>
      <c r="X10" s="1">
        <v>0.2</v>
      </c>
      <c r="Y10" s="1">
        <v>0.2</v>
      </c>
      <c r="AA10" s="7" cm="1">
        <f t="array" ref="AA10:AE12">MMULT(H10:K12,TRANSPOSE(H41:K45))</f>
        <v>0</v>
      </c>
      <c r="AB10" s="7">
        <v>4</v>
      </c>
      <c r="AC10" s="7">
        <v>6</v>
      </c>
      <c r="AD10" s="7">
        <v>5</v>
      </c>
      <c r="AE10" s="7">
        <v>0</v>
      </c>
      <c r="AG10" s="30" cm="1">
        <f t="array" ref="AG10:AK12">AA10:AE12-AA14:AE16-AA18:AE20</f>
        <v>0</v>
      </c>
      <c r="AH10" s="31">
        <v>0</v>
      </c>
      <c r="AI10" s="31">
        <v>0</v>
      </c>
      <c r="AJ10" s="31">
        <v>0</v>
      </c>
      <c r="AK10" s="32">
        <v>0</v>
      </c>
    </row>
    <row r="11" spans="1:37" x14ac:dyDescent="0.25">
      <c r="D11" t="s">
        <v>78</v>
      </c>
      <c r="E11" t="s">
        <v>27</v>
      </c>
      <c r="F11" t="s">
        <v>84</v>
      </c>
      <c r="H11" s="6">
        <v>0</v>
      </c>
      <c r="I11" s="6">
        <v>0</v>
      </c>
      <c r="J11" s="6">
        <v>1</v>
      </c>
      <c r="K11" s="6">
        <v>0</v>
      </c>
      <c r="M11" s="1">
        <v>0</v>
      </c>
      <c r="N11" s="1">
        <v>0</v>
      </c>
      <c r="O11" s="23">
        <v>1.2</v>
      </c>
      <c r="P11" s="1">
        <v>0</v>
      </c>
      <c r="Q11" s="1">
        <v>0</v>
      </c>
      <c r="S11" s="1">
        <v>0</v>
      </c>
      <c r="U11" s="1">
        <v>0</v>
      </c>
      <c r="V11" s="1">
        <v>0</v>
      </c>
      <c r="W11" s="1">
        <v>0</v>
      </c>
      <c r="X11" s="1">
        <v>0</v>
      </c>
      <c r="Y11" s="1">
        <v>0</v>
      </c>
      <c r="AA11" s="7">
        <v>0</v>
      </c>
      <c r="AB11" s="7">
        <v>6</v>
      </c>
      <c r="AC11" s="7">
        <v>0</v>
      </c>
      <c r="AD11" s="7">
        <v>6</v>
      </c>
      <c r="AE11" s="7">
        <v>0</v>
      </c>
      <c r="AG11" s="33">
        <v>0</v>
      </c>
      <c r="AH11">
        <v>0</v>
      </c>
      <c r="AI11">
        <v>0</v>
      </c>
      <c r="AJ11">
        <v>0</v>
      </c>
      <c r="AK11" s="2">
        <v>0</v>
      </c>
    </row>
    <row r="12" spans="1:37" x14ac:dyDescent="0.25">
      <c r="D12" t="s">
        <v>4</v>
      </c>
      <c r="E12" t="s">
        <v>27</v>
      </c>
      <c r="F12" t="s">
        <v>85</v>
      </c>
      <c r="H12" s="6">
        <v>0</v>
      </c>
      <c r="I12" s="6">
        <v>0</v>
      </c>
      <c r="J12" s="6">
        <v>0</v>
      </c>
      <c r="K12" s="6">
        <v>1</v>
      </c>
      <c r="M12" s="1">
        <v>0</v>
      </c>
      <c r="N12" s="1">
        <v>0</v>
      </c>
      <c r="O12" s="1">
        <v>0</v>
      </c>
      <c r="P12" s="1">
        <v>0</v>
      </c>
      <c r="Q12" s="1">
        <v>0</v>
      </c>
      <c r="S12" s="1">
        <v>10</v>
      </c>
      <c r="U12" s="1">
        <v>0</v>
      </c>
      <c r="V12" s="1">
        <v>0.5</v>
      </c>
      <c r="W12" s="1">
        <v>0</v>
      </c>
      <c r="X12" s="1">
        <v>0.5</v>
      </c>
      <c r="Y12" s="1">
        <v>0</v>
      </c>
      <c r="AA12" s="7">
        <v>0</v>
      </c>
      <c r="AB12" s="7">
        <v>5</v>
      </c>
      <c r="AC12" s="7">
        <v>0</v>
      </c>
      <c r="AD12" s="7">
        <v>5</v>
      </c>
      <c r="AE12" s="7">
        <v>0</v>
      </c>
      <c r="AG12" s="34">
        <v>0</v>
      </c>
      <c r="AH12" s="35">
        <v>0</v>
      </c>
      <c r="AI12" s="35">
        <v>0</v>
      </c>
      <c r="AJ12" s="35">
        <v>0</v>
      </c>
      <c r="AK12" s="36">
        <v>0</v>
      </c>
    </row>
    <row r="13" spans="1:37" x14ac:dyDescent="0.25">
      <c r="H13" s="3" t="s">
        <v>6</v>
      </c>
      <c r="AA13" s="3" t="s">
        <v>48</v>
      </c>
      <c r="AG13" s="3" t="s">
        <v>57</v>
      </c>
    </row>
    <row r="14" spans="1:37" x14ac:dyDescent="0.25">
      <c r="D14" t="s">
        <v>7</v>
      </c>
      <c r="E14" t="s">
        <v>27</v>
      </c>
      <c r="F14" t="s">
        <v>18</v>
      </c>
      <c r="H14" s="1">
        <v>1</v>
      </c>
      <c r="I14" s="1">
        <v>0</v>
      </c>
      <c r="J14" s="1">
        <v>0</v>
      </c>
      <c r="K14" s="1">
        <v>0</v>
      </c>
      <c r="R14" s="3"/>
      <c r="S14" s="3" t="s">
        <v>273</v>
      </c>
      <c r="AA14" s="7" cm="1">
        <f t="array" ref="AA14:AE16">MMULT(M10:Q12,TRANSPOSE(M41:Q45))</f>
        <v>-1</v>
      </c>
      <c r="AB14" s="7">
        <v>2</v>
      </c>
      <c r="AC14" s="7">
        <v>3</v>
      </c>
      <c r="AD14" s="7">
        <v>3</v>
      </c>
      <c r="AE14" s="7">
        <v>-2</v>
      </c>
      <c r="AG14" s="30" cm="1">
        <f t="array" ref="AG14:AK17">TRANSPOSE(M41:P45)-MMULT(H14:K17,TRANSPOSE(H41:K45))</f>
        <v>0</v>
      </c>
      <c r="AH14" s="31">
        <v>0</v>
      </c>
      <c r="AI14" s="31">
        <v>0</v>
      </c>
      <c r="AJ14" s="31">
        <v>0</v>
      </c>
      <c r="AK14" s="32">
        <v>0</v>
      </c>
    </row>
    <row r="15" spans="1:37" x14ac:dyDescent="0.25">
      <c r="D15" t="s">
        <v>9</v>
      </c>
      <c r="E15" t="s">
        <v>27</v>
      </c>
      <c r="F15" t="s">
        <v>17</v>
      </c>
      <c r="H15" s="1">
        <v>0</v>
      </c>
      <c r="I15" s="1">
        <v>1</v>
      </c>
      <c r="J15" s="1">
        <v>0</v>
      </c>
      <c r="K15" s="1">
        <v>0</v>
      </c>
      <c r="S15" s="101" cm="1">
        <f t="array" ref="S15">SUM(MMULT(M41:Q45,M31:Q31*_xlfn.MUNIT(5)))</f>
        <v>25</v>
      </c>
      <c r="AA15" s="7">
        <v>0</v>
      </c>
      <c r="AB15" s="7">
        <v>6</v>
      </c>
      <c r="AC15" s="7">
        <v>0</v>
      </c>
      <c r="AD15" s="7">
        <v>6</v>
      </c>
      <c r="AE15" s="7">
        <v>0</v>
      </c>
      <c r="AG15" s="33">
        <v>0</v>
      </c>
      <c r="AH15">
        <v>0</v>
      </c>
      <c r="AI15">
        <v>0</v>
      </c>
      <c r="AJ15">
        <v>0</v>
      </c>
      <c r="AK15" s="2">
        <v>0</v>
      </c>
    </row>
    <row r="16" spans="1:37" x14ac:dyDescent="0.25">
      <c r="D16" t="s">
        <v>10</v>
      </c>
      <c r="E16" t="s">
        <v>27</v>
      </c>
      <c r="F16" t="s">
        <v>86</v>
      </c>
      <c r="H16" s="1">
        <v>0</v>
      </c>
      <c r="I16" s="1">
        <v>0</v>
      </c>
      <c r="J16" s="1">
        <v>0</v>
      </c>
      <c r="K16" s="1">
        <v>1</v>
      </c>
      <c r="AA16" s="7">
        <v>0</v>
      </c>
      <c r="AB16" s="7">
        <v>0</v>
      </c>
      <c r="AC16" s="7">
        <v>0</v>
      </c>
      <c r="AD16" s="7">
        <v>0</v>
      </c>
      <c r="AE16" s="7">
        <v>0</v>
      </c>
      <c r="AG16" s="33">
        <v>0</v>
      </c>
      <c r="AH16">
        <v>0</v>
      </c>
      <c r="AI16">
        <v>0</v>
      </c>
      <c r="AJ16">
        <v>0</v>
      </c>
      <c r="AK16" s="2">
        <v>0</v>
      </c>
    </row>
    <row r="17" spans="2:37" x14ac:dyDescent="0.25">
      <c r="D17" t="s">
        <v>79</v>
      </c>
      <c r="E17" t="s">
        <v>27</v>
      </c>
      <c r="F17" t="s">
        <v>87</v>
      </c>
      <c r="H17" s="1">
        <v>0</v>
      </c>
      <c r="I17" s="1">
        <v>0</v>
      </c>
      <c r="J17" s="1">
        <v>1</v>
      </c>
      <c r="K17" s="1">
        <v>0</v>
      </c>
      <c r="AA17" s="3" t="s">
        <v>49</v>
      </c>
      <c r="AG17" s="34">
        <v>0</v>
      </c>
      <c r="AH17" s="35">
        <v>0</v>
      </c>
      <c r="AI17" s="35">
        <v>0</v>
      </c>
      <c r="AJ17" s="35">
        <v>0</v>
      </c>
      <c r="AK17" s="36">
        <v>0</v>
      </c>
    </row>
    <row r="18" spans="2:37" x14ac:dyDescent="0.25">
      <c r="AA18" s="7" cm="1">
        <f t="array" ref="AA18:AE20">S10:S12*U10:Y12</f>
        <v>1</v>
      </c>
      <c r="AB18" s="7">
        <v>2</v>
      </c>
      <c r="AC18" s="7">
        <v>3</v>
      </c>
      <c r="AD18" s="7">
        <v>2</v>
      </c>
      <c r="AE18" s="7">
        <v>2</v>
      </c>
    </row>
    <row r="19" spans="2:37" x14ac:dyDescent="0.25">
      <c r="B19" t="s">
        <v>21</v>
      </c>
      <c r="F19" t="s">
        <v>38</v>
      </c>
      <c r="M19" s="1">
        <v>0.9</v>
      </c>
      <c r="N19" s="1">
        <v>0</v>
      </c>
      <c r="O19" s="1">
        <v>1</v>
      </c>
      <c r="AA19" s="7">
        <v>0</v>
      </c>
      <c r="AB19" s="7">
        <v>0</v>
      </c>
      <c r="AC19" s="7">
        <v>0</v>
      </c>
      <c r="AD19" s="7">
        <v>0</v>
      </c>
      <c r="AE19" s="7">
        <v>0</v>
      </c>
    </row>
    <row r="20" spans="2:37" x14ac:dyDescent="0.25">
      <c r="B20" t="s">
        <v>22</v>
      </c>
      <c r="M20" s="1">
        <v>0.9</v>
      </c>
      <c r="N20" s="1">
        <v>0.2</v>
      </c>
      <c r="O20" s="1">
        <v>1</v>
      </c>
      <c r="AA20" s="7">
        <v>0</v>
      </c>
      <c r="AB20" s="7">
        <v>5</v>
      </c>
      <c r="AC20" s="7">
        <v>0</v>
      </c>
      <c r="AD20" s="7">
        <v>5</v>
      </c>
      <c r="AE20" s="7">
        <v>0</v>
      </c>
    </row>
    <row r="21" spans="2:37" x14ac:dyDescent="0.25">
      <c r="B21" t="s">
        <v>23</v>
      </c>
      <c r="M21" s="1">
        <v>0.9</v>
      </c>
      <c r="N21" s="1">
        <v>0.5</v>
      </c>
      <c r="O21" s="1">
        <v>1</v>
      </c>
    </row>
    <row r="22" spans="2:37" x14ac:dyDescent="0.25">
      <c r="B22" t="s">
        <v>36</v>
      </c>
      <c r="M22" s="1">
        <v>0.9</v>
      </c>
      <c r="N22" s="1">
        <v>0.3</v>
      </c>
      <c r="O22" s="1">
        <v>1</v>
      </c>
      <c r="AA22" s="21"/>
    </row>
    <row r="23" spans="2:37" x14ac:dyDescent="0.25">
      <c r="B23" t="s">
        <v>37</v>
      </c>
      <c r="M23" s="1">
        <v>0.9</v>
      </c>
      <c r="N23" s="1">
        <v>0</v>
      </c>
      <c r="O23" s="1">
        <v>1</v>
      </c>
      <c r="AA23" s="21"/>
    </row>
    <row r="24" spans="2:37" x14ac:dyDescent="0.25">
      <c r="AA24" s="3" t="s">
        <v>33</v>
      </c>
    </row>
    <row r="25" spans="2:37" x14ac:dyDescent="0.25">
      <c r="B25" t="s">
        <v>21</v>
      </c>
      <c r="F25" t="s">
        <v>39</v>
      </c>
      <c r="M25" s="1">
        <v>0</v>
      </c>
      <c r="N25" s="1">
        <v>0</v>
      </c>
      <c r="O25" s="1">
        <v>0</v>
      </c>
      <c r="AA25" s="6">
        <v>1</v>
      </c>
      <c r="AB25" s="6">
        <v>0</v>
      </c>
      <c r="AC25" s="6">
        <v>0</v>
      </c>
      <c r="AD25" s="6">
        <v>0</v>
      </c>
      <c r="AE25" s="6">
        <v>0</v>
      </c>
    </row>
    <row r="26" spans="2:37" x14ac:dyDescent="0.25">
      <c r="B26" t="s">
        <v>22</v>
      </c>
      <c r="M26" s="1">
        <v>0</v>
      </c>
      <c r="N26" s="1">
        <v>0.1</v>
      </c>
      <c r="O26" s="1">
        <v>0</v>
      </c>
      <c r="AA26" s="6">
        <v>1</v>
      </c>
      <c r="AB26" s="6">
        <v>1</v>
      </c>
      <c r="AC26" s="6">
        <v>0</v>
      </c>
      <c r="AD26" s="6">
        <v>0</v>
      </c>
      <c r="AE26" s="6">
        <v>0</v>
      </c>
    </row>
    <row r="27" spans="2:37" x14ac:dyDescent="0.25">
      <c r="B27" t="s">
        <v>23</v>
      </c>
      <c r="M27" s="1">
        <v>0</v>
      </c>
      <c r="N27" s="1">
        <v>0.3</v>
      </c>
      <c r="O27" s="1">
        <v>0</v>
      </c>
      <c r="AA27" s="6">
        <v>1</v>
      </c>
      <c r="AB27" s="6">
        <v>1</v>
      </c>
      <c r="AC27" s="6">
        <v>1</v>
      </c>
      <c r="AD27" s="6">
        <v>0</v>
      </c>
      <c r="AE27" s="6">
        <v>0</v>
      </c>
    </row>
    <row r="28" spans="2:37" x14ac:dyDescent="0.25">
      <c r="B28" t="s">
        <v>36</v>
      </c>
      <c r="M28" s="1">
        <v>0</v>
      </c>
      <c r="N28" s="1">
        <v>0.2</v>
      </c>
      <c r="O28" s="1">
        <v>0</v>
      </c>
      <c r="AA28" s="6">
        <v>1</v>
      </c>
      <c r="AB28" s="6">
        <v>1</v>
      </c>
      <c r="AC28" s="6">
        <v>1</v>
      </c>
      <c r="AD28" s="6">
        <v>1</v>
      </c>
      <c r="AE28" s="6">
        <v>0</v>
      </c>
    </row>
    <row r="29" spans="2:37" x14ac:dyDescent="0.25">
      <c r="B29" t="s">
        <v>37</v>
      </c>
      <c r="M29" s="1">
        <v>0</v>
      </c>
      <c r="N29" s="1">
        <v>0</v>
      </c>
      <c r="O29" s="1">
        <v>0</v>
      </c>
      <c r="AA29" s="6">
        <v>1</v>
      </c>
      <c r="AB29" s="6">
        <v>1</v>
      </c>
      <c r="AC29" s="6">
        <v>1</v>
      </c>
      <c r="AD29" s="6">
        <v>1</v>
      </c>
      <c r="AE29" s="6">
        <v>1</v>
      </c>
    </row>
    <row r="30" spans="2:37" x14ac:dyDescent="0.25">
      <c r="AA30" s="21"/>
    </row>
    <row r="31" spans="2:37" x14ac:dyDescent="0.25">
      <c r="F31" t="s">
        <v>31</v>
      </c>
      <c r="L31" s="4" t="s">
        <v>15</v>
      </c>
      <c r="M31" s="1">
        <v>3</v>
      </c>
      <c r="N31" s="1">
        <v>1</v>
      </c>
      <c r="O31" s="1">
        <v>1</v>
      </c>
      <c r="P31" s="1">
        <v>0</v>
      </c>
      <c r="Q31" s="1">
        <v>0</v>
      </c>
      <c r="AA31" s="21"/>
    </row>
    <row r="32" spans="2:37" x14ac:dyDescent="0.25">
      <c r="F32" t="s">
        <v>30</v>
      </c>
      <c r="L32" s="4" t="s">
        <v>40</v>
      </c>
      <c r="Q32" s="1">
        <v>0.05</v>
      </c>
      <c r="S32" s="19">
        <f>Q32*Q36</f>
        <v>1</v>
      </c>
      <c r="T32" s="18" t="s">
        <v>55</v>
      </c>
      <c r="U32" s="18"/>
      <c r="V32" s="18"/>
      <c r="W32" s="18"/>
      <c r="X32" s="18"/>
      <c r="Y32" s="18"/>
      <c r="Z32" s="18"/>
      <c r="AA32" s="21"/>
    </row>
    <row r="33" spans="2:27" x14ac:dyDescent="0.25">
      <c r="L33" s="4" t="s">
        <v>41</v>
      </c>
      <c r="Q33" s="1">
        <v>1</v>
      </c>
      <c r="S33" s="19">
        <f>Q33*Q36</f>
        <v>20</v>
      </c>
      <c r="T33" s="18" t="s">
        <v>54</v>
      </c>
      <c r="U33" s="18"/>
      <c r="V33" s="18"/>
      <c r="W33" s="18"/>
      <c r="X33" s="18"/>
      <c r="Y33" s="18"/>
      <c r="Z33" s="18"/>
      <c r="AA33" s="21"/>
    </row>
    <row r="34" spans="2:27" x14ac:dyDescent="0.25">
      <c r="L34" s="4" t="s">
        <v>42</v>
      </c>
      <c r="Q34" s="1">
        <v>0.4</v>
      </c>
      <c r="S34" s="19">
        <f>Q36*Q34</f>
        <v>8</v>
      </c>
      <c r="T34" s="18" t="s">
        <v>52</v>
      </c>
      <c r="U34" s="18"/>
      <c r="V34" s="18"/>
      <c r="W34" s="18"/>
      <c r="X34" s="18"/>
      <c r="Y34" s="18"/>
      <c r="Z34" s="18"/>
      <c r="AA34" s="21"/>
    </row>
    <row r="35" spans="2:27" x14ac:dyDescent="0.25">
      <c r="L35" s="4" t="s">
        <v>51</v>
      </c>
      <c r="Q35" s="1">
        <v>0.6</v>
      </c>
      <c r="U35" s="18"/>
      <c r="V35" s="18"/>
      <c r="W35" s="18"/>
      <c r="X35" s="18"/>
      <c r="Y35" s="18"/>
      <c r="Z35" s="18"/>
      <c r="AA35" s="21"/>
    </row>
    <row r="36" spans="2:27" x14ac:dyDescent="0.25">
      <c r="L36" s="4" t="s">
        <v>45</v>
      </c>
      <c r="M36" s="1">
        <v>20</v>
      </c>
      <c r="N36" s="1">
        <v>20</v>
      </c>
      <c r="O36" s="1">
        <v>20</v>
      </c>
      <c r="Q36" s="1">
        <v>20</v>
      </c>
      <c r="AA36" s="21"/>
    </row>
    <row r="37" spans="2:27" x14ac:dyDescent="0.25">
      <c r="L37" s="4" t="s">
        <v>58</v>
      </c>
      <c r="Q37" s="1">
        <v>-3</v>
      </c>
      <c r="AA37" s="21"/>
    </row>
    <row r="38" spans="2:27" x14ac:dyDescent="0.25">
      <c r="L38" s="4" t="s">
        <v>59</v>
      </c>
      <c r="Q38" s="1">
        <v>3</v>
      </c>
    </row>
    <row r="40" spans="2:27" x14ac:dyDescent="0.25">
      <c r="H40" s="3" t="s">
        <v>24</v>
      </c>
      <c r="M40" s="3" t="s">
        <v>25</v>
      </c>
    </row>
    <row r="41" spans="2:27" x14ac:dyDescent="0.25">
      <c r="B41" t="s">
        <v>21</v>
      </c>
      <c r="H41" s="132">
        <v>0</v>
      </c>
      <c r="I41" s="132">
        <v>0</v>
      </c>
      <c r="J41" s="132">
        <v>0</v>
      </c>
      <c r="K41" s="132">
        <v>0</v>
      </c>
      <c r="M41" s="132">
        <v>0</v>
      </c>
      <c r="N41" s="132">
        <v>0</v>
      </c>
      <c r="O41" s="132">
        <v>0</v>
      </c>
      <c r="P41" s="132">
        <v>0</v>
      </c>
      <c r="Q41" s="132">
        <v>1</v>
      </c>
    </row>
    <row r="42" spans="2:27" x14ac:dyDescent="0.25">
      <c r="B42" t="s">
        <v>22</v>
      </c>
      <c r="H42" s="132">
        <v>0</v>
      </c>
      <c r="I42" s="132">
        <v>4</v>
      </c>
      <c r="J42" s="132">
        <v>6</v>
      </c>
      <c r="K42" s="132">
        <v>5</v>
      </c>
      <c r="M42" s="132">
        <v>0</v>
      </c>
      <c r="N42" s="132">
        <v>4</v>
      </c>
      <c r="O42" s="132">
        <v>5</v>
      </c>
      <c r="P42" s="132">
        <v>6</v>
      </c>
      <c r="Q42" s="132">
        <v>-2</v>
      </c>
    </row>
    <row r="43" spans="2:27" x14ac:dyDescent="0.25">
      <c r="B43" t="s">
        <v>23</v>
      </c>
      <c r="H43" s="132">
        <v>0</v>
      </c>
      <c r="I43" s="132">
        <v>6</v>
      </c>
      <c r="J43" s="132">
        <v>0</v>
      </c>
      <c r="K43" s="132">
        <v>0</v>
      </c>
      <c r="M43" s="132">
        <v>0</v>
      </c>
      <c r="N43" s="132">
        <v>6</v>
      </c>
      <c r="O43" s="132">
        <v>0</v>
      </c>
      <c r="P43" s="132">
        <v>0</v>
      </c>
      <c r="Q43" s="132">
        <v>-3</v>
      </c>
    </row>
    <row r="44" spans="2:27" x14ac:dyDescent="0.25">
      <c r="B44" t="s">
        <v>36</v>
      </c>
      <c r="H44" s="132">
        <v>0</v>
      </c>
      <c r="I44" s="132">
        <v>5</v>
      </c>
      <c r="J44" s="132">
        <v>6</v>
      </c>
      <c r="K44" s="132">
        <v>5</v>
      </c>
      <c r="M44" s="132">
        <v>0</v>
      </c>
      <c r="N44" s="132">
        <v>5</v>
      </c>
      <c r="O44" s="132">
        <v>5</v>
      </c>
      <c r="P44" s="132">
        <v>6</v>
      </c>
      <c r="Q44" s="132">
        <v>-3</v>
      </c>
    </row>
    <row r="45" spans="2:27" x14ac:dyDescent="0.25">
      <c r="B45" t="s">
        <v>37</v>
      </c>
      <c r="H45" s="132">
        <v>0</v>
      </c>
      <c r="I45" s="132">
        <v>0</v>
      </c>
      <c r="J45" s="132">
        <v>0</v>
      </c>
      <c r="K45" s="132">
        <v>0</v>
      </c>
      <c r="M45" s="132">
        <v>0</v>
      </c>
      <c r="N45" s="132">
        <v>0</v>
      </c>
      <c r="O45" s="132">
        <v>0</v>
      </c>
      <c r="P45" s="132">
        <v>0</v>
      </c>
      <c r="Q45" s="132">
        <v>2</v>
      </c>
    </row>
    <row r="47" spans="2:27" x14ac:dyDescent="0.25">
      <c r="M47" s="3" t="s">
        <v>88</v>
      </c>
      <c r="P47" s="2"/>
      <c r="Q47" s="3" t="s">
        <v>32</v>
      </c>
    </row>
    <row r="48" spans="2:27" x14ac:dyDescent="0.25">
      <c r="B48" t="s">
        <v>21</v>
      </c>
      <c r="M48" s="7" cm="1">
        <f t="array" ref="M48:O52">M19:O23*M36:O36</f>
        <v>18</v>
      </c>
      <c r="N48" s="7">
        <v>0</v>
      </c>
      <c r="O48" s="7">
        <v>20</v>
      </c>
      <c r="P48" s="2"/>
      <c r="Q48" s="22" cm="1">
        <f t="array" ref="Q48:Q52">S34-MMULT(AA25:AE29,P41:P45+Q41:Q45)</f>
        <v>7</v>
      </c>
    </row>
    <row r="49" spans="2:17" x14ac:dyDescent="0.25">
      <c r="B49" t="s">
        <v>22</v>
      </c>
      <c r="M49" s="7">
        <v>18</v>
      </c>
      <c r="N49" s="7">
        <v>4</v>
      </c>
      <c r="O49" s="7">
        <v>20</v>
      </c>
      <c r="P49" s="2"/>
      <c r="Q49" s="7">
        <v>3</v>
      </c>
    </row>
    <row r="50" spans="2:17" x14ac:dyDescent="0.25">
      <c r="B50" t="s">
        <v>23</v>
      </c>
      <c r="M50" s="7">
        <v>18</v>
      </c>
      <c r="N50" s="7">
        <v>10</v>
      </c>
      <c r="O50" s="7">
        <v>20</v>
      </c>
      <c r="P50" s="2"/>
      <c r="Q50" s="7">
        <v>6</v>
      </c>
    </row>
    <row r="51" spans="2:17" x14ac:dyDescent="0.25">
      <c r="B51" t="s">
        <v>36</v>
      </c>
      <c r="M51" s="7">
        <v>18</v>
      </c>
      <c r="N51" s="7">
        <v>6</v>
      </c>
      <c r="O51" s="7">
        <v>20</v>
      </c>
      <c r="P51" s="2"/>
      <c r="Q51" s="7">
        <v>3</v>
      </c>
    </row>
    <row r="52" spans="2:17" x14ac:dyDescent="0.25">
      <c r="B52" t="s">
        <v>37</v>
      </c>
      <c r="M52" s="7">
        <v>18</v>
      </c>
      <c r="N52" s="7">
        <v>0</v>
      </c>
      <c r="O52" s="7">
        <v>20</v>
      </c>
      <c r="P52" s="2"/>
      <c r="Q52" s="7">
        <v>1</v>
      </c>
    </row>
    <row r="53" spans="2:17" x14ac:dyDescent="0.25">
      <c r="P53" s="2"/>
    </row>
    <row r="54" spans="2:17" x14ac:dyDescent="0.25">
      <c r="M54" s="3" t="s">
        <v>89</v>
      </c>
    </row>
    <row r="55" spans="2:17" x14ac:dyDescent="0.25">
      <c r="B55" t="s">
        <v>21</v>
      </c>
      <c r="M55" s="7" cm="1">
        <f t="array" ref="M55:O59">M25:O29*M36:O36</f>
        <v>0</v>
      </c>
      <c r="N55" s="7">
        <v>0</v>
      </c>
      <c r="O55" s="7">
        <v>0</v>
      </c>
    </row>
    <row r="56" spans="2:17" x14ac:dyDescent="0.25">
      <c r="B56" t="s">
        <v>22</v>
      </c>
      <c r="M56" s="7">
        <v>0</v>
      </c>
      <c r="N56" s="7">
        <v>2</v>
      </c>
      <c r="O56" s="7">
        <v>0</v>
      </c>
    </row>
    <row r="57" spans="2:17" x14ac:dyDescent="0.25">
      <c r="B57" t="s">
        <v>23</v>
      </c>
      <c r="M57" s="7">
        <v>0</v>
      </c>
      <c r="N57" s="7">
        <v>6</v>
      </c>
      <c r="O57" s="7">
        <v>0</v>
      </c>
    </row>
    <row r="58" spans="2:17" x14ac:dyDescent="0.25">
      <c r="B58" t="s">
        <v>36</v>
      </c>
      <c r="M58" s="7">
        <v>0</v>
      </c>
      <c r="N58" s="7">
        <v>4</v>
      </c>
      <c r="O58" s="7">
        <v>0</v>
      </c>
    </row>
    <row r="59" spans="2:17" x14ac:dyDescent="0.25">
      <c r="B59" t="s">
        <v>37</v>
      </c>
      <c r="M59" s="7">
        <v>0</v>
      </c>
      <c r="N59" s="7">
        <v>0</v>
      </c>
      <c r="O59" s="7">
        <v>0</v>
      </c>
    </row>
  </sheetData>
  <hyperlinks>
    <hyperlink ref="A1" location="Contents!A1" display="Back to contents" xr:uid="{F26F132A-FDF0-4A7D-B163-795EE2C943A5}"/>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CDC684-FABB-495E-811A-CA2648D400F1}">
  <sheetPr>
    <tabColor theme="8" tint="0.59999389629810485"/>
  </sheetPr>
  <dimension ref="A1:AL59"/>
  <sheetViews>
    <sheetView showGridLines="0" zoomScale="115" zoomScaleNormal="115" workbookViewId="0">
      <pane xSplit="7" ySplit="8" topLeftCell="H9" activePane="bottomRight" state="frozen"/>
      <selection pane="topRight"/>
      <selection pane="bottomLeft"/>
      <selection pane="bottomRight" activeCell="Q1" sqref="Q1:R1048576"/>
    </sheetView>
  </sheetViews>
  <sheetFormatPr defaultRowHeight="15" x14ac:dyDescent="0.25"/>
  <cols>
    <col min="1" max="5" width="7.140625" customWidth="1"/>
    <col min="6" max="6" width="11.28515625" bestFit="1" customWidth="1"/>
    <col min="7" max="7" width="5.42578125" customWidth="1"/>
    <col min="8" max="15" width="6.5703125" customWidth="1"/>
    <col min="16" max="16" width="6.85546875" customWidth="1"/>
    <col min="17" max="18" width="5.5703125" customWidth="1"/>
    <col min="19" max="19" width="6.42578125" customWidth="1"/>
    <col min="20" max="20" width="7.5703125" customWidth="1"/>
    <col min="21" max="21" width="6.140625" customWidth="1"/>
    <col min="22" max="38" width="6" customWidth="1"/>
    <col min="39" max="40" width="7" customWidth="1"/>
  </cols>
  <sheetData>
    <row r="1" spans="1:38" x14ac:dyDescent="0.25">
      <c r="A1" s="97" t="s">
        <v>285</v>
      </c>
    </row>
    <row r="2" spans="1:38" x14ac:dyDescent="0.25">
      <c r="A2" s="5" t="s">
        <v>16</v>
      </c>
      <c r="B2" s="5"/>
      <c r="C2" s="5"/>
      <c r="D2" s="5"/>
      <c r="E2" s="5"/>
      <c r="F2" s="5"/>
    </row>
    <row r="3" spans="1:38" x14ac:dyDescent="0.25">
      <c r="A3" s="5"/>
      <c r="B3" s="5" t="s">
        <v>29</v>
      </c>
      <c r="C3" s="5"/>
      <c r="D3" s="5"/>
      <c r="E3" s="5"/>
      <c r="F3" s="5"/>
      <c r="V3" t="s">
        <v>21</v>
      </c>
      <c r="W3" t="s">
        <v>22</v>
      </c>
      <c r="X3" t="s">
        <v>23</v>
      </c>
      <c r="Y3" t="s">
        <v>36</v>
      </c>
      <c r="Z3" t="s">
        <v>37</v>
      </c>
      <c r="AB3" t="s">
        <v>21</v>
      </c>
      <c r="AC3" t="s">
        <v>22</v>
      </c>
      <c r="AD3" t="s">
        <v>23</v>
      </c>
      <c r="AE3" t="s">
        <v>36</v>
      </c>
      <c r="AF3" t="s">
        <v>37</v>
      </c>
      <c r="AH3" t="s">
        <v>21</v>
      </c>
      <c r="AI3" t="s">
        <v>22</v>
      </c>
      <c r="AJ3" t="s">
        <v>23</v>
      </c>
      <c r="AK3" t="s">
        <v>36</v>
      </c>
      <c r="AL3" t="s">
        <v>37</v>
      </c>
    </row>
    <row r="4" spans="1:38" x14ac:dyDescent="0.25">
      <c r="A4" s="5"/>
      <c r="B4" s="5"/>
      <c r="C4" s="5" t="s">
        <v>0</v>
      </c>
      <c r="D4" s="5"/>
      <c r="E4" s="5"/>
      <c r="F4" s="5"/>
      <c r="H4" t="s">
        <v>11</v>
      </c>
      <c r="I4" t="s">
        <v>12</v>
      </c>
      <c r="J4" t="s">
        <v>78</v>
      </c>
      <c r="K4" t="s">
        <v>4</v>
      </c>
    </row>
    <row r="5" spans="1:38" x14ac:dyDescent="0.25">
      <c r="A5" s="5"/>
      <c r="B5" s="5"/>
      <c r="C5" s="5"/>
      <c r="D5" s="5" t="s">
        <v>1</v>
      </c>
      <c r="E5" s="5"/>
      <c r="F5" s="5"/>
      <c r="M5" t="s">
        <v>7</v>
      </c>
      <c r="N5" t="s">
        <v>9</v>
      </c>
      <c r="O5" t="s">
        <v>10</v>
      </c>
      <c r="P5" t="s">
        <v>79</v>
      </c>
      <c r="Q5" t="s">
        <v>90</v>
      </c>
      <c r="R5" t="s">
        <v>91</v>
      </c>
      <c r="T5" t="s">
        <v>20</v>
      </c>
    </row>
    <row r="6" spans="1:38" x14ac:dyDescent="0.25">
      <c r="A6" s="5"/>
      <c r="B6" s="5"/>
      <c r="C6" s="5"/>
      <c r="D6" s="5"/>
      <c r="E6" s="5" t="s">
        <v>26</v>
      </c>
      <c r="F6" s="5"/>
      <c r="H6" t="s">
        <v>27</v>
      </c>
      <c r="I6" t="s">
        <v>27</v>
      </c>
      <c r="J6" t="s">
        <v>27</v>
      </c>
      <c r="K6" t="s">
        <v>27</v>
      </c>
      <c r="M6" t="s">
        <v>27</v>
      </c>
      <c r="N6" t="s">
        <v>27</v>
      </c>
      <c r="O6" t="s">
        <v>27</v>
      </c>
      <c r="P6" t="s">
        <v>27</v>
      </c>
      <c r="Q6" t="s">
        <v>27</v>
      </c>
      <c r="R6" t="s">
        <v>27</v>
      </c>
    </row>
    <row r="7" spans="1:38" x14ac:dyDescent="0.25">
      <c r="A7" s="5"/>
      <c r="B7" s="5"/>
      <c r="C7" s="5"/>
      <c r="D7" s="5"/>
      <c r="E7" s="5"/>
      <c r="F7" s="5" t="s">
        <v>2</v>
      </c>
      <c r="H7" t="s">
        <v>81</v>
      </c>
      <c r="I7" t="s">
        <v>82</v>
      </c>
      <c r="Q7" s="159" t="s">
        <v>83</v>
      </c>
      <c r="R7" s="159"/>
      <c r="T7" t="s">
        <v>8</v>
      </c>
    </row>
    <row r="8" spans="1:38" x14ac:dyDescent="0.25">
      <c r="A8" s="5"/>
      <c r="B8" s="5"/>
      <c r="C8" s="5"/>
      <c r="D8" s="5"/>
      <c r="E8" s="5"/>
      <c r="F8" s="5"/>
    </row>
    <row r="9" spans="1:38" x14ac:dyDescent="0.25">
      <c r="H9" s="3" t="s">
        <v>28</v>
      </c>
      <c r="M9" s="3" t="s">
        <v>5</v>
      </c>
      <c r="T9" s="3" t="s">
        <v>14</v>
      </c>
      <c r="V9" s="3" t="s">
        <v>43</v>
      </c>
      <c r="AB9" s="3" t="s">
        <v>47</v>
      </c>
      <c r="AH9" s="3" t="s">
        <v>50</v>
      </c>
    </row>
    <row r="10" spans="1:38" x14ac:dyDescent="0.25">
      <c r="D10" t="s">
        <v>3</v>
      </c>
      <c r="E10" t="s">
        <v>27</v>
      </c>
      <c r="F10" t="s">
        <v>19</v>
      </c>
      <c r="H10" s="6">
        <v>1</v>
      </c>
      <c r="I10" s="6">
        <v>1</v>
      </c>
      <c r="J10" s="6">
        <v>0</v>
      </c>
      <c r="K10" s="6">
        <v>0</v>
      </c>
      <c r="M10" s="1">
        <v>0</v>
      </c>
      <c r="N10" s="1">
        <v>0</v>
      </c>
      <c r="O10" s="1">
        <v>0</v>
      </c>
      <c r="P10" s="1">
        <v>0</v>
      </c>
      <c r="Q10" s="1">
        <v>-1</v>
      </c>
      <c r="R10" s="1">
        <v>-1</v>
      </c>
      <c r="T10" s="1">
        <v>10</v>
      </c>
      <c r="V10" s="1">
        <v>0.1</v>
      </c>
      <c r="W10" s="1">
        <v>0.2</v>
      </c>
      <c r="X10" s="1">
        <v>0.3</v>
      </c>
      <c r="Y10" s="1">
        <v>0.2</v>
      </c>
      <c r="Z10" s="1">
        <v>0.2</v>
      </c>
      <c r="AB10" s="7" cm="1">
        <f t="array" ref="AB10:AF12">MMULT(H10:K12,TRANSPOSE(H41:K45))</f>
        <v>0</v>
      </c>
      <c r="AC10" s="7">
        <v>4</v>
      </c>
      <c r="AD10" s="7">
        <v>6</v>
      </c>
      <c r="AE10" s="7">
        <v>5</v>
      </c>
      <c r="AF10" s="7">
        <v>0</v>
      </c>
      <c r="AH10" s="30" cm="1">
        <f t="array" ref="AH10:AL12">AB10:AF12-AB14:AF16-AB18:AF20</f>
        <v>0</v>
      </c>
      <c r="AI10" s="31">
        <v>0</v>
      </c>
      <c r="AJ10" s="31">
        <v>0</v>
      </c>
      <c r="AK10" s="31">
        <v>0</v>
      </c>
      <c r="AL10" s="32">
        <v>0</v>
      </c>
    </row>
    <row r="11" spans="1:38" x14ac:dyDescent="0.25">
      <c r="D11" t="s">
        <v>78</v>
      </c>
      <c r="E11" t="s">
        <v>27</v>
      </c>
      <c r="F11" t="s">
        <v>84</v>
      </c>
      <c r="H11" s="6">
        <v>0</v>
      </c>
      <c r="I11" s="6">
        <v>0</v>
      </c>
      <c r="J11" s="6">
        <v>1</v>
      </c>
      <c r="K11" s="6">
        <v>0</v>
      </c>
      <c r="M11" s="1">
        <v>0</v>
      </c>
      <c r="N11" s="1">
        <v>0</v>
      </c>
      <c r="O11" s="23">
        <v>1.2</v>
      </c>
      <c r="P11" s="1">
        <v>0</v>
      </c>
      <c r="Q11" s="1">
        <v>0</v>
      </c>
      <c r="R11" s="1">
        <v>0</v>
      </c>
      <c r="T11" s="1">
        <v>0</v>
      </c>
      <c r="V11" s="1">
        <v>0</v>
      </c>
      <c r="W11" s="1">
        <v>0</v>
      </c>
      <c r="X11" s="1">
        <v>0</v>
      </c>
      <c r="Y11" s="1">
        <v>0</v>
      </c>
      <c r="Z11" s="1">
        <v>0</v>
      </c>
      <c r="AB11" s="7">
        <v>0</v>
      </c>
      <c r="AC11" s="7">
        <v>6</v>
      </c>
      <c r="AD11" s="7">
        <v>0</v>
      </c>
      <c r="AE11" s="7">
        <v>6</v>
      </c>
      <c r="AF11" s="7">
        <v>0</v>
      </c>
      <c r="AH11" s="33">
        <v>0</v>
      </c>
      <c r="AI11">
        <v>0</v>
      </c>
      <c r="AJ11">
        <v>0</v>
      </c>
      <c r="AK11">
        <v>0</v>
      </c>
      <c r="AL11" s="2">
        <v>0</v>
      </c>
    </row>
    <row r="12" spans="1:38" x14ac:dyDescent="0.25">
      <c r="D12" t="s">
        <v>4</v>
      </c>
      <c r="E12" t="s">
        <v>27</v>
      </c>
      <c r="F12" t="s">
        <v>85</v>
      </c>
      <c r="H12" s="6">
        <v>0</v>
      </c>
      <c r="I12" s="6">
        <v>0</v>
      </c>
      <c r="J12" s="6">
        <v>0</v>
      </c>
      <c r="K12" s="6">
        <v>1</v>
      </c>
      <c r="M12" s="1">
        <v>0</v>
      </c>
      <c r="N12" s="1">
        <v>0</v>
      </c>
      <c r="O12" s="1">
        <v>0</v>
      </c>
      <c r="P12" s="1">
        <v>0</v>
      </c>
      <c r="Q12" s="1">
        <v>0</v>
      </c>
      <c r="R12" s="1">
        <v>0</v>
      </c>
      <c r="T12" s="1">
        <v>10</v>
      </c>
      <c r="V12" s="1">
        <v>0</v>
      </c>
      <c r="W12" s="1">
        <v>0.5</v>
      </c>
      <c r="X12" s="1">
        <v>0</v>
      </c>
      <c r="Y12" s="1">
        <v>0.5</v>
      </c>
      <c r="Z12" s="1">
        <v>0</v>
      </c>
      <c r="AB12" s="7">
        <v>0</v>
      </c>
      <c r="AC12" s="7">
        <v>5</v>
      </c>
      <c r="AD12" s="7">
        <v>0</v>
      </c>
      <c r="AE12" s="7">
        <v>5</v>
      </c>
      <c r="AF12" s="7">
        <v>0</v>
      </c>
      <c r="AH12" s="34">
        <v>0</v>
      </c>
      <c r="AI12" s="35">
        <v>0</v>
      </c>
      <c r="AJ12" s="35">
        <v>0</v>
      </c>
      <c r="AK12" s="35">
        <v>0</v>
      </c>
      <c r="AL12" s="36">
        <v>0</v>
      </c>
    </row>
    <row r="13" spans="1:38" x14ac:dyDescent="0.25">
      <c r="H13" s="3" t="s">
        <v>6</v>
      </c>
      <c r="AB13" s="3" t="s">
        <v>48</v>
      </c>
      <c r="AH13" s="3" t="s">
        <v>57</v>
      </c>
    </row>
    <row r="14" spans="1:38" x14ac:dyDescent="0.25">
      <c r="D14" t="s">
        <v>7</v>
      </c>
      <c r="E14" t="s">
        <v>27</v>
      </c>
      <c r="F14" t="s">
        <v>18</v>
      </c>
      <c r="H14" s="1">
        <v>1</v>
      </c>
      <c r="I14" s="1">
        <v>0</v>
      </c>
      <c r="J14" s="1">
        <v>0</v>
      </c>
      <c r="K14" s="1">
        <v>0</v>
      </c>
      <c r="S14" s="3"/>
      <c r="T14" s="3" t="s">
        <v>273</v>
      </c>
      <c r="AB14" s="7" cm="1">
        <f t="array" ref="AB14:AF16">MMULT(M10:R12,TRANSPOSE(M41:R45))</f>
        <v>-1</v>
      </c>
      <c r="AC14" s="7">
        <v>2</v>
      </c>
      <c r="AD14" s="7">
        <v>3</v>
      </c>
      <c r="AE14" s="7">
        <v>3</v>
      </c>
      <c r="AF14" s="7">
        <v>-2</v>
      </c>
      <c r="AH14" s="30" cm="1">
        <f t="array" ref="AH14:AL17">TRANSPOSE(M41:P45)-MMULT(H14:K17,TRANSPOSE(H41:K45))</f>
        <v>0</v>
      </c>
      <c r="AI14" s="31">
        <v>0</v>
      </c>
      <c r="AJ14" s="31">
        <v>0</v>
      </c>
      <c r="AK14" s="31">
        <v>0</v>
      </c>
      <c r="AL14" s="32">
        <v>0</v>
      </c>
    </row>
    <row r="15" spans="1:38" x14ac:dyDescent="0.25">
      <c r="D15" t="s">
        <v>9</v>
      </c>
      <c r="E15" t="s">
        <v>27</v>
      </c>
      <c r="F15" t="s">
        <v>17</v>
      </c>
      <c r="H15" s="1">
        <v>0</v>
      </c>
      <c r="I15" s="1">
        <v>1</v>
      </c>
      <c r="J15" s="1">
        <v>0</v>
      </c>
      <c r="K15" s="1">
        <v>0</v>
      </c>
      <c r="T15" s="101" cm="1">
        <f t="array" ref="T15">SUM(MMULT(M41:R45,M31:R31*_xlfn.MUNIT(6)))</f>
        <v>27.5</v>
      </c>
      <c r="AB15" s="7">
        <v>0</v>
      </c>
      <c r="AC15" s="7">
        <v>6</v>
      </c>
      <c r="AD15" s="7">
        <v>0</v>
      </c>
      <c r="AE15" s="7">
        <v>6</v>
      </c>
      <c r="AF15" s="7">
        <v>0</v>
      </c>
      <c r="AH15" s="33">
        <v>0</v>
      </c>
      <c r="AI15">
        <v>0</v>
      </c>
      <c r="AJ15">
        <v>0</v>
      </c>
      <c r="AK15">
        <v>0</v>
      </c>
      <c r="AL15" s="2">
        <v>0</v>
      </c>
    </row>
    <row r="16" spans="1:38" x14ac:dyDescent="0.25">
      <c r="D16" t="s">
        <v>10</v>
      </c>
      <c r="E16" t="s">
        <v>27</v>
      </c>
      <c r="F16" t="s">
        <v>86</v>
      </c>
      <c r="H16" s="1">
        <v>0</v>
      </c>
      <c r="I16" s="1">
        <v>0</v>
      </c>
      <c r="J16" s="1">
        <v>0</v>
      </c>
      <c r="K16" s="1">
        <v>1</v>
      </c>
      <c r="AB16" s="7">
        <v>0</v>
      </c>
      <c r="AC16" s="7">
        <v>0</v>
      </c>
      <c r="AD16" s="7">
        <v>0</v>
      </c>
      <c r="AE16" s="7">
        <v>0</v>
      </c>
      <c r="AF16" s="7">
        <v>0</v>
      </c>
      <c r="AH16" s="33">
        <v>0</v>
      </c>
      <c r="AI16">
        <v>0</v>
      </c>
      <c r="AJ16">
        <v>0</v>
      </c>
      <c r="AK16">
        <v>0</v>
      </c>
      <c r="AL16" s="2">
        <v>0</v>
      </c>
    </row>
    <row r="17" spans="2:38" x14ac:dyDescent="0.25">
      <c r="D17" t="s">
        <v>79</v>
      </c>
      <c r="E17" t="s">
        <v>27</v>
      </c>
      <c r="F17" t="s">
        <v>87</v>
      </c>
      <c r="H17" s="1">
        <v>0</v>
      </c>
      <c r="I17" s="1">
        <v>0</v>
      </c>
      <c r="J17" s="1">
        <v>1</v>
      </c>
      <c r="K17" s="1">
        <v>0</v>
      </c>
      <c r="AB17" s="3" t="s">
        <v>49</v>
      </c>
      <c r="AH17" s="34">
        <v>0</v>
      </c>
      <c r="AI17" s="35">
        <v>0</v>
      </c>
      <c r="AJ17" s="35">
        <v>0</v>
      </c>
      <c r="AK17" s="35">
        <v>0</v>
      </c>
      <c r="AL17" s="36">
        <v>0</v>
      </c>
    </row>
    <row r="18" spans="2:38" x14ac:dyDescent="0.25">
      <c r="AB18" s="7" cm="1">
        <f t="array" ref="AB18:AF20">T10:T12*V10:Z12</f>
        <v>1</v>
      </c>
      <c r="AC18" s="7">
        <v>2</v>
      </c>
      <c r="AD18" s="7">
        <v>3</v>
      </c>
      <c r="AE18" s="7">
        <v>2</v>
      </c>
      <c r="AF18" s="7">
        <v>2</v>
      </c>
    </row>
    <row r="19" spans="2:38" x14ac:dyDescent="0.25">
      <c r="B19" t="s">
        <v>21</v>
      </c>
      <c r="F19" t="s">
        <v>38</v>
      </c>
      <c r="M19" s="1">
        <v>0.9</v>
      </c>
      <c r="N19" s="1">
        <v>0</v>
      </c>
      <c r="O19" s="1">
        <v>1</v>
      </c>
      <c r="AB19" s="7">
        <v>0</v>
      </c>
      <c r="AC19" s="7">
        <v>0</v>
      </c>
      <c r="AD19" s="7">
        <v>0</v>
      </c>
      <c r="AE19" s="7">
        <v>0</v>
      </c>
      <c r="AF19" s="7">
        <v>0</v>
      </c>
    </row>
    <row r="20" spans="2:38" x14ac:dyDescent="0.25">
      <c r="B20" t="s">
        <v>22</v>
      </c>
      <c r="M20" s="1">
        <v>0.9</v>
      </c>
      <c r="N20" s="1">
        <v>0.2</v>
      </c>
      <c r="O20" s="1">
        <v>1</v>
      </c>
      <c r="AB20" s="7">
        <v>0</v>
      </c>
      <c r="AC20" s="7">
        <v>5</v>
      </c>
      <c r="AD20" s="7">
        <v>0</v>
      </c>
      <c r="AE20" s="7">
        <v>5</v>
      </c>
      <c r="AF20" s="7">
        <v>0</v>
      </c>
    </row>
    <row r="21" spans="2:38" x14ac:dyDescent="0.25">
      <c r="B21" t="s">
        <v>23</v>
      </c>
      <c r="M21" s="1">
        <v>0.9</v>
      </c>
      <c r="N21" s="1">
        <v>0.5</v>
      </c>
      <c r="O21" s="1">
        <v>1</v>
      </c>
    </row>
    <row r="22" spans="2:38" x14ac:dyDescent="0.25">
      <c r="B22" t="s">
        <v>36</v>
      </c>
      <c r="M22" s="1">
        <v>0.9</v>
      </c>
      <c r="N22" s="1">
        <v>0.3</v>
      </c>
      <c r="O22" s="1">
        <v>1</v>
      </c>
      <c r="AB22" s="21"/>
    </row>
    <row r="23" spans="2:38" x14ac:dyDescent="0.25">
      <c r="B23" t="s">
        <v>37</v>
      </c>
      <c r="M23" s="1">
        <v>0.9</v>
      </c>
      <c r="N23" s="1">
        <v>0</v>
      </c>
      <c r="O23" s="1">
        <v>1</v>
      </c>
      <c r="AB23" s="21"/>
    </row>
    <row r="24" spans="2:38" x14ac:dyDescent="0.25">
      <c r="AB24" s="3" t="s">
        <v>33</v>
      </c>
    </row>
    <row r="25" spans="2:38" x14ac:dyDescent="0.25">
      <c r="B25" t="s">
        <v>21</v>
      </c>
      <c r="F25" t="s">
        <v>39</v>
      </c>
      <c r="M25" s="1">
        <v>0</v>
      </c>
      <c r="N25" s="1">
        <v>0</v>
      </c>
      <c r="O25" s="1">
        <v>0</v>
      </c>
      <c r="AB25" s="6">
        <v>1</v>
      </c>
      <c r="AC25" s="6">
        <v>0</v>
      </c>
      <c r="AD25" s="6">
        <v>0</v>
      </c>
      <c r="AE25" s="6">
        <v>0</v>
      </c>
      <c r="AF25" s="6">
        <v>0</v>
      </c>
    </row>
    <row r="26" spans="2:38" x14ac:dyDescent="0.25">
      <c r="B26" t="s">
        <v>22</v>
      </c>
      <c r="M26" s="1">
        <v>0</v>
      </c>
      <c r="N26" s="1">
        <v>0.1</v>
      </c>
      <c r="O26" s="1">
        <v>0</v>
      </c>
      <c r="AB26" s="6">
        <v>1</v>
      </c>
      <c r="AC26" s="6">
        <v>1</v>
      </c>
      <c r="AD26" s="6">
        <v>0</v>
      </c>
      <c r="AE26" s="6">
        <v>0</v>
      </c>
      <c r="AF26" s="6">
        <v>0</v>
      </c>
    </row>
    <row r="27" spans="2:38" x14ac:dyDescent="0.25">
      <c r="B27" t="s">
        <v>23</v>
      </c>
      <c r="M27" s="1">
        <v>0</v>
      </c>
      <c r="N27" s="1">
        <v>0.3</v>
      </c>
      <c r="O27" s="1">
        <v>0</v>
      </c>
      <c r="AB27" s="6">
        <v>1</v>
      </c>
      <c r="AC27" s="6">
        <v>1</v>
      </c>
      <c r="AD27" s="6">
        <v>1</v>
      </c>
      <c r="AE27" s="6">
        <v>0</v>
      </c>
      <c r="AF27" s="6">
        <v>0</v>
      </c>
    </row>
    <row r="28" spans="2:38" x14ac:dyDescent="0.25">
      <c r="B28" t="s">
        <v>36</v>
      </c>
      <c r="M28" s="1">
        <v>0</v>
      </c>
      <c r="N28" s="1">
        <v>0.2</v>
      </c>
      <c r="O28" s="1">
        <v>0</v>
      </c>
      <c r="AB28" s="6">
        <v>1</v>
      </c>
      <c r="AC28" s="6">
        <v>1</v>
      </c>
      <c r="AD28" s="6">
        <v>1</v>
      </c>
      <c r="AE28" s="6">
        <v>1</v>
      </c>
      <c r="AF28" s="6">
        <v>0</v>
      </c>
    </row>
    <row r="29" spans="2:38" x14ac:dyDescent="0.25">
      <c r="B29" t="s">
        <v>37</v>
      </c>
      <c r="M29" s="1">
        <v>0</v>
      </c>
      <c r="N29" s="1">
        <v>0</v>
      </c>
      <c r="O29" s="1">
        <v>0</v>
      </c>
      <c r="AB29" s="6">
        <v>1</v>
      </c>
      <c r="AC29" s="6">
        <v>1</v>
      </c>
      <c r="AD29" s="6">
        <v>1</v>
      </c>
      <c r="AE29" s="6">
        <v>1</v>
      </c>
      <c r="AF29" s="6">
        <v>1</v>
      </c>
    </row>
    <row r="30" spans="2:38" x14ac:dyDescent="0.25">
      <c r="AB30" s="21"/>
    </row>
    <row r="31" spans="2:38" x14ac:dyDescent="0.25">
      <c r="F31" t="s">
        <v>31</v>
      </c>
      <c r="L31" s="4" t="s">
        <v>15</v>
      </c>
      <c r="M31" s="1">
        <v>3</v>
      </c>
      <c r="N31" s="1">
        <v>1</v>
      </c>
      <c r="O31" s="1">
        <v>1</v>
      </c>
      <c r="P31" s="1">
        <v>0</v>
      </c>
      <c r="Q31" s="1">
        <v>-0.5</v>
      </c>
      <c r="R31" s="1">
        <v>-0.5</v>
      </c>
      <c r="AB31" s="21"/>
    </row>
    <row r="32" spans="2:38" x14ac:dyDescent="0.25">
      <c r="F32" t="s">
        <v>30</v>
      </c>
      <c r="L32" s="4" t="s">
        <v>40</v>
      </c>
      <c r="Q32" s="1">
        <v>0.05</v>
      </c>
      <c r="T32" s="19">
        <f>Q32*Q36</f>
        <v>1</v>
      </c>
      <c r="U32" s="18" t="s">
        <v>55</v>
      </c>
      <c r="V32" s="18"/>
      <c r="W32" s="18"/>
      <c r="X32" s="18"/>
      <c r="Y32" s="18"/>
      <c r="Z32" s="18"/>
      <c r="AA32" s="18"/>
      <c r="AB32" s="21"/>
    </row>
    <row r="33" spans="2:28" x14ac:dyDescent="0.25">
      <c r="L33" s="4" t="s">
        <v>41</v>
      </c>
      <c r="Q33" s="1">
        <v>1</v>
      </c>
      <c r="T33" s="19">
        <f>Q33*Q36</f>
        <v>20</v>
      </c>
      <c r="U33" s="18" t="s">
        <v>54</v>
      </c>
      <c r="V33" s="18"/>
      <c r="W33" s="18"/>
      <c r="X33" s="18"/>
      <c r="Y33" s="18"/>
      <c r="Z33" s="18"/>
      <c r="AA33" s="18"/>
      <c r="AB33" s="21"/>
    </row>
    <row r="34" spans="2:28" x14ac:dyDescent="0.25">
      <c r="L34" s="4" t="s">
        <v>42</v>
      </c>
      <c r="Q34" s="1">
        <v>0.4</v>
      </c>
      <c r="T34" s="19">
        <f>Q36*Q34</f>
        <v>8</v>
      </c>
      <c r="U34" s="18" t="s">
        <v>52</v>
      </c>
      <c r="V34" s="18"/>
      <c r="W34" s="18"/>
      <c r="X34" s="18"/>
      <c r="Y34" s="18"/>
      <c r="Z34" s="18"/>
      <c r="AA34" s="18"/>
      <c r="AB34" s="21"/>
    </row>
    <row r="35" spans="2:28" x14ac:dyDescent="0.25">
      <c r="L35" s="4" t="s">
        <v>51</v>
      </c>
      <c r="Q35" s="1">
        <v>0.6</v>
      </c>
      <c r="V35" s="18"/>
      <c r="W35" s="18"/>
      <c r="X35" s="18"/>
      <c r="Y35" s="18"/>
      <c r="Z35" s="18"/>
      <c r="AA35" s="18"/>
      <c r="AB35" s="21"/>
    </row>
    <row r="36" spans="2:28" x14ac:dyDescent="0.25">
      <c r="L36" s="4" t="s">
        <v>45</v>
      </c>
      <c r="M36" s="1">
        <v>20</v>
      </c>
      <c r="N36" s="1">
        <v>20</v>
      </c>
      <c r="O36" s="1">
        <v>20</v>
      </c>
      <c r="Q36" s="1">
        <v>20</v>
      </c>
      <c r="AB36" s="21"/>
    </row>
    <row r="37" spans="2:28" x14ac:dyDescent="0.25">
      <c r="L37" s="4" t="s">
        <v>58</v>
      </c>
      <c r="Q37" s="1">
        <v>-3</v>
      </c>
      <c r="AB37" s="21"/>
    </row>
    <row r="38" spans="2:28" x14ac:dyDescent="0.25">
      <c r="L38" s="4" t="s">
        <v>59</v>
      </c>
      <c r="Q38" s="1">
        <v>3</v>
      </c>
    </row>
    <row r="40" spans="2:28" x14ac:dyDescent="0.25">
      <c r="H40" s="3" t="s">
        <v>24</v>
      </c>
      <c r="M40" s="3" t="s">
        <v>25</v>
      </c>
      <c r="Q40" s="163" t="s">
        <v>369</v>
      </c>
    </row>
    <row r="41" spans="2:28" x14ac:dyDescent="0.25">
      <c r="B41" t="s">
        <v>21</v>
      </c>
      <c r="H41" s="132">
        <v>0</v>
      </c>
      <c r="I41" s="132">
        <v>0</v>
      </c>
      <c r="J41" s="132">
        <v>0</v>
      </c>
      <c r="K41" s="132">
        <v>0</v>
      </c>
      <c r="M41" s="132">
        <v>0</v>
      </c>
      <c r="N41" s="132">
        <v>0</v>
      </c>
      <c r="O41" s="132">
        <v>0</v>
      </c>
      <c r="P41" s="132">
        <v>0</v>
      </c>
      <c r="Q41" s="131">
        <v>0</v>
      </c>
      <c r="R41" s="131">
        <v>1</v>
      </c>
    </row>
    <row r="42" spans="2:28" x14ac:dyDescent="0.25">
      <c r="B42" t="s">
        <v>22</v>
      </c>
      <c r="H42" s="132">
        <v>0</v>
      </c>
      <c r="I42" s="132">
        <v>4</v>
      </c>
      <c r="J42" s="132">
        <v>6</v>
      </c>
      <c r="K42" s="132">
        <v>5</v>
      </c>
      <c r="M42" s="132">
        <v>0</v>
      </c>
      <c r="N42" s="132">
        <v>4</v>
      </c>
      <c r="O42" s="132">
        <v>5</v>
      </c>
      <c r="P42" s="132">
        <v>6</v>
      </c>
      <c r="Q42" s="131">
        <v>-2</v>
      </c>
      <c r="R42" s="131">
        <v>0</v>
      </c>
    </row>
    <row r="43" spans="2:28" x14ac:dyDescent="0.25">
      <c r="B43" t="s">
        <v>23</v>
      </c>
      <c r="H43" s="132">
        <v>0</v>
      </c>
      <c r="I43" s="132">
        <v>6</v>
      </c>
      <c r="J43" s="132">
        <v>0</v>
      </c>
      <c r="K43" s="132">
        <v>0</v>
      </c>
      <c r="M43" s="132">
        <v>0</v>
      </c>
      <c r="N43" s="132">
        <v>6</v>
      </c>
      <c r="O43" s="132">
        <v>0</v>
      </c>
      <c r="P43" s="132">
        <v>0</v>
      </c>
      <c r="Q43" s="131">
        <v>-3</v>
      </c>
      <c r="R43" s="131">
        <v>0</v>
      </c>
    </row>
    <row r="44" spans="2:28" x14ac:dyDescent="0.25">
      <c r="B44" t="s">
        <v>36</v>
      </c>
      <c r="H44" s="132">
        <v>0</v>
      </c>
      <c r="I44" s="132">
        <v>5</v>
      </c>
      <c r="J44" s="132">
        <v>6</v>
      </c>
      <c r="K44" s="132">
        <v>5</v>
      </c>
      <c r="M44" s="132">
        <v>0</v>
      </c>
      <c r="N44" s="132">
        <v>5</v>
      </c>
      <c r="O44" s="132">
        <v>5</v>
      </c>
      <c r="P44" s="132">
        <v>6</v>
      </c>
      <c r="Q44" s="131">
        <v>-3</v>
      </c>
      <c r="R44" s="131">
        <v>0</v>
      </c>
    </row>
    <row r="45" spans="2:28" x14ac:dyDescent="0.25">
      <c r="B45" t="s">
        <v>37</v>
      </c>
      <c r="H45" s="132">
        <v>0</v>
      </c>
      <c r="I45" s="132">
        <v>0</v>
      </c>
      <c r="J45" s="132">
        <v>0</v>
      </c>
      <c r="K45" s="132">
        <v>0</v>
      </c>
      <c r="M45" s="132">
        <v>0</v>
      </c>
      <c r="N45" s="132">
        <v>0</v>
      </c>
      <c r="O45" s="132">
        <v>0</v>
      </c>
      <c r="P45" s="132">
        <v>0</v>
      </c>
      <c r="Q45" s="131">
        <v>0</v>
      </c>
      <c r="R45" s="131">
        <v>2</v>
      </c>
    </row>
    <row r="47" spans="2:28" x14ac:dyDescent="0.25">
      <c r="M47" s="3" t="s">
        <v>88</v>
      </c>
      <c r="P47" s="2"/>
      <c r="Q47" s="3" t="s">
        <v>32</v>
      </c>
      <c r="R47" s="3"/>
    </row>
    <row r="48" spans="2:28" x14ac:dyDescent="0.25">
      <c r="B48" t="s">
        <v>21</v>
      </c>
      <c r="M48" s="7" cm="1">
        <f t="array" ref="M48:O52">M19:O23*M36:O36</f>
        <v>18</v>
      </c>
      <c r="N48" s="7">
        <v>0</v>
      </c>
      <c r="O48" s="7">
        <v>20</v>
      </c>
      <c r="P48" s="2"/>
      <c r="Q48" s="22">
        <f t="array" ref="Q48:Q52">T34-MMULT(AB25:AF29,P41:P45+Q41:Q45+R41:R45)</f>
        <v>7</v>
      </c>
      <c r="R48" s="3"/>
    </row>
    <row r="49" spans="2:18" x14ac:dyDescent="0.25">
      <c r="B49" t="s">
        <v>22</v>
      </c>
      <c r="M49" s="7">
        <v>18</v>
      </c>
      <c r="N49" s="7">
        <v>4</v>
      </c>
      <c r="O49" s="7">
        <v>20</v>
      </c>
      <c r="P49" s="2"/>
      <c r="Q49" s="22">
        <v>3</v>
      </c>
      <c r="R49" s="3"/>
    </row>
    <row r="50" spans="2:18" x14ac:dyDescent="0.25">
      <c r="B50" t="s">
        <v>23</v>
      </c>
      <c r="M50" s="7">
        <v>18</v>
      </c>
      <c r="N50" s="7">
        <v>10</v>
      </c>
      <c r="O50" s="7">
        <v>20</v>
      </c>
      <c r="P50" s="2"/>
      <c r="Q50" s="22">
        <v>6</v>
      </c>
      <c r="R50" s="3"/>
    </row>
    <row r="51" spans="2:18" x14ac:dyDescent="0.25">
      <c r="B51" t="s">
        <v>36</v>
      </c>
      <c r="M51" s="7">
        <v>18</v>
      </c>
      <c r="N51" s="7">
        <v>6</v>
      </c>
      <c r="O51" s="7">
        <v>20</v>
      </c>
      <c r="P51" s="2"/>
      <c r="Q51" s="22">
        <v>3</v>
      </c>
      <c r="R51" s="3"/>
    </row>
    <row r="52" spans="2:18" x14ac:dyDescent="0.25">
      <c r="B52" t="s">
        <v>37</v>
      </c>
      <c r="M52" s="7">
        <v>18</v>
      </c>
      <c r="N52" s="7">
        <v>0</v>
      </c>
      <c r="O52" s="7">
        <v>20</v>
      </c>
      <c r="P52" s="2"/>
      <c r="Q52" s="22">
        <v>1</v>
      </c>
      <c r="R52" s="3"/>
    </row>
    <row r="53" spans="2:18" x14ac:dyDescent="0.25">
      <c r="P53" s="2"/>
      <c r="R53" s="3"/>
    </row>
    <row r="54" spans="2:18" x14ac:dyDescent="0.25">
      <c r="M54" s="3" t="s">
        <v>89</v>
      </c>
    </row>
    <row r="55" spans="2:18" x14ac:dyDescent="0.25">
      <c r="B55" t="s">
        <v>21</v>
      </c>
      <c r="M55" s="7" cm="1">
        <f t="array" ref="M55:O59">M25:O29*M36:O36</f>
        <v>0</v>
      </c>
      <c r="N55" s="7">
        <v>0</v>
      </c>
      <c r="O55" s="7">
        <v>0</v>
      </c>
    </row>
    <row r="56" spans="2:18" x14ac:dyDescent="0.25">
      <c r="B56" t="s">
        <v>22</v>
      </c>
      <c r="M56" s="7">
        <v>0</v>
      </c>
      <c r="N56" s="7">
        <v>2</v>
      </c>
      <c r="O56" s="7">
        <v>0</v>
      </c>
    </row>
    <row r="57" spans="2:18" x14ac:dyDescent="0.25">
      <c r="B57" t="s">
        <v>23</v>
      </c>
      <c r="M57" s="7">
        <v>0</v>
      </c>
      <c r="N57" s="7">
        <v>6</v>
      </c>
      <c r="O57" s="7">
        <v>0</v>
      </c>
    </row>
    <row r="58" spans="2:18" x14ac:dyDescent="0.25">
      <c r="B58" t="s">
        <v>36</v>
      </c>
      <c r="M58" s="7">
        <v>0</v>
      </c>
      <c r="N58" s="7">
        <v>4</v>
      </c>
      <c r="O58" s="7">
        <v>0</v>
      </c>
    </row>
    <row r="59" spans="2:18" x14ac:dyDescent="0.25">
      <c r="B59" t="s">
        <v>37</v>
      </c>
      <c r="M59" s="7">
        <v>0</v>
      </c>
      <c r="N59" s="7">
        <v>0</v>
      </c>
      <c r="O59" s="7">
        <v>0</v>
      </c>
    </row>
  </sheetData>
  <mergeCells count="1">
    <mergeCell ref="Q7:R7"/>
  </mergeCells>
  <hyperlinks>
    <hyperlink ref="A1" location="Contents!A1" display="Back to contents" xr:uid="{7A62F6E0-658E-485A-ABD0-9915EDEB8893}"/>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0DBCB-865F-41B2-B3B0-D2403F1E4686}">
  <sheetPr>
    <tabColor theme="9" tint="0.59999389629810485"/>
  </sheetPr>
  <dimension ref="A1:P26"/>
  <sheetViews>
    <sheetView showGridLines="0" zoomScale="130" zoomScaleNormal="130" workbookViewId="0">
      <pane xSplit="3" ySplit="4" topLeftCell="D5" activePane="bottomRight" state="frozen"/>
      <selection pane="topRight"/>
      <selection pane="bottomLeft"/>
      <selection pane="bottomRight" activeCell="AC29" sqref="AC29"/>
    </sheetView>
  </sheetViews>
  <sheetFormatPr defaultRowHeight="15" x14ac:dyDescent="0.25"/>
  <cols>
    <col min="3" max="3" width="18.42578125" bestFit="1" customWidth="1"/>
    <col min="4" max="4" width="2.7109375" customWidth="1"/>
    <col min="5" max="6" width="4.42578125" customWidth="1"/>
    <col min="7" max="7" width="1.42578125" customWidth="1"/>
    <col min="8" max="9" width="4.42578125" customWidth="1"/>
    <col min="10" max="10" width="1.42578125" customWidth="1"/>
    <col min="11" max="15" width="4.42578125" customWidth="1"/>
    <col min="16" max="16" width="5.140625" customWidth="1"/>
    <col min="17" max="27" width="4.42578125" customWidth="1"/>
  </cols>
  <sheetData>
    <row r="1" spans="1:16" x14ac:dyDescent="0.25">
      <c r="A1" s="97" t="s">
        <v>285</v>
      </c>
    </row>
    <row r="2" spans="1:16" x14ac:dyDescent="0.25">
      <c r="A2" s="5" t="s">
        <v>0</v>
      </c>
      <c r="B2" s="5"/>
      <c r="C2" s="5"/>
      <c r="D2" s="5"/>
      <c r="E2" t="s">
        <v>3</v>
      </c>
      <c r="F2" t="s">
        <v>4</v>
      </c>
    </row>
    <row r="3" spans="1:16" x14ac:dyDescent="0.25">
      <c r="A3" s="5"/>
      <c r="B3" s="5" t="s">
        <v>1</v>
      </c>
      <c r="C3" s="5"/>
      <c r="D3" s="5"/>
      <c r="H3" t="s">
        <v>7</v>
      </c>
      <c r="I3" t="s">
        <v>9</v>
      </c>
      <c r="K3" t="s">
        <v>67</v>
      </c>
      <c r="L3" t="s">
        <v>68</v>
      </c>
      <c r="N3" t="s">
        <v>20</v>
      </c>
    </row>
    <row r="4" spans="1:16" x14ac:dyDescent="0.25">
      <c r="A4" s="5"/>
      <c r="B4" s="5"/>
      <c r="C4" s="5" t="s">
        <v>2</v>
      </c>
      <c r="D4" s="5"/>
      <c r="N4" t="s">
        <v>8</v>
      </c>
    </row>
    <row r="5" spans="1:16" x14ac:dyDescent="0.25">
      <c r="A5" s="5"/>
      <c r="B5" s="5"/>
      <c r="C5" s="5"/>
      <c r="D5" s="5"/>
      <c r="E5" s="5"/>
      <c r="F5" s="5"/>
      <c r="H5" s="3" t="s">
        <v>5</v>
      </c>
      <c r="K5" s="3" t="s">
        <v>331</v>
      </c>
      <c r="N5" s="3" t="s">
        <v>14</v>
      </c>
      <c r="P5" s="3" t="s">
        <v>75</v>
      </c>
    </row>
    <row r="6" spans="1:16" x14ac:dyDescent="0.25">
      <c r="A6" t="s">
        <v>3</v>
      </c>
      <c r="C6" t="s">
        <v>62</v>
      </c>
      <c r="D6" s="5"/>
      <c r="E6" s="5"/>
      <c r="F6" s="5"/>
      <c r="H6" s="1">
        <v>0.2</v>
      </c>
      <c r="I6" s="1">
        <v>1.2</v>
      </c>
      <c r="K6" s="1">
        <v>2</v>
      </c>
      <c r="L6" s="1">
        <v>0</v>
      </c>
      <c r="N6" s="1">
        <v>0</v>
      </c>
      <c r="P6" s="26" cm="1">
        <f t="array" ref="P6:P7">TRANSPOSE(E14:F14)-MMULT(H6:I7,TRANSPOSE(H14:I14))-N6:N7</f>
        <v>0</v>
      </c>
    </row>
    <row r="7" spans="1:16" x14ac:dyDescent="0.25">
      <c r="A7" t="s">
        <v>4</v>
      </c>
      <c r="C7" t="s">
        <v>63</v>
      </c>
      <c r="D7" s="5"/>
      <c r="E7" s="5"/>
      <c r="F7" s="5"/>
      <c r="H7" s="1">
        <v>0</v>
      </c>
      <c r="I7" s="1">
        <v>0</v>
      </c>
      <c r="K7" s="1">
        <v>0</v>
      </c>
      <c r="L7" s="1">
        <v>0.5</v>
      </c>
      <c r="N7" s="1">
        <v>10</v>
      </c>
      <c r="P7" s="28">
        <v>0</v>
      </c>
    </row>
    <row r="8" spans="1:16" x14ac:dyDescent="0.25">
      <c r="E8" s="3" t="s">
        <v>6</v>
      </c>
      <c r="P8" s="3" t="s">
        <v>73</v>
      </c>
    </row>
    <row r="9" spans="1:16" x14ac:dyDescent="0.25">
      <c r="B9" t="s">
        <v>7</v>
      </c>
      <c r="C9" t="s">
        <v>65</v>
      </c>
      <c r="E9" s="23">
        <v>1</v>
      </c>
      <c r="F9" s="23">
        <v>0</v>
      </c>
      <c r="P9" s="29" cm="1">
        <f t="array" ref="P9:P10">TRANSPOSE(H14:I14)-MMULT(E9:F10,TRANSPOSE(E14:F14))</f>
        <v>0</v>
      </c>
    </row>
    <row r="10" spans="1:16" x14ac:dyDescent="0.25">
      <c r="B10" t="s">
        <v>9</v>
      </c>
      <c r="C10" t="s">
        <v>66</v>
      </c>
      <c r="E10" s="23">
        <v>0</v>
      </c>
      <c r="F10" s="130">
        <v>1</v>
      </c>
      <c r="P10" s="28">
        <v>0</v>
      </c>
    </row>
    <row r="11" spans="1:16" x14ac:dyDescent="0.25">
      <c r="H11" s="3" t="s">
        <v>15</v>
      </c>
    </row>
    <row r="12" spans="1:16" x14ac:dyDescent="0.25">
      <c r="C12" t="s">
        <v>31</v>
      </c>
      <c r="H12" s="1">
        <v>1</v>
      </c>
      <c r="I12" s="1">
        <v>0.5</v>
      </c>
      <c r="N12" s="98">
        <v>1</v>
      </c>
      <c r="O12" s="3"/>
    </row>
    <row r="13" spans="1:16" x14ac:dyDescent="0.25">
      <c r="E13" s="3" t="s">
        <v>71</v>
      </c>
      <c r="H13" s="3" t="s">
        <v>72</v>
      </c>
      <c r="K13" s="3"/>
      <c r="L13" s="3"/>
    </row>
    <row r="14" spans="1:16" x14ac:dyDescent="0.25">
      <c r="E14" s="131">
        <v>15</v>
      </c>
      <c r="F14" s="131">
        <v>10</v>
      </c>
      <c r="H14" s="131">
        <v>15</v>
      </c>
      <c r="I14" s="131">
        <v>10</v>
      </c>
      <c r="K14" s="3"/>
      <c r="L14" s="3"/>
    </row>
    <row r="16" spans="1:16" x14ac:dyDescent="0.25">
      <c r="H16" s="3" t="s">
        <v>74</v>
      </c>
    </row>
    <row r="17" spans="1:9" x14ac:dyDescent="0.25">
      <c r="H17" s="25" cm="1">
        <f t="array" ref="H17:I17">MMULT(H14:I14,_xlfn.MUNIT(2)*H12:I12)</f>
        <v>15</v>
      </c>
      <c r="I17" s="25">
        <v>5</v>
      </c>
    </row>
    <row r="18" spans="1:9" x14ac:dyDescent="0.25">
      <c r="H18" s="3" t="s">
        <v>77</v>
      </c>
    </row>
    <row r="19" spans="1:9" x14ac:dyDescent="0.25">
      <c r="A19" t="s">
        <v>3</v>
      </c>
      <c r="C19" t="s">
        <v>62</v>
      </c>
      <c r="H19" s="25" cm="1">
        <f t="array" ref="H19:I20">MMULT(H6:I7,H14:I14*_xlfn.MUNIT(2))</f>
        <v>3</v>
      </c>
      <c r="I19" s="25">
        <v>12</v>
      </c>
    </row>
    <row r="20" spans="1:9" x14ac:dyDescent="0.25">
      <c r="A20" t="s">
        <v>4</v>
      </c>
      <c r="C20" t="s">
        <v>63</v>
      </c>
      <c r="H20" s="25">
        <v>0</v>
      </c>
      <c r="I20" s="25">
        <v>0</v>
      </c>
    </row>
    <row r="21" spans="1:9" x14ac:dyDescent="0.25">
      <c r="E21" s="3" t="s">
        <v>76</v>
      </c>
    </row>
    <row r="22" spans="1:9" x14ac:dyDescent="0.25">
      <c r="B22" t="s">
        <v>7</v>
      </c>
      <c r="C22" t="s">
        <v>65</v>
      </c>
      <c r="E22" s="7" cm="1">
        <f t="array" ref="E22:F23">MMULT(E9:F10,E14:F14*_xlfn.MUNIT(2))</f>
        <v>15</v>
      </c>
      <c r="F22" s="7">
        <v>0</v>
      </c>
    </row>
    <row r="23" spans="1:9" x14ac:dyDescent="0.25">
      <c r="B23" t="s">
        <v>9</v>
      </c>
      <c r="C23" t="s">
        <v>66</v>
      </c>
      <c r="E23" s="7">
        <v>0</v>
      </c>
      <c r="F23" s="7">
        <v>10</v>
      </c>
    </row>
    <row r="24" spans="1:9" x14ac:dyDescent="0.25">
      <c r="E24" s="3" t="s">
        <v>347</v>
      </c>
    </row>
    <row r="25" spans="1:9" x14ac:dyDescent="0.25">
      <c r="B25" t="s">
        <v>67</v>
      </c>
      <c r="C25" t="s">
        <v>70</v>
      </c>
      <c r="E25" s="7" cm="1">
        <f t="array" ref="E25:F26">MMULT(TRANSPOSE(K6:L7),_xlfn.MUNIT(2)*E14:F14)</f>
        <v>30</v>
      </c>
      <c r="F25" s="22">
        <v>0</v>
      </c>
    </row>
    <row r="26" spans="1:9" x14ac:dyDescent="0.25">
      <c r="B26" t="s">
        <v>68</v>
      </c>
      <c r="C26" t="s">
        <v>69</v>
      </c>
      <c r="E26" s="22">
        <v>0</v>
      </c>
      <c r="F26" s="22">
        <v>5</v>
      </c>
    </row>
  </sheetData>
  <hyperlinks>
    <hyperlink ref="A1" location="Contents!A1" display="Back to contents" xr:uid="{703BFAD5-6B30-4707-B69F-C89208571B7B}"/>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AEDDBD-99AA-4B98-9347-238EAFCD444F}">
  <sheetPr>
    <tabColor theme="8" tint="0.59999389629810485"/>
  </sheetPr>
  <dimension ref="A1:X29"/>
  <sheetViews>
    <sheetView showGridLines="0" zoomScale="130" zoomScaleNormal="130" workbookViewId="0">
      <pane xSplit="4" ySplit="5" topLeftCell="E15" activePane="bottomRight" state="frozen"/>
      <selection pane="topRight"/>
      <selection pane="bottomLeft"/>
      <selection pane="bottomRight" activeCell="F14" sqref="F14:K19"/>
    </sheetView>
  </sheetViews>
  <sheetFormatPr defaultColWidth="5.5703125" defaultRowHeight="15" x14ac:dyDescent="0.25"/>
  <cols>
    <col min="1" max="1" width="3.140625" customWidth="1"/>
    <col min="2" max="2" width="3.85546875" customWidth="1"/>
    <col min="3" max="3" width="4.85546875" customWidth="1"/>
    <col min="4" max="4" width="18.42578125" bestFit="1" customWidth="1"/>
    <col min="5" max="5" width="2.140625" customWidth="1"/>
    <col min="6" max="11" width="5.5703125" customWidth="1"/>
    <col min="12" max="12" width="2.140625" customWidth="1"/>
    <col min="13" max="18" width="5.5703125" customWidth="1"/>
    <col min="19" max="19" width="2.140625" customWidth="1"/>
    <col min="20" max="20" width="5.5703125" customWidth="1"/>
    <col min="21" max="21" width="2.140625" customWidth="1"/>
    <col min="22" max="22" width="5.5703125" customWidth="1"/>
    <col min="23" max="23" width="2.140625" customWidth="1"/>
    <col min="24" max="24" width="5.5703125" customWidth="1"/>
  </cols>
  <sheetData>
    <row r="1" spans="1:24" x14ac:dyDescent="0.25">
      <c r="A1" s="97" t="s">
        <v>285</v>
      </c>
    </row>
    <row r="2" spans="1:24" x14ac:dyDescent="0.25">
      <c r="A2" s="5" t="s">
        <v>60</v>
      </c>
      <c r="B2" s="97"/>
      <c r="F2" t="s">
        <v>61</v>
      </c>
      <c r="H2" t="s">
        <v>64</v>
      </c>
      <c r="J2" t="s">
        <v>319</v>
      </c>
      <c r="M2" t="s">
        <v>61</v>
      </c>
      <c r="O2" t="s">
        <v>64</v>
      </c>
      <c r="Q2" t="s">
        <v>319</v>
      </c>
    </row>
    <row r="3" spans="1:24" x14ac:dyDescent="0.25">
      <c r="B3" s="5" t="s">
        <v>0</v>
      </c>
      <c r="C3" s="5"/>
      <c r="D3" s="5"/>
      <c r="E3" s="5"/>
      <c r="F3" t="s">
        <v>3</v>
      </c>
      <c r="G3" t="s">
        <v>4</v>
      </c>
      <c r="H3" t="s">
        <v>3</v>
      </c>
      <c r="I3" t="s">
        <v>4</v>
      </c>
      <c r="J3" t="s">
        <v>3</v>
      </c>
      <c r="K3" t="s">
        <v>4</v>
      </c>
    </row>
    <row r="4" spans="1:24" x14ac:dyDescent="0.25">
      <c r="B4" s="5"/>
      <c r="C4" s="5" t="s">
        <v>1</v>
      </c>
      <c r="D4" s="5"/>
      <c r="E4" s="5"/>
      <c r="M4" t="s">
        <v>7</v>
      </c>
      <c r="N4" t="s">
        <v>9</v>
      </c>
      <c r="O4" t="s">
        <v>7</v>
      </c>
      <c r="P4" t="s">
        <v>9</v>
      </c>
      <c r="Q4" t="s">
        <v>7</v>
      </c>
      <c r="R4" t="s">
        <v>9</v>
      </c>
      <c r="T4" t="s">
        <v>20</v>
      </c>
    </row>
    <row r="5" spans="1:24" x14ac:dyDescent="0.25">
      <c r="B5" s="5"/>
      <c r="C5" s="5"/>
      <c r="D5" s="5" t="s">
        <v>2</v>
      </c>
      <c r="E5" s="5"/>
      <c r="T5" t="s">
        <v>188</v>
      </c>
      <c r="V5" t="s">
        <v>323</v>
      </c>
    </row>
    <row r="6" spans="1:24" x14ac:dyDescent="0.25">
      <c r="B6" s="5"/>
      <c r="C6" s="5"/>
      <c r="D6" s="5"/>
      <c r="E6" s="5"/>
      <c r="F6" s="3" t="s">
        <v>324</v>
      </c>
      <c r="M6" s="3" t="s">
        <v>5</v>
      </c>
      <c r="T6" s="3" t="s">
        <v>14</v>
      </c>
      <c r="V6" s="3" t="s">
        <v>316</v>
      </c>
      <c r="X6" s="18" t="s">
        <v>320</v>
      </c>
    </row>
    <row r="7" spans="1:24" x14ac:dyDescent="0.25">
      <c r="A7" t="s">
        <v>61</v>
      </c>
      <c r="B7" t="s">
        <v>3</v>
      </c>
      <c r="D7" t="s">
        <v>186</v>
      </c>
      <c r="E7" s="5"/>
      <c r="F7" s="132">
        <v>0</v>
      </c>
      <c r="G7" s="132">
        <v>0</v>
      </c>
      <c r="H7" s="132">
        <v>0</v>
      </c>
      <c r="I7" s="132">
        <v>0</v>
      </c>
      <c r="J7" s="132">
        <v>0</v>
      </c>
      <c r="K7" s="132">
        <v>0</v>
      </c>
      <c r="M7" s="1">
        <v>0.2</v>
      </c>
      <c r="N7" s="1">
        <v>0</v>
      </c>
      <c r="O7" s="6">
        <v>0</v>
      </c>
      <c r="P7" s="6">
        <v>0</v>
      </c>
      <c r="Q7" s="6">
        <v>0</v>
      </c>
      <c r="R7" s="6">
        <v>0</v>
      </c>
      <c r="T7" s="1">
        <v>50</v>
      </c>
      <c r="V7" s="25">
        <f>SUM(F7:K7)</f>
        <v>0</v>
      </c>
      <c r="X7" s="136" cm="1">
        <f t="array" ref="X7:X12">TRANSPOSE(F27:K27)+TRANSPOSE(F21:K21)-MMULT(M7:R12,TRANSPOSE(M27:R27))-T7:T12-V7:V12</f>
        <v>7.1054273576010019E-15</v>
      </c>
    </row>
    <row r="8" spans="1:24" x14ac:dyDescent="0.25">
      <c r="B8" t="s">
        <v>4</v>
      </c>
      <c r="D8" t="s">
        <v>187</v>
      </c>
      <c r="E8" s="5"/>
      <c r="F8" s="132">
        <v>0</v>
      </c>
      <c r="G8" s="132">
        <v>0</v>
      </c>
      <c r="H8" s="132">
        <v>0</v>
      </c>
      <c r="I8" s="132">
        <v>0</v>
      </c>
      <c r="J8" s="132">
        <v>0</v>
      </c>
      <c r="K8" s="132">
        <v>0</v>
      </c>
      <c r="M8" s="1">
        <v>0</v>
      </c>
      <c r="N8" s="1">
        <v>0.1</v>
      </c>
      <c r="O8" s="6">
        <v>0</v>
      </c>
      <c r="P8" s="6">
        <v>0</v>
      </c>
      <c r="Q8" s="6">
        <v>0</v>
      </c>
      <c r="R8" s="6">
        <v>0</v>
      </c>
      <c r="T8" s="1">
        <v>20</v>
      </c>
      <c r="V8" s="25">
        <f>SUM(F8:K8)</f>
        <v>0</v>
      </c>
      <c r="X8" s="27">
        <v>0</v>
      </c>
    </row>
    <row r="9" spans="1:24" x14ac:dyDescent="0.25">
      <c r="A9" t="s">
        <v>64</v>
      </c>
      <c r="B9" t="s">
        <v>3</v>
      </c>
      <c r="E9" s="5"/>
      <c r="F9" s="132">
        <v>50</v>
      </c>
      <c r="G9" s="132">
        <v>0</v>
      </c>
      <c r="H9" s="132">
        <v>0</v>
      </c>
      <c r="I9" s="132">
        <v>0</v>
      </c>
      <c r="J9" s="132">
        <v>50</v>
      </c>
      <c r="K9" s="132">
        <v>0</v>
      </c>
      <c r="M9" s="6">
        <v>0</v>
      </c>
      <c r="N9" s="6">
        <v>0</v>
      </c>
      <c r="O9" s="1">
        <v>0.2</v>
      </c>
      <c r="P9" s="1">
        <v>0</v>
      </c>
      <c r="Q9" s="6">
        <v>0</v>
      </c>
      <c r="R9" s="6">
        <v>0</v>
      </c>
      <c r="T9" s="1">
        <v>50</v>
      </c>
      <c r="V9" s="25">
        <f t="shared" ref="V9:V12" si="0">SUM(F9:K9)</f>
        <v>100</v>
      </c>
      <c r="X9" s="27">
        <v>0</v>
      </c>
    </row>
    <row r="10" spans="1:24" x14ac:dyDescent="0.25">
      <c r="B10" t="s">
        <v>4</v>
      </c>
      <c r="E10" s="5"/>
      <c r="F10" s="132">
        <v>0</v>
      </c>
      <c r="G10" s="132">
        <v>20</v>
      </c>
      <c r="H10" s="132">
        <v>0</v>
      </c>
      <c r="I10" s="132">
        <v>0</v>
      </c>
      <c r="J10" s="132">
        <v>0</v>
      </c>
      <c r="K10" s="132">
        <v>20</v>
      </c>
      <c r="M10" s="6">
        <v>0</v>
      </c>
      <c r="N10" s="6">
        <v>0</v>
      </c>
      <c r="O10" s="1">
        <v>0</v>
      </c>
      <c r="P10" s="1">
        <v>0.1</v>
      </c>
      <c r="Q10" s="6">
        <v>0</v>
      </c>
      <c r="R10" s="6">
        <v>0</v>
      </c>
      <c r="T10" s="1">
        <v>20</v>
      </c>
      <c r="V10" s="25">
        <f t="shared" si="0"/>
        <v>40</v>
      </c>
      <c r="X10" s="27">
        <v>3.0000000350582923E-7</v>
      </c>
    </row>
    <row r="11" spans="1:24" x14ac:dyDescent="0.25">
      <c r="A11" t="s">
        <v>319</v>
      </c>
      <c r="B11" t="s">
        <v>3</v>
      </c>
      <c r="E11" s="5"/>
      <c r="F11" s="132">
        <v>0</v>
      </c>
      <c r="G11" s="132">
        <v>0</v>
      </c>
      <c r="H11" s="132">
        <v>0</v>
      </c>
      <c r="I11" s="132">
        <v>0</v>
      </c>
      <c r="J11" s="132">
        <v>0</v>
      </c>
      <c r="K11" s="132">
        <v>0</v>
      </c>
      <c r="M11" s="6">
        <v>0</v>
      </c>
      <c r="N11" s="6">
        <v>0</v>
      </c>
      <c r="O11" s="6">
        <v>0</v>
      </c>
      <c r="P11" s="6">
        <v>0</v>
      </c>
      <c r="Q11" s="1">
        <v>0.2</v>
      </c>
      <c r="R11" s="1">
        <v>0</v>
      </c>
      <c r="T11" s="1">
        <v>50</v>
      </c>
      <c r="V11" s="25">
        <f t="shared" si="0"/>
        <v>0</v>
      </c>
      <c r="X11" s="27">
        <v>7.1054273576010019E-15</v>
      </c>
    </row>
    <row r="12" spans="1:24" x14ac:dyDescent="0.25">
      <c r="B12" t="s">
        <v>4</v>
      </c>
      <c r="E12" s="5"/>
      <c r="F12" s="132">
        <v>0</v>
      </c>
      <c r="G12" s="132">
        <v>0</v>
      </c>
      <c r="H12" s="132">
        <v>0</v>
      </c>
      <c r="I12" s="132">
        <v>0</v>
      </c>
      <c r="J12" s="132">
        <v>0</v>
      </c>
      <c r="K12" s="132">
        <v>0</v>
      </c>
      <c r="M12" s="6">
        <v>0</v>
      </c>
      <c r="N12" s="6">
        <v>0</v>
      </c>
      <c r="O12" s="6">
        <v>0</v>
      </c>
      <c r="P12" s="6">
        <v>0</v>
      </c>
      <c r="Q12" s="1">
        <v>0</v>
      </c>
      <c r="R12" s="1">
        <v>0.1</v>
      </c>
      <c r="T12" s="1">
        <v>20</v>
      </c>
      <c r="V12" s="25">
        <f t="shared" si="0"/>
        <v>0</v>
      </c>
      <c r="X12" s="28">
        <v>0</v>
      </c>
    </row>
    <row r="13" spans="1:24" x14ac:dyDescent="0.25">
      <c r="F13" s="3" t="s">
        <v>6</v>
      </c>
      <c r="X13" s="18" t="s">
        <v>325</v>
      </c>
    </row>
    <row r="14" spans="1:24" x14ac:dyDescent="0.25">
      <c r="A14" t="s">
        <v>61</v>
      </c>
      <c r="C14" t="s">
        <v>7</v>
      </c>
      <c r="D14" t="s">
        <v>321</v>
      </c>
      <c r="F14" s="23">
        <v>1</v>
      </c>
      <c r="G14" s="23">
        <v>0</v>
      </c>
      <c r="H14" s="24">
        <v>0</v>
      </c>
      <c r="I14" s="24">
        <v>0</v>
      </c>
      <c r="J14" s="24">
        <v>0</v>
      </c>
      <c r="K14" s="24">
        <v>0</v>
      </c>
      <c r="X14" s="29" cm="1">
        <f t="array" ref="X14:X19">TRANSPOSE(M27:R27)-MMULT(F14:K19,TRANSPOSE(F27:K27))</f>
        <v>-8.8817841999999998E-15</v>
      </c>
    </row>
    <row r="15" spans="1:24" x14ac:dyDescent="0.25">
      <c r="C15" t="s">
        <v>9</v>
      </c>
      <c r="D15" t="s">
        <v>322</v>
      </c>
      <c r="F15" s="23">
        <v>0</v>
      </c>
      <c r="G15" s="130">
        <v>1</v>
      </c>
      <c r="H15" s="137">
        <v>0</v>
      </c>
      <c r="I15" s="137">
        <v>0</v>
      </c>
      <c r="J15" s="137">
        <v>0</v>
      </c>
      <c r="K15" s="137">
        <v>0</v>
      </c>
      <c r="L15" s="41"/>
      <c r="X15" s="27">
        <v>0</v>
      </c>
    </row>
    <row r="16" spans="1:24" x14ac:dyDescent="0.25">
      <c r="A16" t="s">
        <v>64</v>
      </c>
      <c r="C16" t="s">
        <v>7</v>
      </c>
      <c r="F16" s="24">
        <v>0</v>
      </c>
      <c r="G16" s="137">
        <v>0</v>
      </c>
      <c r="H16" s="130">
        <v>1</v>
      </c>
      <c r="I16" s="130">
        <v>0</v>
      </c>
      <c r="J16" s="137">
        <v>0</v>
      </c>
      <c r="K16" s="137">
        <v>0</v>
      </c>
      <c r="L16" s="41"/>
      <c r="X16" s="27">
        <v>0</v>
      </c>
    </row>
    <row r="17" spans="1:24" x14ac:dyDescent="0.25">
      <c r="C17" t="s">
        <v>9</v>
      </c>
      <c r="F17" s="24">
        <v>0</v>
      </c>
      <c r="G17" s="137">
        <v>0</v>
      </c>
      <c r="H17" s="130">
        <v>0</v>
      </c>
      <c r="I17" s="130">
        <v>1</v>
      </c>
      <c r="J17" s="137">
        <v>0</v>
      </c>
      <c r="K17" s="137">
        <v>0</v>
      </c>
      <c r="L17" s="41"/>
      <c r="X17" s="27">
        <v>0</v>
      </c>
    </row>
    <row r="18" spans="1:24" x14ac:dyDescent="0.25">
      <c r="A18" t="s">
        <v>319</v>
      </c>
      <c r="C18" t="s">
        <v>7</v>
      </c>
      <c r="F18" s="24">
        <v>0</v>
      </c>
      <c r="G18" s="137">
        <v>0</v>
      </c>
      <c r="H18" s="137">
        <v>0</v>
      </c>
      <c r="I18" s="137">
        <v>0</v>
      </c>
      <c r="J18" s="130">
        <v>1</v>
      </c>
      <c r="K18" s="130">
        <v>0</v>
      </c>
      <c r="L18" s="41"/>
      <c r="X18" s="27">
        <v>-8.8817841999999998E-15</v>
      </c>
    </row>
    <row r="19" spans="1:24" x14ac:dyDescent="0.25">
      <c r="C19" t="s">
        <v>9</v>
      </c>
      <c r="F19" s="24">
        <v>0</v>
      </c>
      <c r="G19" s="137">
        <v>0</v>
      </c>
      <c r="H19" s="137">
        <v>0</v>
      </c>
      <c r="I19" s="137">
        <v>0</v>
      </c>
      <c r="J19" s="130">
        <v>0</v>
      </c>
      <c r="K19" s="130">
        <v>1</v>
      </c>
      <c r="L19" s="41"/>
      <c r="X19" s="28">
        <v>0</v>
      </c>
    </row>
    <row r="20" spans="1:24" x14ac:dyDescent="0.25">
      <c r="F20" s="3" t="s">
        <v>317</v>
      </c>
    </row>
    <row r="21" spans="1:24" x14ac:dyDescent="0.25">
      <c r="D21" t="s">
        <v>318</v>
      </c>
      <c r="F21" s="25">
        <f>SUM(F7:F12)</f>
        <v>50</v>
      </c>
      <c r="G21" s="25">
        <f t="shared" ref="G21:K21" si="1">SUM(G7:G12)</f>
        <v>20</v>
      </c>
      <c r="H21" s="25">
        <f t="shared" si="1"/>
        <v>0</v>
      </c>
      <c r="I21" s="25">
        <f t="shared" si="1"/>
        <v>0</v>
      </c>
      <c r="J21" s="25">
        <f t="shared" si="1"/>
        <v>50</v>
      </c>
      <c r="K21" s="25">
        <f t="shared" si="1"/>
        <v>20</v>
      </c>
    </row>
    <row r="23" spans="1:24" x14ac:dyDescent="0.25">
      <c r="D23" t="s">
        <v>31</v>
      </c>
      <c r="L23" s="4" t="s">
        <v>15</v>
      </c>
      <c r="M23" s="1">
        <v>1.5</v>
      </c>
      <c r="N23" s="1">
        <v>0.8</v>
      </c>
      <c r="O23" s="1">
        <v>0</v>
      </c>
      <c r="P23" s="1">
        <v>0</v>
      </c>
      <c r="Q23" s="1">
        <v>3</v>
      </c>
      <c r="R23" s="1">
        <v>3</v>
      </c>
    </row>
    <row r="24" spans="1:24" x14ac:dyDescent="0.25">
      <c r="T24" s="3" t="s">
        <v>327</v>
      </c>
    </row>
    <row r="25" spans="1:24" x14ac:dyDescent="0.25">
      <c r="L25" s="4" t="s">
        <v>326</v>
      </c>
      <c r="M25" s="7" cm="1">
        <f t="array" ref="M25:R25">MMULT(M27:R27,M23:R23*_xlfn.MUNIT(6))</f>
        <v>0</v>
      </c>
      <c r="N25" s="7">
        <v>0</v>
      </c>
      <c r="O25" s="7">
        <v>0</v>
      </c>
      <c r="P25" s="7">
        <v>0</v>
      </c>
      <c r="Q25" s="7">
        <v>0</v>
      </c>
      <c r="R25" s="7">
        <v>0</v>
      </c>
      <c r="T25" s="98">
        <f>SUM(_xlfn.ANCHORARRAY(M25))</f>
        <v>0</v>
      </c>
    </row>
    <row r="26" spans="1:24" x14ac:dyDescent="0.25">
      <c r="F26" s="3" t="s">
        <v>71</v>
      </c>
      <c r="M26" s="3" t="s">
        <v>72</v>
      </c>
    </row>
    <row r="27" spans="1:24" x14ac:dyDescent="0.25">
      <c r="D27" t="s">
        <v>328</v>
      </c>
      <c r="F27" s="131">
        <v>8.8817841999999998E-15</v>
      </c>
      <c r="G27" s="131">
        <v>0</v>
      </c>
      <c r="H27" s="131">
        <v>187.5</v>
      </c>
      <c r="I27" s="131">
        <v>66.666667000000004</v>
      </c>
      <c r="J27" s="131">
        <v>8.8817841999999998E-15</v>
      </c>
      <c r="K27" s="131">
        <v>0</v>
      </c>
      <c r="M27" s="131">
        <v>0</v>
      </c>
      <c r="N27" s="131">
        <v>0</v>
      </c>
      <c r="O27" s="131">
        <v>187.5</v>
      </c>
      <c r="P27" s="131">
        <v>66.666667000000004</v>
      </c>
      <c r="Q27" s="131">
        <v>0</v>
      </c>
      <c r="R27" s="131">
        <v>0</v>
      </c>
    </row>
    <row r="28" spans="1:24" x14ac:dyDescent="0.25">
      <c r="M28" s="3" t="s">
        <v>330</v>
      </c>
    </row>
    <row r="29" spans="1:24" x14ac:dyDescent="0.25">
      <c r="M29" s="62" cm="1">
        <f t="array" ref="M29:R29">M27:R27-TRANSPOSE(V7:V12)</f>
        <v>0</v>
      </c>
      <c r="N29" s="9">
        <v>0</v>
      </c>
      <c r="O29" s="9">
        <v>87.5</v>
      </c>
      <c r="P29" s="9">
        <v>26.666667000000004</v>
      </c>
      <c r="Q29" s="9">
        <v>0</v>
      </c>
      <c r="R29" s="10">
        <v>0</v>
      </c>
    </row>
  </sheetData>
  <hyperlinks>
    <hyperlink ref="A1" location="Contents!A1" display="Back to contents" xr:uid="{DBC52824-EAFC-4924-9B02-0C7E478238EC}"/>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F41F9E-494E-4B18-85EB-3A79ECBD2CBE}">
  <sheetPr>
    <tabColor theme="8" tint="0.59999389629810485"/>
  </sheetPr>
  <dimension ref="A1:AR34"/>
  <sheetViews>
    <sheetView showGridLines="0" zoomScale="130" zoomScaleNormal="130" workbookViewId="0">
      <pane xSplit="4" ySplit="5" topLeftCell="E6" activePane="bottomRight" state="frozen"/>
      <selection pane="topRight"/>
      <selection pane="bottomLeft"/>
      <selection pane="bottomRight" activeCell="Z7" sqref="Z7"/>
    </sheetView>
  </sheetViews>
  <sheetFormatPr defaultColWidth="5.5703125" defaultRowHeight="15" x14ac:dyDescent="0.25"/>
  <cols>
    <col min="1" max="1" width="3.140625" customWidth="1"/>
    <col min="2" max="2" width="3.85546875" customWidth="1"/>
    <col min="3" max="3" width="4.85546875" customWidth="1"/>
    <col min="4" max="4" width="18.42578125" bestFit="1" customWidth="1"/>
    <col min="5" max="5" width="2.140625" customWidth="1"/>
    <col min="6" max="11" width="5.28515625" customWidth="1"/>
    <col min="12" max="12" width="2.140625" customWidth="1"/>
    <col min="13" max="18" width="5.28515625" customWidth="1"/>
    <col min="19" max="19" width="2.140625" customWidth="1"/>
    <col min="20" max="22" width="5.28515625" customWidth="1"/>
    <col min="23" max="23" width="2.140625" customWidth="1"/>
    <col min="24" max="24" width="7.42578125" customWidth="1"/>
    <col min="25" max="25" width="2.140625" customWidth="1"/>
    <col min="26" max="26" width="5.28515625" customWidth="1"/>
    <col min="27" max="27" width="2.140625" customWidth="1"/>
    <col min="28" max="28" width="5.28515625" customWidth="1"/>
    <col min="31" max="31" width="2.140625" customWidth="1"/>
    <col min="32" max="37" width="5.28515625" customWidth="1"/>
  </cols>
  <sheetData>
    <row r="1" spans="1:44" x14ac:dyDescent="0.25">
      <c r="A1" s="97" t="s">
        <v>285</v>
      </c>
    </row>
    <row r="2" spans="1:44" x14ac:dyDescent="0.25">
      <c r="A2" s="5" t="s">
        <v>60</v>
      </c>
      <c r="B2" s="97"/>
      <c r="F2" t="s">
        <v>61</v>
      </c>
      <c r="H2" t="s">
        <v>64</v>
      </c>
      <c r="J2" t="s">
        <v>319</v>
      </c>
      <c r="M2" t="s">
        <v>61</v>
      </c>
      <c r="O2" t="s">
        <v>64</v>
      </c>
      <c r="Q2" t="s">
        <v>319</v>
      </c>
      <c r="T2" t="s">
        <v>61</v>
      </c>
      <c r="U2" t="s">
        <v>64</v>
      </c>
      <c r="V2" t="s">
        <v>319</v>
      </c>
      <c r="AF2" t="s">
        <v>61</v>
      </c>
      <c r="AH2" t="s">
        <v>64</v>
      </c>
      <c r="AJ2" t="s">
        <v>319</v>
      </c>
      <c r="AM2" t="s">
        <v>61</v>
      </c>
      <c r="AO2" t="s">
        <v>64</v>
      </c>
      <c r="AQ2" t="s">
        <v>319</v>
      </c>
    </row>
    <row r="3" spans="1:44" x14ac:dyDescent="0.25">
      <c r="B3" s="5" t="s">
        <v>0</v>
      </c>
      <c r="C3" s="5"/>
      <c r="D3" s="5"/>
      <c r="E3" s="5"/>
      <c r="F3" t="s">
        <v>3</v>
      </c>
      <c r="G3" t="s">
        <v>4</v>
      </c>
      <c r="H3" t="s">
        <v>3</v>
      </c>
      <c r="I3" t="s">
        <v>4</v>
      </c>
      <c r="J3" t="s">
        <v>3</v>
      </c>
      <c r="K3" t="s">
        <v>4</v>
      </c>
    </row>
    <row r="4" spans="1:44" x14ac:dyDescent="0.25">
      <c r="B4" s="5"/>
      <c r="C4" s="5" t="s">
        <v>1</v>
      </c>
      <c r="D4" s="5"/>
      <c r="E4" s="5"/>
      <c r="M4" t="s">
        <v>7</v>
      </c>
      <c r="N4" t="s">
        <v>9</v>
      </c>
      <c r="O4" t="s">
        <v>7</v>
      </c>
      <c r="P4" t="s">
        <v>9</v>
      </c>
      <c r="Q4" t="s">
        <v>7</v>
      </c>
      <c r="R4" t="s">
        <v>9</v>
      </c>
      <c r="T4" t="s">
        <v>67</v>
      </c>
      <c r="U4" t="s">
        <v>67</v>
      </c>
      <c r="V4" t="s">
        <v>67</v>
      </c>
      <c r="X4" t="s">
        <v>20</v>
      </c>
      <c r="AF4" t="s">
        <v>7</v>
      </c>
      <c r="AG4" t="s">
        <v>9</v>
      </c>
      <c r="AH4" t="s">
        <v>7</v>
      </c>
      <c r="AI4" t="s">
        <v>9</v>
      </c>
      <c r="AJ4" t="s">
        <v>7</v>
      </c>
      <c r="AK4" t="s">
        <v>9</v>
      </c>
      <c r="AM4" t="s">
        <v>7</v>
      </c>
      <c r="AN4" t="s">
        <v>9</v>
      </c>
      <c r="AO4" t="s">
        <v>7</v>
      </c>
      <c r="AP4" t="s">
        <v>9</v>
      </c>
      <c r="AQ4" t="s">
        <v>7</v>
      </c>
      <c r="AR4" t="s">
        <v>9</v>
      </c>
    </row>
    <row r="5" spans="1:44" x14ac:dyDescent="0.25">
      <c r="B5" s="5"/>
      <c r="C5" s="5"/>
      <c r="D5" s="5" t="s">
        <v>2</v>
      </c>
      <c r="E5" s="5"/>
      <c r="X5" t="s">
        <v>188</v>
      </c>
      <c r="Z5" t="s">
        <v>323</v>
      </c>
    </row>
    <row r="6" spans="1:44" x14ac:dyDescent="0.25">
      <c r="B6" s="5"/>
      <c r="C6" s="5"/>
      <c r="D6" s="5"/>
      <c r="E6" s="5"/>
      <c r="F6" s="3" t="s">
        <v>334</v>
      </c>
      <c r="M6" s="3" t="s">
        <v>5</v>
      </c>
      <c r="T6" s="3" t="s">
        <v>331</v>
      </c>
      <c r="X6" s="3" t="s">
        <v>14</v>
      </c>
      <c r="Z6" s="3" t="s">
        <v>316</v>
      </c>
      <c r="AB6" s="18" t="s">
        <v>320</v>
      </c>
      <c r="AF6" s="3" t="s">
        <v>258</v>
      </c>
      <c r="AM6" s="3" t="s">
        <v>338</v>
      </c>
    </row>
    <row r="7" spans="1:44" x14ac:dyDescent="0.25">
      <c r="A7" t="s">
        <v>61</v>
      </c>
      <c r="B7" t="s">
        <v>3</v>
      </c>
      <c r="D7" t="s">
        <v>186</v>
      </c>
      <c r="E7" s="5"/>
      <c r="F7" s="132">
        <v>0</v>
      </c>
      <c r="G7" s="132">
        <v>0</v>
      </c>
      <c r="H7" s="132">
        <v>0</v>
      </c>
      <c r="I7" s="132">
        <v>0</v>
      </c>
      <c r="J7" s="132">
        <v>0</v>
      </c>
      <c r="K7" s="132">
        <v>0</v>
      </c>
      <c r="M7" s="1">
        <v>0.3</v>
      </c>
      <c r="N7" s="1">
        <v>0</v>
      </c>
      <c r="O7" s="6">
        <v>0</v>
      </c>
      <c r="P7" s="6">
        <v>0</v>
      </c>
      <c r="Q7" s="6">
        <v>0</v>
      </c>
      <c r="R7" s="6">
        <v>0</v>
      </c>
      <c r="T7" s="1">
        <v>1</v>
      </c>
      <c r="U7" s="1">
        <v>1.2</v>
      </c>
      <c r="V7" s="1">
        <v>1.5</v>
      </c>
      <c r="X7" s="1">
        <v>30</v>
      </c>
      <c r="Z7" s="25">
        <f>SUM(F7:K7)</f>
        <v>0</v>
      </c>
      <c r="AB7" s="136" cm="1">
        <f t="array" ref="AB7:AB12">TRANSPOSE(F32:K32)+TRANSPOSE(F26:K26)-MMULT(M7:R12,TRANSPOSE(M32:R32))-X7:X12-Z7:Z12</f>
        <v>1.0000000116860974E-7</v>
      </c>
      <c r="AF7" s="91" cm="1">
        <f t="array" ref="AF7:AK12">MMULT(M7:R12,M32:R32*_xlfn.MUNIT(6))</f>
        <v>12.857142899999999</v>
      </c>
      <c r="AG7" s="91">
        <v>0</v>
      </c>
      <c r="AH7" s="91">
        <v>0</v>
      </c>
      <c r="AI7" s="91">
        <v>0</v>
      </c>
      <c r="AJ7" s="91">
        <v>0</v>
      </c>
      <c r="AK7" s="91">
        <v>0</v>
      </c>
      <c r="AM7" s="6">
        <v>1</v>
      </c>
      <c r="AN7" s="6">
        <v>0</v>
      </c>
      <c r="AO7" s="6">
        <v>0</v>
      </c>
      <c r="AP7" s="6">
        <v>0</v>
      </c>
      <c r="AQ7" s="6">
        <v>0</v>
      </c>
      <c r="AR7" s="6">
        <v>0</v>
      </c>
    </row>
    <row r="8" spans="1:44" x14ac:dyDescent="0.25">
      <c r="B8" t="s">
        <v>4</v>
      </c>
      <c r="D8" t="s">
        <v>187</v>
      </c>
      <c r="E8" s="5"/>
      <c r="F8" s="132">
        <v>0</v>
      </c>
      <c r="G8" s="132">
        <v>0</v>
      </c>
      <c r="H8" s="132">
        <v>0</v>
      </c>
      <c r="I8" s="132">
        <v>0</v>
      </c>
      <c r="J8" s="132">
        <v>0</v>
      </c>
      <c r="K8" s="132">
        <v>0</v>
      </c>
      <c r="M8" s="1">
        <v>0</v>
      </c>
      <c r="N8" s="1">
        <v>0.1</v>
      </c>
      <c r="O8" s="6">
        <v>0</v>
      </c>
      <c r="P8" s="6">
        <v>0</v>
      </c>
      <c r="Q8" s="6">
        <v>0</v>
      </c>
      <c r="R8" s="6">
        <v>0</v>
      </c>
      <c r="T8" s="1">
        <v>1</v>
      </c>
      <c r="U8" s="1">
        <v>1.2</v>
      </c>
      <c r="V8" s="1">
        <v>1.5</v>
      </c>
      <c r="X8" s="1">
        <v>20</v>
      </c>
      <c r="Z8" s="25">
        <f>SUM(F8:K8)</f>
        <v>0</v>
      </c>
      <c r="AB8" s="27">
        <v>-2.0000000233721948E-7</v>
      </c>
      <c r="AF8" s="91">
        <v>0</v>
      </c>
      <c r="AG8" s="91">
        <v>2.2222222</v>
      </c>
      <c r="AH8" s="91">
        <v>0</v>
      </c>
      <c r="AI8" s="91">
        <v>0</v>
      </c>
      <c r="AJ8" s="91">
        <v>0</v>
      </c>
      <c r="AK8" s="91">
        <v>0</v>
      </c>
      <c r="AM8" s="6">
        <v>0</v>
      </c>
      <c r="AN8" s="6">
        <v>1</v>
      </c>
      <c r="AO8" s="6">
        <v>0</v>
      </c>
      <c r="AP8" s="6">
        <v>0</v>
      </c>
      <c r="AQ8" s="6">
        <v>0</v>
      </c>
      <c r="AR8" s="6">
        <v>0</v>
      </c>
    </row>
    <row r="9" spans="1:44" x14ac:dyDescent="0.25">
      <c r="A9" t="s">
        <v>64</v>
      </c>
      <c r="B9" t="s">
        <v>3</v>
      </c>
      <c r="E9" s="5"/>
      <c r="F9" s="132">
        <v>0</v>
      </c>
      <c r="G9" s="132">
        <v>0</v>
      </c>
      <c r="H9" s="132">
        <v>0</v>
      </c>
      <c r="I9" s="132">
        <v>0</v>
      </c>
      <c r="J9" s="132">
        <v>30</v>
      </c>
      <c r="K9" s="132">
        <v>0</v>
      </c>
      <c r="M9" s="6">
        <v>0</v>
      </c>
      <c r="N9" s="6">
        <v>0</v>
      </c>
      <c r="O9" s="1">
        <v>0.3</v>
      </c>
      <c r="P9" s="1">
        <v>0</v>
      </c>
      <c r="Q9" s="6">
        <v>0</v>
      </c>
      <c r="R9" s="6">
        <v>0</v>
      </c>
      <c r="T9" s="1">
        <v>1.2</v>
      </c>
      <c r="U9" s="1">
        <v>1</v>
      </c>
      <c r="V9" s="1">
        <v>1.3</v>
      </c>
      <c r="X9" s="1">
        <v>30</v>
      </c>
      <c r="Z9" s="25">
        <f t="shared" ref="Z9:Z12" si="0">SUM(F9:K9)</f>
        <v>30</v>
      </c>
      <c r="AB9" s="27">
        <v>2.0000000233721948E-7</v>
      </c>
      <c r="AF9" s="91">
        <v>0</v>
      </c>
      <c r="AG9" s="91">
        <v>0</v>
      </c>
      <c r="AH9" s="91">
        <v>25.714285799999999</v>
      </c>
      <c r="AI9" s="91">
        <v>0</v>
      </c>
      <c r="AJ9" s="91">
        <v>0</v>
      </c>
      <c r="AK9" s="91">
        <v>0</v>
      </c>
      <c r="AM9" s="6">
        <v>0</v>
      </c>
      <c r="AN9" s="6">
        <v>0</v>
      </c>
      <c r="AO9" s="6">
        <v>1</v>
      </c>
      <c r="AP9" s="6">
        <v>0</v>
      </c>
      <c r="AQ9" s="6">
        <v>0</v>
      </c>
      <c r="AR9" s="6">
        <v>0</v>
      </c>
    </row>
    <row r="10" spans="1:44" x14ac:dyDescent="0.25">
      <c r="B10" t="s">
        <v>4</v>
      </c>
      <c r="E10" s="5"/>
      <c r="F10" s="132">
        <v>0</v>
      </c>
      <c r="G10" s="132">
        <v>0</v>
      </c>
      <c r="H10" s="132">
        <v>0</v>
      </c>
      <c r="I10" s="132">
        <v>0</v>
      </c>
      <c r="J10" s="132">
        <v>0</v>
      </c>
      <c r="K10" s="132">
        <v>0</v>
      </c>
      <c r="M10" s="6">
        <v>0</v>
      </c>
      <c r="N10" s="6">
        <v>0</v>
      </c>
      <c r="O10" s="1">
        <v>0</v>
      </c>
      <c r="P10" s="1">
        <v>0.1</v>
      </c>
      <c r="Q10" s="6">
        <v>0</v>
      </c>
      <c r="R10" s="6">
        <v>0</v>
      </c>
      <c r="T10" s="1">
        <v>1.2</v>
      </c>
      <c r="U10" s="1">
        <v>1</v>
      </c>
      <c r="V10" s="1">
        <v>1.3</v>
      </c>
      <c r="X10" s="1">
        <v>20</v>
      </c>
      <c r="Z10" s="25">
        <f t="shared" si="0"/>
        <v>0</v>
      </c>
      <c r="AB10" s="27">
        <v>-2.0000000233721948E-7</v>
      </c>
      <c r="AF10" s="91">
        <v>0</v>
      </c>
      <c r="AG10" s="91">
        <v>0</v>
      </c>
      <c r="AH10" s="91">
        <v>0</v>
      </c>
      <c r="AI10" s="91">
        <v>2.2222222</v>
      </c>
      <c r="AJ10" s="91">
        <v>0</v>
      </c>
      <c r="AK10" s="91">
        <v>0</v>
      </c>
      <c r="AM10" s="6">
        <v>0</v>
      </c>
      <c r="AN10" s="6">
        <v>0</v>
      </c>
      <c r="AO10" s="6">
        <v>0</v>
      </c>
      <c r="AP10" s="6">
        <v>1</v>
      </c>
      <c r="AQ10" s="6">
        <v>0</v>
      </c>
      <c r="AR10" s="6">
        <v>0</v>
      </c>
    </row>
    <row r="11" spans="1:44" x14ac:dyDescent="0.25">
      <c r="A11" t="s">
        <v>319</v>
      </c>
      <c r="B11" t="s">
        <v>3</v>
      </c>
      <c r="E11" s="5"/>
      <c r="F11" s="132">
        <v>0</v>
      </c>
      <c r="G11" s="132">
        <v>0</v>
      </c>
      <c r="H11" s="132">
        <v>0</v>
      </c>
      <c r="I11" s="132">
        <v>0</v>
      </c>
      <c r="J11" s="132">
        <v>0</v>
      </c>
      <c r="K11" s="132">
        <v>0</v>
      </c>
      <c r="M11" s="6">
        <v>0</v>
      </c>
      <c r="N11" s="6">
        <v>0</v>
      </c>
      <c r="O11" s="6">
        <v>0</v>
      </c>
      <c r="P11" s="6">
        <v>0</v>
      </c>
      <c r="Q11" s="1">
        <v>0.3</v>
      </c>
      <c r="R11" s="1">
        <v>0</v>
      </c>
      <c r="T11" s="1">
        <v>1.5</v>
      </c>
      <c r="U11" s="1">
        <v>1.3</v>
      </c>
      <c r="V11" s="1">
        <v>1</v>
      </c>
      <c r="X11" s="1">
        <v>30</v>
      </c>
      <c r="Z11" s="25">
        <f t="shared" si="0"/>
        <v>0</v>
      </c>
      <c r="AB11" s="27">
        <v>0</v>
      </c>
      <c r="AF11" s="91">
        <v>0</v>
      </c>
      <c r="AG11" s="91">
        <v>0</v>
      </c>
      <c r="AH11" s="91">
        <v>0</v>
      </c>
      <c r="AI11" s="91">
        <v>0</v>
      </c>
      <c r="AJ11" s="91">
        <v>0</v>
      </c>
      <c r="AK11" s="91">
        <v>0</v>
      </c>
      <c r="AM11" s="6">
        <v>0</v>
      </c>
      <c r="AN11" s="6">
        <v>0</v>
      </c>
      <c r="AO11" s="6">
        <v>0</v>
      </c>
      <c r="AP11" s="6">
        <v>0</v>
      </c>
      <c r="AQ11" s="6">
        <v>1</v>
      </c>
      <c r="AR11" s="6">
        <v>0</v>
      </c>
    </row>
    <row r="12" spans="1:44" x14ac:dyDescent="0.25">
      <c r="B12" t="s">
        <v>4</v>
      </c>
      <c r="E12" s="5"/>
      <c r="F12" s="132">
        <v>0</v>
      </c>
      <c r="G12" s="132">
        <v>0</v>
      </c>
      <c r="H12" s="132">
        <v>0</v>
      </c>
      <c r="I12" s="132">
        <v>0</v>
      </c>
      <c r="J12" s="132">
        <v>0</v>
      </c>
      <c r="K12" s="132">
        <v>0</v>
      </c>
      <c r="M12" s="6">
        <v>0</v>
      </c>
      <c r="N12" s="6">
        <v>0</v>
      </c>
      <c r="O12" s="6">
        <v>0</v>
      </c>
      <c r="P12" s="6">
        <v>0</v>
      </c>
      <c r="Q12" s="1">
        <v>0</v>
      </c>
      <c r="R12" s="1">
        <v>0.1</v>
      </c>
      <c r="T12" s="1">
        <v>1.5</v>
      </c>
      <c r="U12" s="1">
        <v>1.3</v>
      </c>
      <c r="V12" s="1">
        <v>1</v>
      </c>
      <c r="X12" s="1">
        <v>20</v>
      </c>
      <c r="Z12" s="25">
        <f t="shared" si="0"/>
        <v>0</v>
      </c>
      <c r="AB12" s="138">
        <v>-2.0000000233721948E-7</v>
      </c>
      <c r="AF12" s="91">
        <v>0</v>
      </c>
      <c r="AG12" s="91">
        <v>0</v>
      </c>
      <c r="AH12" s="91">
        <v>0</v>
      </c>
      <c r="AI12" s="91">
        <v>0</v>
      </c>
      <c r="AJ12" s="91">
        <v>0</v>
      </c>
      <c r="AK12" s="91">
        <v>2.2222222</v>
      </c>
      <c r="AM12" s="6">
        <v>0</v>
      </c>
      <c r="AN12" s="6">
        <v>0</v>
      </c>
      <c r="AO12" s="6">
        <v>0</v>
      </c>
      <c r="AP12" s="6">
        <v>0</v>
      </c>
      <c r="AQ12" s="6">
        <v>0</v>
      </c>
      <c r="AR12" s="6">
        <v>1</v>
      </c>
    </row>
    <row r="13" spans="1:44" x14ac:dyDescent="0.25">
      <c r="F13" s="3" t="s">
        <v>329</v>
      </c>
      <c r="T13" s="3"/>
      <c r="AB13" s="18" t="s">
        <v>325</v>
      </c>
    </row>
    <row r="14" spans="1:44" x14ac:dyDescent="0.25">
      <c r="A14" t="s">
        <v>61</v>
      </c>
      <c r="C14" t="s">
        <v>7</v>
      </c>
      <c r="D14" t="s">
        <v>321</v>
      </c>
      <c r="F14" s="23">
        <v>1</v>
      </c>
      <c r="G14" s="23">
        <v>0</v>
      </c>
      <c r="H14" s="24">
        <v>0</v>
      </c>
      <c r="I14" s="24">
        <v>0</v>
      </c>
      <c r="J14" s="24">
        <v>0</v>
      </c>
      <c r="K14" s="24">
        <v>0</v>
      </c>
      <c r="T14" s="3"/>
      <c r="AB14" s="29" cm="1">
        <f t="array" ref="AB14:AB19">TRANSPOSE(M32:R32)-MMULT(F14:K19,TRANSPOSE(F32:K32))</f>
        <v>0</v>
      </c>
    </row>
    <row r="15" spans="1:44" x14ac:dyDescent="0.25">
      <c r="C15" t="s">
        <v>9</v>
      </c>
      <c r="D15" t="s">
        <v>322</v>
      </c>
      <c r="F15" s="23">
        <v>0</v>
      </c>
      <c r="G15" s="130">
        <v>1</v>
      </c>
      <c r="H15" s="137">
        <v>0</v>
      </c>
      <c r="I15" s="137">
        <v>0</v>
      </c>
      <c r="J15" s="137">
        <v>0</v>
      </c>
      <c r="K15" s="137">
        <v>0</v>
      </c>
      <c r="L15" s="41"/>
      <c r="T15" s="3"/>
      <c r="AB15" s="27">
        <v>0</v>
      </c>
    </row>
    <row r="16" spans="1:44" x14ac:dyDescent="0.25">
      <c r="A16" t="s">
        <v>64</v>
      </c>
      <c r="C16" t="s">
        <v>7</v>
      </c>
      <c r="F16" s="24">
        <v>0</v>
      </c>
      <c r="G16" s="137">
        <v>0</v>
      </c>
      <c r="H16" s="130">
        <v>1</v>
      </c>
      <c r="I16" s="130">
        <v>0</v>
      </c>
      <c r="J16" s="137">
        <v>0</v>
      </c>
      <c r="K16" s="137">
        <v>0</v>
      </c>
      <c r="L16" s="41"/>
      <c r="T16" s="3"/>
      <c r="AB16" s="27">
        <v>0</v>
      </c>
    </row>
    <row r="17" spans="1:28" x14ac:dyDescent="0.25">
      <c r="C17" t="s">
        <v>9</v>
      </c>
      <c r="F17" s="24">
        <v>0</v>
      </c>
      <c r="G17" s="137">
        <v>0</v>
      </c>
      <c r="H17" s="130">
        <v>0</v>
      </c>
      <c r="I17" s="130">
        <v>1</v>
      </c>
      <c r="J17" s="137">
        <v>0</v>
      </c>
      <c r="K17" s="137">
        <v>0</v>
      </c>
      <c r="L17" s="41"/>
      <c r="T17" s="3"/>
      <c r="AB17" s="27">
        <v>0</v>
      </c>
    </row>
    <row r="18" spans="1:28" x14ac:dyDescent="0.25">
      <c r="A18" t="s">
        <v>319</v>
      </c>
      <c r="C18" t="s">
        <v>7</v>
      </c>
      <c r="F18" s="24">
        <v>0</v>
      </c>
      <c r="G18" s="137">
        <v>0</v>
      </c>
      <c r="H18" s="137">
        <v>0</v>
      </c>
      <c r="I18" s="137">
        <v>0</v>
      </c>
      <c r="J18" s="130">
        <v>1</v>
      </c>
      <c r="K18" s="130">
        <v>0</v>
      </c>
      <c r="L18" s="41"/>
      <c r="T18" s="3"/>
      <c r="AB18" s="27">
        <v>0</v>
      </c>
    </row>
    <row r="19" spans="1:28" x14ac:dyDescent="0.25">
      <c r="C19" t="s">
        <v>9</v>
      </c>
      <c r="F19" s="24">
        <v>0</v>
      </c>
      <c r="G19" s="137">
        <v>0</v>
      </c>
      <c r="H19" s="137">
        <v>0</v>
      </c>
      <c r="I19" s="137">
        <v>0</v>
      </c>
      <c r="J19" s="130">
        <v>0</v>
      </c>
      <c r="K19" s="130">
        <v>1</v>
      </c>
      <c r="L19" s="41"/>
      <c r="T19" s="3"/>
      <c r="AB19" s="28">
        <v>0</v>
      </c>
    </row>
    <row r="20" spans="1:28" x14ac:dyDescent="0.25">
      <c r="T20" s="3"/>
      <c r="AB20" s="52"/>
    </row>
    <row r="21" spans="1:28" x14ac:dyDescent="0.25">
      <c r="F21" s="3" t="s">
        <v>340</v>
      </c>
      <c r="T21" s="3"/>
      <c r="AB21" s="52"/>
    </row>
    <row r="22" spans="1:28" x14ac:dyDescent="0.25">
      <c r="A22" t="s">
        <v>61</v>
      </c>
      <c r="C22" t="s">
        <v>67</v>
      </c>
      <c r="D22" t="s">
        <v>335</v>
      </c>
      <c r="F22" s="91" cm="1">
        <f t="array" ref="F22:K24">MMULT(TRANSPOSE(T7:V12),_xlfn.MUNIT(6)*F34:K34)</f>
        <v>42.857143000000001</v>
      </c>
      <c r="G22" s="91">
        <v>22.222221999999999</v>
      </c>
      <c r="H22" s="91">
        <v>102.8571432</v>
      </c>
      <c r="I22" s="91">
        <v>26.666666399999997</v>
      </c>
      <c r="J22" s="91">
        <v>45</v>
      </c>
      <c r="K22" s="91">
        <v>33.333332999999996</v>
      </c>
      <c r="AB22" s="52"/>
    </row>
    <row r="23" spans="1:28" x14ac:dyDescent="0.25">
      <c r="A23" t="s">
        <v>64</v>
      </c>
      <c r="C23" t="s">
        <v>67</v>
      </c>
      <c r="F23" s="91">
        <v>51.428571599999998</v>
      </c>
      <c r="G23" s="91">
        <v>26.666666399999997</v>
      </c>
      <c r="H23" s="91">
        <v>85.714286000000001</v>
      </c>
      <c r="I23" s="91">
        <v>22.222221999999999</v>
      </c>
      <c r="J23" s="91">
        <v>39</v>
      </c>
      <c r="K23" s="91">
        <v>28.888888599999998</v>
      </c>
      <c r="L23" s="41"/>
      <c r="AB23" s="52"/>
    </row>
    <row r="24" spans="1:28" x14ac:dyDescent="0.25">
      <c r="A24" t="s">
        <v>319</v>
      </c>
      <c r="C24" t="s">
        <v>67</v>
      </c>
      <c r="F24" s="91">
        <v>64.285714499999997</v>
      </c>
      <c r="G24" s="91">
        <v>33.333332999999996</v>
      </c>
      <c r="H24" s="91">
        <v>111.4285718</v>
      </c>
      <c r="I24" s="91">
        <v>28.888888599999998</v>
      </c>
      <c r="J24" s="91">
        <v>30</v>
      </c>
      <c r="K24" s="91">
        <v>22.222221999999999</v>
      </c>
      <c r="L24" s="41"/>
      <c r="AB24" s="52"/>
    </row>
    <row r="25" spans="1:28" x14ac:dyDescent="0.25">
      <c r="F25" s="3" t="s">
        <v>317</v>
      </c>
      <c r="AB25" s="52"/>
    </row>
    <row r="26" spans="1:28" x14ac:dyDescent="0.25">
      <c r="D26" t="s">
        <v>318</v>
      </c>
      <c r="F26" s="25">
        <f>SUM(F7:F12)</f>
        <v>0</v>
      </c>
      <c r="G26" s="25">
        <f t="shared" ref="G26:K26" si="1">SUM(G7:G12)</f>
        <v>0</v>
      </c>
      <c r="H26" s="25">
        <f t="shared" si="1"/>
        <v>0</v>
      </c>
      <c r="I26" s="25">
        <f t="shared" si="1"/>
        <v>0</v>
      </c>
      <c r="J26" s="25">
        <f t="shared" si="1"/>
        <v>30</v>
      </c>
      <c r="K26" s="25">
        <f t="shared" si="1"/>
        <v>0</v>
      </c>
      <c r="AB26" s="52"/>
    </row>
    <row r="27" spans="1:28" x14ac:dyDescent="0.25">
      <c r="AB27" s="52"/>
    </row>
    <row r="28" spans="1:28" x14ac:dyDescent="0.25">
      <c r="L28" s="4" t="s">
        <v>15</v>
      </c>
      <c r="M28" s="1">
        <v>1.5</v>
      </c>
      <c r="N28" s="1">
        <v>0.8</v>
      </c>
      <c r="O28" s="1">
        <v>0</v>
      </c>
      <c r="P28" s="1">
        <v>0</v>
      </c>
      <c r="Q28" s="1">
        <v>3</v>
      </c>
      <c r="R28" s="1">
        <v>3</v>
      </c>
    </row>
    <row r="29" spans="1:28" x14ac:dyDescent="0.25">
      <c r="X29" s="3" t="s">
        <v>332</v>
      </c>
    </row>
    <row r="30" spans="1:28" x14ac:dyDescent="0.25">
      <c r="L30" s="4" t="s">
        <v>326</v>
      </c>
      <c r="M30" s="7" cm="1">
        <f t="array" ref="M30:R30">MMULT(M32:R32,M28:R28*_xlfn.MUNIT(6))</f>
        <v>64.285714499999997</v>
      </c>
      <c r="N30" s="7">
        <v>17.7777776</v>
      </c>
      <c r="O30" s="7">
        <v>0</v>
      </c>
      <c r="P30" s="7">
        <v>0</v>
      </c>
      <c r="Q30" s="7">
        <v>0</v>
      </c>
      <c r="R30" s="7">
        <v>66.666665999999992</v>
      </c>
      <c r="X30" s="98">
        <f>SUM(_xlfn.ANCHORARRAY(M30),_xlfn.ANCHORARRAY(F22))</f>
        <v>965.74603019999995</v>
      </c>
    </row>
    <row r="31" spans="1:28" x14ac:dyDescent="0.25">
      <c r="F31" s="3" t="s">
        <v>71</v>
      </c>
      <c r="M31" s="3" t="s">
        <v>72</v>
      </c>
    </row>
    <row r="32" spans="1:28" x14ac:dyDescent="0.25">
      <c r="D32" t="s">
        <v>328</v>
      </c>
      <c r="F32" s="131">
        <v>42.857143000000001</v>
      </c>
      <c r="G32" s="131">
        <v>22.222221999999999</v>
      </c>
      <c r="H32" s="131">
        <v>85.714286000000001</v>
      </c>
      <c r="I32" s="131">
        <v>22.222221999999999</v>
      </c>
      <c r="J32" s="131">
        <v>0</v>
      </c>
      <c r="K32" s="131">
        <v>22.222221999999999</v>
      </c>
      <c r="M32" s="131">
        <v>42.857143000000001</v>
      </c>
      <c r="N32" s="131">
        <v>22.222221999999999</v>
      </c>
      <c r="O32" s="131">
        <v>85.714286000000001</v>
      </c>
      <c r="P32" s="131">
        <v>22.222221999999999</v>
      </c>
      <c r="Q32" s="131">
        <v>0</v>
      </c>
      <c r="R32" s="131">
        <v>22.222221999999999</v>
      </c>
    </row>
    <row r="33" spans="6:18" x14ac:dyDescent="0.25">
      <c r="F33" s="3" t="s">
        <v>339</v>
      </c>
      <c r="M33" s="3" t="s">
        <v>333</v>
      </c>
    </row>
    <row r="34" spans="6:18" x14ac:dyDescent="0.25">
      <c r="F34" s="91" cm="1">
        <f t="array" ref="F34:K34">F32:K32+F26:K26</f>
        <v>42.857143000000001</v>
      </c>
      <c r="G34" s="7">
        <v>22.222221999999999</v>
      </c>
      <c r="H34" s="7">
        <v>85.714286000000001</v>
      </c>
      <c r="I34" s="7">
        <v>22.222221999999999</v>
      </c>
      <c r="J34" s="7">
        <v>30</v>
      </c>
      <c r="K34" s="7">
        <v>22.222221999999999</v>
      </c>
      <c r="M34" s="62" cm="1">
        <f t="array" ref="M34:R34">M32:R32-TRANSPOSE(MMULT(TRANSPOSE(AM7:AR12),Z7:Z12))</f>
        <v>42.857143000000001</v>
      </c>
      <c r="N34" s="9">
        <v>22.222221999999999</v>
      </c>
      <c r="O34" s="9">
        <v>55.714286000000001</v>
      </c>
      <c r="P34" s="9">
        <v>22.222221999999999</v>
      </c>
      <c r="Q34" s="9">
        <v>0</v>
      </c>
      <c r="R34" s="10">
        <v>22.222221999999999</v>
      </c>
    </row>
  </sheetData>
  <phoneticPr fontId="7" type="noConversion"/>
  <hyperlinks>
    <hyperlink ref="A1" location="Contents!A1" display="Back to contents" xr:uid="{E9042D7E-4104-4944-8C0F-6EF8411BA619}"/>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692D3-8007-46EF-8DD2-99713CCA980D}">
  <sheetPr>
    <tabColor theme="8" tint="0.59999389629810485"/>
  </sheetPr>
  <dimension ref="A1:BE41"/>
  <sheetViews>
    <sheetView showGridLines="0" zoomScale="130" zoomScaleNormal="130" workbookViewId="0">
      <pane xSplit="4" ySplit="5" topLeftCell="E6" activePane="bottomRight" state="frozen"/>
      <selection pane="topRight"/>
      <selection pane="bottomLeft"/>
      <selection pane="bottomRight" activeCell="S13" sqref="S13"/>
    </sheetView>
  </sheetViews>
  <sheetFormatPr defaultColWidth="5.5703125" defaultRowHeight="15" x14ac:dyDescent="0.25"/>
  <cols>
    <col min="1" max="1" width="3.140625" customWidth="1"/>
    <col min="2" max="2" width="3.85546875" customWidth="1"/>
    <col min="3" max="3" width="4.85546875" customWidth="1"/>
    <col min="4" max="4" width="18.42578125" bestFit="1" customWidth="1"/>
    <col min="5" max="5" width="1.42578125" customWidth="1"/>
    <col min="6" max="11" width="5.28515625" customWidth="1"/>
    <col min="12" max="12" width="2.140625" customWidth="1"/>
    <col min="13" max="18" width="5.28515625" customWidth="1"/>
    <col min="19" max="19" width="2.140625" customWidth="1"/>
    <col min="20" max="20" width="7.42578125" customWidth="1"/>
    <col min="21" max="21" width="2.140625" customWidth="1"/>
    <col min="22" max="22" width="5.28515625" customWidth="1"/>
    <col min="23" max="23" width="9" customWidth="1"/>
    <col min="24" max="24" width="5.28515625" customWidth="1"/>
    <col min="25" max="25" width="4.7109375" customWidth="1"/>
    <col min="26" max="26" width="5.28515625" customWidth="1"/>
    <col min="27" max="27" width="4.7109375" customWidth="1"/>
    <col min="28" max="28" width="5.28515625" customWidth="1"/>
    <col min="29" max="29" width="2.140625" customWidth="1"/>
    <col min="30" max="30" width="5.28515625" customWidth="1"/>
    <col min="33" max="33" width="7.42578125" customWidth="1"/>
    <col min="34" max="39" width="5.28515625" customWidth="1"/>
    <col min="40" max="40" width="2.140625" customWidth="1"/>
    <col min="41" max="46" width="5.28515625" customWidth="1"/>
    <col min="47" max="47" width="2.140625" customWidth="1"/>
    <col min="48" max="50" width="5.28515625" customWidth="1"/>
  </cols>
  <sheetData>
    <row r="1" spans="1:57" x14ac:dyDescent="0.25">
      <c r="A1" s="97" t="s">
        <v>285</v>
      </c>
      <c r="V1" s="160" t="s">
        <v>355</v>
      </c>
      <c r="X1" s="161" t="s">
        <v>348</v>
      </c>
      <c r="Z1" s="161" t="s">
        <v>349</v>
      </c>
      <c r="AB1" s="160" t="s">
        <v>352</v>
      </c>
      <c r="AD1" s="160" t="s">
        <v>337</v>
      </c>
    </row>
    <row r="2" spans="1:57" ht="15" customHeight="1" x14ac:dyDescent="0.25">
      <c r="A2" s="5" t="s">
        <v>60</v>
      </c>
      <c r="B2" s="97"/>
      <c r="F2" t="s">
        <v>61</v>
      </c>
      <c r="H2" t="s">
        <v>64</v>
      </c>
      <c r="J2" t="s">
        <v>319</v>
      </c>
      <c r="M2" t="s">
        <v>61</v>
      </c>
      <c r="O2" t="s">
        <v>64</v>
      </c>
      <c r="Q2" t="s">
        <v>319</v>
      </c>
      <c r="V2" s="160"/>
      <c r="X2" s="161"/>
      <c r="Z2" s="161"/>
      <c r="AB2" s="160"/>
      <c r="AD2" s="160"/>
      <c r="AH2" t="s">
        <v>61</v>
      </c>
      <c r="AJ2" t="s">
        <v>64</v>
      </c>
      <c r="AL2" t="s">
        <v>319</v>
      </c>
      <c r="AO2" t="s">
        <v>61</v>
      </c>
      <c r="AQ2" t="s">
        <v>64</v>
      </c>
      <c r="AS2" t="s">
        <v>319</v>
      </c>
      <c r="AV2" t="s">
        <v>61</v>
      </c>
      <c r="AX2" t="s">
        <v>64</v>
      </c>
      <c r="AZ2" t="s">
        <v>319</v>
      </c>
      <c r="BC2" t="s">
        <v>61</v>
      </c>
      <c r="BD2" t="s">
        <v>64</v>
      </c>
      <c r="BE2" t="s">
        <v>319</v>
      </c>
    </row>
    <row r="3" spans="1:57" x14ac:dyDescent="0.25">
      <c r="B3" s="5" t="s">
        <v>0</v>
      </c>
      <c r="C3" s="5"/>
      <c r="D3" s="5"/>
      <c r="E3" s="5"/>
      <c r="F3" t="s">
        <v>3</v>
      </c>
      <c r="G3" t="s">
        <v>4</v>
      </c>
      <c r="H3" t="s">
        <v>3</v>
      </c>
      <c r="I3" t="s">
        <v>4</v>
      </c>
      <c r="J3" t="s">
        <v>3</v>
      </c>
      <c r="K3" t="s">
        <v>4</v>
      </c>
      <c r="V3" s="160"/>
      <c r="X3" s="161"/>
      <c r="Z3" s="161"/>
      <c r="AB3" s="160"/>
      <c r="AD3" s="160"/>
      <c r="AH3" t="s">
        <v>3</v>
      </c>
      <c r="AI3" t="s">
        <v>4</v>
      </c>
      <c r="AJ3" t="s">
        <v>3</v>
      </c>
      <c r="AK3" t="s">
        <v>4</v>
      </c>
      <c r="AL3" t="s">
        <v>3</v>
      </c>
      <c r="AM3" t="s">
        <v>4</v>
      </c>
      <c r="BC3" t="s">
        <v>336</v>
      </c>
      <c r="BD3" t="s">
        <v>336</v>
      </c>
      <c r="BE3" t="s">
        <v>336</v>
      </c>
    </row>
    <row r="4" spans="1:57" x14ac:dyDescent="0.25">
      <c r="B4" s="5"/>
      <c r="C4" s="5" t="s">
        <v>1</v>
      </c>
      <c r="D4" s="5"/>
      <c r="E4" s="5"/>
      <c r="M4" t="s">
        <v>7</v>
      </c>
      <c r="N4" t="s">
        <v>9</v>
      </c>
      <c r="O4" t="s">
        <v>7</v>
      </c>
      <c r="P4" t="s">
        <v>9</v>
      </c>
      <c r="Q4" t="s">
        <v>7</v>
      </c>
      <c r="R4" t="s">
        <v>9</v>
      </c>
      <c r="T4" t="s">
        <v>20</v>
      </c>
      <c r="V4" s="160"/>
      <c r="X4" s="161"/>
      <c r="Z4" s="161"/>
      <c r="AB4" s="160"/>
      <c r="AD4" s="160"/>
      <c r="AO4" t="s">
        <v>7</v>
      </c>
      <c r="AP4" t="s">
        <v>9</v>
      </c>
      <c r="AQ4" t="s">
        <v>7</v>
      </c>
      <c r="AR4" t="s">
        <v>9</v>
      </c>
      <c r="AS4" t="s">
        <v>7</v>
      </c>
      <c r="AT4" t="s">
        <v>9</v>
      </c>
      <c r="AV4" t="s">
        <v>7</v>
      </c>
      <c r="AW4" t="s">
        <v>9</v>
      </c>
      <c r="AX4" t="s">
        <v>7</v>
      </c>
      <c r="AY4" t="s">
        <v>9</v>
      </c>
      <c r="AZ4" t="s">
        <v>7</v>
      </c>
      <c r="BA4" t="s">
        <v>9</v>
      </c>
    </row>
    <row r="5" spans="1:57" x14ac:dyDescent="0.25">
      <c r="B5" s="5"/>
      <c r="C5" s="5"/>
      <c r="D5" s="5" t="s">
        <v>2</v>
      </c>
      <c r="E5" s="5"/>
      <c r="T5" t="s">
        <v>188</v>
      </c>
      <c r="V5" s="160"/>
      <c r="X5" s="161"/>
      <c r="Z5" s="161"/>
      <c r="AB5" s="160"/>
      <c r="AD5" s="160"/>
    </row>
    <row r="6" spans="1:57" ht="15" customHeight="1" x14ac:dyDescent="0.25">
      <c r="B6" s="5"/>
      <c r="C6" s="5"/>
      <c r="D6" s="5"/>
      <c r="E6" s="5"/>
      <c r="F6" s="3" t="s">
        <v>334</v>
      </c>
      <c r="M6" s="3" t="s">
        <v>5</v>
      </c>
      <c r="T6" s="3" t="s">
        <v>14</v>
      </c>
      <c r="V6" s="160"/>
      <c r="X6" s="161"/>
      <c r="Z6" s="161"/>
      <c r="AA6" s="3"/>
      <c r="AB6" s="160"/>
      <c r="AD6" s="162"/>
      <c r="AF6" s="3" t="s">
        <v>351</v>
      </c>
      <c r="AH6" s="3" t="s">
        <v>28</v>
      </c>
      <c r="AO6" s="3" t="s">
        <v>258</v>
      </c>
      <c r="AV6" s="3" t="s">
        <v>338</v>
      </c>
      <c r="BC6" s="3" t="s">
        <v>353</v>
      </c>
    </row>
    <row r="7" spans="1:57" x14ac:dyDescent="0.25">
      <c r="A7" t="s">
        <v>61</v>
      </c>
      <c r="B7" t="s">
        <v>336</v>
      </c>
      <c r="D7" t="s">
        <v>19</v>
      </c>
      <c r="E7" s="5"/>
      <c r="F7" s="132">
        <v>0</v>
      </c>
      <c r="G7" s="132">
        <v>0</v>
      </c>
      <c r="H7" s="132">
        <v>0</v>
      </c>
      <c r="I7" s="132">
        <v>0</v>
      </c>
      <c r="J7" s="132">
        <v>20</v>
      </c>
      <c r="K7" s="132">
        <v>0</v>
      </c>
      <c r="M7" s="1">
        <v>0.2</v>
      </c>
      <c r="N7" s="1">
        <v>0.1</v>
      </c>
      <c r="O7" s="6">
        <v>0</v>
      </c>
      <c r="P7" s="6">
        <v>0</v>
      </c>
      <c r="Q7" s="6">
        <v>0</v>
      </c>
      <c r="R7" s="6">
        <v>0</v>
      </c>
      <c r="T7" s="1">
        <v>50</v>
      </c>
      <c r="V7" s="25" cm="1">
        <f t="array" ref="V7:V9">MMULT(F7:K9,TRANSPOSE(AH18:AM18))</f>
        <v>20</v>
      </c>
      <c r="X7" s="25" cm="1">
        <f t="array" ref="X7:X9">MMULT(AH7:AM9,TRANSPOSE(F32:K32))</f>
        <v>77.777777999999998</v>
      </c>
      <c r="Z7" s="25" cm="1">
        <f t="array" ref="Z7:Z9">MMULT(AH7:AM9,TRANSPOSE(F26:K26))</f>
        <v>0</v>
      </c>
      <c r="AA7" s="139"/>
      <c r="AB7" s="25" cm="1">
        <f t="array" ref="AB7:AB9">TRANSPOSE(MMULT(MMULT(M32:R32,AH11:AM16),TRANSPOSE(AH7:AM9)))</f>
        <v>77.777777999999998</v>
      </c>
      <c r="AD7" s="136" cm="1">
        <f t="array" ref="AD7:AD9">_xlfn.ANCHORARRAY(X7)+_xlfn.ANCHORARRAY(Z7)-MMULT(M7:R9,TRANSPOSE(M32:R32))-T7:T9-V7:V9</f>
        <v>2.0000000233721948E-7</v>
      </c>
      <c r="AF7" s="136" cm="1">
        <f t="array" ref="AF7:AF9">AB7:AB9-V7:V9</f>
        <v>57.777777999999998</v>
      </c>
      <c r="AH7" s="6">
        <v>1</v>
      </c>
      <c r="AI7" s="6">
        <v>1</v>
      </c>
      <c r="AJ7" s="6">
        <v>0</v>
      </c>
      <c r="AK7" s="6">
        <v>0</v>
      </c>
      <c r="AL7" s="6">
        <v>0</v>
      </c>
      <c r="AM7" s="6">
        <v>0</v>
      </c>
      <c r="AO7" s="91" cm="1">
        <f t="array" ref="AO7:AT9">MMULT(M7:R9,M32:R32*_xlfn.MUNIT(6))</f>
        <v>0</v>
      </c>
      <c r="AP7" s="91">
        <v>7.7777778</v>
      </c>
      <c r="AQ7" s="91">
        <v>0</v>
      </c>
      <c r="AR7" s="91">
        <v>0</v>
      </c>
      <c r="AS7" s="91">
        <v>0</v>
      </c>
      <c r="AT7" s="91">
        <v>0</v>
      </c>
      <c r="AV7" s="6">
        <v>1</v>
      </c>
      <c r="AW7" s="6">
        <v>1</v>
      </c>
      <c r="AX7" s="6">
        <v>0</v>
      </c>
      <c r="AY7" s="6">
        <v>0</v>
      </c>
      <c r="AZ7" s="6">
        <v>0</v>
      </c>
      <c r="BA7" s="6">
        <v>0</v>
      </c>
      <c r="BC7" s="6">
        <v>1</v>
      </c>
    </row>
    <row r="8" spans="1:57" x14ac:dyDescent="0.25">
      <c r="A8" t="s">
        <v>64</v>
      </c>
      <c r="B8" t="s">
        <v>336</v>
      </c>
      <c r="E8" s="5"/>
      <c r="F8" s="132">
        <v>0</v>
      </c>
      <c r="G8" s="132">
        <v>0</v>
      </c>
      <c r="H8" s="132">
        <v>0</v>
      </c>
      <c r="I8" s="132">
        <v>0</v>
      </c>
      <c r="J8" s="132">
        <v>0</v>
      </c>
      <c r="K8" s="132">
        <v>0</v>
      </c>
      <c r="M8" s="6">
        <v>0</v>
      </c>
      <c r="N8" s="6">
        <v>0</v>
      </c>
      <c r="O8" s="1">
        <v>0.3</v>
      </c>
      <c r="P8" s="1">
        <v>0.2</v>
      </c>
      <c r="Q8" s="6">
        <v>0</v>
      </c>
      <c r="R8" s="6">
        <v>0</v>
      </c>
      <c r="T8" s="1">
        <v>10</v>
      </c>
      <c r="V8" s="25">
        <v>0</v>
      </c>
      <c r="X8" s="25">
        <v>12.5</v>
      </c>
      <c r="Z8" s="25">
        <v>0</v>
      </c>
      <c r="AA8" s="139"/>
      <c r="AB8" s="25">
        <v>12.5</v>
      </c>
      <c r="AD8" s="27">
        <v>0</v>
      </c>
      <c r="AF8" s="27">
        <v>12.5</v>
      </c>
      <c r="AH8" s="6">
        <v>0</v>
      </c>
      <c r="AI8" s="6">
        <v>0</v>
      </c>
      <c r="AJ8" s="6">
        <v>1</v>
      </c>
      <c r="AK8" s="6">
        <v>1</v>
      </c>
      <c r="AL8" s="6">
        <v>0</v>
      </c>
      <c r="AM8" s="6">
        <v>0</v>
      </c>
      <c r="AO8" s="91">
        <v>0</v>
      </c>
      <c r="AP8" s="91">
        <v>0</v>
      </c>
      <c r="AQ8" s="91">
        <v>0</v>
      </c>
      <c r="AR8" s="91">
        <v>2.5</v>
      </c>
      <c r="AS8" s="91">
        <v>0</v>
      </c>
      <c r="AT8" s="91">
        <v>0</v>
      </c>
      <c r="AV8" s="6">
        <v>0</v>
      </c>
      <c r="AW8" s="6">
        <v>0</v>
      </c>
      <c r="AX8" s="6">
        <v>1</v>
      </c>
      <c r="AY8" s="6">
        <v>1</v>
      </c>
      <c r="AZ8" s="6">
        <v>0</v>
      </c>
      <c r="BA8" s="6">
        <v>0</v>
      </c>
      <c r="BC8" s="6">
        <v>1</v>
      </c>
    </row>
    <row r="9" spans="1:57" x14ac:dyDescent="0.25">
      <c r="A9" t="s">
        <v>319</v>
      </c>
      <c r="B9" t="s">
        <v>336</v>
      </c>
      <c r="E9" s="5"/>
      <c r="F9" s="132">
        <v>0</v>
      </c>
      <c r="G9" s="132">
        <v>0</v>
      </c>
      <c r="H9" s="132">
        <v>0</v>
      </c>
      <c r="I9" s="132">
        <v>0</v>
      </c>
      <c r="J9" s="132">
        <v>0</v>
      </c>
      <c r="K9" s="132">
        <v>0</v>
      </c>
      <c r="M9" s="6">
        <v>0</v>
      </c>
      <c r="N9" s="6">
        <v>0</v>
      </c>
      <c r="O9" s="6">
        <v>0</v>
      </c>
      <c r="P9" s="6">
        <v>0</v>
      </c>
      <c r="Q9" s="1">
        <v>0.5</v>
      </c>
      <c r="R9" s="1">
        <v>0.3</v>
      </c>
      <c r="T9" s="1">
        <v>20</v>
      </c>
      <c r="V9" s="25">
        <v>0</v>
      </c>
      <c r="X9" s="25">
        <v>0</v>
      </c>
      <c r="Z9" s="25">
        <v>20</v>
      </c>
      <c r="AA9" s="139"/>
      <c r="AB9" s="25">
        <v>0</v>
      </c>
      <c r="AD9" s="28">
        <v>0</v>
      </c>
      <c r="AF9" s="28">
        <v>0</v>
      </c>
      <c r="AH9" s="6">
        <v>0</v>
      </c>
      <c r="AI9" s="6">
        <v>0</v>
      </c>
      <c r="AJ9" s="6">
        <v>0</v>
      </c>
      <c r="AK9" s="6">
        <v>0</v>
      </c>
      <c r="AL9" s="6">
        <v>1</v>
      </c>
      <c r="AM9" s="6">
        <v>1</v>
      </c>
      <c r="AO9" s="91">
        <v>0</v>
      </c>
      <c r="AP9" s="91">
        <v>0</v>
      </c>
      <c r="AQ9" s="91">
        <v>0</v>
      </c>
      <c r="AR9" s="91">
        <v>0</v>
      </c>
      <c r="AS9" s="91">
        <v>0</v>
      </c>
      <c r="AT9" s="91">
        <v>0</v>
      </c>
      <c r="AV9" s="6">
        <v>0</v>
      </c>
      <c r="AW9" s="6">
        <v>0</v>
      </c>
      <c r="AX9" s="6">
        <v>0</v>
      </c>
      <c r="AY9" s="6">
        <v>0</v>
      </c>
      <c r="AZ9" s="6">
        <v>1</v>
      </c>
      <c r="BA9" s="6">
        <v>1</v>
      </c>
      <c r="BC9" s="6">
        <v>1</v>
      </c>
    </row>
    <row r="10" spans="1:57" x14ac:dyDescent="0.25">
      <c r="F10" s="3" t="s">
        <v>6</v>
      </c>
      <c r="AD10" s="18" t="s">
        <v>325</v>
      </c>
      <c r="AH10" s="3" t="s">
        <v>350</v>
      </c>
      <c r="AV10" s="3"/>
    </row>
    <row r="11" spans="1:57" x14ac:dyDescent="0.25">
      <c r="A11" t="s">
        <v>61</v>
      </c>
      <c r="C11" t="s">
        <v>7</v>
      </c>
      <c r="D11" t="s">
        <v>321</v>
      </c>
      <c r="F11" s="140">
        <v>1</v>
      </c>
      <c r="G11" s="140">
        <v>0</v>
      </c>
      <c r="H11" s="24">
        <v>0</v>
      </c>
      <c r="I11" s="24">
        <v>0</v>
      </c>
      <c r="J11" s="24">
        <v>0</v>
      </c>
      <c r="K11" s="24">
        <v>0</v>
      </c>
      <c r="AD11" s="29" cm="1">
        <f t="array" ref="AD11:AD16">TRANSPOSE(M32:R32)-MMULT(F11:K16,TRANSPOSE(F32:K32))</f>
        <v>0</v>
      </c>
      <c r="AH11" s="6">
        <v>1</v>
      </c>
      <c r="AI11" s="6">
        <v>0</v>
      </c>
      <c r="AJ11" s="6">
        <v>0</v>
      </c>
      <c r="AK11" s="6">
        <v>0</v>
      </c>
      <c r="AL11" s="6">
        <v>0</v>
      </c>
      <c r="AM11" s="6">
        <v>0</v>
      </c>
      <c r="AV11" s="3"/>
    </row>
    <row r="12" spans="1:57" x14ac:dyDescent="0.25">
      <c r="C12" t="s">
        <v>9</v>
      </c>
      <c r="D12" t="s">
        <v>322</v>
      </c>
      <c r="F12" s="140">
        <v>0</v>
      </c>
      <c r="G12" s="140">
        <v>1</v>
      </c>
      <c r="H12" s="137">
        <v>0</v>
      </c>
      <c r="I12" s="137">
        <v>0</v>
      </c>
      <c r="J12" s="137">
        <v>0</v>
      </c>
      <c r="K12" s="137">
        <v>0</v>
      </c>
      <c r="L12" s="41"/>
      <c r="AD12" s="27">
        <v>0</v>
      </c>
      <c r="AH12" s="6">
        <v>0</v>
      </c>
      <c r="AI12" s="6">
        <v>1</v>
      </c>
      <c r="AJ12" s="6">
        <v>0</v>
      </c>
      <c r="AK12" s="6">
        <v>0</v>
      </c>
      <c r="AL12" s="6">
        <v>0</v>
      </c>
      <c r="AM12" s="6">
        <v>0</v>
      </c>
      <c r="AV12" s="3"/>
    </row>
    <row r="13" spans="1:57" x14ac:dyDescent="0.25">
      <c r="A13" t="s">
        <v>64</v>
      </c>
      <c r="C13" t="s">
        <v>7</v>
      </c>
      <c r="F13" s="24">
        <v>0</v>
      </c>
      <c r="G13" s="137">
        <v>0</v>
      </c>
      <c r="H13" s="140">
        <v>1</v>
      </c>
      <c r="I13" s="140">
        <v>0</v>
      </c>
      <c r="J13" s="137">
        <v>0</v>
      </c>
      <c r="K13" s="137">
        <v>0</v>
      </c>
      <c r="L13" s="41"/>
      <c r="AD13" s="27">
        <v>0</v>
      </c>
      <c r="AH13" s="6">
        <v>0</v>
      </c>
      <c r="AI13" s="6">
        <v>0</v>
      </c>
      <c r="AJ13" s="6">
        <v>1</v>
      </c>
      <c r="AK13" s="6">
        <v>0</v>
      </c>
      <c r="AL13" s="6">
        <v>0</v>
      </c>
      <c r="AM13" s="6">
        <v>0</v>
      </c>
      <c r="AV13" s="3"/>
    </row>
    <row r="14" spans="1:57" x14ac:dyDescent="0.25">
      <c r="C14" t="s">
        <v>9</v>
      </c>
      <c r="F14" s="24">
        <v>0</v>
      </c>
      <c r="G14" s="137">
        <v>0</v>
      </c>
      <c r="H14" s="140">
        <v>0</v>
      </c>
      <c r="I14" s="140">
        <v>1</v>
      </c>
      <c r="J14" s="137">
        <v>0</v>
      </c>
      <c r="K14" s="137">
        <v>0</v>
      </c>
      <c r="L14" s="41"/>
      <c r="AD14" s="27">
        <v>0</v>
      </c>
      <c r="AH14" s="6">
        <v>0</v>
      </c>
      <c r="AI14" s="6">
        <v>0</v>
      </c>
      <c r="AJ14" s="6">
        <v>0</v>
      </c>
      <c r="AK14" s="6">
        <v>1</v>
      </c>
      <c r="AL14" s="6">
        <v>0</v>
      </c>
      <c r="AM14" s="6">
        <v>0</v>
      </c>
      <c r="AV14" s="3"/>
    </row>
    <row r="15" spans="1:57" x14ac:dyDescent="0.25">
      <c r="A15" t="s">
        <v>319</v>
      </c>
      <c r="C15" t="s">
        <v>7</v>
      </c>
      <c r="F15" s="24">
        <v>0</v>
      </c>
      <c r="G15" s="137">
        <v>0</v>
      </c>
      <c r="H15" s="137">
        <v>0</v>
      </c>
      <c r="I15" s="137">
        <v>0</v>
      </c>
      <c r="J15" s="140">
        <v>1</v>
      </c>
      <c r="K15" s="140">
        <v>0</v>
      </c>
      <c r="L15" s="41"/>
      <c r="AD15" s="27">
        <v>0</v>
      </c>
      <c r="AH15" s="6">
        <v>0</v>
      </c>
      <c r="AI15" s="6">
        <v>0</v>
      </c>
      <c r="AJ15" s="6">
        <v>0</v>
      </c>
      <c r="AK15" s="6">
        <v>0</v>
      </c>
      <c r="AL15" s="6">
        <v>1</v>
      </c>
      <c r="AM15" s="6">
        <v>0</v>
      </c>
      <c r="AV15" s="3"/>
    </row>
    <row r="16" spans="1:57" x14ac:dyDescent="0.25">
      <c r="C16" t="s">
        <v>9</v>
      </c>
      <c r="F16" s="24">
        <v>0</v>
      </c>
      <c r="G16" s="137">
        <v>0</v>
      </c>
      <c r="H16" s="137">
        <v>0</v>
      </c>
      <c r="I16" s="137">
        <v>0</v>
      </c>
      <c r="J16" s="140">
        <v>0</v>
      </c>
      <c r="K16" s="140">
        <v>1</v>
      </c>
      <c r="L16" s="41"/>
      <c r="AD16" s="28">
        <v>0</v>
      </c>
      <c r="AH16" s="6">
        <v>0</v>
      </c>
      <c r="AI16" s="6">
        <v>0</v>
      </c>
      <c r="AJ16" s="6">
        <v>0</v>
      </c>
      <c r="AK16" s="6">
        <v>0</v>
      </c>
      <c r="AL16" s="6">
        <v>0</v>
      </c>
      <c r="AM16" s="6">
        <v>1</v>
      </c>
      <c r="AV16" s="3"/>
    </row>
    <row r="17" spans="1:39" x14ac:dyDescent="0.25">
      <c r="F17" s="3" t="s">
        <v>331</v>
      </c>
      <c r="AD17" s="52"/>
      <c r="AH17" s="3" t="s">
        <v>354</v>
      </c>
    </row>
    <row r="18" spans="1:39" x14ac:dyDescent="0.25">
      <c r="A18" t="s">
        <v>61</v>
      </c>
      <c r="C18" t="s">
        <v>67</v>
      </c>
      <c r="F18" s="1">
        <v>1.2</v>
      </c>
      <c r="G18" s="1">
        <v>1.2</v>
      </c>
      <c r="H18" s="1">
        <v>1</v>
      </c>
      <c r="I18" s="1">
        <v>1</v>
      </c>
      <c r="J18" s="1">
        <v>1.8</v>
      </c>
      <c r="K18" s="1">
        <v>1.8</v>
      </c>
      <c r="AD18" s="52"/>
      <c r="AH18" s="6">
        <v>1</v>
      </c>
      <c r="AI18" s="6">
        <v>1</v>
      </c>
      <c r="AJ18" s="6">
        <v>1</v>
      </c>
      <c r="AK18" s="6">
        <v>1</v>
      </c>
      <c r="AL18" s="6">
        <v>1</v>
      </c>
      <c r="AM18" s="6">
        <v>1</v>
      </c>
    </row>
    <row r="19" spans="1:39" x14ac:dyDescent="0.25">
      <c r="A19" t="s">
        <v>64</v>
      </c>
      <c r="C19" t="s">
        <v>67</v>
      </c>
      <c r="F19" s="1">
        <v>1.5</v>
      </c>
      <c r="G19" s="1">
        <v>1.5</v>
      </c>
      <c r="H19" s="1">
        <v>1</v>
      </c>
      <c r="I19" s="1">
        <v>1</v>
      </c>
      <c r="J19" s="1">
        <v>1.2</v>
      </c>
      <c r="K19" s="1">
        <v>1.2</v>
      </c>
      <c r="AD19" s="52"/>
    </row>
    <row r="20" spans="1:39" x14ac:dyDescent="0.25">
      <c r="A20" t="s">
        <v>319</v>
      </c>
      <c r="C20" t="s">
        <v>67</v>
      </c>
      <c r="F20" s="1">
        <v>1.5</v>
      </c>
      <c r="G20" s="1">
        <v>1.5</v>
      </c>
      <c r="H20" s="1">
        <v>1.8</v>
      </c>
      <c r="I20" s="1">
        <v>1.8</v>
      </c>
      <c r="J20" s="1">
        <v>1.2</v>
      </c>
      <c r="K20" s="1">
        <v>1.2</v>
      </c>
      <c r="AD20" s="52"/>
    </row>
    <row r="21" spans="1:39" x14ac:dyDescent="0.25">
      <c r="F21" s="3" t="s">
        <v>340</v>
      </c>
      <c r="AD21" s="52"/>
    </row>
    <row r="22" spans="1:39" x14ac:dyDescent="0.25">
      <c r="A22" t="s">
        <v>61</v>
      </c>
      <c r="C22" t="s">
        <v>67</v>
      </c>
      <c r="D22" t="s">
        <v>335</v>
      </c>
      <c r="F22" s="7" cm="1">
        <f t="array" ref="F22:K24">MMULT(F18:K20,_xlfn.MUNIT(6)*_xlfn.ANCHORARRAY(F34))</f>
        <v>0</v>
      </c>
      <c r="G22" s="7">
        <v>93.333333599999989</v>
      </c>
      <c r="H22" s="7">
        <v>0</v>
      </c>
      <c r="I22" s="7">
        <v>12.5</v>
      </c>
      <c r="J22" s="7">
        <v>36</v>
      </c>
      <c r="K22" s="7">
        <v>0</v>
      </c>
      <c r="AD22" s="52"/>
    </row>
    <row r="23" spans="1:39" x14ac:dyDescent="0.25">
      <c r="A23" t="s">
        <v>64</v>
      </c>
      <c r="C23" t="s">
        <v>67</v>
      </c>
      <c r="F23" s="7">
        <v>0</v>
      </c>
      <c r="G23" s="7">
        <v>116.66666699999999</v>
      </c>
      <c r="H23" s="7">
        <v>0</v>
      </c>
      <c r="I23" s="7">
        <v>12.5</v>
      </c>
      <c r="J23" s="7">
        <v>24</v>
      </c>
      <c r="K23" s="7">
        <v>0</v>
      </c>
      <c r="L23" s="41"/>
      <c r="AD23" s="52"/>
    </row>
    <row r="24" spans="1:39" x14ac:dyDescent="0.25">
      <c r="A24" t="s">
        <v>319</v>
      </c>
      <c r="C24" t="s">
        <v>67</v>
      </c>
      <c r="F24" s="7">
        <v>0</v>
      </c>
      <c r="G24" s="7">
        <v>116.66666699999999</v>
      </c>
      <c r="H24" s="7">
        <v>0</v>
      </c>
      <c r="I24" s="7">
        <v>22.5</v>
      </c>
      <c r="J24" s="7">
        <v>24</v>
      </c>
      <c r="K24" s="7">
        <v>0</v>
      </c>
      <c r="L24" s="41"/>
      <c r="AD24" s="52"/>
    </row>
    <row r="25" spans="1:39" x14ac:dyDescent="0.25">
      <c r="F25" s="3" t="s">
        <v>356</v>
      </c>
      <c r="AD25" s="52"/>
    </row>
    <row r="26" spans="1:39" x14ac:dyDescent="0.25">
      <c r="D26" t="s">
        <v>318</v>
      </c>
      <c r="F26" s="25" cm="1">
        <f t="array" ref="F26:K26">MMULT(TRANSPOSE(BC7:BC9),F7:K9)</f>
        <v>0</v>
      </c>
      <c r="G26" s="25">
        <v>0</v>
      </c>
      <c r="H26" s="25">
        <v>0</v>
      </c>
      <c r="I26" s="25">
        <v>0</v>
      </c>
      <c r="J26" s="25">
        <v>20</v>
      </c>
      <c r="K26" s="25">
        <v>0</v>
      </c>
      <c r="AD26" s="52"/>
    </row>
    <row r="27" spans="1:39" x14ac:dyDescent="0.25">
      <c r="AD27" s="52"/>
    </row>
    <row r="28" spans="1:39" x14ac:dyDescent="0.25">
      <c r="L28" s="4" t="s">
        <v>15</v>
      </c>
      <c r="M28" s="1">
        <v>0.5</v>
      </c>
      <c r="N28" s="1">
        <v>1</v>
      </c>
      <c r="O28" s="1">
        <v>2</v>
      </c>
      <c r="P28" s="1">
        <v>1</v>
      </c>
      <c r="Q28" s="1">
        <v>3</v>
      </c>
      <c r="R28" s="1">
        <v>3</v>
      </c>
    </row>
    <row r="30" spans="1:39" x14ac:dyDescent="0.25">
      <c r="L30" s="4" t="s">
        <v>326</v>
      </c>
      <c r="M30" s="7" cm="1">
        <f t="array" ref="M30:R30">MMULT(M32:R32,M28:R28*_xlfn.MUNIT(6))</f>
        <v>0</v>
      </c>
      <c r="N30" s="7">
        <v>77.777777999999998</v>
      </c>
      <c r="O30" s="7">
        <v>0</v>
      </c>
      <c r="P30" s="7">
        <v>12.5</v>
      </c>
      <c r="Q30" s="7">
        <v>0</v>
      </c>
      <c r="R30" s="7">
        <v>0</v>
      </c>
      <c r="V30" s="3" t="s">
        <v>332</v>
      </c>
    </row>
    <row r="31" spans="1:39" x14ac:dyDescent="0.25">
      <c r="F31" s="3" t="s">
        <v>71</v>
      </c>
      <c r="M31" s="3" t="s">
        <v>72</v>
      </c>
      <c r="V31" s="98">
        <f>SUM(_xlfn.ANCHORARRAY(M30),_xlfn.ANCHORARRAY(F22))</f>
        <v>548.44444559999999</v>
      </c>
      <c r="AH31" s="3"/>
    </row>
    <row r="32" spans="1:39" x14ac:dyDescent="0.25">
      <c r="D32" t="s">
        <v>328</v>
      </c>
      <c r="F32" s="131">
        <v>0</v>
      </c>
      <c r="G32" s="131">
        <v>77.777777999999998</v>
      </c>
      <c r="H32" s="131">
        <v>0</v>
      </c>
      <c r="I32" s="131">
        <v>12.5</v>
      </c>
      <c r="J32" s="131">
        <v>0</v>
      </c>
      <c r="K32" s="131">
        <v>0</v>
      </c>
      <c r="M32" s="131">
        <v>0</v>
      </c>
      <c r="N32" s="131">
        <v>77.777777999999998</v>
      </c>
      <c r="O32" s="131">
        <v>0</v>
      </c>
      <c r="P32" s="131">
        <v>12.5</v>
      </c>
      <c r="Q32" s="131">
        <v>0</v>
      </c>
      <c r="R32" s="131">
        <v>0</v>
      </c>
      <c r="AH32" s="3"/>
    </row>
    <row r="33" spans="1:39" x14ac:dyDescent="0.25">
      <c r="F33" s="3" t="s">
        <v>339</v>
      </c>
      <c r="AH33" s="3"/>
    </row>
    <row r="34" spans="1:39" x14ac:dyDescent="0.25">
      <c r="F34" s="91" cm="1">
        <f t="array" ref="F34:K34">F32:K32+F26:K26</f>
        <v>0</v>
      </c>
      <c r="G34" s="7">
        <v>77.777777999999998</v>
      </c>
      <c r="H34" s="7">
        <v>0</v>
      </c>
      <c r="I34" s="7">
        <v>12.5</v>
      </c>
      <c r="J34" s="7">
        <v>20</v>
      </c>
      <c r="K34" s="7">
        <v>0</v>
      </c>
    </row>
    <row r="35" spans="1:39" x14ac:dyDescent="0.25">
      <c r="AH35" s="3" t="s">
        <v>357</v>
      </c>
    </row>
    <row r="36" spans="1:39" x14ac:dyDescent="0.25">
      <c r="A36" t="s">
        <v>61</v>
      </c>
      <c r="B36" t="s">
        <v>3</v>
      </c>
      <c r="AH36" s="7" cm="1">
        <f t="array" ref="AH36:AM41">MMULT(F11:K16,_xlfn.MUNIT(6)*F32:K32)</f>
        <v>0</v>
      </c>
      <c r="AI36" s="7">
        <v>0</v>
      </c>
      <c r="AJ36" s="7">
        <v>0</v>
      </c>
      <c r="AK36" s="7">
        <v>0</v>
      </c>
      <c r="AL36" s="7">
        <v>0</v>
      </c>
      <c r="AM36" s="7">
        <v>0</v>
      </c>
    </row>
    <row r="37" spans="1:39" x14ac:dyDescent="0.25">
      <c r="B37" t="s">
        <v>4</v>
      </c>
      <c r="AH37" s="7">
        <v>0</v>
      </c>
      <c r="AI37" s="7">
        <v>77.777777999999998</v>
      </c>
      <c r="AJ37" s="7">
        <v>0</v>
      </c>
      <c r="AK37" s="7">
        <v>0</v>
      </c>
      <c r="AL37" s="7">
        <v>0</v>
      </c>
      <c r="AM37" s="7">
        <v>0</v>
      </c>
    </row>
    <row r="38" spans="1:39" x14ac:dyDescent="0.25">
      <c r="A38" t="s">
        <v>64</v>
      </c>
      <c r="B38" t="s">
        <v>3</v>
      </c>
      <c r="AH38" s="7">
        <v>0</v>
      </c>
      <c r="AI38" s="7">
        <v>0</v>
      </c>
      <c r="AJ38" s="7">
        <v>0</v>
      </c>
      <c r="AK38" s="7">
        <v>0</v>
      </c>
      <c r="AL38" s="7">
        <v>0</v>
      </c>
      <c r="AM38" s="7">
        <v>0</v>
      </c>
    </row>
    <row r="39" spans="1:39" x14ac:dyDescent="0.25">
      <c r="B39" t="s">
        <v>4</v>
      </c>
      <c r="AH39" s="7">
        <v>0</v>
      </c>
      <c r="AI39" s="7">
        <v>0</v>
      </c>
      <c r="AJ39" s="7">
        <v>0</v>
      </c>
      <c r="AK39" s="7">
        <v>12.5</v>
      </c>
      <c r="AL39" s="7">
        <v>0</v>
      </c>
      <c r="AM39" s="7">
        <v>0</v>
      </c>
    </row>
    <row r="40" spans="1:39" x14ac:dyDescent="0.25">
      <c r="A40" t="s">
        <v>319</v>
      </c>
      <c r="B40" t="s">
        <v>3</v>
      </c>
      <c r="AH40" s="7">
        <v>0</v>
      </c>
      <c r="AI40" s="7">
        <v>0</v>
      </c>
      <c r="AJ40" s="7">
        <v>0</v>
      </c>
      <c r="AK40" s="7">
        <v>0</v>
      </c>
      <c r="AL40" s="7">
        <v>0</v>
      </c>
      <c r="AM40" s="7">
        <v>0</v>
      </c>
    </row>
    <row r="41" spans="1:39" x14ac:dyDescent="0.25">
      <c r="B41" t="s">
        <v>4</v>
      </c>
      <c r="AH41" s="7">
        <v>0</v>
      </c>
      <c r="AI41" s="7">
        <v>0</v>
      </c>
      <c r="AJ41" s="7">
        <v>0</v>
      </c>
      <c r="AK41" s="7">
        <v>0</v>
      </c>
      <c r="AL41" s="7">
        <v>0</v>
      </c>
      <c r="AM41" s="7">
        <v>0</v>
      </c>
    </row>
  </sheetData>
  <mergeCells count="5">
    <mergeCell ref="V1:V6"/>
    <mergeCell ref="AB1:AB6"/>
    <mergeCell ref="X1:X6"/>
    <mergeCell ref="Z1:Z6"/>
    <mergeCell ref="AD1:AD6"/>
  </mergeCells>
  <hyperlinks>
    <hyperlink ref="A1" location="Contents!A1" display="Back to contents" xr:uid="{89002E7B-C265-4EA5-8F3F-50F10410635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Contents</vt:lpstr>
      <vt:lpstr>1. Multi-products - Sim</vt:lpstr>
      <vt:lpstr>1. Multi-products - Opt</vt:lpstr>
      <vt:lpstr>2. Operation</vt:lpstr>
      <vt:lpstr>3. Planning - No disposal</vt:lpstr>
      <vt:lpstr>3. Planning - Disposal</vt:lpstr>
      <vt:lpstr>3. Planning - Disposal (1 shot)</vt:lpstr>
      <vt:lpstr>3. Planning - Discounting</vt:lpstr>
      <vt:lpstr>4. Infra-year timeslices</vt:lpstr>
      <vt:lpstr>5. Storage (same flow)</vt:lpstr>
      <vt:lpstr>5. Storage BEV</vt:lpstr>
      <vt:lpstr>5. Storage V2G</vt:lpstr>
      <vt:lpstr>5. Storage V2G sell</vt:lpstr>
      <vt:lpstr>6. Transmissions</vt:lpstr>
      <vt:lpstr>6. Trades</vt:lpstr>
      <vt:lpstr>6. Trades &amp; transmission</vt:lpstr>
      <vt:lpstr>6. Trades &amp; transmission RCOT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SESAM</dc:creator>
  <cp:lastModifiedBy>Lorenzo Rinaldi</cp:lastModifiedBy>
  <dcterms:created xsi:type="dcterms:W3CDTF">2015-06-05T18:19:34Z</dcterms:created>
  <dcterms:modified xsi:type="dcterms:W3CDTF">2024-05-03T12:24:03Z</dcterms:modified>
</cp:coreProperties>
</file>