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15482b74cdc85d17/Desktop/Data analytics CCL/Advanced Excel/Lesson 9/"/>
    </mc:Choice>
  </mc:AlternateContent>
  <xr:revisionPtr revIDLastSave="187" documentId="8_{5E09EEBB-3B95-4EE9-898F-25DCEF63830C}" xr6:coauthVersionLast="47" xr6:coauthVersionMax="47" xr10:uidLastSave="{E257089D-0D7D-4FD7-943D-A67941203023}"/>
  <bookViews>
    <workbookView xWindow="-120" yWindow="-120" windowWidth="29040" windowHeight="15840" firstSheet="1" activeTab="6" xr2:uid="{00000000-000D-0000-FFFF-FFFF00000000}"/>
  </bookViews>
  <sheets>
    <sheet name="Documentation" sheetId="1" r:id="rId1"/>
    <sheet name="Startup" sheetId="2" r:id="rId2"/>
    <sheet name="Income Statement" sheetId="3" r:id="rId3"/>
    <sheet name="Balance Sheet" sheetId="4" r:id="rId4"/>
    <sheet name="Cash Flow" sheetId="5" r:id="rId5"/>
    <sheet name="Loan Analysis" sheetId="6" r:id="rId6"/>
    <sheet name="Loan Schedule" sheetId="7" r:id="rId7"/>
    <sheet name="Depreciation" sheetId="8" r:id="rId8"/>
    <sheet name="Investment Analysis" sheetId="9" r:id="rId9"/>
    <sheet name="Terms and Defintion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F9" i="7"/>
  <c r="D5" i="7"/>
  <c r="F25" i="4"/>
  <c r="C33" i="3"/>
  <c r="D33" i="3"/>
  <c r="E33" i="3"/>
  <c r="F33" i="3"/>
  <c r="B33" i="3"/>
  <c r="C28" i="9"/>
  <c r="C26" i="9"/>
  <c r="C27" i="9" s="1"/>
  <c r="C18" i="9"/>
  <c r="C19" i="9"/>
  <c r="C20" i="9"/>
  <c r="C21" i="9"/>
  <c r="C22" i="9"/>
  <c r="C23" i="9"/>
  <c r="B23" i="9"/>
  <c r="B22" i="9"/>
  <c r="B21" i="9"/>
  <c r="B20" i="9"/>
  <c r="B19" i="9"/>
  <c r="B18" i="9"/>
  <c r="B14" i="9"/>
  <c r="C14" i="9"/>
  <c r="D14" i="9"/>
  <c r="E14" i="9"/>
  <c r="F14" i="9"/>
  <c r="C12" i="9"/>
  <c r="D12" i="9"/>
  <c r="E12" i="9"/>
  <c r="F12" i="9"/>
  <c r="B12" i="9"/>
  <c r="B9" i="9"/>
  <c r="B6" i="9"/>
  <c r="B30" i="3"/>
  <c r="B31" i="3" s="1"/>
  <c r="B35" i="3" s="1"/>
  <c r="C30" i="3"/>
  <c r="C31" i="3" s="1"/>
  <c r="C35" i="3" s="1"/>
  <c r="D30" i="3"/>
  <c r="D31" i="3" s="1"/>
  <c r="D35" i="3" s="1"/>
  <c r="E30" i="3"/>
  <c r="E31" i="3" s="1"/>
  <c r="E35" i="3" s="1"/>
  <c r="F30" i="3"/>
  <c r="F31" i="3" s="1"/>
  <c r="F35" i="3" s="1"/>
  <c r="C28" i="3"/>
  <c r="D28" i="3"/>
  <c r="E28" i="3"/>
  <c r="F28" i="3"/>
  <c r="B28" i="3"/>
  <c r="B27" i="3"/>
  <c r="C25" i="3"/>
  <c r="D25" i="3"/>
  <c r="E25" i="3"/>
  <c r="F25" i="3"/>
  <c r="B25" i="3"/>
  <c r="C24" i="3"/>
  <c r="D24" i="3"/>
  <c r="E24" i="3"/>
  <c r="F24" i="3"/>
  <c r="B24" i="3"/>
  <c r="C17" i="8"/>
  <c r="D17" i="8"/>
  <c r="E17" i="8"/>
  <c r="F17" i="8"/>
  <c r="C18" i="8"/>
  <c r="D18" i="8"/>
  <c r="E18" i="8"/>
  <c r="F18" i="8"/>
  <c r="B17" i="8"/>
  <c r="B18" i="8" s="1"/>
  <c r="C16" i="8"/>
  <c r="D16" i="8"/>
  <c r="E16" i="8"/>
  <c r="F16" i="8"/>
  <c r="B16" i="8"/>
  <c r="B12" i="8"/>
  <c r="C11" i="8"/>
  <c r="B11" i="8"/>
  <c r="C10" i="8"/>
  <c r="D10" i="8"/>
  <c r="E10" i="8"/>
  <c r="F10" i="8"/>
  <c r="B10" i="8"/>
  <c r="B4" i="8"/>
  <c r="C23" i="3"/>
  <c r="D23" i="3"/>
  <c r="E23" i="3"/>
  <c r="F23" i="3"/>
  <c r="B23" i="3"/>
  <c r="C20" i="3"/>
  <c r="D20" i="3"/>
  <c r="E20" i="3"/>
  <c r="F20" i="3"/>
  <c r="B20" i="3"/>
  <c r="C9" i="3"/>
  <c r="D9" i="3"/>
  <c r="E9" i="3"/>
  <c r="F9" i="3"/>
  <c r="C10" i="3"/>
  <c r="D10" i="3"/>
  <c r="E10" i="3"/>
  <c r="F10" i="3"/>
  <c r="C11" i="3"/>
  <c r="D11" i="3"/>
  <c r="E11" i="3"/>
  <c r="F11" i="3"/>
  <c r="B11" i="3"/>
  <c r="B10" i="3"/>
  <c r="B9" i="3"/>
  <c r="D38" i="7"/>
  <c r="E38" i="7"/>
  <c r="F38" i="7"/>
  <c r="C38" i="7"/>
  <c r="B38" i="7"/>
  <c r="G36" i="7"/>
  <c r="G37" i="7"/>
  <c r="C36" i="7"/>
  <c r="D36" i="7"/>
  <c r="E36" i="7"/>
  <c r="F36" i="7"/>
  <c r="C37" i="7"/>
  <c r="D37" i="7"/>
  <c r="E37" i="7"/>
  <c r="F37" i="7"/>
  <c r="B37" i="7"/>
  <c r="B36" i="7"/>
  <c r="C29" i="7"/>
  <c r="F5" i="7"/>
  <c r="A5" i="7"/>
  <c r="C9" i="7" s="1"/>
  <c r="B10" i="6"/>
  <c r="G10" i="6"/>
  <c r="H10" i="6" s="1"/>
  <c r="F10" i="6"/>
  <c r="F9" i="6"/>
  <c r="D9" i="6" s="1"/>
  <c r="H9" i="6"/>
  <c r="G9" i="6"/>
  <c r="C8" i="6"/>
  <c r="G8" i="6"/>
  <c r="H8" i="6" s="1"/>
  <c r="F8" i="6"/>
  <c r="I7" i="6"/>
  <c r="H7" i="6"/>
  <c r="G7" i="6"/>
  <c r="F7" i="6"/>
  <c r="C12" i="8" l="1"/>
  <c r="D11" i="8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E10" i="7"/>
  <c r="D10" i="7"/>
  <c r="F10" i="7" s="1"/>
  <c r="E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D9" i="7"/>
  <c r="F15" i="5"/>
  <c r="E8" i="5"/>
  <c r="F16" i="5"/>
  <c r="E16" i="5"/>
  <c r="D16" i="5"/>
  <c r="C16" i="5"/>
  <c r="B16" i="5"/>
  <c r="E15" i="5"/>
  <c r="B15" i="5"/>
  <c r="B30" i="4" s="1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B33" i="2"/>
  <c r="B28" i="4" s="1"/>
  <c r="B28" i="2"/>
  <c r="B19" i="2"/>
  <c r="B18" i="2"/>
  <c r="B14" i="2"/>
  <c r="B8" i="2"/>
  <c r="E29" i="4" s="1"/>
  <c r="D12" i="8" l="1"/>
  <c r="E11" i="8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C15" i="5"/>
  <c r="C30" i="4" s="1"/>
  <c r="D30" i="4" s="1"/>
  <c r="E30" i="4" s="1"/>
  <c r="F30" i="4" s="1"/>
  <c r="D15" i="5"/>
  <c r="D18" i="5"/>
  <c r="B8" i="5"/>
  <c r="C8" i="5"/>
  <c r="F8" i="5"/>
  <c r="F19" i="5"/>
  <c r="E19" i="5"/>
  <c r="D19" i="5"/>
  <c r="C19" i="5"/>
  <c r="B19" i="5"/>
  <c r="B18" i="5"/>
  <c r="D8" i="5"/>
  <c r="B37" i="2"/>
  <c r="B15" i="2"/>
  <c r="B29" i="4"/>
  <c r="C29" i="4"/>
  <c r="F29" i="4"/>
  <c r="B41" i="2"/>
  <c r="C28" i="4"/>
  <c r="D28" i="4"/>
  <c r="E28" i="4"/>
  <c r="F28" i="4"/>
  <c r="B36" i="2"/>
  <c r="D29" i="4"/>
  <c r="E12" i="8" l="1"/>
  <c r="F11" i="8"/>
  <c r="F12" i="8" s="1"/>
  <c r="B38" i="2"/>
  <c r="B39" i="2" s="1"/>
  <c r="B22" i="2" s="1"/>
  <c r="B20" i="2" s="1"/>
  <c r="B21" i="2" s="1"/>
  <c r="B4" i="5" s="1"/>
  <c r="C18" i="5"/>
  <c r="E18" i="5"/>
  <c r="F18" i="5"/>
  <c r="B15" i="4"/>
  <c r="B16" i="4" s="1"/>
  <c r="F7" i="5"/>
  <c r="F12" i="5" s="1"/>
  <c r="D7" i="5"/>
  <c r="D12" i="5" s="1"/>
  <c r="C7" i="5"/>
  <c r="C12" i="5" s="1"/>
  <c r="E7" i="5"/>
  <c r="E12" i="5" s="1"/>
  <c r="B7" i="5"/>
  <c r="B12" i="5" s="1"/>
  <c r="C15" i="4" l="1"/>
  <c r="C16" i="4" s="1"/>
  <c r="F17" i="5"/>
  <c r="F20" i="5" s="1"/>
  <c r="F22" i="5" s="1"/>
  <c r="E17" i="5"/>
  <c r="E20" i="5" s="1"/>
  <c r="E22" i="5" s="1"/>
  <c r="C17" i="5"/>
  <c r="C20" i="5" s="1"/>
  <c r="C22" i="5" s="1"/>
  <c r="D17" i="5"/>
  <c r="D20" i="5" s="1"/>
  <c r="D22" i="5" s="1"/>
  <c r="B17" i="5"/>
  <c r="B25" i="4"/>
  <c r="B20" i="5" l="1"/>
  <c r="B22" i="5" s="1"/>
  <c r="B23" i="5" s="1"/>
  <c r="B31" i="4"/>
  <c r="C25" i="4"/>
  <c r="C23" i="5" l="1"/>
  <c r="D23" i="5" s="1"/>
  <c r="D6" i="4" s="1"/>
  <c r="D9" i="4" s="1"/>
  <c r="B6" i="4"/>
  <c r="B9" i="4" s="1"/>
  <c r="B18" i="4" s="1"/>
  <c r="B36" i="4" s="1"/>
  <c r="D15" i="4"/>
  <c r="D16" i="4" s="1"/>
  <c r="D18" i="4" s="1"/>
  <c r="E15" i="4"/>
  <c r="E16" i="4" s="1"/>
  <c r="C6" i="4"/>
  <c r="C9" i="4" s="1"/>
  <c r="C18" i="4" s="1"/>
  <c r="C36" i="4" s="1"/>
  <c r="E23" i="5"/>
  <c r="F23" i="5" s="1"/>
  <c r="F6" i="4" s="1"/>
  <c r="F9" i="4" s="1"/>
  <c r="C31" i="4"/>
  <c r="B32" i="4"/>
  <c r="B34" i="4" s="1"/>
  <c r="D25" i="4"/>
  <c r="F15" i="4" l="1"/>
  <c r="F16" i="4" s="1"/>
  <c r="F18" i="4" s="1"/>
  <c r="E6" i="4"/>
  <c r="E9" i="4" s="1"/>
  <c r="E18" i="4" s="1"/>
  <c r="D31" i="4"/>
  <c r="C32" i="4"/>
  <c r="C34" i="4" s="1"/>
  <c r="E25" i="4"/>
  <c r="D36" i="4"/>
  <c r="E31" i="4" l="1"/>
  <c r="D32" i="4"/>
  <c r="D34" i="4" s="1"/>
  <c r="E36" i="4"/>
  <c r="F36" i="4"/>
  <c r="F31" i="4" l="1"/>
  <c r="F32" i="4" s="1"/>
  <c r="F34" i="4" s="1"/>
  <c r="E32" i="4"/>
  <c r="E34" i="4" s="1"/>
</calcChain>
</file>

<file path=xl/sharedStrings.xml><?xml version="1.0" encoding="utf-8"?>
<sst xmlns="http://schemas.openxmlformats.org/spreadsheetml/2006/main" count="289" uniqueCount="215">
  <si>
    <t>Author</t>
  </si>
  <si>
    <t>Date</t>
  </si>
  <si>
    <t>Purpose</t>
  </si>
  <si>
    <t>Start-Up Requirements</t>
  </si>
  <si>
    <t>Required Expenses</t>
  </si>
  <si>
    <t>Total Required Expenses</t>
  </si>
  <si>
    <t>Required Assets</t>
  </si>
  <si>
    <t>Cash</t>
  </si>
  <si>
    <t>Property</t>
  </si>
  <si>
    <t>Miscellaneous Assets</t>
  </si>
  <si>
    <t>Long-Term Assets</t>
  </si>
  <si>
    <t xml:space="preserve">Total Required Assets </t>
  </si>
  <si>
    <t>TOTAL REQUIRED EXPENSES AND ASSETS</t>
  </si>
  <si>
    <t>Start-Up Assets</t>
  </si>
  <si>
    <t>Non-Cash Assets</t>
  </si>
  <si>
    <t>Cash Assets</t>
  </si>
  <si>
    <t>Additional Available Cash</t>
  </si>
  <si>
    <t>Cash Balance on Starting Date</t>
  </si>
  <si>
    <t>TOTAL START-UP ASSETS</t>
  </si>
  <si>
    <t>Liabilities and Capital</t>
  </si>
  <si>
    <t>Start-Up Liabilities</t>
  </si>
  <si>
    <t>Long-Term Business Loan</t>
  </si>
  <si>
    <t>Outstanding Debts</t>
  </si>
  <si>
    <t>Total Liabilities</t>
  </si>
  <si>
    <t>Start-Up Capital</t>
  </si>
  <si>
    <t>Owners</t>
  </si>
  <si>
    <t>Investors</t>
  </si>
  <si>
    <t>Total Available Capital</t>
  </si>
  <si>
    <t>Project Summary</t>
  </si>
  <si>
    <t>START-UP INVESTMENT</t>
  </si>
  <si>
    <t>START-UP EXPENSES</t>
  </si>
  <si>
    <t>INITIAL EQUITY</t>
  </si>
  <si>
    <t>TOTAL LIABILITIES AND EQUITY</t>
  </si>
  <si>
    <t>TOTAL FUNDING</t>
  </si>
  <si>
    <t>Pro Forma Income Statement</t>
  </si>
  <si>
    <t>Assumed Tax Rate</t>
  </si>
  <si>
    <t>Income</t>
  </si>
  <si>
    <t>Year 1</t>
  </si>
  <si>
    <t>Year 2</t>
  </si>
  <si>
    <t>Year 3</t>
  </si>
  <si>
    <t>Year 4</t>
  </si>
  <si>
    <t>Year 5</t>
  </si>
  <si>
    <t>GROSS PROFIT</t>
  </si>
  <si>
    <t>Expenses</t>
  </si>
  <si>
    <t>Payroll</t>
  </si>
  <si>
    <t>Utilities</t>
  </si>
  <si>
    <t>Occupancy Costs</t>
  </si>
  <si>
    <t>Insurance</t>
  </si>
  <si>
    <t>TOTAL GENERAL EXPENSES</t>
  </si>
  <si>
    <t>Earnings</t>
  </si>
  <si>
    <t>Initial Earnings</t>
  </si>
  <si>
    <t>Depreciation</t>
  </si>
  <si>
    <t>Operating Profit</t>
  </si>
  <si>
    <t>Interest Expense</t>
  </si>
  <si>
    <t>Pretax Profit</t>
  </si>
  <si>
    <t>Taxes Liability</t>
  </si>
  <si>
    <t>After-Tax Profit</t>
  </si>
  <si>
    <t>Dividends to Shareholders</t>
  </si>
  <si>
    <t>Retained Earnings</t>
  </si>
  <si>
    <t>Pro Forma 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</si>
  <si>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</si>
  <si>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</si>
  <si>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</si>
  <si>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</si>
  <si>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</si>
  <si>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</si>
  <si>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Less Accumulated Depreciation</t>
  </si>
  <si>
    <t>Net Property &amp; Equipment</t>
  </si>
  <si>
    <t>TOTAL ASSETS</t>
  </si>
  <si>
    <t>Liabilities and Equity</t>
  </si>
  <si>
    <t>Current Liabilities</t>
  </si>
  <si>
    <t>Total Current Liabilities</t>
  </si>
  <si>
    <t>Long-Term Liabilities</t>
  </si>
  <si>
    <t>Total Long-Term Liabilities</t>
  </si>
  <si>
    <t>Equity</t>
  </si>
  <si>
    <t>Initial Investment</t>
  </si>
  <si>
    <t>Less Start-Up Expenses</t>
  </si>
  <si>
    <t>Less Investor Repayment</t>
  </si>
  <si>
    <t>Accumulated Retained Earnings</t>
  </si>
  <si>
    <t>Total Equity</t>
  </si>
  <si>
    <t>TOTAL LIABILITIES  AND EQUITY</t>
  </si>
  <si>
    <t>NET WORTH</t>
  </si>
  <si>
    <t>Pro Forma Cash Flow</t>
  </si>
  <si>
    <t>Cash Inflows</t>
  </si>
  <si>
    <t>Depreciation Add-Back</t>
  </si>
  <si>
    <t xml:space="preserve">Additional Cash Received </t>
  </si>
  <si>
    <t>New Borrowing</t>
  </si>
  <si>
    <t>Sales of Other Current Assets</t>
  </si>
  <si>
    <t>TOTAL CASH INFLOW</t>
  </si>
  <si>
    <t>Cash Outflows</t>
  </si>
  <si>
    <t>Loan Payment to Investors</t>
  </si>
  <si>
    <t>Dividends</t>
  </si>
  <si>
    <t>Estimated Tax</t>
  </si>
  <si>
    <t>Interest Payments</t>
  </si>
  <si>
    <t>Debt Payment</t>
  </si>
  <si>
    <t>TOTAL CASH OUTFLOW</t>
  </si>
  <si>
    <t>NET CASH FLOW</t>
  </si>
  <si>
    <t>CASH BALANCE</t>
  </si>
  <si>
    <t>Loan Analysis</t>
  </si>
  <si>
    <t>Annual Interest Rate</t>
  </si>
  <si>
    <t>Financial Value</t>
  </si>
  <si>
    <t>Business Loan 
(PV)</t>
  </si>
  <si>
    <t>Future Value
(FV)</t>
  </si>
  <si>
    <t>Years</t>
  </si>
  <si>
    <t>Payments per Year</t>
  </si>
  <si>
    <t>Payments
(NPER)</t>
  </si>
  <si>
    <t>Annual Rate</t>
  </si>
  <si>
    <t>Quarterly Payment (PMT)</t>
  </si>
  <si>
    <t>Future Value (FV)</t>
  </si>
  <si>
    <t>Payments (NPER)</t>
  </si>
  <si>
    <t>Business Loan (PV)</t>
  </si>
  <si>
    <t>Loan Schedule</t>
  </si>
  <si>
    <t>Loan (PV)</t>
  </si>
  <si>
    <t>Annual  Rate</t>
  </si>
  <si>
    <t>Rate per Period (RATE)</t>
  </si>
  <si>
    <t>Payment
(PMT)</t>
  </si>
  <si>
    <t>Amortization Schedule</t>
  </si>
  <si>
    <t>Year</t>
  </si>
  <si>
    <t>Period</t>
  </si>
  <si>
    <t>Remaining 
Principal</t>
  </si>
  <si>
    <t>Interest 
Payment</t>
  </si>
  <si>
    <t>Principal 
Payment</t>
  </si>
  <si>
    <t>Total Payment</t>
  </si>
  <si>
    <t>Final Balance</t>
  </si>
  <si>
    <t>Cumulative Interest and Principal Payments per Year</t>
  </si>
  <si>
    <t>Quarters</t>
  </si>
  <si>
    <t>Total</t>
  </si>
  <si>
    <t>Interest</t>
  </si>
  <si>
    <t>Principal</t>
  </si>
  <si>
    <t>Principal Remaining</t>
  </si>
  <si>
    <t>Salvage Value (Salvage)</t>
  </si>
  <si>
    <t>Life of Asset (Life)</t>
  </si>
  <si>
    <t>Straight-Line (SLN)</t>
  </si>
  <si>
    <t>Yearly Depreciation</t>
  </si>
  <si>
    <t>Cumulative Depreciation</t>
  </si>
  <si>
    <t>Depreciated Asset Value</t>
  </si>
  <si>
    <t>Declining Balance (DB)</t>
  </si>
  <si>
    <t>Investment Analysis</t>
  </si>
  <si>
    <t>Proposed Repayment Schedule to Investors</t>
  </si>
  <si>
    <t>Investment (PV)</t>
  </si>
  <si>
    <t>Yearly Payments (PMT)</t>
  </si>
  <si>
    <t>Interest Rate (RATE)</t>
  </si>
  <si>
    <t>Payments</t>
  </si>
  <si>
    <t>Return on the Investment</t>
  </si>
  <si>
    <t>Net Cash Flow</t>
  </si>
  <si>
    <t>Startup</t>
  </si>
  <si>
    <t>Desired Rate of Return</t>
  </si>
  <si>
    <t>Present Value (NPV)</t>
  </si>
  <si>
    <t>Net Present Value</t>
  </si>
  <si>
    <t>Internal Rate of Return (IRR)</t>
  </si>
  <si>
    <t>Plant Construction</t>
  </si>
  <si>
    <t>Plant Equipment</t>
  </si>
  <si>
    <t>Tech Innovations Startup Grant</t>
  </si>
  <si>
    <t>Sales</t>
  </si>
  <si>
    <t>Cost of Sales &amp; Marketing</t>
  </si>
  <si>
    <t>Cost of Research and Development</t>
  </si>
  <si>
    <t>Percent Cost of Sales &amp; Marketing</t>
  </si>
  <si>
    <t>Percent Cost of Research and Development</t>
  </si>
  <si>
    <t>Licensing</t>
  </si>
  <si>
    <t>Licensing Fees</t>
  </si>
  <si>
    <t>Other Required Expenses</t>
  </si>
  <si>
    <t>Miscellaneous Expenses</t>
  </si>
  <si>
    <t>Long-Term Assets (Cost)</t>
  </si>
  <si>
    <t>To perform a financial analysis for the startup tech company, Holoease</t>
  </si>
  <si>
    <t>Holoease</t>
  </si>
  <si>
    <t>Terms and Definitions</t>
  </si>
  <si>
    <t>Term</t>
  </si>
  <si>
    <t>Definition</t>
  </si>
  <si>
    <t>Cash flow</t>
  </si>
  <si>
    <t>Present value</t>
  </si>
  <si>
    <t>Future value</t>
  </si>
  <si>
    <t>Gross profit</t>
  </si>
  <si>
    <t>Extrapolation</t>
  </si>
  <si>
    <t>Interpolation</t>
  </si>
  <si>
    <t>Tangible assets</t>
  </si>
  <si>
    <t>Straight-line depreciation</t>
  </si>
  <si>
    <t>Declining balance depreciation</t>
  </si>
  <si>
    <t>Negative cash flow</t>
  </si>
  <si>
    <t>Positive cash flow</t>
  </si>
  <si>
    <t>Cost of sales</t>
  </si>
  <si>
    <t>Linear trend</t>
  </si>
  <si>
    <t>Growth trend</t>
  </si>
  <si>
    <t>Payback period</t>
  </si>
  <si>
    <t>Rate of return</t>
  </si>
  <si>
    <t>Net present value</t>
  </si>
  <si>
    <t>Internal rate of return</t>
  </si>
  <si>
    <t>Notes</t>
  </si>
  <si>
    <t>The direction in which money flows either to or from the user</t>
  </si>
  <si>
    <t>Money that is flowing towards the user</t>
  </si>
  <si>
    <t>Money that is flowing from the user</t>
  </si>
  <si>
    <t>Excel returns negative cash flow values for loan payments</t>
  </si>
  <si>
    <t>Excel returns positive cash flow values for investments</t>
  </si>
  <si>
    <t>The current value of a loan or investment</t>
  </si>
  <si>
    <t>The future value of a loan or investment</t>
  </si>
  <si>
    <t>Use a future value of 0 for loans that will be completely repaid</t>
  </si>
  <si>
    <t>Rate per Period
(RATE)</t>
  </si>
  <si>
    <t>Periodic Payments
(PMT)</t>
  </si>
  <si>
    <t>Expenses which are directly related to production</t>
  </si>
  <si>
    <t>Noncash assets such as equipment, land, buildings, and vehicles</t>
  </si>
  <si>
    <t>The difference between the company's sales and the cost of goods sold</t>
  </si>
  <si>
    <t>A process by extending a series from a single value or a few values to project future values</t>
  </si>
  <si>
    <t>A process to fill in a series when given then starting and ending values of the series</t>
  </si>
  <si>
    <t>A trend by which values change by a constant amount</t>
  </si>
  <si>
    <t>A trend by which values change by a constant percentage</t>
  </si>
  <si>
    <t>The process of allocating the original cost of an asset over the lifetime of the asset</t>
  </si>
  <si>
    <t>Depreciation in which the asset drops in value by a constant amount</t>
  </si>
  <si>
    <t>Calculate using the SLN function</t>
  </si>
  <si>
    <t>Depreciation in which the asset drops in value by a constant percentage</t>
  </si>
  <si>
    <t>Calculate using the DB function</t>
  </si>
  <si>
    <t>The length of time before an investment recovers its initial cost</t>
  </si>
  <si>
    <t>An interest rate that compares of value of current dollars to future dollars from a series of cash flows</t>
  </si>
  <si>
    <t>The difference between the present value of an investment and the initial expenditure on that investment</t>
  </si>
  <si>
    <t>Calculate by adding the current expenditure to the value returned by the NPV function</t>
  </si>
  <si>
    <t>The return rate for a series of future cash flow that will will result in a net present value of 0</t>
  </si>
  <si>
    <t>Calculate using the IRR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</si>
</sst>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  <numFmt numFmtId="167" formatCode="0.0000"/>
    <numFmt numFmtId="168" formatCode="0.0%"/>
    <numFmt numFmtId="169" formatCode="0.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4"/>
      <name val="Bauhaus 93"/>
      <family val="5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24"/>
      <color theme="9" tint="-0.249977111117893"/>
      <name val="Lucida Calligraphy"/>
      <family val="4"/>
    </font>
    <font>
      <sz val="11"/>
      <color theme="9" tint="-0.249977111117893"/>
      <name val="Calibri"/>
      <family val="2"/>
      <scheme val="minor"/>
    </font>
    <font>
      <sz val="18"/>
      <color theme="9" tint="-0.249977111117893"/>
      <name val="Calibri Light"/>
      <family val="2"/>
      <scheme val="major"/>
    </font>
    <font>
      <sz val="18"/>
      <color theme="4"/>
      <name val="Calibri Light"/>
      <family val="2"/>
      <scheme val="major"/>
    </font>
    <font>
      <b/>
      <sz val="13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9" borderId="0" applyNumberFormat="0" applyBorder="0" applyAlignment="0" applyProtection="0"/>
    <xf numFmtId="0" fontId="1" fillId="10" borderId="0" applyNumberFormat="0" applyBorder="0" applyAlignment="0" applyProtection="0"/>
  </cellStyleXfs>
  <cellXfs count="117">
    <xf numFmtId="0" fontId="0" fillId="0" borderId="0" xfId="0"/>
    <xf numFmtId="0" fontId="8" fillId="0" borderId="0" xfId="4" applyFont="1"/>
    <xf numFmtId="0" fontId="7" fillId="2" borderId="4" xfId="9" applyBorder="1"/>
    <xf numFmtId="0" fontId="11" fillId="0" borderId="4" xfId="0" applyFont="1" applyBorder="1" applyAlignment="1">
      <alignment wrapText="1"/>
    </xf>
    <xf numFmtId="14" fontId="11" fillId="0" borderId="4" xfId="0" applyNumberFormat="1" applyFont="1" applyBorder="1" applyAlignment="1">
      <alignment wrapText="1"/>
    </xf>
    <xf numFmtId="0" fontId="12" fillId="0" borderId="0" xfId="4" applyFont="1" applyFill="1" applyBorder="1" applyAlignment="1"/>
    <xf numFmtId="0" fontId="13" fillId="0" borderId="0" xfId="0" applyFont="1"/>
    <xf numFmtId="0" fontId="14" fillId="0" borderId="0" xfId="4" applyFont="1" applyFill="1" applyBorder="1" applyAlignment="1"/>
    <xf numFmtId="164" fontId="0" fillId="0" borderId="0" xfId="1" applyNumberFormat="1" applyFont="1" applyAlignment="1"/>
    <xf numFmtId="0" fontId="0" fillId="0" borderId="5" xfId="0" applyBorder="1"/>
    <xf numFmtId="164" fontId="0" fillId="0" borderId="5" xfId="1" applyNumberFormat="1" applyFont="1" applyBorder="1" applyAlignment="1"/>
    <xf numFmtId="0" fontId="0" fillId="5" borderId="5" xfId="0" applyFill="1" applyBorder="1"/>
    <xf numFmtId="165" fontId="0" fillId="5" borderId="5" xfId="1" applyNumberFormat="1" applyFont="1" applyFill="1" applyBorder="1" applyAlignment="1"/>
    <xf numFmtId="164" fontId="0" fillId="0" borderId="0" xfId="1" applyNumberFormat="1" applyFont="1" applyBorder="1" applyAlignment="1"/>
    <xf numFmtId="0" fontId="0" fillId="5" borderId="6" xfId="0" applyFill="1" applyBorder="1"/>
    <xf numFmtId="165" fontId="0" fillId="5" borderId="6" xfId="1" applyNumberFormat="1" applyFont="1" applyFill="1" applyBorder="1" applyAlignment="1"/>
    <xf numFmtId="0" fontId="0" fillId="6" borderId="0" xfId="0" applyFill="1"/>
    <xf numFmtId="165" fontId="0" fillId="6" borderId="0" xfId="0" applyNumberFormat="1" applyFill="1"/>
    <xf numFmtId="165" fontId="0" fillId="0" borderId="0" xfId="0" applyNumberFormat="1"/>
    <xf numFmtId="164" fontId="0" fillId="0" borderId="0" xfId="1" applyNumberFormat="1" applyFont="1" applyFill="1" applyAlignment="1"/>
    <xf numFmtId="164" fontId="0" fillId="0" borderId="5" xfId="1" applyNumberFormat="1" applyFont="1" applyFill="1" applyBorder="1" applyAlignment="1"/>
    <xf numFmtId="0" fontId="0" fillId="0" borderId="6" xfId="0" applyBorder="1"/>
    <xf numFmtId="164" fontId="0" fillId="0" borderId="6" xfId="1" applyNumberFormat="1" applyFont="1" applyFill="1" applyBorder="1" applyAlignment="1"/>
    <xf numFmtId="165" fontId="0" fillId="6" borderId="0" xfId="1" applyNumberFormat="1" applyFont="1" applyFill="1" applyAlignment="1"/>
    <xf numFmtId="6" fontId="0" fillId="0" borderId="0" xfId="0" applyNumberFormat="1"/>
    <xf numFmtId="164" fontId="5" fillId="0" borderId="0" xfId="1" applyNumberFormat="1" applyFont="1" applyFill="1" applyBorder="1" applyAlignment="1"/>
    <xf numFmtId="0" fontId="1" fillId="0" borderId="3" xfId="8" applyFont="1" applyAlignment="1"/>
    <xf numFmtId="165" fontId="1" fillId="0" borderId="3" xfId="8" applyNumberFormat="1" applyFont="1" applyAlignment="1"/>
    <xf numFmtId="0" fontId="1" fillId="0" borderId="0" xfId="0" applyFont="1"/>
    <xf numFmtId="0" fontId="10" fillId="0" borderId="0" xfId="0" applyFont="1" applyAlignment="1">
      <alignment horizontal="right" indent="1"/>
    </xf>
    <xf numFmtId="165" fontId="1" fillId="0" borderId="0" xfId="1" applyNumberFormat="1" applyFont="1" applyFill="1" applyBorder="1" applyAlignment="1"/>
    <xf numFmtId="164" fontId="1" fillId="0" borderId="5" xfId="1" applyNumberFormat="1" applyFont="1" applyFill="1" applyBorder="1" applyAlignment="1"/>
    <xf numFmtId="0" fontId="0" fillId="6" borderId="3" xfId="8" applyFont="1" applyFill="1" applyAlignment="1"/>
    <xf numFmtId="164" fontId="1" fillId="6" borderId="3" xfId="8" applyNumberFormat="1" applyFont="1" applyFill="1" applyAlignment="1"/>
    <xf numFmtId="164" fontId="1" fillId="0" borderId="0" xfId="1" applyNumberFormat="1" applyFont="1" applyFill="1" applyBorder="1" applyAlignment="1"/>
    <xf numFmtId="0" fontId="1" fillId="6" borderId="3" xfId="8" applyFont="1" applyFill="1" applyAlignment="1"/>
    <xf numFmtId="0" fontId="0" fillId="0" borderId="0" xfId="0" applyAlignment="1">
      <alignment wrapText="1"/>
    </xf>
    <xf numFmtId="164" fontId="1" fillId="6" borderId="0" xfId="1" applyNumberFormat="1" applyFont="1" applyFill="1" applyBorder="1" applyAlignment="1"/>
    <xf numFmtId="165" fontId="1" fillId="6" borderId="0" xfId="1" applyNumberFormat="1" applyFont="1" applyFill="1" applyBorder="1" applyAlignment="1"/>
    <xf numFmtId="0" fontId="1" fillId="0" borderId="3" xfId="8" applyFont="1" applyFill="1" applyAlignment="1"/>
    <xf numFmtId="165" fontId="1" fillId="0" borderId="3" xfId="8" applyNumberFormat="1" applyFont="1" applyFill="1" applyAlignment="1"/>
    <xf numFmtId="164" fontId="1" fillId="0" borderId="0" xfId="1" applyNumberFormat="1" applyFont="1" applyBorder="1" applyAlignment="1"/>
    <xf numFmtId="0" fontId="0" fillId="6" borderId="7" xfId="0" applyFill="1" applyBorder="1"/>
    <xf numFmtId="164" fontId="0" fillId="6" borderId="7" xfId="0" applyNumberFormat="1" applyFill="1" applyBorder="1"/>
    <xf numFmtId="164" fontId="1" fillId="0" borderId="3" xfId="8" applyNumberFormat="1" applyFont="1" applyAlignment="1"/>
    <xf numFmtId="164" fontId="0" fillId="0" borderId="0" xfId="0" applyNumberFormat="1"/>
    <xf numFmtId="165" fontId="0" fillId="6" borderId="7" xfId="0" applyNumberForma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65" fontId="0" fillId="0" borderId="0" xfId="1" applyNumberFormat="1" applyFont="1" applyBorder="1"/>
    <xf numFmtId="44" fontId="0" fillId="0" borderId="0" xfId="0" applyNumberFormat="1"/>
    <xf numFmtId="164" fontId="0" fillId="0" borderId="0" xfId="1" applyNumberFormat="1" applyFont="1" applyFill="1" applyBorder="1"/>
    <xf numFmtId="10" fontId="0" fillId="0" borderId="0" xfId="0" applyNumberFormat="1"/>
    <xf numFmtId="10" fontId="1" fillId="0" borderId="0" xfId="3" applyNumberFormat="1" applyFont="1" applyBorder="1"/>
    <xf numFmtId="10" fontId="0" fillId="0" borderId="0" xfId="3" applyNumberFormat="1" applyFont="1"/>
    <xf numFmtId="6" fontId="10" fillId="0" borderId="0" xfId="0" applyNumberFormat="1" applyFont="1"/>
    <xf numFmtId="0" fontId="1" fillId="0" borderId="0" xfId="10" applyFill="1"/>
    <xf numFmtId="164" fontId="0" fillId="0" borderId="0" xfId="1" applyNumberFormat="1" applyFont="1"/>
    <xf numFmtId="0" fontId="1" fillId="0" borderId="5" xfId="10" applyFill="1" applyBorder="1"/>
    <xf numFmtId="164" fontId="0" fillId="0" borderId="5" xfId="1" applyNumberFormat="1" applyFont="1" applyBorder="1"/>
    <xf numFmtId="166" fontId="0" fillId="6" borderId="4" xfId="0" applyNumberFormat="1" applyFill="1" applyBorder="1"/>
    <xf numFmtId="8" fontId="0" fillId="0" borderId="0" xfId="0" applyNumberFormat="1"/>
    <xf numFmtId="0" fontId="10" fillId="0" borderId="5" xfId="7" applyFont="1" applyBorder="1" applyAlignment="1">
      <alignment horizontal="center"/>
    </xf>
    <xf numFmtId="0" fontId="10" fillId="0" borderId="0" xfId="6" applyFont="1" applyBorder="1" applyAlignment="1">
      <alignment horizontal="center"/>
    </xf>
    <xf numFmtId="0" fontId="10" fillId="0" borderId="4" xfId="10" applyFont="1" applyFill="1" applyBorder="1" applyAlignment="1">
      <alignment horizontal="right" indent="1"/>
    </xf>
    <xf numFmtId="6" fontId="0" fillId="0" borderId="4" xfId="0" applyNumberFormat="1" applyBorder="1"/>
    <xf numFmtId="6" fontId="0" fillId="6" borderId="4" xfId="0" applyNumberFormat="1" applyFill="1" applyBorder="1"/>
    <xf numFmtId="0" fontId="0" fillId="0" borderId="4" xfId="0" applyBorder="1" applyAlignment="1">
      <alignment horizontal="right" indent="1"/>
    </xf>
    <xf numFmtId="165" fontId="0" fillId="0" borderId="4" xfId="1" applyNumberFormat="1" applyFont="1" applyFill="1" applyBorder="1"/>
    <xf numFmtId="0" fontId="0" fillId="0" borderId="4" xfId="0" applyBorder="1"/>
    <xf numFmtId="0" fontId="1" fillId="0" borderId="0" xfId="10" applyFill="1" applyBorder="1"/>
    <xf numFmtId="164" fontId="0" fillId="0" borderId="5" xfId="1" applyNumberFormat="1" applyFont="1" applyFill="1" applyBorder="1"/>
    <xf numFmtId="0" fontId="1" fillId="6" borderId="0" xfId="8" applyFont="1" applyFill="1" applyBorder="1"/>
    <xf numFmtId="165" fontId="1" fillId="6" borderId="0" xfId="8" applyNumberFormat="1" applyFont="1" applyFill="1" applyBorder="1"/>
    <xf numFmtId="167" fontId="0" fillId="0" borderId="0" xfId="0" applyNumberFormat="1"/>
    <xf numFmtId="165" fontId="10" fillId="0" borderId="4" xfId="2" applyNumberFormat="1" applyFont="1" applyFill="1" applyBorder="1" applyAlignment="1"/>
    <xf numFmtId="164" fontId="0" fillId="0" borderId="4" xfId="1" applyNumberFormat="1" applyFont="1" applyFill="1" applyBorder="1" applyAlignment="1"/>
    <xf numFmtId="10" fontId="0" fillId="0" borderId="4" xfId="3" applyNumberFormat="1" applyFont="1" applyFill="1" applyBorder="1" applyAlignment="1"/>
    <xf numFmtId="164" fontId="0" fillId="0" borderId="4" xfId="1" applyNumberFormat="1" applyFont="1" applyBorder="1" applyAlignment="1"/>
    <xf numFmtId="3" fontId="0" fillId="0" borderId="0" xfId="0" applyNumberFormat="1"/>
    <xf numFmtId="0" fontId="0" fillId="6" borderId="4" xfId="0" applyFill="1" applyBorder="1"/>
    <xf numFmtId="164" fontId="0" fillId="6" borderId="4" xfId="1" applyNumberFormat="1" applyFont="1" applyFill="1" applyBorder="1" applyAlignment="1"/>
    <xf numFmtId="165" fontId="0" fillId="0" borderId="4" xfId="1" applyNumberFormat="1" applyFont="1" applyFill="1" applyBorder="1" applyAlignment="1"/>
    <xf numFmtId="6" fontId="0" fillId="0" borderId="4" xfId="0" applyNumberFormat="1" applyBorder="1" applyAlignment="1">
      <alignment vertical="top"/>
    </xf>
    <xf numFmtId="164" fontId="10" fillId="0" borderId="4" xfId="0" applyNumberFormat="1" applyFont="1" applyBorder="1" applyAlignment="1">
      <alignment vertical="top"/>
    </xf>
    <xf numFmtId="10" fontId="0" fillId="0" borderId="4" xfId="0" applyNumberFormat="1" applyBorder="1" applyAlignment="1">
      <alignment vertical="top"/>
    </xf>
    <xf numFmtId="0" fontId="15" fillId="0" borderId="0" xfId="4" applyFont="1" applyFill="1" applyBorder="1" applyAlignment="1"/>
    <xf numFmtId="0" fontId="16" fillId="0" borderId="0" xfId="5" applyFont="1" applyBorder="1" applyAlignment="1">
      <alignment horizontal="left" vertical="center"/>
    </xf>
    <xf numFmtId="0" fontId="9" fillId="0" borderId="0" xfId="0" applyFont="1"/>
    <xf numFmtId="164" fontId="1" fillId="4" borderId="4" xfId="11" applyNumberFormat="1" applyBorder="1" applyAlignment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top" wrapText="1"/>
    </xf>
    <xf numFmtId="0" fontId="0" fillId="7" borderId="4" xfId="10" applyFont="1" applyFill="1" applyBorder="1"/>
    <xf numFmtId="0" fontId="4" fillId="7" borderId="0" xfId="6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10" fillId="7" borderId="4" xfId="0" applyFont="1" applyFill="1" applyBorder="1"/>
    <xf numFmtId="0" fontId="10" fillId="7" borderId="4" xfId="7" applyFont="1" applyFill="1" applyBorder="1" applyAlignment="1">
      <alignment horizontal="center" vertical="center"/>
    </xf>
    <xf numFmtId="0" fontId="10" fillId="7" borderId="8" xfId="6" applyFont="1" applyFill="1" applyBorder="1" applyAlignment="1">
      <alignment horizontal="center" vertical="center"/>
    </xf>
    <xf numFmtId="165" fontId="1" fillId="4" borderId="4" xfId="11" applyNumberFormat="1" applyBorder="1"/>
    <xf numFmtId="43" fontId="1" fillId="4" borderId="4" xfId="11" applyNumberFormat="1" applyBorder="1"/>
    <xf numFmtId="165" fontId="0" fillId="0" borderId="0" xfId="2" applyNumberFormat="1" applyFont="1" applyAlignment="1"/>
    <xf numFmtId="9" fontId="10" fillId="8" borderId="4" xfId="0" applyNumberFormat="1" applyFont="1" applyFill="1" applyBorder="1"/>
    <xf numFmtId="168" fontId="0" fillId="0" borderId="4" xfId="0" applyNumberFormat="1" applyBorder="1" applyAlignment="1">
      <alignment vertical="top"/>
    </xf>
    <xf numFmtId="0" fontId="7" fillId="9" borderId="4" xfId="12" applyBorder="1" applyAlignment="1">
      <alignment horizontal="left" vertical="top"/>
    </xf>
    <xf numFmtId="0" fontId="1" fillId="10" borderId="4" xfId="13" applyBorder="1" applyAlignment="1">
      <alignment horizontal="left" vertical="top" wrapText="1" indent="1"/>
    </xf>
    <xf numFmtId="0" fontId="0" fillId="0" borderId="4" xfId="0" applyBorder="1" applyAlignment="1">
      <alignment horizontal="left" vertical="top" wrapText="1"/>
    </xf>
    <xf numFmtId="10" fontId="1" fillId="4" borderId="4" xfId="11" applyNumberFormat="1" applyBorder="1" applyAlignment="1"/>
    <xf numFmtId="169" fontId="0" fillId="0" borderId="0" xfId="1" applyNumberFormat="1" applyFont="1" applyAlignment="1"/>
    <xf numFmtId="8" fontId="1" fillId="0" borderId="0" xfId="0" applyNumberFormat="1" applyFont="1"/>
    <xf numFmtId="165" fontId="6" fillId="0" borderId="0" xfId="0" applyNumberFormat="1" applyFont="1"/>
    <xf numFmtId="165" fontId="6" fillId="0" borderId="4" xfId="0" applyNumberFormat="1" applyFont="1" applyBorder="1"/>
    <xf numFmtId="0" fontId="10" fillId="0" borderId="8" xfId="0" applyFont="1" applyBorder="1" applyAlignment="1">
      <alignment horizontal="right" textRotation="90"/>
    </xf>
    <xf numFmtId="0" fontId="10" fillId="0" borderId="9" xfId="0" applyFont="1" applyBorder="1" applyAlignment="1">
      <alignment horizontal="right" textRotation="90"/>
    </xf>
    <xf numFmtId="0" fontId="10" fillId="0" borderId="0" xfId="7" applyFont="1" applyAlignment="1">
      <alignment horizontal="center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</cellXfs>
  <cellStyles count="14">
    <cellStyle name="20% - Accent2" xfId="13" builtinId="34"/>
    <cellStyle name="20% - Accent3" xfId="10" builtinId="38"/>
    <cellStyle name="40% - Accent6" xfId="11" builtinId="51"/>
    <cellStyle name="Accent1" xfId="9" builtinId="29"/>
    <cellStyle name="Accent2" xfId="12" builtinId="33"/>
    <cellStyle name="Comma" xfId="1" builtinId="3"/>
    <cellStyle name="Currency" xfId="2" builtinId="4"/>
    <cellStyle name="Heading 2" xfId="5" builtinId="17"/>
    <cellStyle name="Heading 3" xfId="6" builtinId="18"/>
    <cellStyle name="Heading 4" xfId="7" builtinId="19"/>
    <cellStyle name="Normal" xfId="0" builtinId="0"/>
    <cellStyle name="Percent" xfId="3" builtinId="5"/>
    <cellStyle name="Title" xfId="4" builtinId="15"/>
    <cellStyle name="Total" xfId="8" builtinId="25"/>
  </cellStyles>
  <dxfs count="1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3" sqref="B3"/>
    </sheetView>
  </sheetViews>
  <sheetFormatPr defaultRowHeight="15" x14ac:dyDescent="0.25"/>
  <cols>
    <col min="2" max="2" width="44.5703125" customWidth="1"/>
  </cols>
  <sheetData>
    <row r="1" spans="1:2" ht="42.75" x14ac:dyDescent="0.75">
      <c r="A1" s="1" t="s">
        <v>164</v>
      </c>
    </row>
    <row r="3" spans="1:2" x14ac:dyDescent="0.25">
      <c r="A3" s="2" t="s">
        <v>0</v>
      </c>
      <c r="B3" s="3"/>
    </row>
    <row r="4" spans="1:2" x14ac:dyDescent="0.25">
      <c r="A4" s="2" t="s">
        <v>1</v>
      </c>
      <c r="B4" s="4"/>
    </row>
    <row r="5" spans="1:2" ht="30" x14ac:dyDescent="0.25">
      <c r="A5" s="2" t="s">
        <v>2</v>
      </c>
      <c r="B5" s="3" t="s">
        <v>163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6E66-B75F-4BB1-BE4A-A58639E89526}">
  <dimension ref="A1:C23"/>
  <sheetViews>
    <sheetView zoomScale="120" zoomScaleNormal="120" workbookViewId="0"/>
  </sheetViews>
  <sheetFormatPr defaultRowHeight="15" x14ac:dyDescent="0.25"/>
  <cols>
    <col min="1" max="1" width="29" customWidth="1"/>
    <col min="2" max="2" width="51.28515625" customWidth="1"/>
    <col min="3" max="3" width="36.5703125" customWidth="1"/>
  </cols>
  <sheetData>
    <row r="1" spans="1:3" ht="42.75" x14ac:dyDescent="0.75">
      <c r="A1" s="1" t="s">
        <v>164</v>
      </c>
    </row>
    <row r="2" spans="1:3" ht="23.25" x14ac:dyDescent="0.35">
      <c r="A2" s="86" t="s">
        <v>165</v>
      </c>
    </row>
    <row r="4" spans="1:3" x14ac:dyDescent="0.25">
      <c r="A4" s="104" t="s">
        <v>166</v>
      </c>
      <c r="B4" s="104" t="s">
        <v>167</v>
      </c>
      <c r="C4" s="104" t="s">
        <v>186</v>
      </c>
    </row>
    <row r="5" spans="1:3" ht="30" x14ac:dyDescent="0.25">
      <c r="A5" s="105" t="s">
        <v>168</v>
      </c>
      <c r="B5" s="106" t="s">
        <v>187</v>
      </c>
      <c r="C5" s="106"/>
    </row>
    <row r="6" spans="1:3" ht="30" x14ac:dyDescent="0.25">
      <c r="A6" s="105" t="s">
        <v>177</v>
      </c>
      <c r="B6" s="106" t="s">
        <v>189</v>
      </c>
      <c r="C6" s="106" t="s">
        <v>190</v>
      </c>
    </row>
    <row r="7" spans="1:3" ht="30" x14ac:dyDescent="0.25">
      <c r="A7" s="105" t="s">
        <v>178</v>
      </c>
      <c r="B7" s="106" t="s">
        <v>188</v>
      </c>
      <c r="C7" s="106" t="s">
        <v>191</v>
      </c>
    </row>
    <row r="8" spans="1:3" x14ac:dyDescent="0.25">
      <c r="A8" s="105" t="s">
        <v>169</v>
      </c>
      <c r="B8" s="106" t="s">
        <v>192</v>
      </c>
      <c r="C8" s="106"/>
    </row>
    <row r="9" spans="1:3" ht="30" x14ac:dyDescent="0.25">
      <c r="A9" s="105" t="s">
        <v>170</v>
      </c>
      <c r="B9" s="106" t="s">
        <v>193</v>
      </c>
      <c r="C9" s="106" t="s">
        <v>194</v>
      </c>
    </row>
    <row r="10" spans="1:3" x14ac:dyDescent="0.25">
      <c r="A10" s="105" t="s">
        <v>179</v>
      </c>
      <c r="B10" s="106" t="s">
        <v>197</v>
      </c>
      <c r="C10" s="106"/>
    </row>
    <row r="11" spans="1:3" ht="30" x14ac:dyDescent="0.25">
      <c r="A11" s="105" t="s">
        <v>174</v>
      </c>
      <c r="B11" s="106" t="s">
        <v>198</v>
      </c>
      <c r="C11" s="106"/>
    </row>
    <row r="12" spans="1:3" ht="30" x14ac:dyDescent="0.25">
      <c r="A12" s="105" t="s">
        <v>171</v>
      </c>
      <c r="B12" s="106" t="s">
        <v>199</v>
      </c>
      <c r="C12" s="106"/>
    </row>
    <row r="13" spans="1:3" ht="30" x14ac:dyDescent="0.25">
      <c r="A13" s="105" t="s">
        <v>172</v>
      </c>
      <c r="B13" s="106" t="s">
        <v>200</v>
      </c>
      <c r="C13" s="106"/>
    </row>
    <row r="14" spans="1:3" ht="30" x14ac:dyDescent="0.25">
      <c r="A14" s="105" t="s">
        <v>173</v>
      </c>
      <c r="B14" s="106" t="s">
        <v>201</v>
      </c>
      <c r="C14" s="106"/>
    </row>
    <row r="15" spans="1:3" x14ac:dyDescent="0.25">
      <c r="A15" s="105" t="s">
        <v>180</v>
      </c>
      <c r="B15" s="106" t="s">
        <v>202</v>
      </c>
      <c r="C15" s="106"/>
    </row>
    <row r="16" spans="1:3" ht="30" x14ac:dyDescent="0.25">
      <c r="A16" s="105" t="s">
        <v>181</v>
      </c>
      <c r="B16" s="106" t="s">
        <v>203</v>
      </c>
      <c r="C16" s="106"/>
    </row>
    <row r="17" spans="1:3" ht="30" x14ac:dyDescent="0.25">
      <c r="A17" s="105" t="s">
        <v>51</v>
      </c>
      <c r="B17" s="106" t="s">
        <v>204</v>
      </c>
      <c r="C17" s="106"/>
    </row>
    <row r="18" spans="1:3" ht="30" x14ac:dyDescent="0.25">
      <c r="A18" s="105" t="s">
        <v>175</v>
      </c>
      <c r="B18" s="106" t="s">
        <v>205</v>
      </c>
      <c r="C18" s="106" t="s">
        <v>206</v>
      </c>
    </row>
    <row r="19" spans="1:3" ht="30" x14ac:dyDescent="0.25">
      <c r="A19" s="105" t="s">
        <v>176</v>
      </c>
      <c r="B19" s="106" t="s">
        <v>207</v>
      </c>
      <c r="C19" s="106" t="s">
        <v>208</v>
      </c>
    </row>
    <row r="20" spans="1:3" ht="30" x14ac:dyDescent="0.25">
      <c r="A20" s="105" t="s">
        <v>182</v>
      </c>
      <c r="B20" s="106" t="s">
        <v>209</v>
      </c>
      <c r="C20" s="106"/>
    </row>
    <row r="21" spans="1:3" ht="30" x14ac:dyDescent="0.25">
      <c r="A21" s="105" t="s">
        <v>183</v>
      </c>
      <c r="B21" s="106" t="s">
        <v>210</v>
      </c>
      <c r="C21" s="106"/>
    </row>
    <row r="22" spans="1:3" ht="45" x14ac:dyDescent="0.25">
      <c r="A22" s="105" t="s">
        <v>184</v>
      </c>
      <c r="B22" s="106" t="s">
        <v>211</v>
      </c>
      <c r="C22" s="106" t="s">
        <v>212</v>
      </c>
    </row>
    <row r="23" spans="1:3" ht="30" x14ac:dyDescent="0.25">
      <c r="A23" s="105" t="s">
        <v>185</v>
      </c>
      <c r="B23" s="106" t="s">
        <v>213</v>
      </c>
      <c r="C23" s="106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53"/>
  <sheetViews>
    <sheetView zoomScale="90" zoomScaleNormal="90" workbookViewId="0">
      <selection activeCell="B32" sqref="B32"/>
    </sheetView>
  </sheetViews>
  <sheetFormatPr defaultColWidth="9.140625" defaultRowHeight="15" x14ac:dyDescent="0.25"/>
  <cols>
    <col min="1" max="1" width="41.5703125" style="28" customWidth="1"/>
    <col min="2" max="2" width="13.42578125" style="28" customWidth="1"/>
    <col min="3" max="16384" width="9.140625" style="28"/>
  </cols>
  <sheetData>
    <row r="1" spans="1:2" s="6" customFormat="1" ht="42.75" x14ac:dyDescent="0.75">
      <c r="A1" s="1" t="s">
        <v>164</v>
      </c>
    </row>
    <row r="2" spans="1:2" s="6" customFormat="1" ht="23.25" x14ac:dyDescent="0.35">
      <c r="A2" s="86" t="s">
        <v>3</v>
      </c>
    </row>
    <row r="3" spans="1:2" customFormat="1" ht="15" customHeight="1" x14ac:dyDescent="0.25">
      <c r="A3" s="87" t="s">
        <v>4</v>
      </c>
    </row>
    <row r="4" spans="1:2" customFormat="1" x14ac:dyDescent="0.25">
      <c r="A4" t="s">
        <v>159</v>
      </c>
      <c r="B4" s="8">
        <v>90000</v>
      </c>
    </row>
    <row r="5" spans="1:2" customFormat="1" x14ac:dyDescent="0.25">
      <c r="A5" t="s">
        <v>150</v>
      </c>
      <c r="B5" s="8">
        <v>345000</v>
      </c>
    </row>
    <row r="6" spans="1:2" customFormat="1" x14ac:dyDescent="0.25">
      <c r="A6" t="s">
        <v>151</v>
      </c>
      <c r="B6" s="8">
        <v>200000</v>
      </c>
    </row>
    <row r="7" spans="1:2" customFormat="1" x14ac:dyDescent="0.25">
      <c r="A7" s="9" t="s">
        <v>160</v>
      </c>
      <c r="B7" s="10">
        <v>215000</v>
      </c>
    </row>
    <row r="8" spans="1:2" customFormat="1" x14ac:dyDescent="0.25">
      <c r="A8" s="11" t="s">
        <v>5</v>
      </c>
      <c r="B8" s="12">
        <f>SUM(B4:B7)</f>
        <v>850000</v>
      </c>
    </row>
    <row r="9" spans="1:2" customFormat="1" ht="17.25" x14ac:dyDescent="0.25">
      <c r="A9" s="87" t="s">
        <v>6</v>
      </c>
    </row>
    <row r="10" spans="1:2" customFormat="1" x14ac:dyDescent="0.25">
      <c r="A10" t="s">
        <v>7</v>
      </c>
      <c r="B10" s="8">
        <v>230000</v>
      </c>
    </row>
    <row r="11" spans="1:2" customFormat="1" x14ac:dyDescent="0.25">
      <c r="A11" t="s">
        <v>8</v>
      </c>
      <c r="B11" s="8">
        <v>120000</v>
      </c>
    </row>
    <row r="12" spans="1:2" customFormat="1" x14ac:dyDescent="0.25">
      <c r="A12" t="s">
        <v>9</v>
      </c>
      <c r="B12" s="13">
        <v>100000</v>
      </c>
    </row>
    <row r="13" spans="1:2" customFormat="1" x14ac:dyDescent="0.25">
      <c r="A13" s="9" t="s">
        <v>10</v>
      </c>
      <c r="B13" s="89">
        <v>300000</v>
      </c>
    </row>
    <row r="14" spans="1:2" customFormat="1" x14ac:dyDescent="0.25">
      <c r="A14" s="14" t="s">
        <v>11</v>
      </c>
      <c r="B14" s="15">
        <f>SUM(B10:B13)</f>
        <v>750000</v>
      </c>
    </row>
    <row r="15" spans="1:2" customFormat="1" x14ac:dyDescent="0.25">
      <c r="A15" s="16" t="s">
        <v>12</v>
      </c>
      <c r="B15" s="17">
        <f>B8+B14</f>
        <v>1600000</v>
      </c>
    </row>
    <row r="16" spans="1:2" customFormat="1" x14ac:dyDescent="0.25">
      <c r="B16" s="18"/>
    </row>
    <row r="17" spans="1:2" customFormat="1" ht="23.25" x14ac:dyDescent="0.35">
      <c r="A17" s="86" t="s">
        <v>13</v>
      </c>
    </row>
    <row r="18" spans="1:2" customFormat="1" x14ac:dyDescent="0.25">
      <c r="A18" s="9" t="s">
        <v>14</v>
      </c>
      <c r="B18" s="10">
        <f>SUM($B$11:$B$13)</f>
        <v>520000</v>
      </c>
    </row>
    <row r="19" spans="1:2" customFormat="1" x14ac:dyDescent="0.25">
      <c r="A19" t="s">
        <v>15</v>
      </c>
      <c r="B19" s="19">
        <f>B10</f>
        <v>230000</v>
      </c>
    </row>
    <row r="20" spans="1:2" customFormat="1" x14ac:dyDescent="0.25">
      <c r="A20" s="9" t="s">
        <v>16</v>
      </c>
      <c r="B20" s="20">
        <f>B22-B18-B19</f>
        <v>150000</v>
      </c>
    </row>
    <row r="21" spans="1:2" customFormat="1" x14ac:dyDescent="0.25">
      <c r="A21" s="21" t="s">
        <v>17</v>
      </c>
      <c r="B21" s="22">
        <f>SUM(B19:B20)</f>
        <v>380000</v>
      </c>
    </row>
    <row r="22" spans="1:2" customFormat="1" x14ac:dyDescent="0.25">
      <c r="A22" s="16" t="s">
        <v>18</v>
      </c>
      <c r="B22" s="23">
        <f>B39</f>
        <v>900000</v>
      </c>
    </row>
    <row r="23" spans="1:2" customFormat="1" x14ac:dyDescent="0.25"/>
    <row r="24" spans="1:2" customFormat="1" ht="23.25" x14ac:dyDescent="0.35">
      <c r="A24" s="86" t="s">
        <v>19</v>
      </c>
    </row>
    <row r="25" spans="1:2" customFormat="1" ht="17.25" x14ac:dyDescent="0.25">
      <c r="A25" s="87" t="s">
        <v>20</v>
      </c>
    </row>
    <row r="26" spans="1:2" customFormat="1" x14ac:dyDescent="0.25">
      <c r="A26" t="s">
        <v>21</v>
      </c>
      <c r="B26" s="89">
        <v>550000</v>
      </c>
    </row>
    <row r="27" spans="1:2" customFormat="1" x14ac:dyDescent="0.25">
      <c r="A27" s="9" t="s">
        <v>22</v>
      </c>
      <c r="B27" s="10">
        <v>0</v>
      </c>
    </row>
    <row r="28" spans="1:2" customFormat="1" x14ac:dyDescent="0.25">
      <c r="A28" s="16" t="s">
        <v>23</v>
      </c>
      <c r="B28" s="23">
        <f>SUM(B26:B27)</f>
        <v>550000</v>
      </c>
    </row>
    <row r="29" spans="1:2" customFormat="1" ht="17.25" x14ac:dyDescent="0.25">
      <c r="A29" s="87" t="s">
        <v>24</v>
      </c>
    </row>
    <row r="30" spans="1:2" customFormat="1" x14ac:dyDescent="0.25">
      <c r="A30" t="s">
        <v>25</v>
      </c>
      <c r="B30" s="8">
        <v>425000</v>
      </c>
    </row>
    <row r="31" spans="1:2" customFormat="1" x14ac:dyDescent="0.25">
      <c r="A31" t="s">
        <v>26</v>
      </c>
      <c r="B31" s="89">
        <v>350000</v>
      </c>
    </row>
    <row r="32" spans="1:2" customFormat="1" x14ac:dyDescent="0.25">
      <c r="A32" s="9" t="s">
        <v>152</v>
      </c>
      <c r="B32" s="10">
        <v>425000</v>
      </c>
    </row>
    <row r="33" spans="1:2" customFormat="1" x14ac:dyDescent="0.25">
      <c r="A33" s="16" t="s">
        <v>27</v>
      </c>
      <c r="B33" s="17">
        <f>SUM(B30:B32)</f>
        <v>1200000</v>
      </c>
    </row>
    <row r="34" spans="1:2" customFormat="1" x14ac:dyDescent="0.25">
      <c r="B34" s="24"/>
    </row>
    <row r="35" spans="1:2" customFormat="1" ht="23.25" x14ac:dyDescent="0.35">
      <c r="A35" s="86" t="s">
        <v>28</v>
      </c>
      <c r="B35" s="24"/>
    </row>
    <row r="36" spans="1:2" customFormat="1" x14ac:dyDescent="0.25">
      <c r="A36" t="s">
        <v>29</v>
      </c>
      <c r="B36" s="19">
        <f>B33</f>
        <v>1200000</v>
      </c>
    </row>
    <row r="37" spans="1:2" customFormat="1" x14ac:dyDescent="0.25">
      <c r="A37" t="s">
        <v>30</v>
      </c>
      <c r="B37" s="25">
        <f>-B8</f>
        <v>-850000</v>
      </c>
    </row>
    <row r="38" spans="1:2" customFormat="1" x14ac:dyDescent="0.25">
      <c r="A38" s="9" t="s">
        <v>31</v>
      </c>
      <c r="B38" s="20">
        <f>B36+B37</f>
        <v>350000</v>
      </c>
    </row>
    <row r="39" spans="1:2" customFormat="1" x14ac:dyDescent="0.25">
      <c r="A39" s="16" t="s">
        <v>32</v>
      </c>
      <c r="B39" s="17">
        <f>B28+B38</f>
        <v>900000</v>
      </c>
    </row>
    <row r="40" spans="1:2" customFormat="1" x14ac:dyDescent="0.25"/>
    <row r="41" spans="1:2" customFormat="1" ht="15.75" thickBot="1" x14ac:dyDescent="0.3">
      <c r="A41" s="26" t="s">
        <v>33</v>
      </c>
      <c r="B41" s="27">
        <f>B28+B33</f>
        <v>1750000</v>
      </c>
    </row>
    <row r="42" spans="1:2" customFormat="1" ht="15.75" thickTop="1" x14ac:dyDescent="0.25"/>
    <row r="43" spans="1:2" customFormat="1" x14ac:dyDescent="0.25"/>
    <row r="44" spans="1:2" customFormat="1" x14ac:dyDescent="0.25"/>
    <row r="45" spans="1:2" customFormat="1" x14ac:dyDescent="0.25"/>
    <row r="46" spans="1:2" customFormat="1" x14ac:dyDescent="0.25"/>
    <row r="47" spans="1:2" customFormat="1" x14ac:dyDescent="0.25"/>
    <row r="48" spans="1:2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</sheetData>
  <conditionalFormatting sqref="B37">
    <cfRule type="cellIs" dxfId="9" priority="1" operator="lessThan">
      <formula>0</formula>
    </cfRule>
  </conditionalFormatting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54"/>
  <sheetViews>
    <sheetView topLeftCell="A2" zoomScaleNormal="100" workbookViewId="0">
      <selection activeCell="F6" sqref="F6"/>
    </sheetView>
  </sheetViews>
  <sheetFormatPr defaultColWidth="9.140625" defaultRowHeight="15" x14ac:dyDescent="0.25"/>
  <cols>
    <col min="1" max="1" width="32.85546875" style="28" customWidth="1"/>
    <col min="2" max="6" width="14.28515625" style="28" customWidth="1"/>
    <col min="7" max="7" width="12.85546875" style="28" customWidth="1"/>
    <col min="8" max="9" width="9.140625" style="28"/>
    <col min="10" max="10" width="11.42578125" style="28" customWidth="1"/>
    <col min="11" max="11" width="10.28515625" style="28" customWidth="1"/>
    <col min="12" max="16384" width="9.140625" style="28"/>
  </cols>
  <sheetData>
    <row r="1" spans="1:6" s="6" customFormat="1" ht="42.75" x14ac:dyDescent="0.75">
      <c r="A1" s="1" t="s">
        <v>164</v>
      </c>
    </row>
    <row r="2" spans="1:6" s="6" customFormat="1" ht="23.25" x14ac:dyDescent="0.35">
      <c r="A2" s="86" t="s">
        <v>34</v>
      </c>
    </row>
    <row r="3" spans="1:6" s="6" customFormat="1" ht="15" customHeight="1" x14ac:dyDescent="0.35">
      <c r="A3" s="7"/>
      <c r="E3" s="29" t="s">
        <v>156</v>
      </c>
      <c r="F3" s="102">
        <v>0.25</v>
      </c>
    </row>
    <row r="4" spans="1:6" s="6" customFormat="1" ht="15" customHeight="1" x14ac:dyDescent="0.35">
      <c r="A4" s="7"/>
      <c r="E4" s="29" t="s">
        <v>157</v>
      </c>
      <c r="F4" s="102">
        <v>0.15</v>
      </c>
    </row>
    <row r="5" spans="1:6" s="6" customFormat="1" ht="15" customHeight="1" x14ac:dyDescent="0.35">
      <c r="A5" s="7"/>
      <c r="E5" s="29" t="s">
        <v>35</v>
      </c>
      <c r="F5" s="102">
        <v>0.32</v>
      </c>
    </row>
    <row r="6" spans="1:6" customFormat="1" ht="15" customHeight="1" x14ac:dyDescent="0.25"/>
    <row r="7" spans="1:6" customFormat="1" ht="15" customHeight="1" x14ac:dyDescent="0.25">
      <c r="A7" s="87" t="s">
        <v>36</v>
      </c>
      <c r="B7" s="90" t="s">
        <v>37</v>
      </c>
      <c r="C7" s="90" t="s">
        <v>38</v>
      </c>
      <c r="D7" s="90" t="s">
        <v>39</v>
      </c>
      <c r="E7" s="90" t="s">
        <v>40</v>
      </c>
      <c r="F7" s="90" t="s">
        <v>41</v>
      </c>
    </row>
    <row r="8" spans="1:6" customFormat="1" ht="15" customHeight="1" x14ac:dyDescent="0.25">
      <c r="A8" t="s">
        <v>153</v>
      </c>
      <c r="B8" s="30">
        <v>999999.99999999953</v>
      </c>
      <c r="C8" s="30">
        <v>1257433.4296829351</v>
      </c>
      <c r="D8" s="30">
        <v>1581138.8300841898</v>
      </c>
      <c r="E8" s="30">
        <v>1988176.821917627</v>
      </c>
      <c r="F8" s="30">
        <v>2500000.0000000009</v>
      </c>
    </row>
    <row r="9" spans="1:6" customFormat="1" ht="15" customHeight="1" x14ac:dyDescent="0.25">
      <c r="A9" t="s">
        <v>154</v>
      </c>
      <c r="B9" s="34">
        <f>B8*$F$3</f>
        <v>249999.99999999988</v>
      </c>
      <c r="C9" s="34">
        <f t="shared" ref="C9:F9" si="0">C8*$F$3</f>
        <v>314358.35742073378</v>
      </c>
      <c r="D9" s="34">
        <f t="shared" si="0"/>
        <v>395284.70752104744</v>
      </c>
      <c r="E9" s="34">
        <f t="shared" si="0"/>
        <v>497044.20547940675</v>
      </c>
      <c r="F9" s="34">
        <f t="shared" si="0"/>
        <v>625000.00000000023</v>
      </c>
    </row>
    <row r="10" spans="1:6" customFormat="1" ht="15" customHeight="1" x14ac:dyDescent="0.25">
      <c r="A10" s="9" t="s">
        <v>155</v>
      </c>
      <c r="B10" s="31">
        <f>B8*$F$4</f>
        <v>149999.99999999991</v>
      </c>
      <c r="C10" s="31">
        <f t="shared" ref="C10:F10" si="1">C8*$F$4</f>
        <v>188615.01445244026</v>
      </c>
      <c r="D10" s="31">
        <f t="shared" si="1"/>
        <v>237170.82451262846</v>
      </c>
      <c r="E10" s="31">
        <f t="shared" si="1"/>
        <v>298226.52328764403</v>
      </c>
      <c r="F10" s="31">
        <f t="shared" si="1"/>
        <v>375000.00000000012</v>
      </c>
    </row>
    <row r="11" spans="1:6" customFormat="1" ht="15" customHeight="1" thickBot="1" x14ac:dyDescent="0.3">
      <c r="A11" s="32" t="s">
        <v>42</v>
      </c>
      <c r="B11" s="33">
        <f>B8-(B9+B10)</f>
        <v>599999.99999999977</v>
      </c>
      <c r="C11" s="33">
        <f t="shared" ref="C11:F11" si="2">C8-(C9+C10)</f>
        <v>754460.05780976103</v>
      </c>
      <c r="D11" s="33">
        <f t="shared" si="2"/>
        <v>948683.29805051384</v>
      </c>
      <c r="E11" s="33">
        <f t="shared" si="2"/>
        <v>1192906.0931505761</v>
      </c>
      <c r="F11" s="33">
        <f t="shared" si="2"/>
        <v>1500000.0000000005</v>
      </c>
    </row>
    <row r="12" spans="1:6" customFormat="1" ht="15" customHeight="1" thickTop="1" x14ac:dyDescent="0.25">
      <c r="B12" s="34"/>
      <c r="C12" s="34"/>
      <c r="D12" s="34"/>
      <c r="E12" s="34"/>
      <c r="F12" s="34"/>
    </row>
    <row r="13" spans="1:6" customFormat="1" ht="15" customHeight="1" x14ac:dyDescent="0.25">
      <c r="A13" s="87" t="s">
        <v>43</v>
      </c>
      <c r="B13" s="90" t="s">
        <v>37</v>
      </c>
      <c r="C13" s="90" t="s">
        <v>38</v>
      </c>
      <c r="D13" s="90" t="s">
        <v>39</v>
      </c>
      <c r="E13" s="90" t="s">
        <v>40</v>
      </c>
      <c r="F13" s="90" t="s">
        <v>41</v>
      </c>
    </row>
    <row r="14" spans="1:6" customFormat="1" ht="15" customHeight="1" x14ac:dyDescent="0.25">
      <c r="A14" t="s">
        <v>44</v>
      </c>
      <c r="B14" s="30">
        <v>430000</v>
      </c>
      <c r="C14" s="30">
        <v>473000.00000000006</v>
      </c>
      <c r="D14" s="30">
        <v>520300.00000000006</v>
      </c>
      <c r="E14" s="30">
        <v>572330.00000000012</v>
      </c>
      <c r="F14" s="30">
        <v>629563.00000000012</v>
      </c>
    </row>
    <row r="15" spans="1:6" customFormat="1" ht="15" customHeight="1" x14ac:dyDescent="0.25">
      <c r="A15" t="s">
        <v>45</v>
      </c>
      <c r="B15" s="34">
        <v>60000</v>
      </c>
      <c r="C15" s="34">
        <v>63000</v>
      </c>
      <c r="D15" s="34">
        <v>66150</v>
      </c>
      <c r="E15" s="34">
        <v>69457.500000000015</v>
      </c>
      <c r="F15" s="34">
        <v>72930.375</v>
      </c>
    </row>
    <row r="16" spans="1:6" customFormat="1" ht="15" customHeight="1" x14ac:dyDescent="0.25">
      <c r="A16" t="s">
        <v>158</v>
      </c>
      <c r="B16" s="34">
        <v>25000</v>
      </c>
      <c r="C16" s="34">
        <v>26250</v>
      </c>
      <c r="D16" s="34">
        <v>27562.5</v>
      </c>
      <c r="E16" s="34">
        <v>28940.625000000004</v>
      </c>
      <c r="F16" s="34">
        <v>30387.65625</v>
      </c>
    </row>
    <row r="17" spans="1:7" customFormat="1" ht="15" customHeight="1" x14ac:dyDescent="0.25">
      <c r="A17" t="s">
        <v>46</v>
      </c>
      <c r="B17" s="34">
        <v>50000</v>
      </c>
      <c r="C17" s="34">
        <v>52500</v>
      </c>
      <c r="D17" s="34">
        <v>55125</v>
      </c>
      <c r="E17" s="34">
        <v>57881.250000000007</v>
      </c>
      <c r="F17" s="34">
        <v>60775.3125</v>
      </c>
    </row>
    <row r="18" spans="1:7" customFormat="1" ht="15" customHeight="1" x14ac:dyDescent="0.25">
      <c r="A18" t="s">
        <v>47</v>
      </c>
      <c r="B18" s="34">
        <v>25000</v>
      </c>
      <c r="C18" s="34">
        <v>26250</v>
      </c>
      <c r="D18" s="34">
        <v>27562.5</v>
      </c>
      <c r="E18" s="34">
        <v>28940.625000000004</v>
      </c>
      <c r="F18" s="34">
        <v>30387.65625</v>
      </c>
    </row>
    <row r="19" spans="1:7" customFormat="1" ht="15" customHeight="1" x14ac:dyDescent="0.25">
      <c r="A19" t="s">
        <v>161</v>
      </c>
      <c r="B19" s="34">
        <v>15000</v>
      </c>
      <c r="C19" s="34">
        <v>15750</v>
      </c>
      <c r="D19" s="34">
        <v>16537.5</v>
      </c>
      <c r="E19" s="34">
        <v>17364.375000000004</v>
      </c>
      <c r="F19" s="34">
        <v>18232.59375</v>
      </c>
    </row>
    <row r="20" spans="1:7" customFormat="1" ht="15" customHeight="1" thickBot="1" x14ac:dyDescent="0.3">
      <c r="A20" s="35" t="s">
        <v>48</v>
      </c>
      <c r="B20" s="33">
        <f>SUM(B14:B19)</f>
        <v>605000</v>
      </c>
      <c r="C20" s="33">
        <f t="shared" ref="C20:F20" si="3">SUM(C14:C19)</f>
        <v>656750</v>
      </c>
      <c r="D20" s="33">
        <f t="shared" si="3"/>
        <v>713237.5</v>
      </c>
      <c r="E20" s="33">
        <f t="shared" si="3"/>
        <v>774914.37500000012</v>
      </c>
      <c r="F20" s="33">
        <f t="shared" si="3"/>
        <v>842276.59375000012</v>
      </c>
    </row>
    <row r="21" spans="1:7" customFormat="1" ht="15" customHeight="1" thickTop="1" x14ac:dyDescent="0.25">
      <c r="B21" s="34"/>
      <c r="C21" s="34"/>
      <c r="D21" s="34"/>
      <c r="E21" s="34"/>
      <c r="F21" s="34"/>
    </row>
    <row r="22" spans="1:7" customFormat="1" ht="17.25" x14ac:dyDescent="0.25">
      <c r="A22" s="87" t="s">
        <v>49</v>
      </c>
      <c r="B22" s="90" t="s">
        <v>37</v>
      </c>
      <c r="C22" s="90" t="s">
        <v>38</v>
      </c>
      <c r="D22" s="90" t="s">
        <v>39</v>
      </c>
      <c r="E22" s="90" t="s">
        <v>40</v>
      </c>
      <c r="F22" s="90" t="s">
        <v>41</v>
      </c>
    </row>
    <row r="23" spans="1:7" customFormat="1" ht="15" customHeight="1" x14ac:dyDescent="0.25">
      <c r="A23" s="36" t="s">
        <v>50</v>
      </c>
      <c r="B23" s="30">
        <f>B11-B20</f>
        <v>-5000.0000000002328</v>
      </c>
      <c r="C23" s="30">
        <f t="shared" ref="C23:F23" si="4">C11-C20</f>
        <v>97710.057809761027</v>
      </c>
      <c r="D23" s="30">
        <f t="shared" si="4"/>
        <v>235445.79805051384</v>
      </c>
      <c r="E23" s="30">
        <f t="shared" si="4"/>
        <v>417991.71815057599</v>
      </c>
      <c r="F23" s="30">
        <f t="shared" si="4"/>
        <v>657723.40625000035</v>
      </c>
    </row>
    <row r="24" spans="1:7" customFormat="1" ht="15" customHeight="1" x14ac:dyDescent="0.25">
      <c r="A24" s="9" t="s">
        <v>51</v>
      </c>
      <c r="B24" s="31">
        <f>Depreciation!B16</f>
        <v>38700</v>
      </c>
      <c r="C24" s="31">
        <f>Depreciation!C16</f>
        <v>33707.700000000004</v>
      </c>
      <c r="D24" s="31">
        <f>Depreciation!D16</f>
        <v>29359.4067</v>
      </c>
      <c r="E24" s="31">
        <f>Depreciation!E16</f>
        <v>25572.043235699999</v>
      </c>
      <c r="F24" s="31">
        <f>Depreciation!F16</f>
        <v>22273.249658294702</v>
      </c>
    </row>
    <row r="25" spans="1:7" customFormat="1" ht="15" customHeight="1" x14ac:dyDescent="0.25">
      <c r="A25" s="16" t="s">
        <v>52</v>
      </c>
      <c r="B25" s="37">
        <f>B23-B24</f>
        <v>-43700.000000000233</v>
      </c>
      <c r="C25" s="37">
        <f t="shared" ref="C25:F25" si="5">C23-C24</f>
        <v>64002.357809761023</v>
      </c>
      <c r="D25" s="37">
        <f t="shared" si="5"/>
        <v>206086.39135051385</v>
      </c>
      <c r="E25" s="37">
        <f t="shared" si="5"/>
        <v>392419.674914876</v>
      </c>
      <c r="F25" s="37">
        <f t="shared" si="5"/>
        <v>635450.15659170563</v>
      </c>
    </row>
    <row r="26" spans="1:7" customFormat="1" ht="15" customHeight="1" x14ac:dyDescent="0.25">
      <c r="B26" s="34"/>
      <c r="C26" s="34"/>
      <c r="D26" s="34"/>
      <c r="E26" s="34"/>
      <c r="F26" s="34"/>
      <c r="G26" s="24"/>
    </row>
    <row r="27" spans="1:7" customFormat="1" ht="15" customHeight="1" x14ac:dyDescent="0.25">
      <c r="A27" s="9" t="s">
        <v>53</v>
      </c>
      <c r="B27" s="31">
        <f>-'Loan Schedule'!B36</f>
        <v>30837.849160058846</v>
      </c>
      <c r="C27" s="31"/>
      <c r="D27" s="31"/>
      <c r="E27" s="31"/>
      <c r="F27" s="31"/>
      <c r="G27" s="24"/>
    </row>
    <row r="28" spans="1:7" customFormat="1" ht="15" customHeight="1" x14ac:dyDescent="0.25">
      <c r="A28" s="16" t="s">
        <v>54</v>
      </c>
      <c r="B28" s="37">
        <f>B25-B27</f>
        <v>-74537.849160059079</v>
      </c>
      <c r="C28" s="37">
        <f t="shared" ref="C28:F28" si="6">C25-C27</f>
        <v>64002.357809761023</v>
      </c>
      <c r="D28" s="37">
        <f t="shared" si="6"/>
        <v>206086.39135051385</v>
      </c>
      <c r="E28" s="37">
        <f t="shared" si="6"/>
        <v>392419.674914876</v>
      </c>
      <c r="F28" s="37">
        <f t="shared" si="6"/>
        <v>635450.15659170563</v>
      </c>
      <c r="G28" s="24"/>
    </row>
    <row r="29" spans="1:7" customFormat="1" ht="15" customHeight="1" x14ac:dyDescent="0.25">
      <c r="B29" s="34"/>
      <c r="C29" s="34"/>
      <c r="D29" s="34"/>
      <c r="E29" s="34"/>
      <c r="F29" s="34"/>
    </row>
    <row r="30" spans="1:7" customFormat="1" ht="15" customHeight="1" x14ac:dyDescent="0.25">
      <c r="A30" s="9" t="s">
        <v>55</v>
      </c>
      <c r="B30" s="31">
        <f>IF(B28&gt;0, B28*$F$5, 0)</f>
        <v>0</v>
      </c>
      <c r="C30" s="31">
        <f t="shared" ref="C30:F30" si="7">IF(C28&gt;0, C28*$F$5, 0)</f>
        <v>20480.754499123526</v>
      </c>
      <c r="D30" s="31">
        <f t="shared" si="7"/>
        <v>65947.645232164432</v>
      </c>
      <c r="E30" s="31">
        <f t="shared" si="7"/>
        <v>125574.29597276032</v>
      </c>
      <c r="F30" s="31">
        <f t="shared" si="7"/>
        <v>203344.05010934582</v>
      </c>
    </row>
    <row r="31" spans="1:7" customFormat="1" ht="15" customHeight="1" x14ac:dyDescent="0.25">
      <c r="A31" s="16" t="s">
        <v>56</v>
      </c>
      <c r="B31" s="38">
        <f>B28-B30</f>
        <v>-74537.849160059079</v>
      </c>
      <c r="C31" s="38">
        <f t="shared" ref="C31:F31" si="8">C28-C30</f>
        <v>43521.603310637496</v>
      </c>
      <c r="D31" s="38">
        <f t="shared" si="8"/>
        <v>140138.74611834943</v>
      </c>
      <c r="E31" s="38">
        <f t="shared" si="8"/>
        <v>266845.3789421157</v>
      </c>
      <c r="F31" s="38">
        <f t="shared" si="8"/>
        <v>432106.10648235981</v>
      </c>
      <c r="G31" s="38"/>
    </row>
    <row r="32" spans="1:7" customFormat="1" ht="15" customHeight="1" x14ac:dyDescent="0.25"/>
    <row r="33" spans="1:6" customFormat="1" ht="15" customHeight="1" x14ac:dyDescent="0.25">
      <c r="A33" s="9" t="s">
        <v>57</v>
      </c>
      <c r="B33" s="10">
        <f>'Investment Analysis'!B13</f>
        <v>0</v>
      </c>
      <c r="C33" s="10">
        <f>'Investment Analysis'!C13</f>
        <v>0</v>
      </c>
      <c r="D33" s="10">
        <f>'Investment Analysis'!D13</f>
        <v>12000</v>
      </c>
      <c r="E33" s="10">
        <f>'Investment Analysis'!E13</f>
        <v>25000</v>
      </c>
      <c r="F33" s="10">
        <f>'Investment Analysis'!F13</f>
        <v>43000</v>
      </c>
    </row>
    <row r="34" spans="1:6" customFormat="1" ht="15" customHeight="1" x14ac:dyDescent="0.25"/>
    <row r="35" spans="1:6" customFormat="1" ht="15" customHeight="1" thickBot="1" x14ac:dyDescent="0.3">
      <c r="A35" s="39" t="s">
        <v>58</v>
      </c>
      <c r="B35" s="40">
        <f>B31-B33</f>
        <v>-74537.849160059079</v>
      </c>
      <c r="C35" s="40">
        <f t="shared" ref="C35:F35" si="9">C31-C33</f>
        <v>43521.603310637496</v>
      </c>
      <c r="D35" s="40">
        <f t="shared" si="9"/>
        <v>128138.74611834943</v>
      </c>
      <c r="E35" s="40">
        <f t="shared" si="9"/>
        <v>241845.3789421157</v>
      </c>
      <c r="F35" s="40">
        <f t="shared" si="9"/>
        <v>389106.10648235981</v>
      </c>
    </row>
    <row r="36" spans="1:6" customFormat="1" ht="15" customHeight="1" thickTop="1" x14ac:dyDescent="0.25">
      <c r="B36" s="41"/>
      <c r="C36" s="41"/>
      <c r="D36" s="41"/>
      <c r="E36" s="41"/>
      <c r="F36" s="41"/>
    </row>
    <row r="37" spans="1:6" customFormat="1" ht="15" customHeight="1" x14ac:dyDescent="0.25">
      <c r="B37" s="13"/>
      <c r="C37" s="13"/>
      <c r="D37" s="13"/>
      <c r="E37" s="13"/>
      <c r="F37" s="13"/>
    </row>
    <row r="38" spans="1:6" customFormat="1" ht="15" customHeight="1" x14ac:dyDescent="0.25">
      <c r="B38" s="13"/>
      <c r="C38" s="13"/>
      <c r="D38" s="13"/>
      <c r="E38" s="13"/>
      <c r="F38" s="13"/>
    </row>
    <row r="39" spans="1:6" customFormat="1" ht="15" customHeight="1" x14ac:dyDescent="0.25">
      <c r="B39" s="13"/>
      <c r="C39" s="13"/>
      <c r="D39" s="13"/>
      <c r="E39" s="13"/>
      <c r="F39" s="13"/>
    </row>
    <row r="40" spans="1:6" customFormat="1" ht="15" customHeight="1" x14ac:dyDescent="0.25">
      <c r="B40" s="13"/>
      <c r="C40" s="13"/>
      <c r="D40" s="13"/>
      <c r="E40" s="13"/>
      <c r="F40" s="13"/>
    </row>
    <row r="41" spans="1:6" customFormat="1" ht="15" customHeight="1" x14ac:dyDescent="0.25">
      <c r="B41" s="13"/>
      <c r="C41" s="13"/>
      <c r="D41" s="13"/>
      <c r="E41" s="13"/>
      <c r="F41" s="13"/>
    </row>
    <row r="42" spans="1:6" customFormat="1" ht="15" customHeight="1" x14ac:dyDescent="0.25">
      <c r="B42" s="13"/>
      <c r="C42" s="13"/>
      <c r="D42" s="13"/>
      <c r="E42" s="13"/>
      <c r="F42" s="13"/>
    </row>
    <row r="43" spans="1:6" customFormat="1" ht="15" customHeight="1" x14ac:dyDescent="0.25">
      <c r="B43" s="13"/>
      <c r="C43" s="13"/>
      <c r="D43" s="13"/>
      <c r="E43" s="13"/>
      <c r="F43" s="13"/>
    </row>
    <row r="44" spans="1:6" customFormat="1" ht="15" customHeight="1" x14ac:dyDescent="0.25">
      <c r="B44" s="8"/>
      <c r="C44" s="8"/>
      <c r="D44" s="8"/>
      <c r="E44" s="8"/>
      <c r="F44" s="8"/>
    </row>
    <row r="45" spans="1:6" customFormat="1" ht="15" customHeight="1" x14ac:dyDescent="0.25">
      <c r="B45" s="8"/>
      <c r="C45" s="8"/>
      <c r="D45" s="8"/>
      <c r="E45" s="8"/>
      <c r="F45" s="8"/>
    </row>
    <row r="46" spans="1:6" customFormat="1" ht="15" customHeight="1" x14ac:dyDescent="0.25">
      <c r="B46" s="8"/>
      <c r="C46" s="8"/>
      <c r="D46" s="8"/>
      <c r="E46" s="8"/>
      <c r="F46" s="8"/>
    </row>
    <row r="47" spans="1:6" customFormat="1" ht="15" customHeight="1" x14ac:dyDescent="0.25">
      <c r="B47" s="8"/>
      <c r="C47" s="8"/>
      <c r="D47" s="8"/>
      <c r="E47" s="8"/>
      <c r="F47" s="8"/>
    </row>
    <row r="48" spans="1:6" customFormat="1" ht="15" customHeight="1" x14ac:dyDescent="0.25">
      <c r="B48" s="8"/>
      <c r="C48" s="8"/>
      <c r="D48" s="8"/>
      <c r="E48" s="8"/>
      <c r="F48" s="8"/>
    </row>
    <row r="49" spans="2:6" customFormat="1" ht="15" customHeight="1" x14ac:dyDescent="0.25">
      <c r="B49" s="8"/>
      <c r="C49" s="8"/>
      <c r="D49" s="8"/>
      <c r="E49" s="8"/>
      <c r="F49" s="8"/>
    </row>
    <row r="50" spans="2:6" customFormat="1" ht="15" customHeight="1" x14ac:dyDescent="0.25"/>
    <row r="51" spans="2:6" customFormat="1" ht="15" customHeight="1" x14ac:dyDescent="0.25"/>
    <row r="52" spans="2:6" customFormat="1" ht="15" customHeight="1" x14ac:dyDescent="0.25"/>
    <row r="53" spans="2:6" customFormat="1" ht="15" customHeight="1" x14ac:dyDescent="0.25"/>
    <row r="54" spans="2:6" customFormat="1" ht="15" customHeight="1" x14ac:dyDescent="0.25"/>
    <row r="55" spans="2:6" customFormat="1" ht="15" customHeight="1" x14ac:dyDescent="0.25"/>
    <row r="56" spans="2:6" customFormat="1" ht="15" customHeight="1" x14ac:dyDescent="0.25"/>
    <row r="57" spans="2:6" customFormat="1" ht="15" customHeight="1" x14ac:dyDescent="0.25"/>
    <row r="58" spans="2:6" customFormat="1" ht="15" customHeight="1" x14ac:dyDescent="0.25"/>
    <row r="59" spans="2:6" customFormat="1" ht="15" customHeight="1" x14ac:dyDescent="0.25"/>
    <row r="60" spans="2:6" customFormat="1" ht="15" customHeight="1" x14ac:dyDescent="0.25"/>
    <row r="61" spans="2:6" customFormat="1" ht="15" customHeight="1" x14ac:dyDescent="0.25"/>
    <row r="62" spans="2:6" customFormat="1" ht="15" customHeight="1" x14ac:dyDescent="0.25"/>
    <row r="63" spans="2:6" customFormat="1" ht="15" customHeight="1" x14ac:dyDescent="0.25"/>
    <row r="64" spans="2:6" customFormat="1" ht="15" customHeight="1" x14ac:dyDescent="0.25"/>
    <row r="65" customFormat="1" ht="15" customHeight="1" x14ac:dyDescent="0.25"/>
    <row r="66" customFormat="1" ht="15" customHeight="1" x14ac:dyDescent="0.25"/>
    <row r="67" customFormat="1" ht="15" customHeight="1" x14ac:dyDescent="0.25"/>
    <row r="68" customFormat="1" ht="15" customHeight="1" x14ac:dyDescent="0.25"/>
    <row r="69" customFormat="1" ht="15" customHeight="1" x14ac:dyDescent="0.25"/>
    <row r="70" customFormat="1" ht="15" customHeight="1" x14ac:dyDescent="0.25"/>
    <row r="71" customFormat="1" ht="15" customHeight="1" x14ac:dyDescent="0.25"/>
    <row r="72" customFormat="1" ht="15" customHeight="1" x14ac:dyDescent="0.25"/>
    <row r="73" customFormat="1" ht="15" customHeight="1" x14ac:dyDescent="0.25"/>
    <row r="74" customFormat="1" ht="15" customHeight="1" x14ac:dyDescent="0.25"/>
    <row r="75" customFormat="1" ht="15" customHeight="1" x14ac:dyDescent="0.25"/>
    <row r="76" customFormat="1" ht="15" customHeight="1" x14ac:dyDescent="0.25"/>
    <row r="77" customFormat="1" ht="15" customHeight="1" x14ac:dyDescent="0.25"/>
    <row r="78" customFormat="1" ht="15" customHeight="1" x14ac:dyDescent="0.25"/>
    <row r="79" customFormat="1" ht="15" customHeight="1" x14ac:dyDescent="0.25"/>
    <row r="80" customFormat="1" ht="15" customHeight="1" x14ac:dyDescent="0.25"/>
    <row r="81" customFormat="1" ht="15" customHeight="1" x14ac:dyDescent="0.25"/>
    <row r="82" customFormat="1" ht="15" customHeight="1" x14ac:dyDescent="0.25"/>
    <row r="83" customFormat="1" ht="15" customHeight="1" x14ac:dyDescent="0.25"/>
    <row r="84" customFormat="1" ht="15" customHeight="1" x14ac:dyDescent="0.25"/>
    <row r="85" customFormat="1" ht="15" customHeight="1" x14ac:dyDescent="0.25"/>
    <row r="86" customFormat="1" ht="15" customHeight="1" x14ac:dyDescent="0.25"/>
    <row r="87" customFormat="1" ht="15" customHeight="1" x14ac:dyDescent="0.25"/>
    <row r="88" customFormat="1" ht="15" customHeight="1" x14ac:dyDescent="0.25"/>
    <row r="89" customFormat="1" ht="15" customHeigh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</sheetData>
  <pageMargins left="0.7" right="0.7" top="0.75" bottom="0.75" header="0.3" footer="0.3"/>
  <pageSetup scale="86" orientation="portrait" r:id="rId1"/>
  <headerFooter>
    <oddFooter>&amp;R&amp;F &amp;A &amp;D</oddFooter>
  </headerFooter>
  <cellWatches>
    <cellWatch r="F35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13"/>
  <sheetViews>
    <sheetView topLeftCell="A4" zoomScale="120" zoomScaleNormal="120" workbookViewId="0">
      <selection activeCell="F34" sqref="F34"/>
    </sheetView>
  </sheetViews>
  <sheetFormatPr defaultColWidth="9.140625" defaultRowHeight="15" x14ac:dyDescent="0.25"/>
  <cols>
    <col min="1" max="1" width="36" style="28" customWidth="1"/>
    <col min="2" max="6" width="13.7109375" style="28" customWidth="1"/>
    <col min="7" max="16384" width="9.140625" style="28"/>
  </cols>
  <sheetData>
    <row r="1" spans="1:6" s="6" customFormat="1" ht="42.75" x14ac:dyDescent="0.75">
      <c r="A1" s="1" t="s">
        <v>164</v>
      </c>
    </row>
    <row r="2" spans="1:6" s="6" customFormat="1" ht="23.25" x14ac:dyDescent="0.35">
      <c r="A2" s="86" t="s">
        <v>59</v>
      </c>
    </row>
    <row r="4" spans="1:6" customFormat="1" ht="17.25" x14ac:dyDescent="0.25">
      <c r="A4" s="87" t="s">
        <v>60</v>
      </c>
      <c r="B4" s="90" t="s">
        <v>37</v>
      </c>
      <c r="C4" s="90" t="s">
        <v>38</v>
      </c>
      <c r="D4" s="90" t="s">
        <v>39</v>
      </c>
      <c r="E4" s="90" t="s">
        <v>40</v>
      </c>
      <c r="F4" s="90" t="s">
        <v>41</v>
      </c>
    </row>
    <row r="5" spans="1:6" customFormat="1" x14ac:dyDescent="0.25">
      <c r="A5" s="88" t="s">
        <v>61</v>
      </c>
    </row>
    <row r="6" spans="1:6" customFormat="1" x14ac:dyDescent="0.25">
      <c r="A6" t="s">
        <v>7</v>
      </c>
      <c r="B6" s="8">
        <f>'Cash Flow'!B23</f>
        <v>166859.38107617392</v>
      </c>
      <c r="C6" s="8">
        <f>'Cash Flow'!C23</f>
        <v>35948.065462985571</v>
      </c>
      <c r="D6" s="8">
        <f>'Cash Flow'!D23</f>
        <v>-14694.400642490858</v>
      </c>
      <c r="E6" s="8">
        <f>'Cash Flow'!E23</f>
        <v>44582.402611498983</v>
      </c>
      <c r="F6" s="8">
        <f>'Cash Flow'!F23</f>
        <v>247821.13982832766</v>
      </c>
    </row>
    <row r="7" spans="1:6" customFormat="1" x14ac:dyDescent="0.25">
      <c r="A7" t="s">
        <v>62</v>
      </c>
      <c r="B7" s="8">
        <v>0</v>
      </c>
      <c r="C7" s="8">
        <v>0</v>
      </c>
      <c r="D7" s="8">
        <v>0</v>
      </c>
      <c r="E7" s="8">
        <v>0</v>
      </c>
      <c r="F7" s="8">
        <v>0</v>
      </c>
    </row>
    <row r="8" spans="1:6" customFormat="1" x14ac:dyDescent="0.25">
      <c r="A8" t="s">
        <v>63</v>
      </c>
      <c r="B8" s="8">
        <v>0</v>
      </c>
      <c r="C8" s="8">
        <v>0</v>
      </c>
      <c r="D8" s="8">
        <v>0</v>
      </c>
      <c r="E8" s="8">
        <v>0</v>
      </c>
      <c r="F8" s="8">
        <v>0</v>
      </c>
    </row>
    <row r="9" spans="1:6" customFormat="1" x14ac:dyDescent="0.25">
      <c r="A9" s="42" t="s">
        <v>64</v>
      </c>
      <c r="B9" s="43">
        <f>SUM(B6:B8)</f>
        <v>166859.38107617392</v>
      </c>
      <c r="C9" s="43">
        <f>SUM(C6:C8)</f>
        <v>35948.065462985571</v>
      </c>
      <c r="D9" s="43">
        <f>SUM(D6:D8)</f>
        <v>-14694.400642490858</v>
      </c>
      <c r="E9" s="43">
        <f>SUM(E6:E8)</f>
        <v>44582.402611498983</v>
      </c>
      <c r="F9" s="43">
        <f>SUM(F6:F8)</f>
        <v>247821.13982832766</v>
      </c>
    </row>
    <row r="10" spans="1:6" customFormat="1" x14ac:dyDescent="0.25"/>
    <row r="11" spans="1:6" customFormat="1" x14ac:dyDescent="0.25">
      <c r="A11" s="88" t="s">
        <v>65</v>
      </c>
    </row>
    <row r="12" spans="1:6" customFormat="1" x14ac:dyDescent="0.25">
      <c r="A12" t="s">
        <v>8</v>
      </c>
      <c r="B12" s="8">
        <f>Startup!$B$11</f>
        <v>120000</v>
      </c>
      <c r="C12" s="8">
        <f>Startup!$B$11</f>
        <v>120000</v>
      </c>
      <c r="D12" s="8">
        <f>Startup!$B$11</f>
        <v>120000</v>
      </c>
      <c r="E12" s="8">
        <f>Startup!$B$11</f>
        <v>120000</v>
      </c>
      <c r="F12" s="8">
        <f>Startup!$B$11</f>
        <v>120000</v>
      </c>
    </row>
    <row r="13" spans="1:6" customFormat="1" x14ac:dyDescent="0.25">
      <c r="A13" t="s">
        <v>9</v>
      </c>
      <c r="B13" s="8">
        <f>Startup!$B$12</f>
        <v>100000</v>
      </c>
      <c r="C13" s="8">
        <f>Startup!$B$12</f>
        <v>100000</v>
      </c>
      <c r="D13" s="8">
        <f>Startup!$B$12</f>
        <v>100000</v>
      </c>
      <c r="E13" s="8">
        <f>Startup!$B$12</f>
        <v>100000</v>
      </c>
      <c r="F13" s="8">
        <f>Startup!$B$12</f>
        <v>100000</v>
      </c>
    </row>
    <row r="14" spans="1:6" customFormat="1" x14ac:dyDescent="0.25">
      <c r="A14" s="9" t="s">
        <v>10</v>
      </c>
      <c r="B14" s="10">
        <f>Startup!$B$13</f>
        <v>300000</v>
      </c>
      <c r="C14" s="10">
        <f>Startup!$B$13</f>
        <v>300000</v>
      </c>
      <c r="D14" s="10">
        <f>Startup!$B$13</f>
        <v>300000</v>
      </c>
      <c r="E14" s="10">
        <f>Startup!$B$13</f>
        <v>300000</v>
      </c>
      <c r="F14" s="10">
        <f>Startup!$B$13</f>
        <v>300000</v>
      </c>
    </row>
    <row r="15" spans="1:6" customFormat="1" x14ac:dyDescent="0.25">
      <c r="A15" t="s">
        <v>66</v>
      </c>
      <c r="B15" s="8">
        <f>-Depreciation!B17</f>
        <v>-38700</v>
      </c>
      <c r="C15" s="8">
        <f>-Depreciation!C17</f>
        <v>-33707.700000000004</v>
      </c>
      <c r="D15" s="8">
        <f>-Depreciation!D17</f>
        <v>-29359.4067</v>
      </c>
      <c r="E15" s="8">
        <f>-Depreciation!E17</f>
        <v>-25572.043235699999</v>
      </c>
      <c r="F15" s="8">
        <f>-Depreciation!F17</f>
        <v>-22273.249658294702</v>
      </c>
    </row>
    <row r="16" spans="1:6" customFormat="1" x14ac:dyDescent="0.25">
      <c r="A16" s="42" t="s">
        <v>67</v>
      </c>
      <c r="B16" s="43">
        <f>SUM(B12:B15)</f>
        <v>481300</v>
      </c>
      <c r="C16" s="43">
        <f t="shared" ref="C16:F16" si="0">SUM(C12:C15)</f>
        <v>486292.3</v>
      </c>
      <c r="D16" s="43">
        <f t="shared" si="0"/>
        <v>490640.59330000001</v>
      </c>
      <c r="E16" s="43">
        <f t="shared" si="0"/>
        <v>494427.9567643</v>
      </c>
      <c r="F16" s="43">
        <f t="shared" si="0"/>
        <v>497726.75034170528</v>
      </c>
    </row>
    <row r="17" spans="1:6" customFormat="1" x14ac:dyDescent="0.25"/>
    <row r="18" spans="1:6" customFormat="1" ht="15.75" thickBot="1" x14ac:dyDescent="0.3">
      <c r="A18" s="26" t="s">
        <v>68</v>
      </c>
      <c r="B18" s="44">
        <f>B9+B16</f>
        <v>648159.38107617386</v>
      </c>
      <c r="C18" s="44">
        <f>C9+C16</f>
        <v>522240.36546298559</v>
      </c>
      <c r="D18" s="44">
        <f>D9+D16</f>
        <v>475946.19265750912</v>
      </c>
      <c r="E18" s="44">
        <f>E9+E16</f>
        <v>539010.35937579896</v>
      </c>
      <c r="F18" s="44">
        <f>F9+F16</f>
        <v>745547.89017003297</v>
      </c>
    </row>
    <row r="19" spans="1:6" customFormat="1" ht="15.75" thickTop="1" x14ac:dyDescent="0.25"/>
    <row r="20" spans="1:6" customFormat="1" ht="17.25" x14ac:dyDescent="0.25">
      <c r="A20" s="87" t="s">
        <v>69</v>
      </c>
      <c r="B20" s="90" t="s">
        <v>37</v>
      </c>
      <c r="C20" s="90" t="s">
        <v>38</v>
      </c>
      <c r="D20" s="90" t="s">
        <v>39</v>
      </c>
      <c r="E20" s="90" t="s">
        <v>40</v>
      </c>
      <c r="F20" s="90" t="s">
        <v>41</v>
      </c>
    </row>
    <row r="21" spans="1:6" customFormat="1" x14ac:dyDescent="0.25">
      <c r="A21" s="88" t="s">
        <v>70</v>
      </c>
    </row>
    <row r="22" spans="1:6" customFormat="1" x14ac:dyDescent="0.25">
      <c r="A22" s="42" t="s">
        <v>71</v>
      </c>
      <c r="B22" s="43">
        <v>0</v>
      </c>
      <c r="C22" s="43">
        <v>0</v>
      </c>
      <c r="D22" s="43">
        <v>0</v>
      </c>
      <c r="E22" s="43">
        <v>0</v>
      </c>
      <c r="F22" s="43">
        <v>0</v>
      </c>
    </row>
    <row r="23" spans="1:6" customFormat="1" x14ac:dyDescent="0.25"/>
    <row r="24" spans="1:6" customFormat="1" x14ac:dyDescent="0.25">
      <c r="A24" s="88" t="s">
        <v>72</v>
      </c>
    </row>
    <row r="25" spans="1:6" customFormat="1" x14ac:dyDescent="0.25">
      <c r="A25" s="42" t="s">
        <v>73</v>
      </c>
      <c r="B25" s="43">
        <f>'Loan Schedule'!B38</f>
        <v>452697.23023623298</v>
      </c>
      <c r="C25" s="43">
        <f>'Loan Schedule'!C38</f>
        <v>349423.61703411432</v>
      </c>
      <c r="D25" s="43">
        <f>'Loan Schedule'!D38</f>
        <v>239812.76824004081</v>
      </c>
      <c r="E25" s="43">
        <f>'Loan Schedule'!E38</f>
        <v>123475.80857694296</v>
      </c>
      <c r="F25" s="43">
        <f>'Loan Schedule'!F38</f>
        <v>0</v>
      </c>
    </row>
    <row r="26" spans="1:6" customFormat="1" x14ac:dyDescent="0.25"/>
    <row r="27" spans="1:6" customFormat="1" x14ac:dyDescent="0.25">
      <c r="A27" s="88" t="s">
        <v>74</v>
      </c>
    </row>
    <row r="28" spans="1:6" customFormat="1" x14ac:dyDescent="0.25">
      <c r="A28" t="s">
        <v>75</v>
      </c>
      <c r="B28" s="13">
        <f>Startup!$B$33</f>
        <v>1200000</v>
      </c>
      <c r="C28" s="13">
        <f>Startup!$B$33</f>
        <v>1200000</v>
      </c>
      <c r="D28" s="13">
        <f>Startup!$B$33</f>
        <v>1200000</v>
      </c>
      <c r="E28" s="13">
        <f>Startup!$B$33</f>
        <v>1200000</v>
      </c>
      <c r="F28" s="13">
        <f>Startup!$B$33</f>
        <v>1200000</v>
      </c>
    </row>
    <row r="29" spans="1:6" customFormat="1" x14ac:dyDescent="0.25">
      <c r="A29" t="s">
        <v>76</v>
      </c>
      <c r="B29" s="8">
        <f>-Startup!$B$8</f>
        <v>-850000</v>
      </c>
      <c r="C29" s="8">
        <f>-Startup!$B$8</f>
        <v>-850000</v>
      </c>
      <c r="D29" s="8">
        <f>-Startup!$B$8</f>
        <v>-850000</v>
      </c>
      <c r="E29" s="8">
        <f>-Startup!$B$8</f>
        <v>-850000</v>
      </c>
      <c r="F29" s="8">
        <f>-Startup!$B$8</f>
        <v>-850000</v>
      </c>
    </row>
    <row r="30" spans="1:6" customFormat="1" x14ac:dyDescent="0.25">
      <c r="A30" s="9" t="s">
        <v>77</v>
      </c>
      <c r="B30" s="10">
        <f>-'Cash Flow'!B15</f>
        <v>-80000</v>
      </c>
      <c r="C30" s="10">
        <f>B30-'Cash Flow'!C15</f>
        <v>-160000</v>
      </c>
      <c r="D30" s="10">
        <f>C30-'Cash Flow'!D15</f>
        <v>-240000</v>
      </c>
      <c r="E30" s="10">
        <f>D30-'Cash Flow'!E15</f>
        <v>-320000</v>
      </c>
      <c r="F30" s="10">
        <f>E30-'Cash Flow'!F15</f>
        <v>-400000</v>
      </c>
    </row>
    <row r="31" spans="1:6" customFormat="1" x14ac:dyDescent="0.25">
      <c r="A31" t="s">
        <v>78</v>
      </c>
      <c r="B31" s="8">
        <f>'Income Statement'!B35</f>
        <v>-74537.849160059079</v>
      </c>
      <c r="C31" s="8">
        <f>B31+'Income Statement'!C35</f>
        <v>-31016.245849421583</v>
      </c>
      <c r="D31" s="8">
        <f>C31+'Income Statement'!D35</f>
        <v>97122.500268927848</v>
      </c>
      <c r="E31" s="8">
        <f>D31+'Income Statement'!E35</f>
        <v>338967.87921104353</v>
      </c>
      <c r="F31" s="8">
        <f>E31+'Income Statement'!F35</f>
        <v>728073.98569340329</v>
      </c>
    </row>
    <row r="32" spans="1:6" customFormat="1" x14ac:dyDescent="0.25">
      <c r="A32" s="42" t="s">
        <v>79</v>
      </c>
      <c r="B32" s="43">
        <f>SUM(B28:B31)</f>
        <v>195462.15083994094</v>
      </c>
      <c r="C32" s="43">
        <f>SUM(C28:C31)</f>
        <v>158983.7541505784</v>
      </c>
      <c r="D32" s="43">
        <f>SUM(D28:D31)</f>
        <v>207122.50026892783</v>
      </c>
      <c r="E32" s="43">
        <f>SUM(E28:E31)</f>
        <v>368967.87921104353</v>
      </c>
      <c r="F32" s="43">
        <f>SUM(F28:F31)</f>
        <v>678073.98569340329</v>
      </c>
    </row>
    <row r="33" spans="1:6" customFormat="1" x14ac:dyDescent="0.25"/>
    <row r="34" spans="1:6" customFormat="1" ht="15.75" thickBot="1" x14ac:dyDescent="0.3">
      <c r="A34" s="26" t="s">
        <v>80</v>
      </c>
      <c r="B34" s="44">
        <f>B22+B25+B32</f>
        <v>648159.38107617386</v>
      </c>
      <c r="C34" s="44">
        <f>C22+C25+C32</f>
        <v>508407.37118469272</v>
      </c>
      <c r="D34" s="44">
        <f>D22+D25+D32</f>
        <v>446935.26850896864</v>
      </c>
      <c r="E34" s="44">
        <f>E22+E25+E32</f>
        <v>492443.68778798648</v>
      </c>
      <c r="F34" s="44">
        <f>F22+F25+F32</f>
        <v>678073.98569340329</v>
      </c>
    </row>
    <row r="35" spans="1:6" customFormat="1" ht="15.75" thickTop="1" x14ac:dyDescent="0.25"/>
    <row r="36" spans="1:6" customFormat="1" ht="15.75" thickBot="1" x14ac:dyDescent="0.3">
      <c r="A36" s="26" t="s">
        <v>81</v>
      </c>
      <c r="B36" s="44">
        <f>B18-B25</f>
        <v>195462.15083994088</v>
      </c>
      <c r="C36" s="44">
        <f t="shared" ref="C36:F36" si="1">C18-C25</f>
        <v>172816.74842887127</v>
      </c>
      <c r="D36" s="44">
        <f t="shared" si="1"/>
        <v>236133.42441746831</v>
      </c>
      <c r="E36" s="44">
        <f t="shared" si="1"/>
        <v>415534.55079885601</v>
      </c>
      <c r="F36" s="44">
        <f t="shared" si="1"/>
        <v>745547.89017003297</v>
      </c>
    </row>
    <row r="37" spans="1:6" customFormat="1" ht="15.75" thickTop="1" x14ac:dyDescent="0.25"/>
    <row r="38" spans="1:6" customFormat="1" x14ac:dyDescent="0.25"/>
    <row r="39" spans="1:6" customFormat="1" x14ac:dyDescent="0.25"/>
    <row r="40" spans="1:6" customFormat="1" x14ac:dyDescent="0.25"/>
    <row r="41" spans="1:6" customFormat="1" x14ac:dyDescent="0.25"/>
    <row r="42" spans="1:6" customFormat="1" x14ac:dyDescent="0.25"/>
    <row r="43" spans="1:6" customFormat="1" x14ac:dyDescent="0.25"/>
    <row r="44" spans="1:6" customFormat="1" x14ac:dyDescent="0.25"/>
    <row r="45" spans="1:6" customFormat="1" x14ac:dyDescent="0.25"/>
    <row r="46" spans="1:6" customFormat="1" x14ac:dyDescent="0.25"/>
    <row r="47" spans="1:6" customFormat="1" x14ac:dyDescent="0.25"/>
    <row r="48" spans="1:6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</sheetData>
  <pageMargins left="0.7" right="0.7" top="0.75" bottom="0.75" header="0.3" footer="0.3"/>
  <pageSetup scale="86" orientation="portrait" r:id="rId1"/>
  <headerFooter>
    <oddFooter>&amp;R&amp;F &amp;A &amp;D</oddFooter>
  </headerFooter>
  <cellWatches>
    <cellWatch r="F36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57"/>
  <sheetViews>
    <sheetView zoomScale="120" zoomScaleNormal="120" workbookViewId="0">
      <selection activeCell="B21" sqref="B21"/>
    </sheetView>
  </sheetViews>
  <sheetFormatPr defaultColWidth="9.140625" defaultRowHeight="15" x14ac:dyDescent="0.25"/>
  <cols>
    <col min="1" max="1" width="34.85546875" style="28" customWidth="1"/>
    <col min="2" max="6" width="17" style="28" customWidth="1"/>
    <col min="7" max="7" width="9.140625" style="28"/>
    <col min="8" max="12" width="12.140625" style="28" customWidth="1"/>
    <col min="13" max="16384" width="9.140625" style="28"/>
  </cols>
  <sheetData>
    <row r="1" spans="1:12" s="6" customFormat="1" ht="42.75" x14ac:dyDescent="0.75">
      <c r="A1" s="1" t="s">
        <v>164</v>
      </c>
    </row>
    <row r="2" spans="1:12" s="6" customFormat="1" ht="23.25" x14ac:dyDescent="0.35">
      <c r="A2" s="86" t="s">
        <v>82</v>
      </c>
    </row>
    <row r="4" spans="1:12" customFormat="1" ht="17.25" x14ac:dyDescent="0.25">
      <c r="A4" s="87" t="s">
        <v>17</v>
      </c>
      <c r="B4" s="101">
        <f>Startup!B21</f>
        <v>380000</v>
      </c>
    </row>
    <row r="5" spans="1:12" customFormat="1" x14ac:dyDescent="0.25"/>
    <row r="6" spans="1:12" customFormat="1" ht="17.25" x14ac:dyDescent="0.25">
      <c r="A6" s="87" t="s">
        <v>83</v>
      </c>
      <c r="B6" s="90" t="s">
        <v>37</v>
      </c>
      <c r="C6" s="90" t="s">
        <v>38</v>
      </c>
      <c r="D6" s="90" t="s">
        <v>39</v>
      </c>
      <c r="E6" s="90" t="s">
        <v>40</v>
      </c>
      <c r="F6" s="90" t="s">
        <v>41</v>
      </c>
    </row>
    <row r="7" spans="1:12" customFormat="1" x14ac:dyDescent="0.25">
      <c r="A7" t="s">
        <v>52</v>
      </c>
      <c r="B7" s="19">
        <f>'Income Statement'!B25</f>
        <v>-43700.000000000233</v>
      </c>
      <c r="C7" s="19">
        <f>'Income Statement'!C25</f>
        <v>64002.357809761023</v>
      </c>
      <c r="D7" s="19">
        <f>'Income Statement'!D25</f>
        <v>206086.39135051385</v>
      </c>
      <c r="E7" s="19">
        <f>'Income Statement'!E25</f>
        <v>392419.674914876</v>
      </c>
      <c r="F7" s="19">
        <f>'Income Statement'!F25</f>
        <v>635450.15659170563</v>
      </c>
    </row>
    <row r="8" spans="1:12" customFormat="1" x14ac:dyDescent="0.25">
      <c r="A8" t="s">
        <v>84</v>
      </c>
      <c r="B8" s="19">
        <f>'Income Statement'!B24</f>
        <v>38700</v>
      </c>
      <c r="C8" s="19">
        <f>'Income Statement'!C24</f>
        <v>33707.700000000004</v>
      </c>
      <c r="D8" s="19">
        <f>'Income Statement'!D24</f>
        <v>29359.4067</v>
      </c>
      <c r="E8" s="19">
        <f>'Income Statement'!E24</f>
        <v>25572.043235699999</v>
      </c>
      <c r="F8" s="19">
        <f>'Income Statement'!F24</f>
        <v>22273.249658294702</v>
      </c>
    </row>
    <row r="9" spans="1:12" customFormat="1" x14ac:dyDescent="0.25">
      <c r="A9" t="s">
        <v>85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</row>
    <row r="10" spans="1:12" customFormat="1" x14ac:dyDescent="0.25">
      <c r="A10" t="s">
        <v>86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</row>
    <row r="11" spans="1:12" customFormat="1" x14ac:dyDescent="0.25">
      <c r="A11" t="s">
        <v>87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</row>
    <row r="12" spans="1:12" customFormat="1" x14ac:dyDescent="0.25">
      <c r="A12" s="42" t="s">
        <v>88</v>
      </c>
      <c r="B12" s="46">
        <f>SUM(B7:B11)</f>
        <v>-5000.0000000002328</v>
      </c>
      <c r="C12" s="46">
        <f t="shared" ref="C12:F12" si="0">SUM(C7:C11)</f>
        <v>97710.057809761027</v>
      </c>
      <c r="D12" s="46">
        <f t="shared" si="0"/>
        <v>235445.79805051384</v>
      </c>
      <c r="E12" s="46">
        <f t="shared" si="0"/>
        <v>417991.71815057599</v>
      </c>
      <c r="F12" s="46">
        <f t="shared" si="0"/>
        <v>657723.40625000035</v>
      </c>
    </row>
    <row r="13" spans="1:12" customFormat="1" x14ac:dyDescent="0.25"/>
    <row r="14" spans="1:12" customFormat="1" ht="17.25" x14ac:dyDescent="0.25">
      <c r="A14" s="87" t="s">
        <v>89</v>
      </c>
      <c r="B14" s="90" t="s">
        <v>37</v>
      </c>
      <c r="C14" s="90" t="s">
        <v>38</v>
      </c>
      <c r="D14" s="90" t="s">
        <v>39</v>
      </c>
      <c r="E14" s="90" t="s">
        <v>40</v>
      </c>
      <c r="F14" s="90" t="s">
        <v>41</v>
      </c>
    </row>
    <row r="15" spans="1:12" customFormat="1" x14ac:dyDescent="0.25">
      <c r="A15" t="s">
        <v>90</v>
      </c>
      <c r="B15" s="19">
        <f>'Investment Analysis'!B12</f>
        <v>80000</v>
      </c>
      <c r="C15" s="19">
        <f>'Investment Analysis'!C12</f>
        <v>80000</v>
      </c>
      <c r="D15" s="19">
        <f>'Investment Analysis'!D12</f>
        <v>80000</v>
      </c>
      <c r="E15" s="19">
        <f>'Investment Analysis'!E12</f>
        <v>80000</v>
      </c>
      <c r="F15" s="19">
        <f>'Investment Analysis'!F12</f>
        <v>80000</v>
      </c>
      <c r="H15" s="24"/>
      <c r="I15" s="24"/>
      <c r="J15" s="24"/>
      <c r="K15" s="24"/>
      <c r="L15" s="24"/>
    </row>
    <row r="16" spans="1:12" customFormat="1" x14ac:dyDescent="0.25">
      <c r="A16" t="s">
        <v>91</v>
      </c>
      <c r="B16" s="19">
        <f>'Investment Analysis'!B13</f>
        <v>0</v>
      </c>
      <c r="C16" s="19">
        <f>'Investment Analysis'!C13</f>
        <v>0</v>
      </c>
      <c r="D16" s="19">
        <f>'Investment Analysis'!D13</f>
        <v>12000</v>
      </c>
      <c r="E16" s="19">
        <f>'Investment Analysis'!E13</f>
        <v>25000</v>
      </c>
      <c r="F16" s="19">
        <f>'Investment Analysis'!F13</f>
        <v>43000</v>
      </c>
      <c r="H16" s="24"/>
      <c r="I16" s="24"/>
      <c r="J16" s="24"/>
      <c r="K16" s="24"/>
      <c r="L16" s="24"/>
    </row>
    <row r="17" spans="1:12" customFormat="1" x14ac:dyDescent="0.25">
      <c r="A17" t="s">
        <v>92</v>
      </c>
      <c r="B17" s="19">
        <f>'Income Statement'!B30</f>
        <v>0</v>
      </c>
      <c r="C17" s="19">
        <f>'Income Statement'!C30</f>
        <v>20480.754499123526</v>
      </c>
      <c r="D17" s="19">
        <f>'Income Statement'!D30</f>
        <v>65947.645232164432</v>
      </c>
      <c r="E17" s="19">
        <f>'Income Statement'!E30</f>
        <v>125574.29597276032</v>
      </c>
      <c r="F17" s="19">
        <f>'Income Statement'!F30</f>
        <v>203344.05010934582</v>
      </c>
      <c r="H17" s="24"/>
      <c r="I17" s="24"/>
      <c r="J17" s="24"/>
      <c r="K17" s="24"/>
      <c r="L17" s="24"/>
    </row>
    <row r="18" spans="1:12" customFormat="1" x14ac:dyDescent="0.25">
      <c r="A18" t="s">
        <v>93</v>
      </c>
      <c r="B18" s="19">
        <f>-'Loan Schedule'!B36</f>
        <v>30837.849160058846</v>
      </c>
      <c r="C18" s="19">
        <f>-'Loan Schedule'!C36</f>
        <v>24867.005721707217</v>
      </c>
      <c r="D18" s="19">
        <f>-'Loan Schedule'!D36</f>
        <v>18529.770129752345</v>
      </c>
      <c r="E18" s="19">
        <f>-'Loan Schedule'!E36</f>
        <v>11803.659260728004</v>
      </c>
      <c r="F18" s="19">
        <f>-'Loan Schedule'!F36</f>
        <v>4664.8103468829067</v>
      </c>
    </row>
    <row r="19" spans="1:12" customFormat="1" x14ac:dyDescent="0.25">
      <c r="A19" t="s">
        <v>94</v>
      </c>
      <c r="B19" s="19">
        <f>-'Loan Schedule'!B37</f>
        <v>97302.769763767006</v>
      </c>
      <c r="C19" s="19">
        <f>-'Loan Schedule'!C37</f>
        <v>103273.61320211863</v>
      </c>
      <c r="D19" s="19">
        <f>-'Loan Schedule'!D37</f>
        <v>109610.84879407351</v>
      </c>
      <c r="E19" s="19">
        <f>-'Loan Schedule'!E37</f>
        <v>116336.95966309785</v>
      </c>
      <c r="F19" s="19">
        <f>-'Loan Schedule'!F37</f>
        <v>123475.80857694295</v>
      </c>
    </row>
    <row r="20" spans="1:12" customFormat="1" x14ac:dyDescent="0.25">
      <c r="A20" s="42" t="s">
        <v>95</v>
      </c>
      <c r="B20" s="46">
        <f>SUM(B15:B19)</f>
        <v>208140.61892382585</v>
      </c>
      <c r="C20" s="46">
        <f t="shared" ref="C20:F20" si="1">SUM(C15:C19)</f>
        <v>228621.37342294937</v>
      </c>
      <c r="D20" s="46">
        <f t="shared" si="1"/>
        <v>286088.26415599027</v>
      </c>
      <c r="E20" s="46">
        <f t="shared" si="1"/>
        <v>358714.91489658615</v>
      </c>
      <c r="F20" s="46">
        <f t="shared" si="1"/>
        <v>454484.66903317167</v>
      </c>
    </row>
    <row r="21" spans="1:12" customFormat="1" x14ac:dyDescent="0.25">
      <c r="B21" s="18"/>
      <c r="C21" s="18"/>
      <c r="D21" s="18"/>
      <c r="E21" s="18"/>
      <c r="F21" s="18"/>
    </row>
    <row r="22" spans="1:12" customFormat="1" x14ac:dyDescent="0.25">
      <c r="A22" s="16" t="s">
        <v>96</v>
      </c>
      <c r="B22" s="17">
        <f>B12-B20</f>
        <v>-213140.61892382608</v>
      </c>
      <c r="C22" s="17">
        <f>C12-C20</f>
        <v>-130911.31561318834</v>
      </c>
      <c r="D22" s="17">
        <f>D12-D20</f>
        <v>-50642.466105476429</v>
      </c>
      <c r="E22" s="17">
        <f>E12-E20</f>
        <v>59276.803253989841</v>
      </c>
      <c r="F22" s="17">
        <f>F12-F20</f>
        <v>203238.73721682868</v>
      </c>
    </row>
    <row r="23" spans="1:12" customFormat="1" x14ac:dyDescent="0.25">
      <c r="A23" s="16" t="s">
        <v>97</v>
      </c>
      <c r="B23" s="17">
        <f>B4+'Cash Flow'!B22</f>
        <v>166859.38107617392</v>
      </c>
      <c r="C23" s="17">
        <f>B23+C22</f>
        <v>35948.065462985571</v>
      </c>
      <c r="D23" s="17">
        <f t="shared" ref="D23:F23" si="2">C23+D22</f>
        <v>-14694.400642490858</v>
      </c>
      <c r="E23" s="17">
        <f t="shared" si="2"/>
        <v>44582.402611498983</v>
      </c>
      <c r="F23" s="17">
        <f t="shared" si="2"/>
        <v>247821.13982832766</v>
      </c>
    </row>
    <row r="24" spans="1:12" customFormat="1" x14ac:dyDescent="0.25"/>
    <row r="25" spans="1:12" customFormat="1" x14ac:dyDescent="0.25"/>
    <row r="26" spans="1:12" customFormat="1" x14ac:dyDescent="0.25"/>
    <row r="27" spans="1:12" customFormat="1" x14ac:dyDescent="0.25"/>
    <row r="28" spans="1:12" customFormat="1" x14ac:dyDescent="0.25"/>
    <row r="29" spans="1:12" customFormat="1" x14ac:dyDescent="0.25"/>
    <row r="30" spans="1:12" customFormat="1" x14ac:dyDescent="0.25"/>
    <row r="31" spans="1:12" customFormat="1" x14ac:dyDescent="0.25"/>
    <row r="32" spans="1:1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</sheetData>
  <conditionalFormatting sqref="B22:F23">
    <cfRule type="cellIs" dxfId="8" priority="1" operator="lessThan">
      <formula>0</formula>
    </cfRule>
  </conditionalFormatting>
  <pageMargins left="0.7" right="0.7" top="0.75" bottom="0.75" header="0.3" footer="0.3"/>
  <pageSetup scale="75" orientation="portrait" r:id="rId1"/>
  <headerFooter>
    <oddFooter>&amp;R&amp;F &amp;A &amp;D</oddFooter>
  </headerFooter>
  <cellWatches>
    <cellWatch r="F23"/>
  </cellWatch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60"/>
  <sheetViews>
    <sheetView zoomScale="70" zoomScaleNormal="120" workbookViewId="0">
      <selection activeCell="B11" sqref="B11"/>
    </sheetView>
  </sheetViews>
  <sheetFormatPr defaultColWidth="9.140625" defaultRowHeight="15" x14ac:dyDescent="0.25"/>
  <cols>
    <col min="1" max="1" width="25.5703125" style="28" customWidth="1"/>
    <col min="2" max="2" width="14.85546875" style="28" customWidth="1"/>
    <col min="3" max="3" width="14.85546875" style="28" bestFit="1" customWidth="1"/>
    <col min="4" max="4" width="10.140625" style="28" bestFit="1" customWidth="1"/>
    <col min="5" max="5" width="13" style="28" customWidth="1"/>
    <col min="6" max="6" width="15.28515625" style="28" customWidth="1"/>
    <col min="7" max="7" width="11" style="28" customWidth="1"/>
    <col min="8" max="8" width="16.140625" style="28" customWidth="1"/>
    <col min="9" max="9" width="18.140625" style="28" customWidth="1"/>
    <col min="10" max="16384" width="9.140625" style="28"/>
  </cols>
  <sheetData>
    <row r="1" spans="1:9" s="6" customFormat="1" ht="42.75" x14ac:dyDescent="0.75">
      <c r="A1" s="1" t="s">
        <v>164</v>
      </c>
    </row>
    <row r="2" spans="1:9" s="6" customFormat="1" ht="23.25" x14ac:dyDescent="0.35">
      <c r="A2" s="86" t="s">
        <v>98</v>
      </c>
    </row>
    <row r="3" spans="1:9" s="6" customFormat="1" ht="15" customHeight="1" x14ac:dyDescent="0.35">
      <c r="A3" s="7"/>
    </row>
    <row r="4" spans="1:9" s="6" customFormat="1" ht="15" customHeight="1" x14ac:dyDescent="0.25">
      <c r="A4" s="47" t="s">
        <v>99</v>
      </c>
      <c r="B4" s="107">
        <v>0.06</v>
      </c>
    </row>
    <row r="5" spans="1:9" s="6" customFormat="1" ht="15" customHeight="1" x14ac:dyDescent="0.25">
      <c r="A5" s="47"/>
    </row>
    <row r="6" spans="1:9" s="48" customFormat="1" ht="33" customHeight="1" x14ac:dyDescent="0.25">
      <c r="A6" s="91" t="s">
        <v>100</v>
      </c>
      <c r="B6" s="91" t="s">
        <v>101</v>
      </c>
      <c r="C6" s="91" t="s">
        <v>102</v>
      </c>
      <c r="D6" s="91" t="s">
        <v>103</v>
      </c>
      <c r="E6" s="91" t="s">
        <v>104</v>
      </c>
      <c r="F6" s="91" t="s">
        <v>105</v>
      </c>
      <c r="G6" s="91" t="s">
        <v>106</v>
      </c>
      <c r="H6" s="91" t="s">
        <v>195</v>
      </c>
      <c r="I6" s="91" t="s">
        <v>196</v>
      </c>
    </row>
    <row r="7" spans="1:9" customFormat="1" ht="15" customHeight="1" x14ac:dyDescent="0.25">
      <c r="A7" t="s">
        <v>107</v>
      </c>
      <c r="B7" s="49">
        <v>650000</v>
      </c>
      <c r="C7" s="50">
        <v>0</v>
      </c>
      <c r="D7" s="8">
        <v>5</v>
      </c>
      <c r="E7" s="51">
        <v>4</v>
      </c>
      <c r="F7" s="51">
        <f>D7*E7</f>
        <v>20</v>
      </c>
      <c r="G7" s="52">
        <f>$B$4</f>
        <v>0.06</v>
      </c>
      <c r="H7" s="53">
        <f>G7/E7</f>
        <v>1.4999999999999999E-2</v>
      </c>
      <c r="I7" s="99">
        <f>PMT(H7,F7,B7)</f>
        <v>-37859.728318403097</v>
      </c>
    </row>
    <row r="8" spans="1:9" customFormat="1" ht="15" customHeight="1" x14ac:dyDescent="0.25">
      <c r="A8" t="s">
        <v>108</v>
      </c>
      <c r="B8" s="49">
        <v>650000</v>
      </c>
      <c r="C8" s="61">
        <f>FV(H7,F7,I8,B8)</f>
        <v>-181745.74115742953</v>
      </c>
      <c r="D8" s="8">
        <v>5</v>
      </c>
      <c r="E8" s="51">
        <v>4</v>
      </c>
      <c r="F8" s="51">
        <f>D8*E8</f>
        <v>20</v>
      </c>
      <c r="G8" s="52">
        <f>$B$4</f>
        <v>0.06</v>
      </c>
      <c r="H8" s="53">
        <f>G8/E8</f>
        <v>1.4999999999999999E-2</v>
      </c>
      <c r="I8" s="99">
        <v>-30000</v>
      </c>
    </row>
    <row r="9" spans="1:9" customFormat="1" ht="15" customHeight="1" x14ac:dyDescent="0.25">
      <c r="A9" t="s">
        <v>109</v>
      </c>
      <c r="B9" s="49">
        <v>650000</v>
      </c>
      <c r="C9" s="50">
        <v>0</v>
      </c>
      <c r="D9" s="108">
        <f>F9/E9</f>
        <v>6.5997182120661915</v>
      </c>
      <c r="E9" s="51">
        <v>4</v>
      </c>
      <c r="F9" s="100">
        <f>NPER(H9,I9,B9)</f>
        <v>26.398872848264766</v>
      </c>
      <c r="G9" s="52">
        <f>$B$4</f>
        <v>0.06</v>
      </c>
      <c r="H9" s="53">
        <f>G9/E9</f>
        <v>1.4999999999999999E-2</v>
      </c>
      <c r="I9" s="99">
        <v>-30000</v>
      </c>
    </row>
    <row r="10" spans="1:9" customFormat="1" ht="15" customHeight="1" x14ac:dyDescent="0.25">
      <c r="A10" t="s">
        <v>110</v>
      </c>
      <c r="B10" s="109">
        <f>PV(H10,F10,I10)</f>
        <v>549396.44112261734</v>
      </c>
      <c r="C10" s="50">
        <v>0</v>
      </c>
      <c r="D10" s="8">
        <v>5</v>
      </c>
      <c r="E10" s="51">
        <v>4</v>
      </c>
      <c r="F10" s="51">
        <f>D10*E10</f>
        <v>20</v>
      </c>
      <c r="G10" s="52">
        <f>$B$4</f>
        <v>0.06</v>
      </c>
      <c r="H10" s="53">
        <f>G10/E10</f>
        <v>1.4999999999999999E-2</v>
      </c>
      <c r="I10" s="99">
        <v>-32000</v>
      </c>
    </row>
    <row r="11" spans="1:9" customFormat="1" x14ac:dyDescent="0.25"/>
    <row r="12" spans="1:9" customFormat="1" x14ac:dyDescent="0.25"/>
    <row r="13" spans="1:9" customFormat="1" x14ac:dyDescent="0.25"/>
    <row r="14" spans="1:9" customFormat="1" x14ac:dyDescent="0.25"/>
    <row r="15" spans="1:9" customFormat="1" x14ac:dyDescent="0.25"/>
    <row r="16" spans="1:9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</sheetData>
  <conditionalFormatting sqref="I7:I10 E7:F10 C7:C10">
    <cfRule type="cellIs" dxfId="7" priority="1" operator="lessThan">
      <formula>0</formula>
    </cfRule>
  </conditionalFormatting>
  <pageMargins left="0.7" right="0.7" top="0.75" bottom="0.75" header="0.3" footer="0.3"/>
  <pageSetup scale="65" orientation="portrait" r:id="rId1"/>
  <headerFooter>
    <oddFooter>&amp;R&amp;F &amp;A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38"/>
  <sheetViews>
    <sheetView tabSelected="1" topLeftCell="A6" zoomScale="90" zoomScaleNormal="90" workbookViewId="0">
      <selection activeCell="G36" sqref="G36"/>
    </sheetView>
  </sheetViews>
  <sheetFormatPr defaultRowHeight="15" x14ac:dyDescent="0.25"/>
  <cols>
    <col min="1" max="1" width="20.42578125" customWidth="1"/>
    <col min="2" max="2" width="14" customWidth="1"/>
    <col min="3" max="3" width="14.5703125" customWidth="1"/>
    <col min="4" max="4" width="14.85546875" customWidth="1"/>
    <col min="5" max="5" width="14.5703125" customWidth="1"/>
    <col min="6" max="6" width="13.42578125" customWidth="1"/>
    <col min="7" max="7" width="20.140625" customWidth="1"/>
    <col min="8" max="8" width="10.85546875" customWidth="1"/>
    <col min="9" max="9" width="12" customWidth="1"/>
  </cols>
  <sheetData>
    <row r="1" spans="1:7" ht="42.75" x14ac:dyDescent="0.75">
      <c r="A1" s="1" t="s">
        <v>164</v>
      </c>
      <c r="B1" s="5"/>
    </row>
    <row r="2" spans="1:7" ht="23.25" x14ac:dyDescent="0.35">
      <c r="A2" s="86" t="s">
        <v>111</v>
      </c>
    </row>
    <row r="3" spans="1:7" ht="15" customHeight="1" x14ac:dyDescent="0.35">
      <c r="A3" s="7"/>
    </row>
    <row r="4" spans="1:7" ht="30" x14ac:dyDescent="0.25">
      <c r="A4" s="91" t="s">
        <v>112</v>
      </c>
      <c r="B4" s="91" t="s">
        <v>113</v>
      </c>
      <c r="C4" s="91" t="s">
        <v>104</v>
      </c>
      <c r="D4" s="91" t="s">
        <v>114</v>
      </c>
      <c r="E4" s="91" t="s">
        <v>103</v>
      </c>
      <c r="F4" s="91" t="s">
        <v>105</v>
      </c>
      <c r="G4" s="91" t="s">
        <v>115</v>
      </c>
    </row>
    <row r="5" spans="1:7" ht="15.75" customHeight="1" x14ac:dyDescent="0.25">
      <c r="A5" s="24">
        <f>Startup!B26</f>
        <v>550000</v>
      </c>
      <c r="B5" s="52">
        <v>0.06</v>
      </c>
      <c r="C5">
        <v>4</v>
      </c>
      <c r="D5" s="54">
        <f>B5/C5</f>
        <v>1.4999999999999999E-2</v>
      </c>
      <c r="E5">
        <v>5</v>
      </c>
      <c r="F5">
        <f>C5*E5</f>
        <v>20</v>
      </c>
      <c r="G5" s="55">
        <f>PMT(D5,F5,A5)</f>
        <v>-32035.154730956463</v>
      </c>
    </row>
    <row r="6" spans="1:7" ht="15.75" customHeight="1" x14ac:dyDescent="0.25"/>
    <row r="7" spans="1:7" ht="17.25" x14ac:dyDescent="0.25">
      <c r="A7" s="87" t="s">
        <v>116</v>
      </c>
      <c r="F7" s="24"/>
    </row>
    <row r="8" spans="1:7" ht="30" x14ac:dyDescent="0.25">
      <c r="A8" s="91" t="s">
        <v>117</v>
      </c>
      <c r="B8" s="91" t="s">
        <v>118</v>
      </c>
      <c r="C8" s="91" t="s">
        <v>119</v>
      </c>
      <c r="D8" s="91" t="s">
        <v>120</v>
      </c>
      <c r="E8" s="91" t="s">
        <v>121</v>
      </c>
      <c r="F8" s="91" t="s">
        <v>122</v>
      </c>
    </row>
    <row r="9" spans="1:7" x14ac:dyDescent="0.25">
      <c r="A9" s="56">
        <v>1</v>
      </c>
      <c r="B9" s="56">
        <v>1</v>
      </c>
      <c r="C9" s="18">
        <f>A5</f>
        <v>550000</v>
      </c>
      <c r="D9" s="18">
        <f t="shared" ref="D9:D28" si="0">IPMT($D$5,B9,$F$5,$A$5)</f>
        <v>-8250</v>
      </c>
      <c r="E9" s="18">
        <f t="shared" ref="E9:E28" si="1">PPMT($D$5,B9,$F$5,$A$5)</f>
        <v>-23785.154730956467</v>
      </c>
      <c r="F9" s="18">
        <f>D9+E9</f>
        <v>-32035.154730956467</v>
      </c>
    </row>
    <row r="10" spans="1:7" x14ac:dyDescent="0.25">
      <c r="A10" s="56">
        <v>1</v>
      </c>
      <c r="B10" s="56">
        <v>2</v>
      </c>
      <c r="C10" s="57">
        <f>C9+E9</f>
        <v>526214.84526904358</v>
      </c>
      <c r="D10" s="18">
        <f t="shared" si="0"/>
        <v>-7893.2226790356535</v>
      </c>
      <c r="E10" s="18">
        <f t="shared" si="1"/>
        <v>-24141.932051920812</v>
      </c>
      <c r="F10" s="18">
        <f>D10+E10</f>
        <v>-32035.154730956467</v>
      </c>
    </row>
    <row r="11" spans="1:7" x14ac:dyDescent="0.25">
      <c r="A11" s="56">
        <v>1</v>
      </c>
      <c r="B11" s="56">
        <v>3</v>
      </c>
      <c r="C11" s="57">
        <f t="shared" ref="C11:C28" si="2">C10+E10</f>
        <v>502072.91321712278</v>
      </c>
      <c r="D11" s="57">
        <f t="shared" si="0"/>
        <v>-7531.0936982568419</v>
      </c>
      <c r="E11" s="57">
        <f t="shared" si="1"/>
        <v>-24504.061032699621</v>
      </c>
      <c r="F11" s="57">
        <f t="shared" ref="F11:F28" si="3">D11+E11</f>
        <v>-32035.154730956463</v>
      </c>
    </row>
    <row r="12" spans="1:7" x14ac:dyDescent="0.25">
      <c r="A12" s="58">
        <v>1</v>
      </c>
      <c r="B12" s="58">
        <v>4</v>
      </c>
      <c r="C12" s="59">
        <f t="shared" si="2"/>
        <v>477568.85218442319</v>
      </c>
      <c r="D12" s="59">
        <f t="shared" si="0"/>
        <v>-7163.5327827663468</v>
      </c>
      <c r="E12" s="59">
        <f t="shared" si="1"/>
        <v>-24871.621948190113</v>
      </c>
      <c r="F12" s="59">
        <f t="shared" si="3"/>
        <v>-32035.154730956459</v>
      </c>
    </row>
    <row r="13" spans="1:7" x14ac:dyDescent="0.25">
      <c r="A13" s="56">
        <v>2</v>
      </c>
      <c r="B13" s="56">
        <v>5</v>
      </c>
      <c r="C13" s="57">
        <f t="shared" si="2"/>
        <v>452697.2302362331</v>
      </c>
      <c r="D13" s="57">
        <f t="shared" si="0"/>
        <v>-6790.4584535434951</v>
      </c>
      <c r="E13" s="57">
        <f t="shared" si="1"/>
        <v>-25244.696277412968</v>
      </c>
      <c r="F13" s="57">
        <f t="shared" si="3"/>
        <v>-32035.154730956463</v>
      </c>
    </row>
    <row r="14" spans="1:7" x14ac:dyDescent="0.25">
      <c r="A14" s="56">
        <v>2</v>
      </c>
      <c r="B14" s="56">
        <v>6</v>
      </c>
      <c r="C14" s="57">
        <f t="shared" si="2"/>
        <v>427452.5339588201</v>
      </c>
      <c r="D14" s="57">
        <f t="shared" si="0"/>
        <v>-6411.7880093823005</v>
      </c>
      <c r="E14" s="57">
        <f t="shared" si="1"/>
        <v>-25623.366721574159</v>
      </c>
      <c r="F14" s="57">
        <f t="shared" si="3"/>
        <v>-32035.154730956459</v>
      </c>
    </row>
    <row r="15" spans="1:7" x14ac:dyDescent="0.25">
      <c r="A15" s="56">
        <v>2</v>
      </c>
      <c r="B15" s="56">
        <v>7</v>
      </c>
      <c r="C15" s="57">
        <f t="shared" si="2"/>
        <v>401829.16723724594</v>
      </c>
      <c r="D15" s="57">
        <f t="shared" si="0"/>
        <v>-6027.437508558688</v>
      </c>
      <c r="E15" s="57">
        <f t="shared" si="1"/>
        <v>-26007.717222397776</v>
      </c>
      <c r="F15" s="57">
        <f t="shared" si="3"/>
        <v>-32035.154730956463</v>
      </c>
    </row>
    <row r="16" spans="1:7" x14ac:dyDescent="0.25">
      <c r="A16" s="58">
        <v>2</v>
      </c>
      <c r="B16" s="58">
        <v>8</v>
      </c>
      <c r="C16" s="59">
        <f t="shared" si="2"/>
        <v>375821.45001484815</v>
      </c>
      <c r="D16" s="59">
        <f t="shared" si="0"/>
        <v>-5637.3217502227199</v>
      </c>
      <c r="E16" s="59">
        <f t="shared" si="1"/>
        <v>-26397.832980733743</v>
      </c>
      <c r="F16" s="59">
        <f t="shared" si="3"/>
        <v>-32035.154730956463</v>
      </c>
    </row>
    <row r="17" spans="1:6" x14ac:dyDescent="0.25">
      <c r="A17" s="56">
        <v>3</v>
      </c>
      <c r="B17" s="56">
        <v>9</v>
      </c>
      <c r="C17" s="57">
        <f t="shared" si="2"/>
        <v>349423.61703411443</v>
      </c>
      <c r="D17" s="57">
        <f t="shared" si="0"/>
        <v>-5241.3542555117156</v>
      </c>
      <c r="E17" s="57">
        <f t="shared" si="1"/>
        <v>-26793.800475444747</v>
      </c>
      <c r="F17" s="57">
        <f t="shared" si="3"/>
        <v>-32035.154730956463</v>
      </c>
    </row>
    <row r="18" spans="1:6" x14ac:dyDescent="0.25">
      <c r="A18" s="56">
        <v>3</v>
      </c>
      <c r="B18" s="56">
        <v>10</v>
      </c>
      <c r="C18" s="57">
        <f t="shared" si="2"/>
        <v>322629.81655866967</v>
      </c>
      <c r="D18" s="57">
        <f t="shared" si="0"/>
        <v>-4839.4472483800437</v>
      </c>
      <c r="E18" s="57">
        <f t="shared" si="1"/>
        <v>-27195.707482576418</v>
      </c>
      <c r="F18" s="57">
        <f t="shared" si="3"/>
        <v>-32035.154730956463</v>
      </c>
    </row>
    <row r="19" spans="1:6" x14ac:dyDescent="0.25">
      <c r="A19" s="56">
        <v>3</v>
      </c>
      <c r="B19" s="56">
        <v>11</v>
      </c>
      <c r="C19" s="57">
        <f t="shared" si="2"/>
        <v>295434.10907609324</v>
      </c>
      <c r="D19" s="57">
        <f t="shared" si="0"/>
        <v>-4431.5116361413966</v>
      </c>
      <c r="E19" s="57">
        <f t="shared" si="1"/>
        <v>-27603.643094815066</v>
      </c>
      <c r="F19" s="57">
        <f t="shared" si="3"/>
        <v>-32035.154730956463</v>
      </c>
    </row>
    <row r="20" spans="1:6" x14ac:dyDescent="0.25">
      <c r="A20" s="58">
        <v>3</v>
      </c>
      <c r="B20" s="58">
        <v>12</v>
      </c>
      <c r="C20" s="59">
        <f t="shared" si="2"/>
        <v>267830.46598127816</v>
      </c>
      <c r="D20" s="59">
        <f t="shared" si="0"/>
        <v>-4017.4569897191723</v>
      </c>
      <c r="E20" s="59">
        <f t="shared" si="1"/>
        <v>-28017.697741237291</v>
      </c>
      <c r="F20" s="59">
        <f t="shared" si="3"/>
        <v>-32035.154730956463</v>
      </c>
    </row>
    <row r="21" spans="1:6" x14ac:dyDescent="0.25">
      <c r="A21" s="56">
        <v>4</v>
      </c>
      <c r="B21" s="56">
        <v>13</v>
      </c>
      <c r="C21" s="57">
        <f t="shared" si="2"/>
        <v>239812.76824004087</v>
      </c>
      <c r="D21" s="57">
        <f t="shared" si="0"/>
        <v>-3597.1915236006121</v>
      </c>
      <c r="E21" s="57">
        <f t="shared" si="1"/>
        <v>-28437.96320735585</v>
      </c>
      <c r="F21" s="57">
        <f t="shared" si="3"/>
        <v>-32035.154730956463</v>
      </c>
    </row>
    <row r="22" spans="1:6" x14ac:dyDescent="0.25">
      <c r="A22" s="56">
        <v>4</v>
      </c>
      <c r="B22" s="56">
        <v>14</v>
      </c>
      <c r="C22" s="57">
        <f t="shared" si="2"/>
        <v>211374.80503268502</v>
      </c>
      <c r="D22" s="57">
        <f t="shared" si="0"/>
        <v>-3170.6220754902743</v>
      </c>
      <c r="E22" s="57">
        <f t="shared" si="1"/>
        <v>-28864.532655466188</v>
      </c>
      <c r="F22" s="57">
        <f t="shared" si="3"/>
        <v>-32035.154730956463</v>
      </c>
    </row>
    <row r="23" spans="1:6" x14ac:dyDescent="0.25">
      <c r="A23" s="56">
        <v>4</v>
      </c>
      <c r="B23" s="56">
        <v>15</v>
      </c>
      <c r="C23" s="57">
        <f t="shared" si="2"/>
        <v>182510.27237721882</v>
      </c>
      <c r="D23" s="57">
        <f t="shared" si="0"/>
        <v>-2737.6540856582819</v>
      </c>
      <c r="E23" s="57">
        <f t="shared" si="1"/>
        <v>-29297.50064529818</v>
      </c>
      <c r="F23" s="57">
        <f t="shared" si="3"/>
        <v>-32035.154730956463</v>
      </c>
    </row>
    <row r="24" spans="1:6" x14ac:dyDescent="0.25">
      <c r="A24" s="58">
        <v>4</v>
      </c>
      <c r="B24" s="58">
        <v>16</v>
      </c>
      <c r="C24" s="59">
        <f t="shared" si="2"/>
        <v>153212.77173192063</v>
      </c>
      <c r="D24" s="59">
        <f t="shared" si="0"/>
        <v>-2298.1915759788089</v>
      </c>
      <c r="E24" s="59">
        <f t="shared" si="1"/>
        <v>-29736.963154977653</v>
      </c>
      <c r="F24" s="59">
        <f t="shared" si="3"/>
        <v>-32035.154730956463</v>
      </c>
    </row>
    <row r="25" spans="1:6" x14ac:dyDescent="0.25">
      <c r="A25" s="56">
        <v>5</v>
      </c>
      <c r="B25" s="56">
        <v>17</v>
      </c>
      <c r="C25" s="57">
        <f t="shared" si="2"/>
        <v>123475.80857694297</v>
      </c>
      <c r="D25" s="57">
        <f t="shared" si="0"/>
        <v>-1852.1371286541444</v>
      </c>
      <c r="E25" s="57">
        <f t="shared" si="1"/>
        <v>-30183.017602302316</v>
      </c>
      <c r="F25" s="57">
        <f t="shared" si="3"/>
        <v>-32035.154730956459</v>
      </c>
    </row>
    <row r="26" spans="1:6" x14ac:dyDescent="0.25">
      <c r="A26" s="56">
        <v>5</v>
      </c>
      <c r="B26" s="56">
        <v>18</v>
      </c>
      <c r="C26" s="57">
        <f t="shared" si="2"/>
        <v>93292.790974640666</v>
      </c>
      <c r="D26" s="57">
        <f t="shared" si="0"/>
        <v>-1399.3918646196098</v>
      </c>
      <c r="E26" s="57">
        <f t="shared" si="1"/>
        <v>-30635.762866336856</v>
      </c>
      <c r="F26" s="57">
        <f t="shared" si="3"/>
        <v>-32035.154730956467</v>
      </c>
    </row>
    <row r="27" spans="1:6" x14ac:dyDescent="0.25">
      <c r="A27" s="56">
        <v>5</v>
      </c>
      <c r="B27" s="56">
        <v>19</v>
      </c>
      <c r="C27" s="57">
        <f t="shared" si="2"/>
        <v>62657.028108303813</v>
      </c>
      <c r="D27" s="57">
        <f t="shared" si="0"/>
        <v>-939.85542162455681</v>
      </c>
      <c r="E27" s="57">
        <f t="shared" si="1"/>
        <v>-31095.299309331906</v>
      </c>
      <c r="F27" s="57">
        <f t="shared" si="3"/>
        <v>-32035.154730956463</v>
      </c>
    </row>
    <row r="28" spans="1:6" x14ac:dyDescent="0.25">
      <c r="A28" s="58">
        <v>5</v>
      </c>
      <c r="B28" s="58">
        <v>20</v>
      </c>
      <c r="C28" s="59">
        <f t="shared" si="2"/>
        <v>31561.728798971908</v>
      </c>
      <c r="D28" s="59">
        <f t="shared" si="0"/>
        <v>-473.4259319845782</v>
      </c>
      <c r="E28" s="59">
        <f t="shared" si="1"/>
        <v>-31561.728798971882</v>
      </c>
      <c r="F28" s="59">
        <f t="shared" si="3"/>
        <v>-32035.154730956459</v>
      </c>
    </row>
    <row r="29" spans="1:6" x14ac:dyDescent="0.25">
      <c r="B29" s="29" t="s">
        <v>123</v>
      </c>
      <c r="C29" s="60">
        <f>C28+E28</f>
        <v>0</v>
      </c>
      <c r="D29" s="24"/>
      <c r="E29" s="24"/>
      <c r="F29" s="24"/>
    </row>
    <row r="30" spans="1:6" x14ac:dyDescent="0.25">
      <c r="C30" s="61"/>
      <c r="D30" s="61"/>
      <c r="E30" s="61"/>
    </row>
    <row r="32" spans="1:6" ht="17.25" x14ac:dyDescent="0.25">
      <c r="A32" s="87" t="s">
        <v>124</v>
      </c>
    </row>
    <row r="33" spans="1:7" x14ac:dyDescent="0.25">
      <c r="B33" s="62" t="s">
        <v>37</v>
      </c>
      <c r="C33" s="62" t="s">
        <v>38</v>
      </c>
      <c r="D33" s="62" t="s">
        <v>39</v>
      </c>
      <c r="E33" s="62" t="s">
        <v>40</v>
      </c>
      <c r="F33" s="62" t="s">
        <v>41</v>
      </c>
    </row>
    <row r="34" spans="1:7" ht="24" customHeight="1" x14ac:dyDescent="0.25">
      <c r="A34" s="112" t="s">
        <v>125</v>
      </c>
      <c r="B34" s="97">
        <v>1</v>
      </c>
      <c r="C34" s="97">
        <v>5</v>
      </c>
      <c r="D34" s="97">
        <v>9</v>
      </c>
      <c r="E34" s="97">
        <v>13</v>
      </c>
      <c r="F34" s="97">
        <v>17</v>
      </c>
    </row>
    <row r="35" spans="1:7" ht="24" customHeight="1" x14ac:dyDescent="0.25">
      <c r="A35" s="113"/>
      <c r="B35" s="98">
        <v>4</v>
      </c>
      <c r="C35" s="98">
        <v>8</v>
      </c>
      <c r="D35" s="98">
        <v>12</v>
      </c>
      <c r="E35" s="98">
        <v>16</v>
      </c>
      <c r="F35" s="98">
        <v>20</v>
      </c>
      <c r="G35" s="63" t="s">
        <v>126</v>
      </c>
    </row>
    <row r="36" spans="1:7" x14ac:dyDescent="0.25">
      <c r="A36" s="64" t="s">
        <v>127</v>
      </c>
      <c r="B36" s="65">
        <f>CUMIPMT($D$5,$F$5,$A$5,B34,B35,0)</f>
        <v>-30837.849160058846</v>
      </c>
      <c r="C36" s="65">
        <f t="shared" ref="C36:F36" si="4">CUMIPMT($D$5,$F$5,$A$5,C34,C35,0)</f>
        <v>-24867.005721707217</v>
      </c>
      <c r="D36" s="65">
        <f t="shared" si="4"/>
        <v>-18529.770129752345</v>
      </c>
      <c r="E36" s="65">
        <f t="shared" si="4"/>
        <v>-11803.659260728004</v>
      </c>
      <c r="F36" s="65">
        <f t="shared" si="4"/>
        <v>-4664.8103468829067</v>
      </c>
      <c r="G36" s="66">
        <f t="shared" ref="G36:G37" si="5">SUM(B36:F36)</f>
        <v>-90703.094619129319</v>
      </c>
    </row>
    <row r="37" spans="1:7" x14ac:dyDescent="0.25">
      <c r="A37" s="64" t="s">
        <v>128</v>
      </c>
      <c r="B37" s="65">
        <f>CUMPRINC($D$5,$F$5,$A$5,B34,B35,0)</f>
        <v>-97302.769763767006</v>
      </c>
      <c r="C37" s="65">
        <f t="shared" ref="C37:F37" si="6">CUMPRINC($D$5,$F$5,$A$5,C34,C35,0)</f>
        <v>-103273.61320211863</v>
      </c>
      <c r="D37" s="65">
        <f t="shared" si="6"/>
        <v>-109610.84879407351</v>
      </c>
      <c r="E37" s="65">
        <f t="shared" si="6"/>
        <v>-116336.95966309785</v>
      </c>
      <c r="F37" s="65">
        <f t="shared" si="6"/>
        <v>-123475.80857694295</v>
      </c>
      <c r="G37" s="66">
        <f t="shared" si="5"/>
        <v>-550000</v>
      </c>
    </row>
    <row r="38" spans="1:7" x14ac:dyDescent="0.25">
      <c r="A38" s="67" t="s">
        <v>129</v>
      </c>
      <c r="B38" s="66">
        <f>$A$5+B37</f>
        <v>452697.23023623298</v>
      </c>
      <c r="C38" s="66">
        <f>B38+C37</f>
        <v>349423.61703411432</v>
      </c>
      <c r="D38" s="66">
        <f t="shared" ref="D38:F38" si="7">C38+D37</f>
        <v>239812.76824004081</v>
      </c>
      <c r="E38" s="66">
        <f t="shared" si="7"/>
        <v>123475.80857694296</v>
      </c>
      <c r="F38" s="66">
        <f t="shared" si="7"/>
        <v>0</v>
      </c>
    </row>
  </sheetData>
  <mergeCells count="1">
    <mergeCell ref="A34:A35"/>
  </mergeCells>
  <conditionalFormatting sqref="D9:F28">
    <cfRule type="cellIs" dxfId="6" priority="3" operator="lessThan">
      <formula>0</formula>
    </cfRule>
  </conditionalFormatting>
  <conditionalFormatting sqref="G5">
    <cfRule type="cellIs" dxfId="5" priority="2" operator="lessThan">
      <formula>0</formula>
    </cfRule>
  </conditionalFormatting>
  <conditionalFormatting sqref="B36:G37">
    <cfRule type="cellIs" dxfId="4" priority="1" operator="lessThan">
      <formula>0</formula>
    </cfRule>
  </conditionalFormatting>
  <pageMargins left="0.7" right="0.7" top="0.75" bottom="0.75" header="0.3" footer="0.3"/>
  <pageSetup scale="80" orientation="portrait" r:id="rId1"/>
  <headerFooter>
    <oddFooter>&amp;R&amp;F &amp;A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19"/>
  <sheetViews>
    <sheetView zoomScale="120" zoomScaleNormal="120" workbookViewId="0">
      <selection activeCell="B17" sqref="B17:F18"/>
    </sheetView>
  </sheetViews>
  <sheetFormatPr defaultRowHeight="15" x14ac:dyDescent="0.25"/>
  <cols>
    <col min="1" max="1" width="25.85546875" customWidth="1"/>
    <col min="2" max="2" width="15" customWidth="1"/>
    <col min="3" max="4" width="13.5703125" customWidth="1"/>
    <col min="5" max="5" width="12.28515625" customWidth="1"/>
    <col min="6" max="6" width="12.5703125" customWidth="1"/>
    <col min="7" max="9" width="14.28515625" customWidth="1"/>
    <col min="10" max="10" width="17" customWidth="1"/>
  </cols>
  <sheetData>
    <row r="1" spans="1:6" ht="42.75" x14ac:dyDescent="0.75">
      <c r="A1" s="1" t="s">
        <v>164</v>
      </c>
      <c r="B1" s="5"/>
    </row>
    <row r="2" spans="1:6" ht="23.25" x14ac:dyDescent="0.35">
      <c r="A2" s="86" t="s">
        <v>51</v>
      </c>
    </row>
    <row r="3" spans="1:6" ht="15" customHeight="1" x14ac:dyDescent="0.35">
      <c r="A3" s="7"/>
    </row>
    <row r="4" spans="1:6" x14ac:dyDescent="0.25">
      <c r="A4" s="92" t="s">
        <v>162</v>
      </c>
      <c r="B4" s="68">
        <f>Startup!B13</f>
        <v>300000</v>
      </c>
    </row>
    <row r="5" spans="1:6" x14ac:dyDescent="0.25">
      <c r="A5" s="92" t="s">
        <v>130</v>
      </c>
      <c r="B5" s="68">
        <v>75000</v>
      </c>
    </row>
    <row r="6" spans="1:6" x14ac:dyDescent="0.25">
      <c r="A6" s="92" t="s">
        <v>131</v>
      </c>
      <c r="B6" s="69">
        <v>10</v>
      </c>
    </row>
    <row r="8" spans="1:6" x14ac:dyDescent="0.25">
      <c r="B8" s="114" t="s">
        <v>117</v>
      </c>
      <c r="C8" s="114"/>
      <c r="D8" s="114"/>
      <c r="E8" s="114"/>
      <c r="F8" s="114"/>
    </row>
    <row r="9" spans="1:6" ht="17.25" x14ac:dyDescent="0.25">
      <c r="A9" s="87" t="s">
        <v>132</v>
      </c>
      <c r="B9" s="93">
        <v>1</v>
      </c>
      <c r="C9" s="93">
        <v>2</v>
      </c>
      <c r="D9" s="93">
        <v>3</v>
      </c>
      <c r="E9" s="93">
        <v>4</v>
      </c>
      <c r="F9" s="93">
        <v>5</v>
      </c>
    </row>
    <row r="10" spans="1:6" x14ac:dyDescent="0.25">
      <c r="A10" s="70" t="s">
        <v>133</v>
      </c>
      <c r="B10" s="51">
        <f>SLN($B$4,$B$5,$B$6)</f>
        <v>22500</v>
      </c>
      <c r="C10" s="51">
        <f t="shared" ref="C10:F10" si="0">SLN($B$4,$B$5,$B$6)</f>
        <v>22500</v>
      </c>
      <c r="D10" s="51">
        <f t="shared" si="0"/>
        <v>22500</v>
      </c>
      <c r="E10" s="51">
        <f t="shared" si="0"/>
        <v>22500</v>
      </c>
      <c r="F10" s="51">
        <f t="shared" si="0"/>
        <v>22500</v>
      </c>
    </row>
    <row r="11" spans="1:6" x14ac:dyDescent="0.25">
      <c r="A11" s="58" t="s">
        <v>134</v>
      </c>
      <c r="B11" s="71">
        <f>B10</f>
        <v>22500</v>
      </c>
      <c r="C11" s="71">
        <f>B11+B10</f>
        <v>45000</v>
      </c>
      <c r="D11" s="71">
        <f t="shared" ref="D11:F11" si="1">C11+C10</f>
        <v>67500</v>
      </c>
      <c r="E11" s="71">
        <f t="shared" si="1"/>
        <v>90000</v>
      </c>
      <c r="F11" s="71">
        <f t="shared" si="1"/>
        <v>112500</v>
      </c>
    </row>
    <row r="12" spans="1:6" x14ac:dyDescent="0.25">
      <c r="A12" s="72" t="s">
        <v>135</v>
      </c>
      <c r="B12" s="73">
        <f>$B$4-B11</f>
        <v>277500</v>
      </c>
      <c r="C12" s="73">
        <f t="shared" ref="C12:F12" si="2">$B$4-C11</f>
        <v>255000</v>
      </c>
      <c r="D12" s="73">
        <f t="shared" si="2"/>
        <v>232500</v>
      </c>
      <c r="E12" s="73">
        <f t="shared" si="2"/>
        <v>210000</v>
      </c>
      <c r="F12" s="73">
        <f t="shared" si="2"/>
        <v>187500</v>
      </c>
    </row>
    <row r="14" spans="1:6" x14ac:dyDescent="0.25">
      <c r="B14" s="114" t="s">
        <v>117</v>
      </c>
      <c r="C14" s="114"/>
      <c r="D14" s="114"/>
      <c r="E14" s="114"/>
      <c r="F14" s="114"/>
    </row>
    <row r="15" spans="1:6" ht="17.25" x14ac:dyDescent="0.25">
      <c r="A15" s="87" t="s">
        <v>136</v>
      </c>
      <c r="B15" s="93">
        <v>1</v>
      </c>
      <c r="C15" s="93">
        <v>2</v>
      </c>
      <c r="D15" s="93">
        <v>3</v>
      </c>
      <c r="E15" s="93">
        <v>4</v>
      </c>
      <c r="F15" s="93">
        <v>5</v>
      </c>
    </row>
    <row r="16" spans="1:6" x14ac:dyDescent="0.25">
      <c r="A16" s="70" t="s">
        <v>133</v>
      </c>
      <c r="B16" s="51">
        <f>DB($B$4,$B$5,$B$6,B15)</f>
        <v>38700</v>
      </c>
      <c r="C16" s="51">
        <f t="shared" ref="C16:F16" si="3">DB($B$4,$B$5,$B$6,C15)</f>
        <v>33707.700000000004</v>
      </c>
      <c r="D16" s="51">
        <f t="shared" si="3"/>
        <v>29359.4067</v>
      </c>
      <c r="E16" s="51">
        <f t="shared" si="3"/>
        <v>25572.043235699999</v>
      </c>
      <c r="F16" s="51">
        <f t="shared" si="3"/>
        <v>22273.249658294702</v>
      </c>
    </row>
    <row r="17" spans="1:6" x14ac:dyDescent="0.25">
      <c r="A17" s="58" t="s">
        <v>134</v>
      </c>
      <c r="B17" s="71">
        <f>B16</f>
        <v>38700</v>
      </c>
      <c r="C17" s="71">
        <f t="shared" ref="C17:F17" si="4">C16</f>
        <v>33707.700000000004</v>
      </c>
      <c r="D17" s="71">
        <f t="shared" si="4"/>
        <v>29359.4067</v>
      </c>
      <c r="E17" s="71">
        <f t="shared" si="4"/>
        <v>25572.043235699999</v>
      </c>
      <c r="F17" s="71">
        <f t="shared" si="4"/>
        <v>22273.249658294702</v>
      </c>
    </row>
    <row r="18" spans="1:6" x14ac:dyDescent="0.25">
      <c r="A18" s="72" t="s">
        <v>135</v>
      </c>
      <c r="B18" s="73">
        <f>$B$4-B17</f>
        <v>261300</v>
      </c>
      <c r="C18" s="73">
        <f t="shared" ref="C18:F18" si="5">$B$4-C17</f>
        <v>266292.3</v>
      </c>
      <c r="D18" s="73">
        <f t="shared" si="5"/>
        <v>270640.59330000001</v>
      </c>
      <c r="E18" s="73">
        <f t="shared" si="5"/>
        <v>274427.9567643</v>
      </c>
      <c r="F18" s="73">
        <f t="shared" si="5"/>
        <v>277726.75034170528</v>
      </c>
    </row>
    <row r="19" spans="1:6" x14ac:dyDescent="0.25">
      <c r="C19" s="74"/>
      <c r="D19" s="74"/>
      <c r="E19" s="74"/>
      <c r="F19" s="74"/>
    </row>
  </sheetData>
  <mergeCells count="2">
    <mergeCell ref="B8:F8"/>
    <mergeCell ref="B14:F14"/>
  </mergeCells>
  <pageMargins left="0.7" right="0.7" top="0.75" bottom="0.75" header="0.3" footer="0.3"/>
  <pageSetup scale="97" orientation="portrait" r:id="rId1"/>
  <headerFooter>
    <oddFooter>&amp;R&amp;F &amp;A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54"/>
  <sheetViews>
    <sheetView zoomScale="120" zoomScaleNormal="120" workbookViewId="0">
      <selection activeCell="C29" sqref="C29"/>
    </sheetView>
  </sheetViews>
  <sheetFormatPr defaultColWidth="9.140625" defaultRowHeight="15" x14ac:dyDescent="0.25"/>
  <cols>
    <col min="1" max="1" width="22.85546875" style="28" customWidth="1"/>
    <col min="2" max="6" width="16.42578125" style="28" customWidth="1"/>
    <col min="7" max="9" width="14.28515625" style="28" customWidth="1"/>
    <col min="10" max="10" width="17" style="28" customWidth="1"/>
    <col min="11" max="16384" width="9.140625" style="28"/>
  </cols>
  <sheetData>
    <row r="1" spans="1:9" s="6" customFormat="1" ht="42.75" x14ac:dyDescent="0.75">
      <c r="A1" s="1" t="s">
        <v>164</v>
      </c>
    </row>
    <row r="2" spans="1:9" s="6" customFormat="1" ht="23.25" x14ac:dyDescent="0.35">
      <c r="A2" s="86" t="s">
        <v>137</v>
      </c>
    </row>
    <row r="4" spans="1:9" customFormat="1" ht="17.25" x14ac:dyDescent="0.25">
      <c r="A4" s="87" t="s">
        <v>138</v>
      </c>
    </row>
    <row r="5" spans="1:9" customFormat="1" x14ac:dyDescent="0.25"/>
    <row r="6" spans="1:9" customFormat="1" x14ac:dyDescent="0.25">
      <c r="A6" s="95" t="s">
        <v>139</v>
      </c>
      <c r="B6" s="75">
        <f>-Startup!B31</f>
        <v>-350000</v>
      </c>
    </row>
    <row r="7" spans="1:9" customFormat="1" x14ac:dyDescent="0.25">
      <c r="A7" s="96" t="s">
        <v>140</v>
      </c>
      <c r="B7" s="76">
        <v>80000</v>
      </c>
    </row>
    <row r="8" spans="1:9" customFormat="1" x14ac:dyDescent="0.25">
      <c r="A8" s="96" t="s">
        <v>109</v>
      </c>
      <c r="B8" s="76">
        <v>5</v>
      </c>
    </row>
    <row r="9" spans="1:9" customFormat="1" x14ac:dyDescent="0.25">
      <c r="A9" s="96" t="s">
        <v>141</v>
      </c>
      <c r="B9" s="77">
        <f>RATE(B8, B7, B6)</f>
        <v>4.6227568262536954E-2</v>
      </c>
    </row>
    <row r="10" spans="1:9" customFormat="1" x14ac:dyDescent="0.25"/>
    <row r="11" spans="1:9" customFormat="1" x14ac:dyDescent="0.25">
      <c r="A11" s="94"/>
      <c r="B11" s="94" t="s">
        <v>37</v>
      </c>
      <c r="C11" s="94" t="s">
        <v>38</v>
      </c>
      <c r="D11" s="94" t="s">
        <v>39</v>
      </c>
      <c r="E11" s="94" t="s">
        <v>40</v>
      </c>
      <c r="F11" s="94" t="s">
        <v>41</v>
      </c>
    </row>
    <row r="12" spans="1:9" customFormat="1" x14ac:dyDescent="0.25">
      <c r="A12" s="69" t="s">
        <v>142</v>
      </c>
      <c r="B12" s="78">
        <f>$B$7</f>
        <v>80000</v>
      </c>
      <c r="C12" s="78">
        <f t="shared" ref="C12:F12" si="0">$B$7</f>
        <v>80000</v>
      </c>
      <c r="D12" s="78">
        <f t="shared" si="0"/>
        <v>80000</v>
      </c>
      <c r="E12" s="78">
        <f t="shared" si="0"/>
        <v>80000</v>
      </c>
      <c r="F12" s="78">
        <f t="shared" si="0"/>
        <v>80000</v>
      </c>
      <c r="G12" s="79"/>
      <c r="H12" s="79"/>
      <c r="I12" s="79"/>
    </row>
    <row r="13" spans="1:9" customFormat="1" x14ac:dyDescent="0.25">
      <c r="A13" s="69" t="s">
        <v>91</v>
      </c>
      <c r="B13" s="78">
        <v>0</v>
      </c>
      <c r="C13" s="78">
        <v>0</v>
      </c>
      <c r="D13" s="78">
        <v>12000</v>
      </c>
      <c r="E13" s="78">
        <v>25000</v>
      </c>
      <c r="F13" s="78">
        <v>43000</v>
      </c>
      <c r="G13" s="79"/>
    </row>
    <row r="14" spans="1:9" customFormat="1" x14ac:dyDescent="0.25">
      <c r="A14" s="80" t="s">
        <v>126</v>
      </c>
      <c r="B14" s="81">
        <f t="shared" ref="B14:F14" si="1">SUM(B12:B13)</f>
        <v>80000</v>
      </c>
      <c r="C14" s="81">
        <f t="shared" si="1"/>
        <v>80000</v>
      </c>
      <c r="D14" s="81">
        <f t="shared" si="1"/>
        <v>92000</v>
      </c>
      <c r="E14" s="81">
        <f t="shared" si="1"/>
        <v>105000</v>
      </c>
      <c r="F14" s="81">
        <f t="shared" si="1"/>
        <v>123000</v>
      </c>
    </row>
    <row r="15" spans="1:9" customFormat="1" x14ac:dyDescent="0.25"/>
    <row r="16" spans="1:9" customFormat="1" ht="15" customHeight="1" x14ac:dyDescent="0.25">
      <c r="A16" s="87" t="s">
        <v>143</v>
      </c>
    </row>
    <row r="17" spans="1:10" customFormat="1" ht="15" customHeight="1" x14ac:dyDescent="0.25">
      <c r="A17" s="94"/>
      <c r="B17" s="94" t="s">
        <v>142</v>
      </c>
      <c r="C17" s="94" t="s">
        <v>144</v>
      </c>
      <c r="E17" s="79"/>
      <c r="F17" s="79"/>
    </row>
    <row r="18" spans="1:10" customFormat="1" ht="15" customHeight="1" x14ac:dyDescent="0.25">
      <c r="A18" s="69" t="s">
        <v>145</v>
      </c>
      <c r="B18" s="82">
        <f>B6</f>
        <v>-350000</v>
      </c>
      <c r="C18" s="111">
        <f>SUM($B$18:B18)</f>
        <v>-350000</v>
      </c>
      <c r="D18" s="79"/>
      <c r="E18" s="79"/>
      <c r="F18" s="79"/>
      <c r="J18" s="61"/>
    </row>
    <row r="19" spans="1:10" customFormat="1" ht="15" customHeight="1" x14ac:dyDescent="0.25">
      <c r="A19" s="69" t="s">
        <v>37</v>
      </c>
      <c r="B19" s="78">
        <f>B14</f>
        <v>80000</v>
      </c>
      <c r="C19" s="111">
        <f>SUM($B$18:B19)</f>
        <v>-270000</v>
      </c>
      <c r="G19" s="8"/>
      <c r="H19" s="45"/>
      <c r="I19" s="45"/>
    </row>
    <row r="20" spans="1:10" customFormat="1" ht="15" customHeight="1" x14ac:dyDescent="0.25">
      <c r="A20" s="69" t="s">
        <v>38</v>
      </c>
      <c r="B20" s="78">
        <f>C14</f>
        <v>80000</v>
      </c>
      <c r="C20" s="111">
        <f>SUM($B$18:B20)</f>
        <v>-190000</v>
      </c>
      <c r="G20" s="8"/>
      <c r="H20" s="45"/>
      <c r="I20" s="45"/>
    </row>
    <row r="21" spans="1:10" customFormat="1" ht="15" customHeight="1" x14ac:dyDescent="0.25">
      <c r="A21" s="69" t="s">
        <v>39</v>
      </c>
      <c r="B21" s="78">
        <f>D14</f>
        <v>92000</v>
      </c>
      <c r="C21" s="111">
        <f>SUM($B$18:B21)</f>
        <v>-98000</v>
      </c>
    </row>
    <row r="22" spans="1:10" customFormat="1" ht="15" customHeight="1" x14ac:dyDescent="0.25">
      <c r="A22" s="69" t="s">
        <v>40</v>
      </c>
      <c r="B22" s="78">
        <f>E14</f>
        <v>105000</v>
      </c>
      <c r="C22" s="111">
        <f>SUM($B$18:B22)</f>
        <v>7000</v>
      </c>
    </row>
    <row r="23" spans="1:10" customFormat="1" ht="15" customHeight="1" x14ac:dyDescent="0.25">
      <c r="A23" s="69" t="s">
        <v>41</v>
      </c>
      <c r="B23" s="78">
        <f>F14</f>
        <v>123000</v>
      </c>
      <c r="C23" s="111">
        <f>SUM($B$18:B23)</f>
        <v>130000</v>
      </c>
    </row>
    <row r="24" spans="1:10" customFormat="1" ht="15" customHeight="1" x14ac:dyDescent="0.25">
      <c r="B24" s="110"/>
      <c r="F24" s="8"/>
    </row>
    <row r="25" spans="1:10" customFormat="1" ht="15" customHeight="1" x14ac:dyDescent="0.25">
      <c r="A25" s="115" t="s">
        <v>146</v>
      </c>
      <c r="B25" s="116"/>
      <c r="C25" s="103">
        <v>0.1</v>
      </c>
    </row>
    <row r="26" spans="1:10" customFormat="1" ht="15" customHeight="1" x14ac:dyDescent="0.25">
      <c r="A26" s="115" t="s">
        <v>147</v>
      </c>
      <c r="B26" s="116"/>
      <c r="C26" s="83">
        <f>NPV(C25,B19:B23)</f>
        <v>356053.67243916512</v>
      </c>
    </row>
    <row r="27" spans="1:10" customFormat="1" ht="15" customHeight="1" x14ac:dyDescent="0.25">
      <c r="A27" s="115" t="s">
        <v>148</v>
      </c>
      <c r="B27" s="116"/>
      <c r="C27" s="84">
        <f>B18+C26</f>
        <v>6053.6724391651223</v>
      </c>
    </row>
    <row r="28" spans="1:10" customFormat="1" ht="15" customHeight="1" x14ac:dyDescent="0.25">
      <c r="A28" s="115" t="s">
        <v>149</v>
      </c>
      <c r="B28" s="116"/>
      <c r="C28" s="85">
        <f>IRR(B18:B23)</f>
        <v>0.1062423338067735</v>
      </c>
    </row>
    <row r="29" spans="1:10" customFormat="1" x14ac:dyDescent="0.25"/>
    <row r="30" spans="1:10" customFormat="1" x14ac:dyDescent="0.25"/>
    <row r="31" spans="1:10" customFormat="1" x14ac:dyDescent="0.25"/>
    <row r="32" spans="1:10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</sheetData>
  <mergeCells count="4">
    <mergeCell ref="A25:B25"/>
    <mergeCell ref="A26:B26"/>
    <mergeCell ref="A27:B27"/>
    <mergeCell ref="A28:B28"/>
  </mergeCells>
  <conditionalFormatting sqref="C18:C23">
    <cfRule type="cellIs" dxfId="3" priority="4" operator="lessThan">
      <formula>0</formula>
    </cfRule>
  </conditionalFormatting>
  <conditionalFormatting sqref="B18:B23">
    <cfRule type="cellIs" dxfId="2" priority="3" operator="lessThan">
      <formula>0</formula>
    </cfRule>
  </conditionalFormatting>
  <conditionalFormatting sqref="B6">
    <cfRule type="cellIs" dxfId="1" priority="2" operator="lessThan">
      <formula>0</formula>
    </cfRule>
  </conditionalFormatting>
  <conditionalFormatting sqref="C27">
    <cfRule type="cellIs" dxfId="0" priority="1" operator="lessThan">
      <formula>0</formula>
    </cfRule>
  </conditionalFormatting>
  <pageMargins left="0.7" right="0.7" top="0.75" bottom="0.75" header="0.3" footer="0.3"/>
  <pageSetup scale="86" orientation="portrait" r:id="rId1"/>
  <headerFooter>
    <oddFooter>&amp;R&amp;F 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Documentation</vt:lpstr>
      <vt:lpstr>Startup</vt:lpstr>
      <vt:lpstr>Income Statement</vt:lpstr>
      <vt:lpstr>Balance Sheet</vt:lpstr>
      <vt:lpstr>Cash Flow</vt:lpstr>
      <vt:lpstr>Loan Analysis</vt:lpstr>
      <vt:lpstr>Loan Schedule</vt:lpstr>
      <vt:lpstr>Depreciation</vt:lpstr>
      <vt:lpstr>Investment Analysis</vt:lpstr>
      <vt:lpstr>Terms and Defintions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9, Module Case</dc:title>
  <dc:creator>Your Name</dc:creator>
  <cp:lastModifiedBy>Christopher Wakeley</cp:lastModifiedBy>
  <dcterms:created xsi:type="dcterms:W3CDTF">2015-11-12T22:55:14Z</dcterms:created>
  <dcterms:modified xsi:type="dcterms:W3CDTF">2023-04-15T03:25:16Z</dcterms:modified>
</cp:coreProperties>
</file>